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"/>
    </mc:Choice>
  </mc:AlternateContent>
  <xr:revisionPtr revIDLastSave="0" documentId="13_ncr:1_{69886C12-5B9D-41BF-B426-C8722EA028C1}" xr6:coauthVersionLast="47" xr6:coauthVersionMax="47" xr10:uidLastSave="{00000000-0000-0000-0000-000000000000}"/>
  <bookViews>
    <workbookView xWindow="25080" yWindow="-120" windowWidth="25440" windowHeight="15390" tabRatio="928" activeTab="1" xr2:uid="{00000000-000D-0000-FFFF-FFFF00000000}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APRIL!$A$42:$K$55</definedName>
    <definedName name="_xlnm.Print_Area" localSheetId="11">AUGUST!$A$42:$K$55</definedName>
    <definedName name="_xlnm.Print_Area" localSheetId="15">DECEMBER!$A$42:$K$55</definedName>
    <definedName name="_xlnm.Print_Area" localSheetId="5">FEBRUARY!$A$42:$K$55</definedName>
    <definedName name="_xlnm.Print_Area" localSheetId="4">JANUARY!$A$42:$K$55</definedName>
    <definedName name="_xlnm.Print_Area" localSheetId="10">JULY!$A$42:$K$55</definedName>
    <definedName name="_xlnm.Print_Area" localSheetId="9">JUNE!$A$41:$K$54</definedName>
    <definedName name="_xlnm.Print_Area" localSheetId="6">MARCH!$A$42:$K$55</definedName>
    <definedName name="_xlnm.Print_Area" localSheetId="8">MAY!$A$42:$K$55</definedName>
    <definedName name="_xlnm.Print_Area" localSheetId="14">NOVEMBER!$A$42:$K$55</definedName>
    <definedName name="_xlnm.Print_Area" localSheetId="13">OCTOBER!$A$42:$K$55</definedName>
    <definedName name="_xlnm.Print_Area" localSheetId="12">SEPTEMBER!$A$42:$K$55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6" l="1"/>
  <c r="C39" i="6"/>
  <c r="D39" i="6"/>
  <c r="E39" i="6"/>
  <c r="F39" i="6"/>
  <c r="G39" i="6"/>
  <c r="H39" i="6"/>
  <c r="I39" i="6"/>
  <c r="J39" i="6"/>
  <c r="K39" i="6"/>
  <c r="B46" i="6"/>
  <c r="B47" i="6"/>
  <c r="E47" i="6"/>
  <c r="H47" i="6"/>
  <c r="B48" i="6"/>
  <c r="E48" i="6"/>
  <c r="H48" i="6"/>
  <c r="Z39" i="16" l="1"/>
  <c r="V39" i="16"/>
  <c r="R39" i="16"/>
  <c r="R41" i="16" s="1"/>
  <c r="N39" i="16"/>
  <c r="I39" i="16"/>
  <c r="E39" i="16"/>
  <c r="B39" i="16"/>
  <c r="C39" i="16"/>
  <c r="D39" i="16"/>
  <c r="F39" i="16"/>
  <c r="G39" i="16"/>
  <c r="T47" i="16" s="1"/>
  <c r="U47" i="16" s="1"/>
  <c r="H39" i="16"/>
  <c r="T53" i="16" s="1"/>
  <c r="U53" i="16" s="1"/>
  <c r="J39" i="16"/>
  <c r="K39" i="16"/>
  <c r="L39" i="16"/>
  <c r="T48" i="16" s="1"/>
  <c r="U48" i="16" s="1"/>
  <c r="M39" i="16"/>
  <c r="O39" i="16"/>
  <c r="P39" i="16"/>
  <c r="Q39" i="16"/>
  <c r="S39" i="16"/>
  <c r="T39" i="16"/>
  <c r="U39" i="16"/>
  <c r="W39" i="16"/>
  <c r="X39" i="16"/>
  <c r="Y39" i="16"/>
  <c r="AA39" i="16"/>
  <c r="AB39" i="16"/>
  <c r="AC39" i="16"/>
  <c r="AJ39" i="16"/>
  <c r="AK39" i="16"/>
  <c r="AL39" i="16"/>
  <c r="AM39" i="16"/>
  <c r="AN39" i="16"/>
  <c r="AO39" i="16"/>
  <c r="AP39" i="16"/>
  <c r="AQ39" i="16"/>
  <c r="AQ41" i="16" s="1"/>
  <c r="AR39" i="16"/>
  <c r="AS39" i="16"/>
  <c r="AD40" i="16"/>
  <c r="H50" i="16" s="1"/>
  <c r="AE40" i="16"/>
  <c r="E50" i="16" s="1"/>
  <c r="AF40" i="16"/>
  <c r="B49" i="16" s="1"/>
  <c r="AG40" i="16"/>
  <c r="H49" i="16" s="1"/>
  <c r="AH40" i="16"/>
  <c r="AK40" i="16"/>
  <c r="AK41" i="16" s="1"/>
  <c r="AL40" i="16"/>
  <c r="AM40" i="16"/>
  <c r="AN40" i="16"/>
  <c r="AO40" i="16"/>
  <c r="AP40" i="16"/>
  <c r="AQ40" i="16"/>
  <c r="AR40" i="16"/>
  <c r="AS40" i="16"/>
  <c r="O41" i="16"/>
  <c r="P41" i="16"/>
  <c r="Q41" i="16"/>
  <c r="AA41" i="16"/>
  <c r="AJ41" i="16"/>
  <c r="B46" i="16"/>
  <c r="B47" i="16"/>
  <c r="E47" i="16"/>
  <c r="H47" i="16"/>
  <c r="B48" i="16"/>
  <c r="E48" i="16"/>
  <c r="H48" i="16"/>
  <c r="AM41" i="16" l="1"/>
  <c r="T45" i="16"/>
  <c r="U45" i="16" s="1"/>
  <c r="AR41" i="16"/>
  <c r="AN41" i="16"/>
  <c r="AI40" i="16"/>
  <c r="E46" i="16" s="1"/>
  <c r="T52" i="16"/>
  <c r="U52" i="16" s="1"/>
  <c r="AL41" i="16"/>
  <c r="AS41" i="16"/>
  <c r="AO41" i="16"/>
  <c r="AP41" i="16"/>
  <c r="E49" i="16"/>
  <c r="B50" i="16"/>
  <c r="T54" i="16"/>
  <c r="U54" i="16" s="1"/>
  <c r="T46" i="16"/>
  <c r="U46" i="16" s="1"/>
  <c r="T51" i="16"/>
  <c r="U51" i="16" s="1"/>
  <c r="T49" i="16"/>
  <c r="U49" i="16" s="1"/>
  <c r="T55" i="16"/>
  <c r="U55" i="16" s="1"/>
  <c r="AI31" i="28"/>
  <c r="AH31" i="28"/>
  <c r="AG31" i="28"/>
  <c r="AF31" i="28"/>
  <c r="AD31" i="28"/>
  <c r="D40" i="6" s="1"/>
  <c r="D41" i="6" s="1"/>
  <c r="AC31" i="28"/>
  <c r="AB31" i="28"/>
  <c r="AA31" i="28"/>
  <c r="AI30" i="28"/>
  <c r="AH30" i="28"/>
  <c r="AG30" i="28"/>
  <c r="AF30" i="28"/>
  <c r="AD30" i="28"/>
  <c r="AC30" i="28"/>
  <c r="AB30" i="28"/>
  <c r="AA30" i="28"/>
  <c r="AI29" i="28"/>
  <c r="AH29" i="28"/>
  <c r="AG29" i="28"/>
  <c r="AF29" i="28"/>
  <c r="AD29" i="28"/>
  <c r="H40" i="6" s="1"/>
  <c r="H41" i="6" s="1"/>
  <c r="AC29" i="28"/>
  <c r="H40" i="16" s="1"/>
  <c r="H41" i="16" s="1"/>
  <c r="AB29" i="28"/>
  <c r="AA29" i="28"/>
  <c r="AI28" i="28"/>
  <c r="AH28" i="28"/>
  <c r="AG28" i="28"/>
  <c r="AF28" i="28"/>
  <c r="AD28" i="28"/>
  <c r="AC28" i="28"/>
  <c r="AB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D26" i="28"/>
  <c r="AC26" i="28"/>
  <c r="AB26" i="28"/>
  <c r="AA26" i="28"/>
  <c r="AI25" i="28"/>
  <c r="AH25" i="28"/>
  <c r="AG25" i="28"/>
  <c r="AF25" i="28"/>
  <c r="AD25" i="28"/>
  <c r="AC25" i="28"/>
  <c r="L40" i="16" s="1"/>
  <c r="L41" i="16" s="1"/>
  <c r="AB25" i="28"/>
  <c r="AA25" i="28"/>
  <c r="AI24" i="28"/>
  <c r="AH24" i="28"/>
  <c r="AG24" i="28"/>
  <c r="AF24" i="28"/>
  <c r="AD24" i="28"/>
  <c r="G40" i="6" s="1"/>
  <c r="G41" i="6" s="1"/>
  <c r="AC24" i="28"/>
  <c r="G40" i="16" s="1"/>
  <c r="G41" i="16" s="1"/>
  <c r="AB24" i="28"/>
  <c r="AA24" i="28"/>
  <c r="AI23" i="28"/>
  <c r="AH23" i="28"/>
  <c r="AG23" i="28"/>
  <c r="AF23" i="28"/>
  <c r="AD23" i="28"/>
  <c r="F40" i="6" s="1"/>
  <c r="F41" i="6" s="1"/>
  <c r="AC23" i="28"/>
  <c r="AB23" i="28"/>
  <c r="AA23" i="28"/>
  <c r="AI22" i="28"/>
  <c r="AH22" i="28"/>
  <c r="AG22" i="28"/>
  <c r="AF22" i="28"/>
  <c r="AD22" i="28"/>
  <c r="AC22" i="28"/>
  <c r="AB22" i="28"/>
  <c r="AA22" i="28"/>
  <c r="R20" i="28"/>
  <c r="I40" i="6" l="1"/>
  <c r="I41" i="6" s="1"/>
  <c r="B40" i="6"/>
  <c r="B41" i="6" s="1"/>
  <c r="K40" i="6"/>
  <c r="K41" i="6" s="1"/>
  <c r="E40" i="6"/>
  <c r="E41" i="6" s="1"/>
  <c r="C40" i="6"/>
  <c r="C41" i="6" s="1"/>
  <c r="J40" i="6"/>
  <c r="J41" i="6" s="1"/>
  <c r="H46" i="16"/>
  <c r="B45" i="16"/>
  <c r="C45" i="16" s="1"/>
  <c r="H45" i="16"/>
  <c r="F40" i="16"/>
  <c r="F41" i="16" s="1"/>
  <c r="N40" i="16"/>
  <c r="N41" i="16" s="1"/>
  <c r="M40" i="16"/>
  <c r="M41" i="16" s="1"/>
  <c r="AC40" i="16"/>
  <c r="AC41" i="16" s="1"/>
  <c r="B40" i="16"/>
  <c r="B41" i="16" s="1"/>
  <c r="I40" i="16"/>
  <c r="I41" i="16" s="1"/>
  <c r="D40" i="16"/>
  <c r="D41" i="16" s="1"/>
  <c r="Z40" i="16"/>
  <c r="Z41" i="16" s="1"/>
  <c r="Y40" i="16"/>
  <c r="Y41" i="16" s="1"/>
  <c r="E45" i="16"/>
  <c r="X40" i="16"/>
  <c r="X41" i="16" s="1"/>
  <c r="W40" i="16"/>
  <c r="W41" i="16" s="1"/>
  <c r="K40" i="16"/>
  <c r="K41" i="16" s="1"/>
  <c r="E40" i="16"/>
  <c r="E41" i="16" s="1"/>
  <c r="V40" i="16"/>
  <c r="V41" i="16" s="1"/>
  <c r="AB40" i="16"/>
  <c r="AB41" i="16" s="1"/>
  <c r="U40" i="16"/>
  <c r="U41" i="16" s="1"/>
  <c r="T40" i="16"/>
  <c r="T41" i="16" s="1"/>
  <c r="J40" i="16"/>
  <c r="J41" i="16" s="1"/>
  <c r="S40" i="16"/>
  <c r="S41" i="16" s="1"/>
  <c r="C40" i="16"/>
  <c r="C41" i="16" s="1"/>
  <c r="B39" i="24"/>
  <c r="C39" i="24"/>
  <c r="D39" i="24"/>
  <c r="E39" i="24"/>
  <c r="F39" i="24"/>
  <c r="G39" i="24"/>
  <c r="T47" i="24" s="1"/>
  <c r="U47" i="24" s="1"/>
  <c r="H39" i="24"/>
  <c r="T53" i="24" s="1"/>
  <c r="U53" i="24" s="1"/>
  <c r="I39" i="24"/>
  <c r="J39" i="24"/>
  <c r="K39" i="24"/>
  <c r="L39" i="24"/>
  <c r="T48" i="24" s="1"/>
  <c r="U48" i="24" s="1"/>
  <c r="M39" i="24"/>
  <c r="N39" i="24"/>
  <c r="O39" i="24"/>
  <c r="O41" i="24" s="1"/>
  <c r="P39" i="24"/>
  <c r="P41" i="24" s="1"/>
  <c r="Q39" i="24"/>
  <c r="Q41" i="24" s="1"/>
  <c r="R39" i="24"/>
  <c r="S39" i="24"/>
  <c r="T39" i="24"/>
  <c r="U39" i="24"/>
  <c r="V39" i="24"/>
  <c r="W39" i="24"/>
  <c r="X39" i="24"/>
  <c r="Y39" i="24"/>
  <c r="Z39" i="24"/>
  <c r="AA39" i="24"/>
  <c r="AA41" i="24" s="1"/>
  <c r="AB39" i="24"/>
  <c r="AC39" i="24"/>
  <c r="AJ39" i="24"/>
  <c r="AJ41" i="24" s="1"/>
  <c r="AK39" i="24"/>
  <c r="AL39" i="24"/>
  <c r="AM39" i="24"/>
  <c r="AN39" i="24"/>
  <c r="AO39" i="24"/>
  <c r="AP39" i="24"/>
  <c r="AQ39" i="24"/>
  <c r="AR39" i="24"/>
  <c r="AS39" i="24"/>
  <c r="AD40" i="24"/>
  <c r="H50" i="24" s="1"/>
  <c r="AE40" i="24"/>
  <c r="E50" i="24" s="1"/>
  <c r="AF40" i="24"/>
  <c r="B49" i="24" s="1"/>
  <c r="AG40" i="24"/>
  <c r="H49" i="24" s="1"/>
  <c r="AH40" i="24"/>
  <c r="E49" i="24" s="1"/>
  <c r="AK40" i="24"/>
  <c r="AL40" i="24"/>
  <c r="AM40" i="24"/>
  <c r="AN40" i="24"/>
  <c r="AO40" i="24"/>
  <c r="AP40" i="24"/>
  <c r="AQ40" i="24"/>
  <c r="AR40" i="24"/>
  <c r="AS40" i="24"/>
  <c r="R41" i="24"/>
  <c r="B46" i="24"/>
  <c r="B47" i="24"/>
  <c r="E47" i="24"/>
  <c r="H47" i="24"/>
  <c r="B48" i="24"/>
  <c r="E48" i="24"/>
  <c r="H48" i="24"/>
  <c r="B44" i="16" l="1"/>
  <c r="B51" i="16" s="1"/>
  <c r="B52" i="16" s="1"/>
  <c r="H44" i="16"/>
  <c r="I51" i="16" s="1"/>
  <c r="E44" i="16"/>
  <c r="AS41" i="24"/>
  <c r="AO41" i="24"/>
  <c r="AK41" i="24"/>
  <c r="AQ41" i="24"/>
  <c r="AM41" i="24"/>
  <c r="AR41" i="24"/>
  <c r="T46" i="24"/>
  <c r="U46" i="24" s="1"/>
  <c r="T55" i="24"/>
  <c r="U55" i="24" s="1"/>
  <c r="T51" i="24"/>
  <c r="U51" i="24" s="1"/>
  <c r="AP41" i="24"/>
  <c r="AL41" i="24"/>
  <c r="T49" i="24"/>
  <c r="U49" i="24" s="1"/>
  <c r="T45" i="24"/>
  <c r="U45" i="24" s="1"/>
  <c r="T52" i="24"/>
  <c r="U52" i="24" s="1"/>
  <c r="AN41" i="24"/>
  <c r="T54" i="24"/>
  <c r="U54" i="24" s="1"/>
  <c r="B50" i="24"/>
  <c r="AI40" i="24"/>
  <c r="H46" i="24" s="1"/>
  <c r="B38" i="17"/>
  <c r="C38" i="17"/>
  <c r="D38" i="17"/>
  <c r="E38" i="17"/>
  <c r="F38" i="17"/>
  <c r="G38" i="17"/>
  <c r="T46" i="17" s="1"/>
  <c r="U46" i="17" s="1"/>
  <c r="H38" i="17"/>
  <c r="T52" i="17" s="1"/>
  <c r="U52" i="17" s="1"/>
  <c r="I38" i="17"/>
  <c r="J38" i="17"/>
  <c r="K38" i="17"/>
  <c r="L38" i="17"/>
  <c r="T47" i="17" s="1"/>
  <c r="U47" i="17" s="1"/>
  <c r="M38" i="17"/>
  <c r="N38" i="17"/>
  <c r="O38" i="17"/>
  <c r="O40" i="17" s="1"/>
  <c r="P38" i="17"/>
  <c r="P40" i="17" s="1"/>
  <c r="Q38" i="17"/>
  <c r="Q40" i="17" s="1"/>
  <c r="R38" i="17"/>
  <c r="R40" i="17" s="1"/>
  <c r="S38" i="17"/>
  <c r="T38" i="17"/>
  <c r="U38" i="17"/>
  <c r="V38" i="17"/>
  <c r="W38" i="17"/>
  <c r="X38" i="17"/>
  <c r="Y38" i="17"/>
  <c r="Z38" i="17"/>
  <c r="AA38" i="17"/>
  <c r="AA40" i="17" s="1"/>
  <c r="AB38" i="17"/>
  <c r="AC38" i="17"/>
  <c r="AJ38" i="17"/>
  <c r="AJ40" i="17" s="1"/>
  <c r="AK38" i="17"/>
  <c r="AL38" i="17"/>
  <c r="AM38" i="17"/>
  <c r="AN38" i="17"/>
  <c r="AO38" i="17"/>
  <c r="AP38" i="17"/>
  <c r="AQ38" i="17"/>
  <c r="AR38" i="17"/>
  <c r="AS38" i="17"/>
  <c r="AD39" i="17"/>
  <c r="H49" i="17" s="1"/>
  <c r="AE39" i="17"/>
  <c r="E49" i="17" s="1"/>
  <c r="AF39" i="17"/>
  <c r="B48" i="17" s="1"/>
  <c r="AG39" i="17"/>
  <c r="H48" i="17" s="1"/>
  <c r="AH39" i="17"/>
  <c r="E48" i="17" s="1"/>
  <c r="AK39" i="17"/>
  <c r="AL39" i="17"/>
  <c r="AM39" i="17"/>
  <c r="AN39" i="17"/>
  <c r="AO39" i="17"/>
  <c r="AP39" i="17"/>
  <c r="AQ39" i="17"/>
  <c r="AR39" i="17"/>
  <c r="AS39" i="17"/>
  <c r="B45" i="17"/>
  <c r="B46" i="17"/>
  <c r="E46" i="17"/>
  <c r="H46" i="17"/>
  <c r="B47" i="17"/>
  <c r="E47" i="17"/>
  <c r="H47" i="17"/>
  <c r="C49" i="16" l="1"/>
  <c r="H51" i="16"/>
  <c r="H52" i="16" s="1"/>
  <c r="E51" i="16"/>
  <c r="E52" i="16" s="1"/>
  <c r="F51" i="16"/>
  <c r="B45" i="24"/>
  <c r="E45" i="24"/>
  <c r="E46" i="24"/>
  <c r="H45" i="24"/>
  <c r="AL40" i="17"/>
  <c r="AP40" i="17"/>
  <c r="AM40" i="17"/>
  <c r="AQ40" i="17"/>
  <c r="T54" i="17"/>
  <c r="U54" i="17" s="1"/>
  <c r="AN40" i="17"/>
  <c r="AR40" i="17"/>
  <c r="AI39" i="17"/>
  <c r="H45" i="17" s="1"/>
  <c r="T44" i="17"/>
  <c r="U44" i="17" s="1"/>
  <c r="T51" i="17"/>
  <c r="U51" i="17" s="1"/>
  <c r="AS40" i="17"/>
  <c r="AO40" i="17"/>
  <c r="AK40" i="17"/>
  <c r="T50" i="17"/>
  <c r="U50" i="17" s="1"/>
  <c r="T45" i="17"/>
  <c r="U45" i="17" s="1"/>
  <c r="B49" i="17"/>
  <c r="T53" i="17"/>
  <c r="U53" i="17" s="1"/>
  <c r="T48" i="17"/>
  <c r="U48" i="17" s="1"/>
  <c r="C39" i="26"/>
  <c r="H44" i="17" l="1"/>
  <c r="E45" i="17"/>
  <c r="E44" i="17"/>
  <c r="B44" i="17"/>
  <c r="AS39" i="18"/>
  <c r="AR39" i="18"/>
  <c r="AQ39" i="18"/>
  <c r="AP39" i="18"/>
  <c r="AO39" i="18"/>
  <c r="AN39" i="18"/>
  <c r="AM39" i="18"/>
  <c r="AL39" i="18"/>
  <c r="AK39" i="18"/>
  <c r="AJ39" i="18"/>
  <c r="AH40" i="18"/>
  <c r="AG40" i="18"/>
  <c r="AF40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A42" i="21" l="1"/>
  <c r="A42" i="20" s="1"/>
  <c r="A42" i="19" s="1"/>
  <c r="A42" i="18" s="1"/>
  <c r="A41" i="17" l="1"/>
  <c r="AE40" i="26"/>
  <c r="AF15" i="27" s="1"/>
  <c r="AD40" i="26"/>
  <c r="AE15" i="27" s="1"/>
  <c r="AE40" i="25"/>
  <c r="AF14" i="27" s="1"/>
  <c r="AD40" i="25"/>
  <c r="AE14" i="27" s="1"/>
  <c r="AE40" i="6"/>
  <c r="E50" i="6" s="1"/>
  <c r="AD40" i="6"/>
  <c r="H50" i="6" s="1"/>
  <c r="AE40" i="23"/>
  <c r="AF11" i="27" s="1"/>
  <c r="AD40" i="23"/>
  <c r="AE11" i="27" s="1"/>
  <c r="AF10" i="27"/>
  <c r="AE10" i="27"/>
  <c r="AF9" i="27"/>
  <c r="AE9" i="27"/>
  <c r="AE40" i="18"/>
  <c r="AF8" i="27" s="1"/>
  <c r="AD40" i="18"/>
  <c r="AE8" i="27" s="1"/>
  <c r="AE40" i="19"/>
  <c r="AF7" i="27" s="1"/>
  <c r="AD40" i="19"/>
  <c r="AE7" i="27" s="1"/>
  <c r="AE40" i="20"/>
  <c r="AF6" i="27" s="1"/>
  <c r="AD40" i="20"/>
  <c r="AE6" i="27" s="1"/>
  <c r="AE40" i="22"/>
  <c r="AF4" i="27" s="1"/>
  <c r="AD40" i="22"/>
  <c r="AE4" i="27" s="1"/>
  <c r="AE40" i="21"/>
  <c r="AF5" i="27" s="1"/>
  <c r="AD40" i="21"/>
  <c r="AE5" i="27" s="1"/>
  <c r="B50" i="6" l="1"/>
  <c r="AE13" i="27"/>
  <c r="AF13" i="27"/>
  <c r="A42" i="24"/>
  <c r="A42" i="23" s="1"/>
  <c r="AG10" i="27"/>
  <c r="AG11" i="27"/>
  <c r="AG15" i="27"/>
  <c r="AG9" i="27"/>
  <c r="AG8" i="27"/>
  <c r="AG7" i="27"/>
  <c r="AG4" i="27"/>
  <c r="AG5" i="27"/>
  <c r="AG6" i="27"/>
  <c r="AG14" i="27"/>
  <c r="H50" i="26"/>
  <c r="E50" i="26"/>
  <c r="H50" i="25"/>
  <c r="E50" i="25"/>
  <c r="H50" i="23"/>
  <c r="E50" i="23"/>
  <c r="H50" i="18"/>
  <c r="E50" i="18"/>
  <c r="H50" i="19"/>
  <c r="E50" i="19"/>
  <c r="AG13" i="27" l="1"/>
  <c r="A42" i="16"/>
  <c r="A42" i="6" s="1"/>
  <c r="B50" i="19"/>
  <c r="B50" i="26"/>
  <c r="B50" i="25"/>
  <c r="B50" i="23"/>
  <c r="B50" i="18"/>
  <c r="H50" i="20"/>
  <c r="E50" i="20"/>
  <c r="A42" i="25" l="1"/>
  <c r="A42" i="26" s="1"/>
  <c r="B50" i="20"/>
  <c r="H50" i="21"/>
  <c r="E50" i="21"/>
  <c r="B50" i="21" l="1"/>
  <c r="H50" i="22"/>
  <c r="E50" i="22"/>
  <c r="B50" i="22" l="1"/>
  <c r="C39" i="21" l="1"/>
  <c r="X40" i="24" l="1"/>
  <c r="X41" i="24" s="1"/>
  <c r="W40" i="24"/>
  <c r="W41" i="24" s="1"/>
  <c r="X39" i="17"/>
  <c r="X40" i="17" s="1"/>
  <c r="W39" i="17"/>
  <c r="W40" i="17" s="1"/>
  <c r="T39" i="17" l="1"/>
  <c r="T40" i="17" s="1"/>
  <c r="J39" i="17"/>
  <c r="J40" i="17" s="1"/>
  <c r="C39" i="17"/>
  <c r="C40" i="17" s="1"/>
  <c r="S39" i="17"/>
  <c r="S40" i="17" s="1"/>
  <c r="J40" i="19"/>
  <c r="T40" i="19"/>
  <c r="J40" i="18"/>
  <c r="T40" i="18"/>
  <c r="C40" i="19"/>
  <c r="S40" i="19"/>
  <c r="C40" i="18"/>
  <c r="S40" i="18"/>
  <c r="AH19" i="28"/>
  <c r="AF19" i="28"/>
  <c r="AI10" i="28"/>
  <c r="AG10" i="28"/>
  <c r="H48" i="26" l="1"/>
  <c r="E48" i="26"/>
  <c r="B48" i="26"/>
  <c r="H47" i="26"/>
  <c r="E47" i="26"/>
  <c r="B47" i="26"/>
  <c r="B46" i="26"/>
  <c r="AS40" i="26"/>
  <c r="AR40" i="26"/>
  <c r="AQ40" i="26"/>
  <c r="AP40" i="26"/>
  <c r="AO40" i="26"/>
  <c r="AN40" i="26"/>
  <c r="AM40" i="26"/>
  <c r="AL40" i="26"/>
  <c r="AK40" i="26"/>
  <c r="L39" i="26"/>
  <c r="B39" i="26"/>
  <c r="H48" i="25"/>
  <c r="E48" i="25"/>
  <c r="B48" i="25"/>
  <c r="H47" i="25"/>
  <c r="E47" i="25"/>
  <c r="B47" i="25"/>
  <c r="B46" i="25"/>
  <c r="AS40" i="25"/>
  <c r="AR40" i="25"/>
  <c r="AQ40" i="25"/>
  <c r="AP40" i="25"/>
  <c r="AO40" i="25"/>
  <c r="AN40" i="25"/>
  <c r="AM40" i="25"/>
  <c r="AL40" i="25"/>
  <c r="AK40" i="25"/>
  <c r="AH40" i="25"/>
  <c r="E49" i="25" s="1"/>
  <c r="AG40" i="25"/>
  <c r="AF40" i="25"/>
  <c r="B49" i="25" s="1"/>
  <c r="AS39" i="25"/>
  <c r="AR39" i="25"/>
  <c r="AQ39" i="25"/>
  <c r="AP39" i="25"/>
  <c r="AO39" i="25"/>
  <c r="AN39" i="25"/>
  <c r="AM39" i="25"/>
  <c r="AL39" i="25"/>
  <c r="AK39" i="25"/>
  <c r="AJ39" i="25"/>
  <c r="AJ41" i="25" s="1"/>
  <c r="AC39" i="25"/>
  <c r="AB39" i="25"/>
  <c r="AA39" i="25"/>
  <c r="AA41" i="25" s="1"/>
  <c r="Z39" i="25"/>
  <c r="Y39" i="25"/>
  <c r="X39" i="25"/>
  <c r="W39" i="25"/>
  <c r="V39" i="25"/>
  <c r="U39" i="25"/>
  <c r="T39" i="25"/>
  <c r="S39" i="25"/>
  <c r="R39" i="25"/>
  <c r="R41" i="25" s="1"/>
  <c r="Q39" i="25"/>
  <c r="Q41" i="25" s="1"/>
  <c r="P39" i="25"/>
  <c r="P41" i="25" s="1"/>
  <c r="O39" i="25"/>
  <c r="O41" i="25" s="1"/>
  <c r="N39" i="25"/>
  <c r="M39" i="25"/>
  <c r="L39" i="25"/>
  <c r="K39" i="25"/>
  <c r="J39" i="25"/>
  <c r="I39" i="25"/>
  <c r="H39" i="25"/>
  <c r="T53" i="25" s="1"/>
  <c r="U53" i="25" s="1"/>
  <c r="G39" i="25"/>
  <c r="T47" i="25" s="1"/>
  <c r="U47" i="25" s="1"/>
  <c r="F39" i="25"/>
  <c r="E39" i="25"/>
  <c r="D39" i="25"/>
  <c r="C39" i="25"/>
  <c r="B39" i="25"/>
  <c r="AS40" i="6"/>
  <c r="AR40" i="6"/>
  <c r="AQ40" i="6"/>
  <c r="AP40" i="6"/>
  <c r="AO40" i="6"/>
  <c r="AN40" i="6"/>
  <c r="AM40" i="6"/>
  <c r="AL40" i="6"/>
  <c r="AK40" i="6"/>
  <c r="AH40" i="6"/>
  <c r="E49" i="6" s="1"/>
  <c r="AG40" i="6"/>
  <c r="H49" i="6" s="1"/>
  <c r="AF40" i="6"/>
  <c r="B49" i="6" s="1"/>
  <c r="AS39" i="6"/>
  <c r="AR39" i="6"/>
  <c r="AQ39" i="6"/>
  <c r="AP39" i="6"/>
  <c r="AO39" i="6"/>
  <c r="AN39" i="6"/>
  <c r="AM39" i="6"/>
  <c r="AL39" i="6"/>
  <c r="AK39" i="6"/>
  <c r="AJ39" i="6"/>
  <c r="AJ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T53" i="6"/>
  <c r="U53" i="6" s="1"/>
  <c r="T47" i="6"/>
  <c r="U47" i="6" s="1"/>
  <c r="AH40" i="23"/>
  <c r="E49" i="23" s="1"/>
  <c r="AG40" i="23"/>
  <c r="AF40" i="23"/>
  <c r="B49" i="23" s="1"/>
  <c r="H48" i="23"/>
  <c r="E48" i="23"/>
  <c r="B48" i="23"/>
  <c r="H47" i="23"/>
  <c r="E47" i="23"/>
  <c r="B47" i="23"/>
  <c r="B46" i="23"/>
  <c r="AS40" i="23"/>
  <c r="AR40" i="23"/>
  <c r="AQ40" i="23"/>
  <c r="AP40" i="23"/>
  <c r="AO40" i="23"/>
  <c r="AN40" i="23"/>
  <c r="AM40" i="23"/>
  <c r="AL40" i="23"/>
  <c r="AK40" i="23"/>
  <c r="AS39" i="23"/>
  <c r="AR39" i="23"/>
  <c r="AQ39" i="23"/>
  <c r="AP39" i="23"/>
  <c r="AO39" i="23"/>
  <c r="AN39" i="23"/>
  <c r="AM39" i="23"/>
  <c r="AL39" i="23"/>
  <c r="AK39" i="23"/>
  <c r="AJ39" i="23"/>
  <c r="AJ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3" i="23" s="1"/>
  <c r="U53" i="23" s="1"/>
  <c r="G39" i="23"/>
  <c r="T47" i="23" s="1"/>
  <c r="U47" i="23" s="1"/>
  <c r="F39" i="23"/>
  <c r="E39" i="23"/>
  <c r="D39" i="23"/>
  <c r="C39" i="23"/>
  <c r="B39" i="23"/>
  <c r="H48" i="18"/>
  <c r="E48" i="18"/>
  <c r="B48" i="18"/>
  <c r="H47" i="18"/>
  <c r="E47" i="18"/>
  <c r="B47" i="18"/>
  <c r="B46" i="18"/>
  <c r="AS40" i="18"/>
  <c r="AR40" i="18"/>
  <c r="AQ40" i="18"/>
  <c r="AP40" i="18"/>
  <c r="AO40" i="18"/>
  <c r="AN40" i="18"/>
  <c r="AM40" i="18"/>
  <c r="AL40" i="18"/>
  <c r="AK40" i="18"/>
  <c r="E49" i="18"/>
  <c r="B49" i="18"/>
  <c r="AJ41" i="18"/>
  <c r="AA41" i="18"/>
  <c r="T41" i="18"/>
  <c r="S41" i="18"/>
  <c r="R41" i="18"/>
  <c r="Q41" i="18"/>
  <c r="P41" i="18"/>
  <c r="O41" i="18"/>
  <c r="J41" i="18"/>
  <c r="T53" i="18"/>
  <c r="U53" i="18" s="1"/>
  <c r="T47" i="18"/>
  <c r="U47" i="18" s="1"/>
  <c r="B39" i="18"/>
  <c r="H48" i="19"/>
  <c r="E48" i="19"/>
  <c r="B48" i="19"/>
  <c r="H47" i="19"/>
  <c r="E47" i="19"/>
  <c r="B47" i="19"/>
  <c r="B46" i="19"/>
  <c r="AS40" i="19"/>
  <c r="AR40" i="19"/>
  <c r="AQ40" i="19"/>
  <c r="AP40" i="19"/>
  <c r="AO40" i="19"/>
  <c r="AN40" i="19"/>
  <c r="AM40" i="19"/>
  <c r="AL40" i="19"/>
  <c r="AK40" i="19"/>
  <c r="AH40" i="19"/>
  <c r="E49" i="19" s="1"/>
  <c r="AG40" i="19"/>
  <c r="AF40" i="19"/>
  <c r="B49" i="19" s="1"/>
  <c r="AS39" i="19"/>
  <c r="AR39" i="19"/>
  <c r="AQ39" i="19"/>
  <c r="AP39" i="19"/>
  <c r="AO39" i="19"/>
  <c r="AN39" i="19"/>
  <c r="AM39" i="19"/>
  <c r="AL39" i="19"/>
  <c r="AK39" i="19"/>
  <c r="AJ39" i="19"/>
  <c r="AJ41" i="19" s="1"/>
  <c r="AC39" i="19"/>
  <c r="AB39" i="19"/>
  <c r="AA39" i="19"/>
  <c r="AA41" i="19" s="1"/>
  <c r="Z39" i="19"/>
  <c r="Y39" i="19"/>
  <c r="X39" i="19"/>
  <c r="W39" i="19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3" i="19" s="1"/>
  <c r="U53" i="19" s="1"/>
  <c r="G39" i="19"/>
  <c r="T47" i="19" s="1"/>
  <c r="U47" i="19" s="1"/>
  <c r="F39" i="19"/>
  <c r="E39" i="19"/>
  <c r="D39" i="19"/>
  <c r="C39" i="19"/>
  <c r="B39" i="19"/>
  <c r="H48" i="20"/>
  <c r="E48" i="20"/>
  <c r="B48" i="20"/>
  <c r="H47" i="20"/>
  <c r="E47" i="20"/>
  <c r="B47" i="20"/>
  <c r="B46" i="20"/>
  <c r="AS40" i="20"/>
  <c r="AR40" i="20"/>
  <c r="AQ40" i="20"/>
  <c r="AP40" i="20"/>
  <c r="AO40" i="20"/>
  <c r="AN40" i="20"/>
  <c r="AM40" i="20"/>
  <c r="AL40" i="20"/>
  <c r="AK40" i="20"/>
  <c r="AH40" i="20"/>
  <c r="E49" i="20" s="1"/>
  <c r="AG40" i="20"/>
  <c r="AF40" i="20"/>
  <c r="B49" i="20" s="1"/>
  <c r="AS39" i="20"/>
  <c r="AR39" i="20"/>
  <c r="AQ39" i="20"/>
  <c r="AP39" i="20"/>
  <c r="AO39" i="20"/>
  <c r="AN39" i="20"/>
  <c r="AM39" i="20"/>
  <c r="AL39" i="20"/>
  <c r="AK39" i="20"/>
  <c r="AJ39" i="20"/>
  <c r="AJ41" i="20" s="1"/>
  <c r="AC39" i="20"/>
  <c r="AB39" i="20"/>
  <c r="AA39" i="20"/>
  <c r="AA41" i="20" s="1"/>
  <c r="Z39" i="20"/>
  <c r="Y39" i="20"/>
  <c r="X39" i="20"/>
  <c r="W39" i="20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3" i="20" s="1"/>
  <c r="U53" i="20" s="1"/>
  <c r="G39" i="20"/>
  <c r="T47" i="20" s="1"/>
  <c r="U47" i="20" s="1"/>
  <c r="F39" i="20"/>
  <c r="E39" i="20"/>
  <c r="D39" i="20"/>
  <c r="C39" i="20"/>
  <c r="B39" i="20"/>
  <c r="AI40" i="25" l="1"/>
  <c r="E46" i="25" s="1"/>
  <c r="AI40" i="6"/>
  <c r="H49" i="19"/>
  <c r="AI40" i="19"/>
  <c r="H49" i="23"/>
  <c r="AI40" i="23"/>
  <c r="H46" i="23" s="1"/>
  <c r="H49" i="18"/>
  <c r="AI40" i="18"/>
  <c r="H49" i="20"/>
  <c r="AI40" i="20"/>
  <c r="T49" i="18"/>
  <c r="U49" i="18" s="1"/>
  <c r="T54" i="19"/>
  <c r="U54" i="19" s="1"/>
  <c r="T54" i="23"/>
  <c r="U54" i="23" s="1"/>
  <c r="T55" i="19"/>
  <c r="U55" i="19" s="1"/>
  <c r="T45" i="20"/>
  <c r="U45" i="20" s="1"/>
  <c r="T54" i="20"/>
  <c r="U54" i="20" s="1"/>
  <c r="T54" i="6"/>
  <c r="U54" i="6" s="1"/>
  <c r="T49" i="25"/>
  <c r="U49" i="25" s="1"/>
  <c r="T52" i="19"/>
  <c r="U52" i="19" s="1"/>
  <c r="T45" i="19"/>
  <c r="U45" i="19" s="1"/>
  <c r="T55" i="18"/>
  <c r="U55" i="18" s="1"/>
  <c r="T45" i="23"/>
  <c r="U45" i="23" s="1"/>
  <c r="T55" i="20"/>
  <c r="U55" i="20" s="1"/>
  <c r="T49" i="19"/>
  <c r="U49" i="19" s="1"/>
  <c r="T51" i="19"/>
  <c r="U51" i="19" s="1"/>
  <c r="T54" i="18"/>
  <c r="U54" i="18" s="1"/>
  <c r="T55" i="23"/>
  <c r="U55" i="23" s="1"/>
  <c r="T55" i="6"/>
  <c r="U55" i="6" s="1"/>
  <c r="T52" i="20"/>
  <c r="U52" i="20" s="1"/>
  <c r="T51" i="18"/>
  <c r="U51" i="18" s="1"/>
  <c r="T52" i="23"/>
  <c r="U52" i="23" s="1"/>
  <c r="T52" i="6"/>
  <c r="U52" i="6" s="1"/>
  <c r="T49" i="20"/>
  <c r="U49" i="20" s="1"/>
  <c r="T51" i="20"/>
  <c r="U51" i="20" s="1"/>
  <c r="T52" i="18"/>
  <c r="U52" i="18" s="1"/>
  <c r="T45" i="18"/>
  <c r="U45" i="18" s="1"/>
  <c r="T49" i="23"/>
  <c r="U49" i="23" s="1"/>
  <c r="T51" i="23"/>
  <c r="U51" i="23" s="1"/>
  <c r="T49" i="6"/>
  <c r="U49" i="6" s="1"/>
  <c r="T46" i="19"/>
  <c r="U46" i="19" s="1"/>
  <c r="T46" i="20"/>
  <c r="U46" i="20" s="1"/>
  <c r="T51" i="25"/>
  <c r="U51" i="25" s="1"/>
  <c r="T45" i="25"/>
  <c r="U45" i="25" s="1"/>
  <c r="T52" i="25"/>
  <c r="U52" i="25" s="1"/>
  <c r="T54" i="25"/>
  <c r="U54" i="25" s="1"/>
  <c r="T55" i="25"/>
  <c r="U55" i="25" s="1"/>
  <c r="T46" i="25"/>
  <c r="U46" i="25" s="1"/>
  <c r="AL41" i="25"/>
  <c r="AN41" i="25"/>
  <c r="AP41" i="25"/>
  <c r="AR41" i="25"/>
  <c r="AK41" i="25"/>
  <c r="AM41" i="25"/>
  <c r="AO41" i="25"/>
  <c r="AQ41" i="25"/>
  <c r="AS41" i="25"/>
  <c r="T51" i="6"/>
  <c r="U51" i="6" s="1"/>
  <c r="T45" i="6"/>
  <c r="U45" i="6" s="1"/>
  <c r="AL41" i="6"/>
  <c r="AN41" i="6"/>
  <c r="AP41" i="6"/>
  <c r="AR41" i="6"/>
  <c r="AK41" i="6"/>
  <c r="AM41" i="6"/>
  <c r="AO41" i="6"/>
  <c r="AQ41" i="6"/>
  <c r="AS41" i="6"/>
  <c r="AL41" i="23"/>
  <c r="AN41" i="23"/>
  <c r="AP41" i="23"/>
  <c r="AR41" i="23"/>
  <c r="AK41" i="23"/>
  <c r="AM41" i="23"/>
  <c r="AO41" i="23"/>
  <c r="AQ41" i="23"/>
  <c r="AS41" i="23"/>
  <c r="AK41" i="19"/>
  <c r="AM41" i="19"/>
  <c r="AO41" i="19"/>
  <c r="AQ41" i="19"/>
  <c r="AS41" i="19"/>
  <c r="AL41" i="19"/>
  <c r="AN41" i="19"/>
  <c r="AP41" i="19"/>
  <c r="AR41" i="19"/>
  <c r="AL41" i="20"/>
  <c r="AN41" i="20"/>
  <c r="AP41" i="20"/>
  <c r="AR41" i="20"/>
  <c r="AK41" i="20"/>
  <c r="AM41" i="20"/>
  <c r="AO41" i="20"/>
  <c r="AQ41" i="20"/>
  <c r="AS41" i="20"/>
  <c r="T48" i="26"/>
  <c r="U48" i="26" s="1"/>
  <c r="T48" i="25"/>
  <c r="U48" i="25" s="1"/>
  <c r="H49" i="25"/>
  <c r="T46" i="6"/>
  <c r="U46" i="6" s="1"/>
  <c r="T48" i="6"/>
  <c r="U48" i="6" s="1"/>
  <c r="T46" i="23"/>
  <c r="U46" i="23" s="1"/>
  <c r="T48" i="23"/>
  <c r="U48" i="23" s="1"/>
  <c r="AK41" i="18"/>
  <c r="AM41" i="18"/>
  <c r="AO41" i="18"/>
  <c r="AQ41" i="18"/>
  <c r="AS41" i="18"/>
  <c r="T46" i="18"/>
  <c r="U46" i="18" s="1"/>
  <c r="AL41" i="18"/>
  <c r="AN41" i="18"/>
  <c r="AP41" i="18"/>
  <c r="AR41" i="18"/>
  <c r="C41" i="18"/>
  <c r="T48" i="18"/>
  <c r="U48" i="18" s="1"/>
  <c r="C41" i="19"/>
  <c r="T48" i="19"/>
  <c r="U48" i="19" s="1"/>
  <c r="T48" i="20"/>
  <c r="U48" i="20" s="1"/>
  <c r="B45" i="6" l="1"/>
  <c r="E46" i="6"/>
  <c r="H46" i="6"/>
  <c r="H45" i="6"/>
  <c r="E45" i="6"/>
  <c r="E46" i="19"/>
  <c r="H46" i="19"/>
  <c r="H46" i="20"/>
  <c r="E46" i="20"/>
  <c r="E45" i="23"/>
  <c r="H45" i="19"/>
  <c r="E46" i="23"/>
  <c r="E45" i="20"/>
  <c r="E45" i="19"/>
  <c r="H45" i="20"/>
  <c r="B45" i="19"/>
  <c r="B45" i="23"/>
  <c r="B45" i="20"/>
  <c r="E46" i="18"/>
  <c r="H46" i="18"/>
  <c r="E45" i="25"/>
  <c r="B45" i="25"/>
  <c r="H45" i="25"/>
  <c r="H46" i="25"/>
  <c r="H45" i="23"/>
  <c r="E45" i="18"/>
  <c r="B45" i="18"/>
  <c r="H45" i="18"/>
  <c r="H48" i="21" l="1"/>
  <c r="E48" i="21"/>
  <c r="B48" i="21"/>
  <c r="H47" i="21"/>
  <c r="E47" i="21"/>
  <c r="B47" i="21"/>
  <c r="B46" i="21"/>
  <c r="AS40" i="21"/>
  <c r="AR40" i="21"/>
  <c r="AQ40" i="21"/>
  <c r="AP40" i="21"/>
  <c r="AO40" i="21"/>
  <c r="AN40" i="21"/>
  <c r="AM40" i="21"/>
  <c r="AL40" i="21"/>
  <c r="AK40" i="21"/>
  <c r="AH40" i="21"/>
  <c r="E49" i="21" s="1"/>
  <c r="AG40" i="21"/>
  <c r="AF40" i="21"/>
  <c r="B49" i="21" s="1"/>
  <c r="AS39" i="21"/>
  <c r="AR39" i="21"/>
  <c r="AQ39" i="21"/>
  <c r="AP39" i="21"/>
  <c r="AO39" i="21"/>
  <c r="AN39" i="21"/>
  <c r="AM39" i="21"/>
  <c r="AL39" i="21"/>
  <c r="AK39" i="21"/>
  <c r="AJ39" i="21"/>
  <c r="AJ41" i="21" s="1"/>
  <c r="AC39" i="21"/>
  <c r="AB39" i="21"/>
  <c r="AA39" i="21"/>
  <c r="AA41" i="21" s="1"/>
  <c r="Z39" i="21"/>
  <c r="Y39" i="21"/>
  <c r="X39" i="21"/>
  <c r="W39" i="21"/>
  <c r="V39" i="21"/>
  <c r="U39" i="21"/>
  <c r="T39" i="21"/>
  <c r="S39" i="21"/>
  <c r="R39" i="21"/>
  <c r="R41" i="21" s="1"/>
  <c r="Q39" i="21"/>
  <c r="Q41" i="21" s="1"/>
  <c r="P39" i="21"/>
  <c r="P41" i="21" s="1"/>
  <c r="O39" i="21"/>
  <c r="O41" i="21" s="1"/>
  <c r="N39" i="21"/>
  <c r="M39" i="21"/>
  <c r="L39" i="21"/>
  <c r="K39" i="21"/>
  <c r="J39" i="21"/>
  <c r="I39" i="21"/>
  <c r="H39" i="21"/>
  <c r="T53" i="21" s="1"/>
  <c r="U53" i="21" s="1"/>
  <c r="G39" i="21"/>
  <c r="T47" i="21" s="1"/>
  <c r="U47" i="21" s="1"/>
  <c r="F39" i="21"/>
  <c r="E39" i="21"/>
  <c r="D39" i="21"/>
  <c r="B39" i="21"/>
  <c r="AI40" i="21" l="1"/>
  <c r="H46" i="21" s="1"/>
  <c r="T49" i="21"/>
  <c r="U49" i="21" s="1"/>
  <c r="T52" i="21"/>
  <c r="U52" i="21" s="1"/>
  <c r="T51" i="21"/>
  <c r="U51" i="21" s="1"/>
  <c r="T55" i="21"/>
  <c r="U55" i="21" s="1"/>
  <c r="T54" i="21"/>
  <c r="U54" i="21" s="1"/>
  <c r="AL41" i="21"/>
  <c r="AN41" i="21"/>
  <c r="AP41" i="21"/>
  <c r="AR41" i="21"/>
  <c r="AK41" i="21"/>
  <c r="AM41" i="21"/>
  <c r="AO41" i="21"/>
  <c r="AQ41" i="21"/>
  <c r="AS41" i="21"/>
  <c r="T46" i="21"/>
  <c r="U46" i="21" s="1"/>
  <c r="T45" i="21"/>
  <c r="U45" i="21" s="1"/>
  <c r="T48" i="21"/>
  <c r="U48" i="21" s="1"/>
  <c r="H49" i="21"/>
  <c r="E46" i="21" l="1"/>
  <c r="E45" i="21"/>
  <c r="B45" i="21"/>
  <c r="H45" i="21"/>
  <c r="H48" i="22" l="1"/>
  <c r="E48" i="22"/>
  <c r="B48" i="22"/>
  <c r="H47" i="22"/>
  <c r="E47" i="22"/>
  <c r="B47" i="22"/>
  <c r="B46" i="22"/>
  <c r="AS40" i="22"/>
  <c r="AR40" i="22"/>
  <c r="AQ40" i="22"/>
  <c r="AP40" i="22"/>
  <c r="AO40" i="22"/>
  <c r="AN40" i="22"/>
  <c r="AM40" i="22"/>
  <c r="AL40" i="22"/>
  <c r="AK40" i="22"/>
  <c r="AH40" i="22"/>
  <c r="E49" i="22" s="1"/>
  <c r="AG40" i="22"/>
  <c r="AF40" i="22"/>
  <c r="B49" i="22" s="1"/>
  <c r="AS39" i="22"/>
  <c r="AR39" i="22"/>
  <c r="AQ39" i="22"/>
  <c r="AP39" i="22"/>
  <c r="AO39" i="22"/>
  <c r="AN39" i="22"/>
  <c r="AM39" i="22"/>
  <c r="AL39" i="22"/>
  <c r="AK39" i="22"/>
  <c r="AJ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3" i="22" s="1"/>
  <c r="U53" i="22" s="1"/>
  <c r="G39" i="22"/>
  <c r="T47" i="22" s="1"/>
  <c r="U47" i="22" s="1"/>
  <c r="F39" i="22"/>
  <c r="E39" i="22"/>
  <c r="D39" i="22"/>
  <c r="C39" i="22"/>
  <c r="B39" i="22"/>
  <c r="AI40" i="22" l="1"/>
  <c r="H46" i="22" s="1"/>
  <c r="T55" i="22"/>
  <c r="U55" i="22" s="1"/>
  <c r="T49" i="22"/>
  <c r="U49" i="22" s="1"/>
  <c r="T54" i="22"/>
  <c r="U54" i="22" s="1"/>
  <c r="AJ41" i="22"/>
  <c r="T52" i="22"/>
  <c r="U52" i="22" s="1"/>
  <c r="T51" i="22"/>
  <c r="U51" i="22" s="1"/>
  <c r="T45" i="22"/>
  <c r="U45" i="22" s="1"/>
  <c r="AL41" i="22"/>
  <c r="AN41" i="22"/>
  <c r="AP41" i="22"/>
  <c r="AR41" i="22"/>
  <c r="AK41" i="22"/>
  <c r="AM41" i="22"/>
  <c r="AO41" i="22"/>
  <c r="AQ41" i="22"/>
  <c r="AS41" i="22"/>
  <c r="T46" i="22"/>
  <c r="U46" i="22" s="1"/>
  <c r="T48" i="22"/>
  <c r="U48" i="22" s="1"/>
  <c r="H49" i="22"/>
  <c r="E46" i="22" l="1"/>
  <c r="B45" i="22"/>
  <c r="H45" i="22"/>
  <c r="E45" i="22"/>
  <c r="E40" i="24" l="1"/>
  <c r="E41" i="24" s="1"/>
  <c r="K40" i="24"/>
  <c r="K41" i="24" s="1"/>
  <c r="L24" i="27" s="1"/>
  <c r="E39" i="17"/>
  <c r="E40" i="17" s="1"/>
  <c r="F23" i="27" s="1"/>
  <c r="K39" i="17"/>
  <c r="K40" i="17" s="1"/>
  <c r="L23" i="27" s="1"/>
  <c r="K40" i="20"/>
  <c r="K41" i="20" s="1"/>
  <c r="L20" i="27" s="1"/>
  <c r="K40" i="21"/>
  <c r="K41" i="21" s="1"/>
  <c r="L19" i="27" s="1"/>
  <c r="K40" i="22"/>
  <c r="K41" i="22" s="1"/>
  <c r="L18" i="27" s="1"/>
  <c r="E40" i="20"/>
  <c r="E41" i="20" s="1"/>
  <c r="F20" i="27" s="1"/>
  <c r="E40" i="21"/>
  <c r="E41" i="21" s="1"/>
  <c r="F19" i="27" s="1"/>
  <c r="E40" i="22"/>
  <c r="E41" i="22" s="1"/>
  <c r="F18" i="27" s="1"/>
  <c r="K40" i="23"/>
  <c r="K41" i="23" s="1"/>
  <c r="L25" i="27" s="1"/>
  <c r="E40" i="23"/>
  <c r="E41" i="23" s="1"/>
  <c r="F25" i="27" s="1"/>
  <c r="F24" i="27"/>
  <c r="K40" i="26"/>
  <c r="K40" i="25"/>
  <c r="K41" i="25" s="1"/>
  <c r="E40" i="26"/>
  <c r="E40" i="25"/>
  <c r="E41" i="25" s="1"/>
  <c r="K40" i="18"/>
  <c r="K41" i="18" s="1"/>
  <c r="L22" i="27" s="1"/>
  <c r="K40" i="19"/>
  <c r="K41" i="19" s="1"/>
  <c r="L21" i="27" s="1"/>
  <c r="E40" i="18"/>
  <c r="E41" i="18" s="1"/>
  <c r="F22" i="27" s="1"/>
  <c r="E40" i="19"/>
  <c r="E41" i="19" s="1"/>
  <c r="F21" i="27" s="1"/>
  <c r="H40" i="24"/>
  <c r="H41" i="24" s="1"/>
  <c r="H39" i="17"/>
  <c r="H40" i="17" s="1"/>
  <c r="L40" i="24"/>
  <c r="L41" i="24" s="1"/>
  <c r="L39" i="17"/>
  <c r="L40" i="17" s="1"/>
  <c r="G40" i="24"/>
  <c r="G41" i="24" s="1"/>
  <c r="G39" i="17"/>
  <c r="G40" i="17" s="1"/>
  <c r="AI19" i="28"/>
  <c r="AG19" i="28"/>
  <c r="T18" i="28"/>
  <c r="AB18" i="28" s="1"/>
  <c r="P18" i="28"/>
  <c r="A12" i="28"/>
  <c r="A20" i="28" s="1"/>
  <c r="AE7" i="28"/>
  <c r="AD7" i="28"/>
  <c r="AD9" i="28" s="1"/>
  <c r="P25" i="27"/>
  <c r="Q25" i="27"/>
  <c r="R25" i="27"/>
  <c r="S25" i="27"/>
  <c r="AB25" i="27"/>
  <c r="P24" i="27"/>
  <c r="Q24" i="27"/>
  <c r="R24" i="27"/>
  <c r="S24" i="27"/>
  <c r="AB24" i="27"/>
  <c r="AH10" i="27"/>
  <c r="AI10" i="27"/>
  <c r="AJ10" i="27"/>
  <c r="AK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K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H9" i="27"/>
  <c r="AI9" i="27"/>
  <c r="AJ9" i="27"/>
  <c r="AK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H8" i="27"/>
  <c r="AI8" i="27"/>
  <c r="AJ8" i="27"/>
  <c r="AK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K21" i="27"/>
  <c r="P21" i="27"/>
  <c r="Q21" i="27"/>
  <c r="R21" i="27"/>
  <c r="S21" i="27"/>
  <c r="T21" i="27"/>
  <c r="U21" i="27"/>
  <c r="AB21" i="27"/>
  <c r="AH7" i="27"/>
  <c r="AI7" i="27"/>
  <c r="AJ7" i="27"/>
  <c r="AK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P20" i="27"/>
  <c r="Q20" i="27"/>
  <c r="R20" i="27"/>
  <c r="S20" i="27"/>
  <c r="AB20" i="27"/>
  <c r="AH6" i="27"/>
  <c r="AI6" i="27"/>
  <c r="AJ6" i="27"/>
  <c r="AK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P19" i="27"/>
  <c r="Q19" i="27"/>
  <c r="R19" i="27"/>
  <c r="S19" i="27"/>
  <c r="AB19" i="27"/>
  <c r="AH5" i="27"/>
  <c r="AI5" i="27"/>
  <c r="AJ5" i="27"/>
  <c r="AK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H11" i="27"/>
  <c r="AI11" i="27"/>
  <c r="AJ11" i="27"/>
  <c r="AK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AH30" i="27"/>
  <c r="AI30" i="27"/>
  <c r="AJ30" i="27"/>
  <c r="AK30" i="27"/>
  <c r="AH4" i="27"/>
  <c r="AI4" i="27"/>
  <c r="AJ4" i="27"/>
  <c r="AK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M40" i="24" l="1"/>
  <c r="M41" i="24" s="1"/>
  <c r="F40" i="24"/>
  <c r="F41" i="24" s="1"/>
  <c r="N40" i="24"/>
  <c r="N41" i="24" s="1"/>
  <c r="U40" i="24"/>
  <c r="U41" i="24" s="1"/>
  <c r="V24" i="27" s="1"/>
  <c r="V40" i="24"/>
  <c r="V41" i="24" s="1"/>
  <c r="AB40" i="24"/>
  <c r="AB41" i="24" s="1"/>
  <c r="AC24" i="27" s="1"/>
  <c r="T40" i="24"/>
  <c r="T41" i="24" s="1"/>
  <c r="J40" i="24"/>
  <c r="J41" i="24" s="1"/>
  <c r="K24" i="27" s="1"/>
  <c r="C40" i="24"/>
  <c r="C41" i="24" s="1"/>
  <c r="S40" i="24"/>
  <c r="S41" i="24" s="1"/>
  <c r="AC40" i="24"/>
  <c r="AC41" i="24" s="1"/>
  <c r="AD24" i="27" s="1"/>
  <c r="I40" i="24"/>
  <c r="I41" i="24" s="1"/>
  <c r="B40" i="24"/>
  <c r="B41" i="24" s="1"/>
  <c r="D40" i="24"/>
  <c r="D41" i="24" s="1"/>
  <c r="Y40" i="24"/>
  <c r="Y41" i="24" s="1"/>
  <c r="Z24" i="27" s="1"/>
  <c r="Z40" i="24"/>
  <c r="Z41" i="24" s="1"/>
  <c r="AA24" i="27" s="1"/>
  <c r="V39" i="17"/>
  <c r="V40" i="17" s="1"/>
  <c r="U39" i="17"/>
  <c r="U40" i="17" s="1"/>
  <c r="AB39" i="17"/>
  <c r="AB40" i="17" s="1"/>
  <c r="AC23" i="27" s="1"/>
  <c r="F39" i="17"/>
  <c r="F40" i="17" s="1"/>
  <c r="M39" i="17"/>
  <c r="M40" i="17" s="1"/>
  <c r="N39" i="17"/>
  <c r="N40" i="17" s="1"/>
  <c r="O23" i="27" s="1"/>
  <c r="AC39" i="17"/>
  <c r="AC40" i="17" s="1"/>
  <c r="AD23" i="27" s="1"/>
  <c r="B39" i="17"/>
  <c r="B40" i="17" s="1"/>
  <c r="I39" i="17"/>
  <c r="I40" i="17" s="1"/>
  <c r="J23" i="27" s="1"/>
  <c r="D39" i="17"/>
  <c r="D40" i="17" s="1"/>
  <c r="E23" i="27" s="1"/>
  <c r="Y39" i="17"/>
  <c r="Y40" i="17" s="1"/>
  <c r="Z23" i="27" s="1"/>
  <c r="Z39" i="17"/>
  <c r="Z40" i="17" s="1"/>
  <c r="AA23" i="27" s="1"/>
  <c r="W40" i="20"/>
  <c r="W41" i="20" s="1"/>
  <c r="W40" i="21"/>
  <c r="W41" i="21" s="1"/>
  <c r="W40" i="22"/>
  <c r="W41" i="22" s="1"/>
  <c r="X40" i="20"/>
  <c r="X41" i="20" s="1"/>
  <c r="X40" i="22"/>
  <c r="X41" i="22" s="1"/>
  <c r="X40" i="21"/>
  <c r="X41" i="21" s="1"/>
  <c r="W40" i="23"/>
  <c r="W41" i="23" s="1"/>
  <c r="X25" i="27" s="1"/>
  <c r="X40" i="23"/>
  <c r="X41" i="23" s="1"/>
  <c r="Y25" i="27" s="1"/>
  <c r="N40" i="20"/>
  <c r="N41" i="20" s="1"/>
  <c r="O20" i="27" s="1"/>
  <c r="F40" i="20"/>
  <c r="F41" i="20" s="1"/>
  <c r="M40" i="21"/>
  <c r="M41" i="21" s="1"/>
  <c r="N40" i="22"/>
  <c r="N41" i="22" s="1"/>
  <c r="O18" i="27" s="1"/>
  <c r="F40" i="22"/>
  <c r="F41" i="22" s="1"/>
  <c r="M40" i="20"/>
  <c r="M41" i="20" s="1"/>
  <c r="F40" i="21"/>
  <c r="F41" i="21" s="1"/>
  <c r="M40" i="22"/>
  <c r="M41" i="22" s="1"/>
  <c r="N40" i="21"/>
  <c r="N41" i="21" s="1"/>
  <c r="O19" i="27" s="1"/>
  <c r="M40" i="23"/>
  <c r="M41" i="23" s="1"/>
  <c r="N25" i="27" s="1"/>
  <c r="O24" i="27"/>
  <c r="N40" i="23"/>
  <c r="N41" i="23" s="1"/>
  <c r="O25" i="27" s="1"/>
  <c r="F40" i="23"/>
  <c r="F41" i="23" s="1"/>
  <c r="G25" i="27" s="1"/>
  <c r="M40" i="26"/>
  <c r="N40" i="26"/>
  <c r="F40" i="26"/>
  <c r="G40" i="21"/>
  <c r="G41" i="21" s="1"/>
  <c r="H19" i="27" s="1"/>
  <c r="G40" i="22"/>
  <c r="G41" i="22" s="1"/>
  <c r="H18" i="27" s="1"/>
  <c r="G40" i="20"/>
  <c r="G41" i="20" s="1"/>
  <c r="H20" i="27" s="1"/>
  <c r="H24" i="27"/>
  <c r="G40" i="23"/>
  <c r="G41" i="23" s="1"/>
  <c r="H25" i="27" s="1"/>
  <c r="L40" i="21"/>
  <c r="L41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M24" i="27"/>
  <c r="V40" i="20"/>
  <c r="V41" i="20" s="1"/>
  <c r="W20" i="27" s="1"/>
  <c r="AB40" i="21"/>
  <c r="AB41" i="21" s="1"/>
  <c r="AC19" i="27" s="1"/>
  <c r="U40" i="21"/>
  <c r="U41" i="21" s="1"/>
  <c r="V19" i="27" s="1"/>
  <c r="V40" i="22"/>
  <c r="V41" i="22" s="1"/>
  <c r="W18" i="27" s="1"/>
  <c r="AB40" i="20"/>
  <c r="AB41" i="20" s="1"/>
  <c r="AC20" i="27" s="1"/>
  <c r="U40" i="20"/>
  <c r="U41" i="20" s="1"/>
  <c r="V40" i="21"/>
  <c r="V41" i="21" s="1"/>
  <c r="W19" i="27" s="1"/>
  <c r="AB40" i="22"/>
  <c r="AB41" i="22" s="1"/>
  <c r="AC18" i="27" s="1"/>
  <c r="U40" i="22"/>
  <c r="U41" i="22" s="1"/>
  <c r="V18" i="27" s="1"/>
  <c r="AB40" i="23"/>
  <c r="AB41" i="23" s="1"/>
  <c r="AC25" i="27" s="1"/>
  <c r="U40" i="23"/>
  <c r="U41" i="23" s="1"/>
  <c r="V25" i="27" s="1"/>
  <c r="W24" i="27"/>
  <c r="V40" i="23"/>
  <c r="V41" i="23" s="1"/>
  <c r="W25" i="27" s="1"/>
  <c r="T40" i="20"/>
  <c r="T41" i="20" s="1"/>
  <c r="J40" i="20"/>
  <c r="J41" i="20" s="1"/>
  <c r="K20" i="27" s="1"/>
  <c r="T40" i="21"/>
  <c r="T41" i="21" s="1"/>
  <c r="J40" i="21"/>
  <c r="J41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40" i="21"/>
  <c r="S41" i="21" s="1"/>
  <c r="C40" i="21"/>
  <c r="C41" i="21" s="1"/>
  <c r="D19" i="27" s="1"/>
  <c r="S40" i="22"/>
  <c r="S41" i="22" s="1"/>
  <c r="C40" i="22"/>
  <c r="C41" i="22" s="1"/>
  <c r="D18" i="27" s="1"/>
  <c r="S40" i="26"/>
  <c r="C40" i="26"/>
  <c r="S40" i="25"/>
  <c r="S41" i="25" s="1"/>
  <c r="C40" i="25"/>
  <c r="C41" i="25" s="1"/>
  <c r="S40" i="6"/>
  <c r="S41" i="6" s="1"/>
  <c r="T40" i="26"/>
  <c r="J40" i="26"/>
  <c r="T40" i="25"/>
  <c r="T41" i="25" s="1"/>
  <c r="J40" i="25"/>
  <c r="J41" i="25" s="1"/>
  <c r="T40" i="6"/>
  <c r="T41" i="6" s="1"/>
  <c r="H40" i="18"/>
  <c r="H41" i="18" s="1"/>
  <c r="I22" i="27" s="1"/>
  <c r="I23" i="27"/>
  <c r="H40" i="19"/>
  <c r="H41" i="19" s="1"/>
  <c r="I21" i="27" s="1"/>
  <c r="H40" i="25"/>
  <c r="H41" i="25" s="1"/>
  <c r="H40" i="26"/>
  <c r="AC40" i="18"/>
  <c r="AC41" i="18" s="1"/>
  <c r="AD22" i="27" s="1"/>
  <c r="B40" i="18"/>
  <c r="B41" i="18" s="1"/>
  <c r="I40" i="19"/>
  <c r="I41" i="19" s="1"/>
  <c r="J21" i="27" s="1"/>
  <c r="I40" i="18"/>
  <c r="I41" i="18" s="1"/>
  <c r="J22" i="27" s="1"/>
  <c r="AC40" i="19"/>
  <c r="AC41" i="19" s="1"/>
  <c r="AD21" i="27" s="1"/>
  <c r="B40" i="19"/>
  <c r="B41" i="19" s="1"/>
  <c r="I40" i="26"/>
  <c r="AC40" i="25"/>
  <c r="AC41" i="25" s="1"/>
  <c r="B40" i="25"/>
  <c r="B41" i="25" s="1"/>
  <c r="AC40" i="26"/>
  <c r="B40" i="26"/>
  <c r="B41" i="26" s="1"/>
  <c r="I40" i="25"/>
  <c r="I41" i="25" s="1"/>
  <c r="AC40" i="6"/>
  <c r="AC41" i="6" s="1"/>
  <c r="Z40" i="18"/>
  <c r="Z41" i="18" s="1"/>
  <c r="AA22" i="27" s="1"/>
  <c r="D40" i="18"/>
  <c r="D41" i="18" s="1"/>
  <c r="E22" i="27" s="1"/>
  <c r="Y40" i="19"/>
  <c r="Y41" i="19" s="1"/>
  <c r="Z21" i="27" s="1"/>
  <c r="Y40" i="18"/>
  <c r="Y41" i="18" s="1"/>
  <c r="Z22" i="27" s="1"/>
  <c r="Z40" i="19"/>
  <c r="Z41" i="19" s="1"/>
  <c r="AA21" i="27" s="1"/>
  <c r="D40" i="19"/>
  <c r="D41" i="19" s="1"/>
  <c r="E21" i="27" s="1"/>
  <c r="Y40" i="26"/>
  <c r="Z40" i="25"/>
  <c r="Z41" i="25" s="1"/>
  <c r="D40" i="25"/>
  <c r="D41" i="25" s="1"/>
  <c r="Z40" i="6"/>
  <c r="Z41" i="6" s="1"/>
  <c r="Z40" i="26"/>
  <c r="D40" i="26"/>
  <c r="Y40" i="25"/>
  <c r="Y41" i="25" s="1"/>
  <c r="Y40" i="6"/>
  <c r="Y41" i="6" s="1"/>
  <c r="W40" i="18"/>
  <c r="W41" i="18" s="1"/>
  <c r="W40" i="19"/>
  <c r="W41" i="19" s="1"/>
  <c r="X40" i="18"/>
  <c r="X41" i="18" s="1"/>
  <c r="X40" i="19"/>
  <c r="X41" i="19" s="1"/>
  <c r="W40" i="26"/>
  <c r="W40" i="25"/>
  <c r="W41" i="25" s="1"/>
  <c r="W40" i="6"/>
  <c r="W41" i="6" s="1"/>
  <c r="X40" i="25"/>
  <c r="X41" i="25" s="1"/>
  <c r="X40" i="26"/>
  <c r="X40" i="6"/>
  <c r="X41" i="6" s="1"/>
  <c r="N40" i="18"/>
  <c r="N41" i="18" s="1"/>
  <c r="O22" i="27" s="1"/>
  <c r="F40" i="18"/>
  <c r="F41" i="18" s="1"/>
  <c r="M40" i="19"/>
  <c r="M41" i="19" s="1"/>
  <c r="N40" i="19"/>
  <c r="N41" i="19" s="1"/>
  <c r="O21" i="27" s="1"/>
  <c r="M40" i="18"/>
  <c r="M41" i="18" s="1"/>
  <c r="F40" i="19"/>
  <c r="F41" i="19" s="1"/>
  <c r="N40" i="25"/>
  <c r="N41" i="25" s="1"/>
  <c r="F40" i="25"/>
  <c r="F41" i="25" s="1"/>
  <c r="M40" i="6"/>
  <c r="M41" i="6" s="1"/>
  <c r="M40" i="25"/>
  <c r="M41" i="25" s="1"/>
  <c r="N40" i="6"/>
  <c r="N41" i="6" s="1"/>
  <c r="H23" i="27"/>
  <c r="G40" i="19"/>
  <c r="G41" i="19" s="1"/>
  <c r="H21" i="27" s="1"/>
  <c r="G40" i="18"/>
  <c r="G41" i="18" s="1"/>
  <c r="H22" i="27" s="1"/>
  <c r="G40" i="26"/>
  <c r="G40" i="25"/>
  <c r="G41" i="25" s="1"/>
  <c r="M23" i="27"/>
  <c r="L40" i="19"/>
  <c r="L41" i="19" s="1"/>
  <c r="M21" i="27" s="1"/>
  <c r="L40" i="18"/>
  <c r="L41" i="18" s="1"/>
  <c r="M22" i="27" s="1"/>
  <c r="L40" i="26"/>
  <c r="L41" i="26" s="1"/>
  <c r="L40" i="6"/>
  <c r="L41" i="6" s="1"/>
  <c r="L40" i="25"/>
  <c r="L41" i="25" s="1"/>
  <c r="V40" i="18"/>
  <c r="V41" i="18" s="1"/>
  <c r="AB40" i="19"/>
  <c r="AB41" i="19" s="1"/>
  <c r="AC21" i="27" s="1"/>
  <c r="U40" i="19"/>
  <c r="U41" i="19" s="1"/>
  <c r="AB40" i="18"/>
  <c r="AB41" i="18" s="1"/>
  <c r="AC22" i="27" s="1"/>
  <c r="U40" i="18"/>
  <c r="U41" i="18" s="1"/>
  <c r="V40" i="19"/>
  <c r="V41" i="19" s="1"/>
  <c r="AB40" i="26"/>
  <c r="U40" i="26"/>
  <c r="V40" i="25"/>
  <c r="V41" i="25" s="1"/>
  <c r="AB40" i="6"/>
  <c r="AB41" i="6" s="1"/>
  <c r="U40" i="6"/>
  <c r="U41" i="6" s="1"/>
  <c r="V40" i="26"/>
  <c r="AB40" i="25"/>
  <c r="AB41" i="25" s="1"/>
  <c r="U40" i="25"/>
  <c r="U41" i="25" s="1"/>
  <c r="V40" i="6"/>
  <c r="V41" i="6" s="1"/>
  <c r="S40" i="23"/>
  <c r="S41" i="23" s="1"/>
  <c r="C40" i="23"/>
  <c r="C41" i="23" s="1"/>
  <c r="D25" i="27" s="1"/>
  <c r="D24" i="27"/>
  <c r="T40" i="23"/>
  <c r="T41" i="23" s="1"/>
  <c r="J40" i="23"/>
  <c r="J41" i="23" s="1"/>
  <c r="K25" i="27" s="1"/>
  <c r="H40" i="20"/>
  <c r="H41" i="20" s="1"/>
  <c r="I20" i="27" s="1"/>
  <c r="H40" i="22"/>
  <c r="H41" i="22" s="1"/>
  <c r="I18" i="27" s="1"/>
  <c r="H40" i="21"/>
  <c r="H41" i="21" s="1"/>
  <c r="I19" i="27" s="1"/>
  <c r="I24" i="27"/>
  <c r="H40" i="23"/>
  <c r="H41" i="23" s="1"/>
  <c r="I25" i="27" s="1"/>
  <c r="AC40" i="20"/>
  <c r="AC41" i="20" s="1"/>
  <c r="AD20" i="27" s="1"/>
  <c r="B40" i="20"/>
  <c r="B41" i="20" s="1"/>
  <c r="I40" i="21"/>
  <c r="I41" i="21" s="1"/>
  <c r="J19" i="27" s="1"/>
  <c r="AC40" i="22"/>
  <c r="AC41" i="22" s="1"/>
  <c r="AD18" i="27" s="1"/>
  <c r="B40" i="22"/>
  <c r="B41" i="22" s="1"/>
  <c r="I40" i="20"/>
  <c r="I41" i="20" s="1"/>
  <c r="J20" i="27" s="1"/>
  <c r="AC40" i="21"/>
  <c r="AC41" i="21" s="1"/>
  <c r="AD19" i="27" s="1"/>
  <c r="B40" i="21"/>
  <c r="B41" i="21" s="1"/>
  <c r="I40" i="22"/>
  <c r="I41" i="22" s="1"/>
  <c r="J18" i="27" s="1"/>
  <c r="I40" i="23"/>
  <c r="I41" i="23" s="1"/>
  <c r="J25" i="27" s="1"/>
  <c r="AC40" i="23"/>
  <c r="AC41" i="23" s="1"/>
  <c r="AD25" i="27" s="1"/>
  <c r="B40" i="23"/>
  <c r="B41" i="23" s="1"/>
  <c r="D40" i="20"/>
  <c r="D41" i="20" s="1"/>
  <c r="E20" i="27" s="1"/>
  <c r="Y40" i="20"/>
  <c r="Y41" i="20" s="1"/>
  <c r="Z20" i="27" s="1"/>
  <c r="Z40" i="21"/>
  <c r="Z41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40" i="21"/>
  <c r="D41" i="21" s="1"/>
  <c r="E19" i="27" s="1"/>
  <c r="Y40" i="21"/>
  <c r="Y41" i="21" s="1"/>
  <c r="Z19" i="27" s="1"/>
  <c r="Y40" i="22"/>
  <c r="Y41" i="22" s="1"/>
  <c r="Z18" i="27" s="1"/>
  <c r="Z40" i="23"/>
  <c r="Z41" i="23" s="1"/>
  <c r="AA25" i="27" s="1"/>
  <c r="E24" i="27"/>
  <c r="D40" i="23"/>
  <c r="D41" i="23" s="1"/>
  <c r="E25" i="27" s="1"/>
  <c r="Y40" i="23"/>
  <c r="Y41" i="23" s="1"/>
  <c r="Z25" i="27" s="1"/>
  <c r="AJ14" i="27"/>
  <c r="AH14" i="27"/>
  <c r="AJ13" i="27"/>
  <c r="AH13" i="27"/>
  <c r="B44" i="6" l="1"/>
  <c r="B51" i="6" s="1"/>
  <c r="B52" i="6" s="1"/>
  <c r="H44" i="6"/>
  <c r="E44" i="6"/>
  <c r="H44" i="24"/>
  <c r="H51" i="24" s="1"/>
  <c r="H52" i="24" s="1"/>
  <c r="E44" i="24"/>
  <c r="F49" i="24" s="1"/>
  <c r="J24" i="27"/>
  <c r="B44" i="24"/>
  <c r="B51" i="24" s="1"/>
  <c r="B52" i="24" s="1"/>
  <c r="B43" i="17"/>
  <c r="B50" i="17" s="1"/>
  <c r="B51" i="17" s="1"/>
  <c r="H43" i="17"/>
  <c r="E43" i="17"/>
  <c r="B44" i="23"/>
  <c r="C25" i="27"/>
  <c r="B44" i="22"/>
  <c r="C18" i="27"/>
  <c r="U24" i="27"/>
  <c r="E44" i="23"/>
  <c r="E51" i="23" s="1"/>
  <c r="U25" i="27"/>
  <c r="T24" i="27"/>
  <c r="H44" i="23"/>
  <c r="H51" i="23" s="1"/>
  <c r="T25" i="27"/>
  <c r="E44" i="19"/>
  <c r="E51" i="19" s="1"/>
  <c r="W21" i="27"/>
  <c r="H44" i="19"/>
  <c r="H51" i="19" s="1"/>
  <c r="V21" i="27"/>
  <c r="E44" i="18"/>
  <c r="E51" i="18" s="1"/>
  <c r="W22" i="27"/>
  <c r="C23" i="27"/>
  <c r="H44" i="20"/>
  <c r="H51" i="20" s="1"/>
  <c r="V20" i="27"/>
  <c r="B44" i="25"/>
  <c r="C24" i="27"/>
  <c r="B44" i="21"/>
  <c r="C19" i="27"/>
  <c r="B44" i="20"/>
  <c r="C20" i="27"/>
  <c r="H44" i="18"/>
  <c r="H51" i="18" s="1"/>
  <c r="V22" i="27"/>
  <c r="W23" i="27"/>
  <c r="V23" i="27"/>
  <c r="B44" i="19"/>
  <c r="C21" i="27"/>
  <c r="B44" i="18"/>
  <c r="C22" i="27"/>
  <c r="H44" i="22"/>
  <c r="H51" i="22" s="1"/>
  <c r="T18" i="27"/>
  <c r="H44" i="21"/>
  <c r="H51" i="21" s="1"/>
  <c r="T19" i="27"/>
  <c r="E44" i="22"/>
  <c r="E51" i="22" s="1"/>
  <c r="U18" i="27"/>
  <c r="E44" i="21"/>
  <c r="E51" i="21" s="1"/>
  <c r="U19" i="27"/>
  <c r="E44" i="20"/>
  <c r="E51" i="20" s="1"/>
  <c r="U20" i="27"/>
  <c r="E44" i="25"/>
  <c r="H44" i="25"/>
  <c r="C29" i="27"/>
  <c r="C15" i="27"/>
  <c r="M29" i="27"/>
  <c r="M15" i="27"/>
  <c r="C28" i="27"/>
  <c r="C14" i="27"/>
  <c r="E28" i="27"/>
  <c r="E14" i="27"/>
  <c r="G28" i="27"/>
  <c r="G14" i="27"/>
  <c r="I28" i="27"/>
  <c r="I14" i="27"/>
  <c r="K28" i="27"/>
  <c r="K14" i="27"/>
  <c r="M28" i="27"/>
  <c r="M14" i="27"/>
  <c r="O28" i="27"/>
  <c r="O14" i="27"/>
  <c r="Q28" i="27"/>
  <c r="Q14" i="27"/>
  <c r="S28" i="27"/>
  <c r="S14" i="27"/>
  <c r="U28" i="27"/>
  <c r="U14" i="27"/>
  <c r="W28" i="27"/>
  <c r="W14" i="27"/>
  <c r="Y28" i="27"/>
  <c r="Y14" i="27"/>
  <c r="AA28" i="27"/>
  <c r="AA14" i="27"/>
  <c r="AC14" i="27"/>
  <c r="D28" i="27"/>
  <c r="D14" i="27"/>
  <c r="F28" i="27"/>
  <c r="F14" i="27"/>
  <c r="H28" i="27"/>
  <c r="H14" i="27"/>
  <c r="J14" i="27"/>
  <c r="L28" i="27"/>
  <c r="L14" i="27"/>
  <c r="N28" i="27"/>
  <c r="N14" i="27"/>
  <c r="P28" i="27"/>
  <c r="P14" i="27"/>
  <c r="R28" i="27"/>
  <c r="R14" i="27"/>
  <c r="T28" i="27"/>
  <c r="T14" i="27"/>
  <c r="V14" i="27"/>
  <c r="X28" i="27"/>
  <c r="X14" i="27"/>
  <c r="Z28" i="27"/>
  <c r="Z14" i="27"/>
  <c r="AB28" i="27"/>
  <c r="AB14" i="27"/>
  <c r="AD14" i="27"/>
  <c r="AK14" i="27"/>
  <c r="AI14" i="27"/>
  <c r="Z27" i="27"/>
  <c r="Z13" i="27"/>
  <c r="AB27" i="27"/>
  <c r="AB13" i="27"/>
  <c r="AD13" i="27"/>
  <c r="AI13" i="27"/>
  <c r="AK13" i="27"/>
  <c r="Y27" i="27"/>
  <c r="Y13" i="27"/>
  <c r="AA27" i="27"/>
  <c r="AA13" i="27"/>
  <c r="AC13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C12" i="27"/>
  <c r="N12" i="27"/>
  <c r="E51" i="6" l="1"/>
  <c r="E52" i="6" s="1"/>
  <c r="D42" i="27" s="1"/>
  <c r="F52" i="6"/>
  <c r="H51" i="6"/>
  <c r="H52" i="6" s="1"/>
  <c r="E42" i="27" s="1"/>
  <c r="I52" i="6"/>
  <c r="I49" i="24"/>
  <c r="E51" i="24"/>
  <c r="E52" i="24" s="1"/>
  <c r="D39" i="27" s="1"/>
  <c r="F48" i="17"/>
  <c r="E50" i="17"/>
  <c r="E51" i="17" s="1"/>
  <c r="D38" i="27" s="1"/>
  <c r="I48" i="17"/>
  <c r="H50" i="17"/>
  <c r="H51" i="17" s="1"/>
  <c r="E38" i="27" s="1"/>
  <c r="B51" i="20"/>
  <c r="B52" i="20" s="1"/>
  <c r="C35" i="27" s="1"/>
  <c r="B51" i="25"/>
  <c r="B52" i="25" s="1"/>
  <c r="C43" i="27" s="1"/>
  <c r="H51" i="25"/>
  <c r="H52" i="25" s="1"/>
  <c r="E43" i="27" s="1"/>
  <c r="E51" i="25"/>
  <c r="E52" i="25" s="1"/>
  <c r="D43" i="27" s="1"/>
  <c r="C42" i="27"/>
  <c r="B51" i="23"/>
  <c r="B52" i="23" s="1"/>
  <c r="C40" i="27" s="1"/>
  <c r="C39" i="27"/>
  <c r="C38" i="27"/>
  <c r="B51" i="18"/>
  <c r="B52" i="18" s="1"/>
  <c r="C37" i="27" s="1"/>
  <c r="B51" i="19"/>
  <c r="B52" i="19" s="1"/>
  <c r="C36" i="27" s="1"/>
  <c r="B51" i="21"/>
  <c r="B52" i="21" s="1"/>
  <c r="C34" i="27" s="1"/>
  <c r="B51" i="22"/>
  <c r="B52" i="22" s="1"/>
  <c r="C33" i="27" s="1"/>
  <c r="E52" i="22"/>
  <c r="D33" i="27" s="1"/>
  <c r="F52" i="22"/>
  <c r="H52" i="22"/>
  <c r="E33" i="27" s="1"/>
  <c r="I52" i="22"/>
  <c r="E52" i="18"/>
  <c r="D37" i="27" s="1"/>
  <c r="F51" i="18"/>
  <c r="E52" i="19"/>
  <c r="D36" i="27" s="1"/>
  <c r="F52" i="19"/>
  <c r="H52" i="19"/>
  <c r="E36" i="27" s="1"/>
  <c r="I52" i="19"/>
  <c r="H52" i="20"/>
  <c r="E35" i="27" s="1"/>
  <c r="I51" i="20"/>
  <c r="E52" i="20"/>
  <c r="D35" i="27" s="1"/>
  <c r="F51" i="20"/>
  <c r="E52" i="21"/>
  <c r="D34" i="27" s="1"/>
  <c r="F52" i="21"/>
  <c r="H52" i="21"/>
  <c r="E34" i="27" s="1"/>
  <c r="I52" i="21"/>
  <c r="H52" i="23"/>
  <c r="E40" i="27" s="1"/>
  <c r="I52" i="23"/>
  <c r="E52" i="23"/>
  <c r="D40" i="27" s="1"/>
  <c r="F52" i="23"/>
  <c r="E39" i="27"/>
  <c r="H52" i="18"/>
  <c r="E37" i="27" s="1"/>
  <c r="I51" i="18"/>
  <c r="N26" i="27"/>
  <c r="AD28" i="27"/>
  <c r="V28" i="27"/>
  <c r="J28" i="27"/>
  <c r="AC28" i="27"/>
  <c r="C27" i="27"/>
  <c r="C13" i="27"/>
  <c r="C17" i="27" s="1"/>
  <c r="C6" i="28" s="1"/>
  <c r="E27" i="27"/>
  <c r="E13" i="27"/>
  <c r="G27" i="27"/>
  <c r="G13" i="27"/>
  <c r="I27" i="27"/>
  <c r="I13" i="27"/>
  <c r="K27" i="27"/>
  <c r="K13" i="27"/>
  <c r="M27" i="27"/>
  <c r="M13" i="27"/>
  <c r="O27" i="27"/>
  <c r="O13" i="27"/>
  <c r="Q27" i="27"/>
  <c r="Q13" i="27"/>
  <c r="S27" i="27"/>
  <c r="S13" i="27"/>
  <c r="U27" i="27"/>
  <c r="U13" i="27"/>
  <c r="W27" i="27"/>
  <c r="W13" i="27"/>
  <c r="AC27" i="27"/>
  <c r="AD27" i="27"/>
  <c r="D27" i="27"/>
  <c r="D13" i="27"/>
  <c r="F27" i="27"/>
  <c r="F13" i="27"/>
  <c r="H27" i="27"/>
  <c r="H13" i="27"/>
  <c r="J27" i="27"/>
  <c r="J13" i="27"/>
  <c r="L27" i="27"/>
  <c r="L13" i="27"/>
  <c r="N27" i="27"/>
  <c r="N13" i="27"/>
  <c r="P27" i="27"/>
  <c r="P13" i="27"/>
  <c r="R27" i="27"/>
  <c r="R13" i="27"/>
  <c r="T27" i="27"/>
  <c r="T13" i="27"/>
  <c r="V27" i="27"/>
  <c r="V13" i="27"/>
  <c r="X27" i="27"/>
  <c r="X13" i="27"/>
  <c r="C26" i="27"/>
  <c r="C30" i="27" l="1"/>
  <c r="C10" i="28" s="1"/>
  <c r="C7" i="28"/>
  <c r="C9" i="28" s="1"/>
  <c r="AB39" i="26" l="1"/>
  <c r="AA39" i="26"/>
  <c r="K39" i="26"/>
  <c r="G39" i="26"/>
  <c r="J39" i="26" l="1"/>
  <c r="D39" i="26"/>
  <c r="AF40" i="26"/>
  <c r="AA41" i="26"/>
  <c r="AB29" i="27" s="1"/>
  <c r="AB15" i="27"/>
  <c r="N39" i="26"/>
  <c r="M39" i="26"/>
  <c r="F39" i="26"/>
  <c r="K41" i="26"/>
  <c r="L29" i="27" s="1"/>
  <c r="L15" i="27"/>
  <c r="H39" i="26"/>
  <c r="AB41" i="26"/>
  <c r="AC29" i="27" s="1"/>
  <c r="AC15" i="27"/>
  <c r="T47" i="26"/>
  <c r="U47" i="26" s="1"/>
  <c r="G41" i="26"/>
  <c r="H29" i="27" s="1"/>
  <c r="H15" i="27"/>
  <c r="E39" i="26"/>
  <c r="I39" i="26"/>
  <c r="AC39" i="26"/>
  <c r="AK39" i="26" l="1"/>
  <c r="AK41" i="26" s="1"/>
  <c r="T49" i="26"/>
  <c r="U49" i="26" s="1"/>
  <c r="E41" i="26"/>
  <c r="F29" i="27" s="1"/>
  <c r="F15" i="27"/>
  <c r="E15" i="27"/>
  <c r="D41" i="26"/>
  <c r="E29" i="27" s="1"/>
  <c r="T46" i="26"/>
  <c r="U46" i="26" s="1"/>
  <c r="N15" i="27"/>
  <c r="N17" i="27" s="1"/>
  <c r="U6" i="28" s="1"/>
  <c r="M41" i="26"/>
  <c r="N29" i="27" s="1"/>
  <c r="N30" i="27" s="1"/>
  <c r="U10" i="28" s="1"/>
  <c r="AH40" i="26"/>
  <c r="AL39" i="26"/>
  <c r="AL41" i="26" s="1"/>
  <c r="T53" i="26"/>
  <c r="U53" i="26" s="1"/>
  <c r="H41" i="26"/>
  <c r="I29" i="27" s="1"/>
  <c r="I15" i="27"/>
  <c r="J41" i="26"/>
  <c r="K29" i="27" s="1"/>
  <c r="K15" i="27"/>
  <c r="T54" i="26"/>
  <c r="U54" i="26" s="1"/>
  <c r="I41" i="26"/>
  <c r="J15" i="27"/>
  <c r="AD15" i="27"/>
  <c r="AC41" i="26"/>
  <c r="AD29" i="27" s="1"/>
  <c r="G15" i="27"/>
  <c r="F41" i="26"/>
  <c r="G29" i="27" s="1"/>
  <c r="D15" i="27"/>
  <c r="C41" i="26"/>
  <c r="N41" i="26"/>
  <c r="O29" i="27" s="1"/>
  <c r="O15" i="27"/>
  <c r="B49" i="26"/>
  <c r="AH15" i="27"/>
  <c r="D29" i="27" l="1"/>
  <c r="J29" i="27"/>
  <c r="AG40" i="26"/>
  <c r="AI40" i="26" s="1"/>
  <c r="W39" i="26"/>
  <c r="X39" i="26"/>
  <c r="V39" i="26"/>
  <c r="Q39" i="26"/>
  <c r="P39" i="26"/>
  <c r="Z39" i="26"/>
  <c r="T39" i="26"/>
  <c r="R39" i="26"/>
  <c r="O39" i="26"/>
  <c r="Y39" i="26"/>
  <c r="U39" i="26"/>
  <c r="S39" i="26"/>
  <c r="U7" i="28"/>
  <c r="E49" i="26"/>
  <c r="AJ15" i="27"/>
  <c r="T51" i="26" l="1"/>
  <c r="U51" i="26" s="1"/>
  <c r="U41" i="26"/>
  <c r="V29" i="27" s="1"/>
  <c r="V15" i="27"/>
  <c r="T41" i="26"/>
  <c r="U29" i="27" s="1"/>
  <c r="U15" i="27"/>
  <c r="V41" i="26"/>
  <c r="W29" i="27" s="1"/>
  <c r="W15" i="27"/>
  <c r="Y41" i="26"/>
  <c r="Z29" i="27" s="1"/>
  <c r="Z15" i="27"/>
  <c r="T55" i="26"/>
  <c r="U55" i="26" s="1"/>
  <c r="Z41" i="26"/>
  <c r="AA29" i="27" s="1"/>
  <c r="AA15" i="27"/>
  <c r="Y15" i="27"/>
  <c r="X41" i="26"/>
  <c r="Y29" i="27" s="1"/>
  <c r="U9" i="28"/>
  <c r="O41" i="26"/>
  <c r="P15" i="27"/>
  <c r="P41" i="26"/>
  <c r="Q15" i="27"/>
  <c r="T45" i="26"/>
  <c r="U45" i="26" s="1"/>
  <c r="X15" i="27"/>
  <c r="W41" i="26"/>
  <c r="X29" i="27" s="1"/>
  <c r="H49" i="26"/>
  <c r="AI15" i="27"/>
  <c r="T15" i="27"/>
  <c r="S41" i="26"/>
  <c r="T29" i="27" s="1"/>
  <c r="T52" i="26"/>
  <c r="U52" i="26" s="1"/>
  <c r="R41" i="26"/>
  <c r="S29" i="27" s="1"/>
  <c r="S15" i="27"/>
  <c r="Q41" i="26"/>
  <c r="R29" i="27" s="1"/>
  <c r="R15" i="27"/>
  <c r="Q29" i="27" l="1"/>
  <c r="E44" i="26"/>
  <c r="P29" i="27"/>
  <c r="H44" i="26"/>
  <c r="B44" i="26"/>
  <c r="H46" i="26"/>
  <c r="E46" i="26"/>
  <c r="AK15" i="27"/>
  <c r="AR39" i="26" l="1"/>
  <c r="AR41" i="26" s="1"/>
  <c r="AQ39" i="26" l="1"/>
  <c r="AQ41" i="26" s="1"/>
  <c r="AN39" i="26" l="1"/>
  <c r="AN41" i="26" s="1"/>
  <c r="AO39" i="26"/>
  <c r="AO41" i="26" s="1"/>
  <c r="AJ39" i="26"/>
  <c r="AJ41" i="26" l="1"/>
  <c r="AM39" i="26" l="1"/>
  <c r="AM41" i="26" l="1"/>
  <c r="AP39" i="26" l="1"/>
  <c r="AS39" i="26"/>
  <c r="AS41" i="26" s="1"/>
  <c r="AP41" i="26" l="1"/>
  <c r="E45" i="26" l="1"/>
  <c r="B45" i="26"/>
  <c r="H45" i="26"/>
  <c r="B51" i="26" l="1"/>
  <c r="B52" i="26" s="1"/>
  <c r="C44" i="27" s="1"/>
  <c r="H51" i="26"/>
  <c r="H52" i="26" s="1"/>
  <c r="E44" i="27" s="1"/>
  <c r="E51" i="26"/>
  <c r="E52" i="26" s="1"/>
  <c r="D44" i="27" s="1"/>
  <c r="AC26" i="27" l="1"/>
  <c r="AC30" i="27" s="1"/>
  <c r="AD10" i="28" s="1"/>
  <c r="AC12" i="27" l="1"/>
  <c r="AC17" i="27" s="1"/>
  <c r="AB26" i="27"/>
  <c r="AB30" i="27" s="1"/>
  <c r="I26" i="27"/>
  <c r="I30" i="27" s="1"/>
  <c r="I10" i="28" s="1"/>
  <c r="I12" i="27" l="1"/>
  <c r="I17" i="27" s="1"/>
  <c r="I6" i="28" s="1"/>
  <c r="I7" i="28" s="1"/>
  <c r="AB12" i="27"/>
  <c r="AB17" i="27" s="1"/>
  <c r="Q12" i="27"/>
  <c r="Q17" i="27" s="1"/>
  <c r="J6" i="28" s="1"/>
  <c r="AF12" i="27"/>
  <c r="AF17" i="27" s="1"/>
  <c r="L26" i="27"/>
  <c r="L30" i="27" s="1"/>
  <c r="S10" i="28" s="1"/>
  <c r="G26" i="27"/>
  <c r="G30" i="27" s="1"/>
  <c r="G10" i="28" s="1"/>
  <c r="K26" i="27"/>
  <c r="K30" i="27" s="1"/>
  <c r="R10" i="28" s="1"/>
  <c r="E12" i="27"/>
  <c r="E17" i="27" s="1"/>
  <c r="E6" i="28" s="1"/>
  <c r="O12" i="27"/>
  <c r="O17" i="27" s="1"/>
  <c r="V6" i="28" s="1"/>
  <c r="Y26" i="27"/>
  <c r="Y30" i="27" s="1"/>
  <c r="N10" i="28" s="1"/>
  <c r="R26" i="27"/>
  <c r="R30" i="27" s="1"/>
  <c r="X10" i="28" s="1"/>
  <c r="V26" i="27"/>
  <c r="V30" i="27" s="1"/>
  <c r="Z10" i="28" s="1"/>
  <c r="D12" i="27"/>
  <c r="D17" i="27" s="1"/>
  <c r="D6" i="28" s="1"/>
  <c r="X26" i="27"/>
  <c r="X30" i="27" s="1"/>
  <c r="AA10" i="28" s="1"/>
  <c r="W12" i="27"/>
  <c r="W17" i="27" s="1"/>
  <c r="M6" i="28" s="1"/>
  <c r="W26" i="27"/>
  <c r="W30" i="27" s="1"/>
  <c r="M10" i="28" s="1"/>
  <c r="AH12" i="27" l="1"/>
  <c r="AH17" i="27" s="1"/>
  <c r="AF6" i="28" s="1"/>
  <c r="E26" i="27"/>
  <c r="E30" i="27" s="1"/>
  <c r="E10" i="28" s="1"/>
  <c r="G12" i="27"/>
  <c r="G17" i="27" s="1"/>
  <c r="G6" i="28" s="1"/>
  <c r="G7" i="28" s="1"/>
  <c r="O26" i="27"/>
  <c r="O30" i="27" s="1"/>
  <c r="V10" i="28" s="1"/>
  <c r="Q26" i="27"/>
  <c r="Q30" i="27" s="1"/>
  <c r="J10" i="28" s="1"/>
  <c r="R12" i="27"/>
  <c r="R17" i="27" s="1"/>
  <c r="X6" i="28" s="1"/>
  <c r="X7" i="28" s="1"/>
  <c r="L12" i="27"/>
  <c r="L17" i="27" s="1"/>
  <c r="S6" i="28" s="1"/>
  <c r="S7" i="28" s="1"/>
  <c r="V12" i="27"/>
  <c r="V17" i="27" s="1"/>
  <c r="Z6" i="28" s="1"/>
  <c r="Z7" i="28" s="1"/>
  <c r="M12" i="27"/>
  <c r="M17" i="27" s="1"/>
  <c r="T6" i="28" s="1"/>
  <c r="T7" i="28" s="1"/>
  <c r="P12" i="27"/>
  <c r="P17" i="27" s="1"/>
  <c r="W6" i="28" s="1"/>
  <c r="W7" i="28" s="1"/>
  <c r="W9" i="28" s="1"/>
  <c r="F26" i="27"/>
  <c r="F30" i="27" s="1"/>
  <c r="F10" i="28" s="1"/>
  <c r="Y12" i="27"/>
  <c r="Y17" i="27" s="1"/>
  <c r="N6" i="28" s="1"/>
  <c r="N7" i="28" s="1"/>
  <c r="K12" i="27"/>
  <c r="K17" i="27" s="1"/>
  <c r="R6" i="28" s="1"/>
  <c r="R7" i="28" s="1"/>
  <c r="H26" i="27"/>
  <c r="H30" i="27" s="1"/>
  <c r="H10" i="28" s="1"/>
  <c r="AE12" i="27"/>
  <c r="AE17" i="27" s="1"/>
  <c r="H12" i="27"/>
  <c r="H17" i="27" s="1"/>
  <c r="H6" i="28" s="1"/>
  <c r="H7" i="28" s="1"/>
  <c r="X12" i="27"/>
  <c r="X17" i="27" s="1"/>
  <c r="AA6" i="28" s="1"/>
  <c r="AA7" i="28" s="1"/>
  <c r="F12" i="27"/>
  <c r="F17" i="27" s="1"/>
  <c r="F6" i="28" s="1"/>
  <c r="F7" i="28" s="1"/>
  <c r="F9" i="28" s="1"/>
  <c r="M26" i="27"/>
  <c r="M30" i="27" s="1"/>
  <c r="T10" i="28" s="1"/>
  <c r="AI12" i="27"/>
  <c r="AI17" i="27" s="1"/>
  <c r="AJ12" i="27"/>
  <c r="AJ17" i="27" s="1"/>
  <c r="AH6" i="28" s="1"/>
  <c r="D26" i="27"/>
  <c r="D30" i="27" s="1"/>
  <c r="D10" i="28" s="1"/>
  <c r="D7" i="28"/>
  <c r="S26" i="27"/>
  <c r="S30" i="27" s="1"/>
  <c r="K16" i="28" s="1"/>
  <c r="S12" i="27"/>
  <c r="S17" i="27" s="1"/>
  <c r="K6" i="28" s="1"/>
  <c r="P26" i="27"/>
  <c r="P30" i="27" s="1"/>
  <c r="W10" i="28" s="1"/>
  <c r="M7" i="28"/>
  <c r="I9" i="28"/>
  <c r="V7" i="28"/>
  <c r="E7" i="28"/>
  <c r="AA12" i="27"/>
  <c r="AA17" i="27" s="1"/>
  <c r="O6" i="28" s="1"/>
  <c r="AA26" i="27"/>
  <c r="AA30" i="27" s="1"/>
  <c r="O10" i="28" s="1"/>
  <c r="Z26" i="27"/>
  <c r="Z30" i="27" s="1"/>
  <c r="AB10" i="28" s="1"/>
  <c r="Z12" i="27"/>
  <c r="Z17" i="27" s="1"/>
  <c r="AB6" i="28" s="1"/>
  <c r="J26" i="27"/>
  <c r="J30" i="27" s="1"/>
  <c r="Q10" i="28" s="1"/>
  <c r="J12" i="27"/>
  <c r="J17" i="27" s="1"/>
  <c r="Q6" i="28" s="1"/>
  <c r="AD26" i="27"/>
  <c r="AD30" i="27" s="1"/>
  <c r="AE10" i="28" s="1"/>
  <c r="AD12" i="27"/>
  <c r="AD17" i="27" s="1"/>
  <c r="T12" i="27"/>
  <c r="T17" i="27" s="1"/>
  <c r="Y6" i="28" s="1"/>
  <c r="T26" i="27"/>
  <c r="T30" i="27" s="1"/>
  <c r="Y16" i="28" s="1"/>
  <c r="U26" i="27"/>
  <c r="U30" i="27" s="1"/>
  <c r="L16" i="28" s="1"/>
  <c r="U12" i="27"/>
  <c r="U17" i="27" s="1"/>
  <c r="L6" i="28" s="1"/>
  <c r="D58" i="27"/>
  <c r="D51" i="27"/>
  <c r="D49" i="27"/>
  <c r="J7" i="28"/>
  <c r="D50" i="27" l="1"/>
  <c r="D48" i="27"/>
  <c r="AG12" i="27"/>
  <c r="AG17" i="27" s="1"/>
  <c r="C58" i="27" s="1"/>
  <c r="I14" i="28"/>
  <c r="E14" i="28"/>
  <c r="H14" i="28"/>
  <c r="F14" i="28"/>
  <c r="G14" i="28"/>
  <c r="I8" i="28"/>
  <c r="I15" i="28" s="1"/>
  <c r="I16" i="28" s="1"/>
  <c r="E29" i="28" s="1"/>
  <c r="J14" i="28"/>
  <c r="D52" i="27"/>
  <c r="M14" i="28"/>
  <c r="N14" i="28"/>
  <c r="D14" i="28"/>
  <c r="E48" i="27"/>
  <c r="K7" i="28"/>
  <c r="K14" i="28"/>
  <c r="D8" i="28"/>
  <c r="D15" i="28" s="1"/>
  <c r="D9" i="28"/>
  <c r="J8" i="28"/>
  <c r="J15" i="28" s="1"/>
  <c r="J9" i="28"/>
  <c r="S9" i="28"/>
  <c r="T9" i="28"/>
  <c r="H9" i="28"/>
  <c r="H8" i="28"/>
  <c r="H15" i="28" s="1"/>
  <c r="G9" i="28"/>
  <c r="G8" i="28"/>
  <c r="G15" i="28" s="1"/>
  <c r="L7" i="28"/>
  <c r="L14" i="28"/>
  <c r="Y7" i="28"/>
  <c r="R9" i="28"/>
  <c r="Q7" i="28"/>
  <c r="AB7" i="28"/>
  <c r="O7" i="28"/>
  <c r="O14" i="28"/>
  <c r="E58" i="27"/>
  <c r="E51" i="27"/>
  <c r="E49" i="27"/>
  <c r="E9" i="28"/>
  <c r="E8" i="28"/>
  <c r="E15" i="28" s="1"/>
  <c r="V9" i="28"/>
  <c r="M9" i="28"/>
  <c r="M8" i="28"/>
  <c r="M15" i="28" s="1"/>
  <c r="Z9" i="28"/>
  <c r="AA9" i="28"/>
  <c r="N8" i="28"/>
  <c r="N15" i="28" s="1"/>
  <c r="N9" i="28"/>
  <c r="X9" i="28"/>
  <c r="F8" i="28"/>
  <c r="F15" i="28" s="1"/>
  <c r="C8" i="28"/>
  <c r="C15" i="28" s="1"/>
  <c r="C14" i="28"/>
  <c r="AK17" i="27"/>
  <c r="AI6" i="28" s="1"/>
  <c r="AG6" i="28"/>
  <c r="T8" i="28" s="1"/>
  <c r="T15" i="28" s="1"/>
  <c r="C29" i="28" l="1"/>
  <c r="G29" i="28" s="1"/>
  <c r="J29" i="28" s="1"/>
  <c r="M29" i="28" s="1"/>
  <c r="O29" i="28" s="1"/>
  <c r="C49" i="27"/>
  <c r="C51" i="27"/>
  <c r="AK12" i="27"/>
  <c r="E52" i="27"/>
  <c r="C52" i="27"/>
  <c r="AA8" i="28"/>
  <c r="AA15" i="28" s="1"/>
  <c r="AA16" i="28" s="1"/>
  <c r="V8" i="28"/>
  <c r="V15" i="28" s="1"/>
  <c r="V16" i="28" s="1"/>
  <c r="E50" i="27"/>
  <c r="Q14" i="28"/>
  <c r="Y14" i="28"/>
  <c r="R14" i="28"/>
  <c r="S14" i="28"/>
  <c r="AA14" i="28"/>
  <c r="T14" i="28"/>
  <c r="X14" i="28"/>
  <c r="W8" i="28"/>
  <c r="W15" i="28" s="1"/>
  <c r="Z14" i="28"/>
  <c r="V14" i="28"/>
  <c r="AB14" i="28"/>
  <c r="R8" i="28"/>
  <c r="R15" i="28" s="1"/>
  <c r="R16" i="28" s="1"/>
  <c r="S8" i="28"/>
  <c r="S15" i="28" s="1"/>
  <c r="S16" i="28" s="1"/>
  <c r="D16" i="28"/>
  <c r="P10" i="28"/>
  <c r="AC6" i="28"/>
  <c r="P6" i="28"/>
  <c r="AC10" i="28"/>
  <c r="J11" i="28" s="1"/>
  <c r="X8" i="28"/>
  <c r="X15" i="28" s="1"/>
  <c r="Z8" i="28"/>
  <c r="Z15" i="28" s="1"/>
  <c r="Z16" i="28" s="1"/>
  <c r="K8" i="28"/>
  <c r="K15" i="28" s="1"/>
  <c r="K9" i="28"/>
  <c r="C48" i="27"/>
  <c r="W14" i="28"/>
  <c r="H18" i="28"/>
  <c r="X18" i="28" s="1"/>
  <c r="AE18" i="28" s="1"/>
  <c r="AD14" i="28"/>
  <c r="AE14" i="28"/>
  <c r="AE15" i="28" s="1"/>
  <c r="AE16" i="28" s="1"/>
  <c r="U8" i="28"/>
  <c r="U15" i="28" s="1"/>
  <c r="U16" i="28" s="1"/>
  <c r="AD8" i="28"/>
  <c r="AD15" i="28" s="1"/>
  <c r="AD16" i="28" s="1"/>
  <c r="R11" i="28"/>
  <c r="U14" i="28"/>
  <c r="C16" i="28"/>
  <c r="F16" i="28"/>
  <c r="N16" i="28"/>
  <c r="M16" i="28"/>
  <c r="E16" i="28"/>
  <c r="O9" i="28"/>
  <c r="O8" i="28"/>
  <c r="O15" i="28" s="1"/>
  <c r="O16" i="28" s="1"/>
  <c r="AB8" i="28"/>
  <c r="AB15" i="28" s="1"/>
  <c r="AB16" i="28" s="1"/>
  <c r="AB9" i="28"/>
  <c r="Q9" i="28"/>
  <c r="Q8" i="28"/>
  <c r="Q15" i="28" s="1"/>
  <c r="Q16" i="28" s="1"/>
  <c r="Y8" i="28"/>
  <c r="Y15" i="28" s="1"/>
  <c r="Y9" i="28"/>
  <c r="L9" i="28"/>
  <c r="L8" i="28"/>
  <c r="L15" i="28" s="1"/>
  <c r="G16" i="28"/>
  <c r="H16" i="28"/>
  <c r="E24" i="28" s="1"/>
  <c r="C24" i="28"/>
  <c r="G24" i="28" s="1"/>
  <c r="J24" i="28" s="1"/>
  <c r="M24" i="28" s="1"/>
  <c r="O24" i="28" s="1"/>
  <c r="T16" i="28"/>
  <c r="E25" i="28" s="1"/>
  <c r="C25" i="28"/>
  <c r="G25" i="28" s="1"/>
  <c r="J25" i="28" s="1"/>
  <c r="E22" i="28" l="1"/>
  <c r="C50" i="27"/>
  <c r="C26" i="28"/>
  <c r="G26" i="28" s="1"/>
  <c r="J26" i="28" s="1"/>
  <c r="M26" i="28" s="1"/>
  <c r="O26" i="28" s="1"/>
  <c r="C23" i="28"/>
  <c r="G23" i="28" s="1"/>
  <c r="J23" i="28" s="1"/>
  <c r="M23" i="28" s="1"/>
  <c r="O23" i="28" s="1"/>
  <c r="C22" i="28"/>
  <c r="G22" i="28" s="1"/>
  <c r="J22" i="28" s="1"/>
  <c r="M22" i="28" s="1"/>
  <c r="O22" i="28" s="1"/>
  <c r="C27" i="28"/>
  <c r="G27" i="28" s="1"/>
  <c r="J27" i="28" s="1"/>
  <c r="M27" i="28" s="1"/>
  <c r="O27" i="28" s="1"/>
  <c r="C28" i="28"/>
  <c r="G28" i="28" s="1"/>
  <c r="J28" i="28" s="1"/>
  <c r="M28" i="28" s="1"/>
  <c r="O28" i="28" s="1"/>
  <c r="J17" i="28"/>
  <c r="E31" i="28"/>
  <c r="E26" i="28"/>
  <c r="E23" i="28"/>
  <c r="P14" i="28"/>
  <c r="P7" i="28"/>
  <c r="E27" i="28"/>
  <c r="F11" i="28"/>
  <c r="M11" i="28"/>
  <c r="E28" i="28"/>
  <c r="AC14" i="28"/>
  <c r="AC7" i="28"/>
  <c r="C31" i="28"/>
  <c r="G31" i="28" s="1"/>
  <c r="J31" i="28" s="1"/>
  <c r="M31" i="28" s="1"/>
  <c r="O31" i="28" s="1"/>
  <c r="C30" i="28"/>
  <c r="G30" i="28" s="1"/>
  <c r="J30" i="28" s="1"/>
  <c r="M30" i="28" s="1"/>
  <c r="O30" i="28" s="1"/>
  <c r="O25" i="28"/>
  <c r="M25" i="28"/>
  <c r="E30" i="28"/>
  <c r="F17" i="28"/>
  <c r="M17" i="28"/>
  <c r="P8" i="28" l="1"/>
  <c r="P15" i="28" s="1"/>
  <c r="P9" i="28"/>
  <c r="AC9" i="28"/>
  <c r="AC8" i="28"/>
  <c r="AC15" i="28" s="1"/>
  <c r="C54" i="27" l="1"/>
  <c r="C55" i="27" s="1"/>
  <c r="C41" i="27" l="1"/>
  <c r="C45" i="27" s="1"/>
  <c r="C53" i="27"/>
  <c r="C56" i="27" s="1"/>
  <c r="C57" i="27" s="1"/>
  <c r="D41" i="27"/>
  <c r="D45" i="27" s="1"/>
  <c r="D54" i="27"/>
  <c r="D53" i="27"/>
  <c r="D56" i="27" s="1"/>
  <c r="D57" i="27" s="1"/>
  <c r="E53" i="27"/>
  <c r="E56" i="27" s="1"/>
  <c r="E57" i="27" s="1"/>
  <c r="E41" i="27"/>
  <c r="E45" i="27" s="1"/>
  <c r="D55" i="27" l="1"/>
  <c r="E54" i="27"/>
  <c r="E55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5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B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B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B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B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B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B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B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B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B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B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B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B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B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B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B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B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B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B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B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B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B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B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B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B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B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B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B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B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C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C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C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C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C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C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C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C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C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C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C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C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C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C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C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C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C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C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C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C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C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C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C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C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C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C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C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C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C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C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C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C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C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C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C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  <author>Conte, Chris</author>
  </authors>
  <commentList>
    <comment ref="AF9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D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D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D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D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D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D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D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D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D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D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D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D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D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D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D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D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D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D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D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D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D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D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D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D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D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D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D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D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D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D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D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D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D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D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D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  <comment ref="AM43" authorId="2" shapeId="0" xr:uid="{0C8296B5-7107-4117-B5FA-EB79110AD340}">
      <text>
        <r>
          <rPr>
            <b/>
            <sz val="9"/>
            <color indexed="81"/>
            <rFont val="Tahoma"/>
            <charset val="1"/>
          </rPr>
          <t>Conte, Chris: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E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E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E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E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E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E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E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E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E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E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E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E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E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E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E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E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E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E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E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E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E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E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E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E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E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E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E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E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E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E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E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E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E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E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E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F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F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F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F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F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F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F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F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F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F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F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F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F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F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F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F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F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F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F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F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F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F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F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F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F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F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F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F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F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F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F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F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F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F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Conte, Chris</author>
  </authors>
  <commentList>
    <comment ref="AD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V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Pricing changed to Liquid Lb in 2016 from Liquid Gal.</t>
        </r>
      </text>
    </comment>
    <comment ref="L23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V2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2019 1st quarter pricing per P.O. 19P0032.</t>
        </r>
      </text>
    </comment>
    <comment ref="L2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4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4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4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4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4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4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4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4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4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4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4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4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4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4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5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5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5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5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5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5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5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5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5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5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5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5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5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5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6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6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6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6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6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6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6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6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6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6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6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6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6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6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6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6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6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6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6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6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6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6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6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6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6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6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6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6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7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7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7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7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7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7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7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7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7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7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7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7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7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7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7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7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7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7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7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7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7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7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7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7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7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7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7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8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8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8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8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8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8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8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8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8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8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8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8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8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8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8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8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8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8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  <author>Linder, Kevin</author>
  </authors>
  <commentList>
    <comment ref="B39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39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39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39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39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39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39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39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39" authorId="0" shapeId="0" xr:uid="{00000000-0006-0000-09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39" authorId="0" shapeId="0" xr:uid="{00000000-0006-0000-09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39" authorId="0" shapeId="0" xr:uid="{00000000-0006-0000-09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39" authorId="0" shapeId="0" xr:uid="{00000000-0006-0000-09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39" authorId="0" shapeId="0" xr:uid="{00000000-0006-0000-09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39" authorId="0" shapeId="0" xr:uid="{00000000-0006-0000-09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39" authorId="0" shapeId="0" xr:uid="{00000000-0006-0000-09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39" authorId="0" shapeId="0" xr:uid="{00000000-0006-0000-09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39" authorId="0" shapeId="0" xr:uid="{00000000-0006-0000-09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39" authorId="0" shapeId="0" xr:uid="{00000000-0006-0000-09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39" authorId="0" shapeId="0" xr:uid="{00000000-0006-0000-09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39" authorId="0" shapeId="0" xr:uid="{00000000-0006-0000-09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39" authorId="0" shapeId="0" xr:uid="{00000000-0006-0000-09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39" authorId="0" shapeId="0" xr:uid="{00000000-0006-0000-09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39" authorId="0" shapeId="0" xr:uid="{00000000-0006-0000-09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39" authorId="0" shapeId="0" xr:uid="{00000000-0006-0000-09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39" authorId="0" shapeId="0" xr:uid="{00000000-0006-0000-09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39" authorId="0" shapeId="0" xr:uid="{00000000-0006-0000-09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39" authorId="0" shapeId="0" xr:uid="{00000000-0006-0000-09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39" authorId="0" shapeId="0" xr:uid="{00000000-0006-0000-09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39" authorId="0" shapeId="0" xr:uid="{00000000-0006-0000-09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39" authorId="0" shapeId="0" xr:uid="{00000000-0006-0000-09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39" authorId="0" shapeId="0" xr:uid="{00000000-0006-0000-09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39" authorId="0" shapeId="0" xr:uid="{00000000-0006-0000-09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39" authorId="0" shapeId="0" xr:uid="{00000000-0006-0000-09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39" authorId="0" shapeId="0" xr:uid="{00000000-0006-0000-09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39" authorId="0" shapeId="0" xr:uid="{00000000-0006-0000-09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1" authorId="0" shapeId="0" xr:uid="{00000000-0006-0000-09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  <comment ref="AN41" authorId="1" shapeId="0" xr:uid="{00000000-0006-0000-0900-000025000000}">
      <text>
        <r>
          <rPr>
            <b/>
            <sz val="9"/>
            <color indexed="81"/>
            <rFont val="Tahoma"/>
            <family val="2"/>
          </rPr>
          <t>Linder, Kevin: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A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A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A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A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A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A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A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A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A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A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A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A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A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A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A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A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A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A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A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A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A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A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A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A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A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A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A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A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<sst xmlns="http://schemas.openxmlformats.org/spreadsheetml/2006/main" count="2325" uniqueCount="235">
  <si>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</si>
  <si>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</si>
  <si>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</si>
  <si>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</si>
  <si>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</si>
  <si>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</si>
  <si>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</si>
  <si>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</si>
  <si>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</si>
  <si>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</si>
  <si>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</si>
  <si>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</si>
  <si>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</si>
  <si>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</si>
  <si>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</si>
  <si>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</si>
  <si>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</si>
  <si>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</si>
  <si>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</si>
  <si>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</si>
  <si>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</si>
  <si>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</si>
  <si>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</si>
  <si>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</si>
  <si>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</si>
  <si>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</si>
  <si>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</si>
  <si>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</si>
  <si>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</si>
  <si>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</si>
  <si>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</si>
  <si>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</si>
  <si>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</si>
  <si>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</si>
  <si>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</si>
  <si>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</si>
  <si>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</si>
  <si>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</si>
  <si>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</si>
  <si>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</si>
  <si>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</si>
  <si>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</si>
  <si>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</si>
  <si>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</si>
  <si>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</si>
  <si>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</si>
  <si>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</si>
  <si>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</si>
  <si>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</si>
  <si>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</si>
  <si>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</si>
  <si>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</si>
  <si>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</si>
  <si>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</si>
  <si>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</si>
  <si>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</si>
  <si>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</si>
  <si>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</si>
  <si>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</si>
  <si>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</si>
  <si>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</si>
  <si>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</si>
  <si>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</si>
  <si>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</si>
  <si>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</si>
  <si>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</si>
  <si>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</si>
  <si>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</si>
  <si>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</si>
  <si>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</si>
  <si>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</si>
  <si>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</si>
  <si>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</si>
  <si>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</si>
  <si>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</si>
  <si>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</si>
  <si>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</si>
  <si>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</si>
  <si>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</si>
  <si>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</si>
  <si>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</si>
  <si>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</si>
  <si>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</si>
  <si>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</si>
  <si>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</si>
  <si>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</si>
  <si>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</si>
  <si>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</si>
  <si>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</si>
  <si>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</si>
  <si>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</si>
  <si>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</si>
  <si>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</si>
  <si>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</si>
  <si>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</si>
  <si>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</si>
  <si>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</si>
  <si>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</si>
  <si>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</si>
  <si>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</si>
  <si>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</si>
  <si>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</si>
  <si>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</si>
  <si>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</si>
  <si>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</si>
  <si>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</si>
  <si>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</si>
  <si>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</si>
  <si>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</si>
  <si>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</si>
  <si>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</si>
  <si>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</si>
  <si>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</si>
  <si>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</si>
  <si>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</si>
  <si>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</si>
  <si>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</si>
  <si>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</si>
  <si>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</si>
  <si>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</si>
  <si>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</si>
  <si>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</si>
  <si>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</si>
  <si>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</si>
  <si>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</si>
  <si>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</si>
  <si>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</si>
  <si>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</si>
  <si>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</si>
  <si>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</si>
  <si>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</si>
  <si>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</si>
  <si>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</si>
  <si>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</si>
  <si>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</si>
  <si>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</si>
  <si>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</si>
  <si>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</si>
  <si>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</si>
  <si>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</si>
  <si>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</si>
  <si>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</si>
  <si>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</si>
  <si>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</si>
  <si>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</si>
  <si>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</si>
  <si>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</si>
  <si>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</si>
  <si>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</si>
  <si>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</si>
  <si>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</si>
  <si>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</si>
  <si>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</si>
  <si>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</si>
  <si>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</si>
  <si>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</si>
  <si>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</si>
  <si>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</si>
  <si>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</si>
  <si>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</si>
  <si>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</si>
  <si>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</si>
  <si>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</si>
  <si>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</si>
  <si>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</si>
  <si>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</si>
  <si>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</si>
  <si>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</si>
  <si>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</si>
  <si>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</si>
  <si>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</si>
  <si>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</si>
  <si>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</si>
  <si>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</si>
  <si>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</si>
  <si>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</si>
  <si>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</si>
  <si>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</si>
  <si>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</si>
  <si>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</si>
  <si>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</si>
  <si>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</si>
  <si>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</si>
  <si>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</si>
  <si>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</si>
  <si>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</si>
  <si>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</si>
  <si>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</si>
  <si>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</si>
  <si>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</si>
  <si>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</si>
  <si>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</si>
  <si>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</si>
  <si>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</si>
  <si>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</si>
  <si>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</si>
  <si>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</si>
  <si>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</si>
  <si>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</si>
  <si>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</si>
  <si>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</si>
  <si>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</si>
  <si>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</si>
  <si>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</si>
  <si>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</si>
  <si>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</si>
  <si>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</si>
  <si>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</si>
  <si>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</si>
  <si>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</si>
  <si>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</si>
  <si>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</si>
  <si>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</si>
  <si>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</si>
  <si>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</si>
  <si>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</si>
  <si>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</si>
  <si>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</si>
  <si>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</si>
  <si>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</si>
  <si>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</si>
  <si>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RWSP Flow to Process</t>
  </si>
  <si>
    <t>RWAR Flow to Process</t>
  </si>
  <si>
    <t>Total Treated (MG)</t>
  </si>
  <si>
    <t>RWSP to Process (MG)</t>
  </si>
  <si>
    <t>RWAR to Process (MG)</t>
  </si>
  <si>
    <t>RWSP to Process</t>
  </si>
  <si>
    <t>RWAR to Process</t>
  </si>
  <si>
    <t xml:space="preserve">RWAR to Process </t>
  </si>
  <si>
    <t>Raw Flow To Process</t>
  </si>
  <si>
    <t>RWAR To Process</t>
  </si>
  <si>
    <t>RWSP To Process</t>
  </si>
  <si>
    <t>2018 YTD Finished Delivered Flows (MG) &amp; Ratios</t>
  </si>
  <si>
    <t>2018 YTD Treated Raw Water Flows (MG)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</si>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</sst>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[$-409]mmmm\-yy;@"/>
    <numFmt numFmtId="172" formatCode="m/d/yyyy;@"/>
    <numFmt numFmtId="173" formatCode="&quot;$&quot;#,##0.00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7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rgb="FF00B050"/>
      </left>
      <right/>
      <top style="thick">
        <color rgb="FF00B050"/>
      </top>
      <bottom style="thin">
        <color indexed="64"/>
      </bottom>
      <diagonal/>
    </border>
    <border>
      <left style="thin">
        <color indexed="64"/>
      </left>
      <right/>
      <top style="thick">
        <color rgb="FF00B050"/>
      </top>
      <bottom style="thin">
        <color indexed="64"/>
      </bottom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22" fillId="0" borderId="0"/>
    <xf numFmtId="43" fontId="23" fillId="0" borderId="0" applyFont="0" applyFill="0" applyBorder="0" applyAlignment="0" applyProtection="0"/>
    <xf numFmtId="0" fontId="25" fillId="0" borderId="0"/>
  </cellStyleXfs>
  <cellXfs count="624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3" borderId="0" xfId="0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28" xfId="0" applyNumberFormat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Border="1" applyAlignment="1" applyProtection="1">
      <alignment horizontal="center" vertical="center"/>
      <protection locked="0"/>
    </xf>
    <xf numFmtId="2" fontId="0" fillId="0" borderId="45" xfId="0" applyNumberFormat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/>
    <xf numFmtId="167" fontId="0" fillId="7" borderId="87" xfId="0" applyNumberFormat="1" applyFill="1" applyBorder="1" applyAlignment="1">
      <alignment horizontal="center"/>
    </xf>
    <xf numFmtId="167" fontId="0" fillId="7" borderId="88" xfId="0" applyNumberForma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12" fillId="22" borderId="55" xfId="0" applyFont="1" applyFill="1" applyBorder="1"/>
    <xf numFmtId="0" fontId="12" fillId="22" borderId="66" xfId="0" applyFont="1" applyFill="1" applyBorder="1"/>
    <xf numFmtId="167" fontId="13" fillId="23" borderId="123" xfId="0" applyNumberFormat="1" applyFont="1" applyFill="1" applyBorder="1" applyAlignment="1">
      <alignment horizontal="center"/>
    </xf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0" fillId="0" borderId="5" xfId="0" applyNumberFormat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2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Alignment="1">
      <alignment vertical="center"/>
    </xf>
    <xf numFmtId="167" fontId="0" fillId="0" borderId="95" xfId="0" applyNumberFormat="1" applyBorder="1"/>
    <xf numFmtId="167" fontId="0" fillId="0" borderId="95" xfId="0" applyNumberFormat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165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48" xfId="0" applyNumberFormat="1" applyFill="1" applyBorder="1" applyAlignment="1">
      <alignment horizontal="right"/>
    </xf>
    <xf numFmtId="0" fontId="0" fillId="0" borderId="95" xfId="0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4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/>
    <xf numFmtId="0" fontId="0" fillId="0" borderId="154" xfId="0" applyBorder="1" applyAlignment="1">
      <alignment horizontal="center" vertical="center" wrapText="1"/>
    </xf>
    <xf numFmtId="165" fontId="0" fillId="0" borderId="155" xfId="0" applyNumberFormat="1" applyBorder="1" applyAlignment="1">
      <alignment horizontal="center"/>
    </xf>
    <xf numFmtId="165" fontId="0" fillId="0" borderId="156" xfId="0" applyNumberFormat="1" applyBorder="1" applyAlignment="1">
      <alignment horizontal="center"/>
    </xf>
    <xf numFmtId="165" fontId="0" fillId="0" borderId="157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48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4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0" xfId="0" applyNumberFormat="1" applyFill="1" applyBorder="1" applyAlignment="1">
      <alignment horizontal="center"/>
    </xf>
    <xf numFmtId="0" fontId="0" fillId="27" borderId="148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1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5" fontId="0" fillId="24" borderId="167" xfId="0" applyNumberFormat="1" applyFill="1" applyBorder="1" applyAlignment="1">
      <alignment horizontal="center"/>
    </xf>
    <xf numFmtId="165" fontId="0" fillId="24" borderId="37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2" fontId="21" fillId="0" borderId="22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/>
    </xf>
    <xf numFmtId="2" fontId="21" fillId="0" borderId="23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vertical="center"/>
    </xf>
    <xf numFmtId="2" fontId="21" fillId="0" borderId="43" xfId="0" applyNumberFormat="1" applyFont="1" applyBorder="1" applyAlignment="1">
      <alignment horizontal="center"/>
    </xf>
    <xf numFmtId="2" fontId="21" fillId="0" borderId="4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2" fontId="0" fillId="0" borderId="158" xfId="0" applyNumberFormat="1" applyBorder="1" applyAlignment="1" applyProtection="1">
      <alignment horizontal="center" vertical="center"/>
      <protection locked="0"/>
    </xf>
    <xf numFmtId="2" fontId="0" fillId="0" borderId="168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Border="1" applyAlignment="1" applyProtection="1">
      <alignment horizontal="center" vertical="center"/>
      <protection locked="0"/>
    </xf>
    <xf numFmtId="2" fontId="0" fillId="0" borderId="151" xfId="0" applyNumberFormat="1" applyBorder="1" applyAlignment="1" applyProtection="1">
      <alignment horizontal="center" vertical="center"/>
      <protection locked="0"/>
    </xf>
    <xf numFmtId="2" fontId="0" fillId="0" borderId="170" xfId="0" applyNumberFormat="1" applyBorder="1" applyAlignment="1" applyProtection="1">
      <alignment horizontal="center" vertical="center"/>
      <protection locked="0"/>
    </xf>
    <xf numFmtId="2" fontId="0" fillId="0" borderId="130" xfId="0" applyNumberFormat="1" applyBorder="1" applyAlignment="1" applyProtection="1">
      <alignment horizontal="center" vertical="center"/>
      <protection locked="0"/>
    </xf>
    <xf numFmtId="2" fontId="0" fillId="0" borderId="3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45" xfId="0" applyBorder="1" applyAlignment="1">
      <alignment horizontal="center" vertical="center"/>
    </xf>
    <xf numFmtId="0" fontId="9" fillId="2" borderId="54" xfId="0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 vertical="center"/>
    </xf>
    <xf numFmtId="14" fontId="0" fillId="0" borderId="0" xfId="0" applyNumberFormat="1"/>
    <xf numFmtId="164" fontId="4" fillId="14" borderId="94" xfId="0" applyNumberFormat="1" applyFont="1" applyFill="1" applyBorder="1" applyAlignment="1">
      <alignment horizontal="center" vertical="center" textRotation="90"/>
    </xf>
    <xf numFmtId="4" fontId="0" fillId="27" borderId="163" xfId="0" applyNumberFormat="1" applyFill="1" applyBorder="1" applyAlignment="1">
      <alignment horizontal="center"/>
    </xf>
    <xf numFmtId="4" fontId="0" fillId="27" borderId="164" xfId="0" applyNumberFormat="1" applyFill="1" applyBorder="1" applyAlignment="1">
      <alignment horizontal="center"/>
    </xf>
    <xf numFmtId="2" fontId="0" fillId="0" borderId="42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4" fontId="24" fillId="0" borderId="0" xfId="1" applyNumberFormat="1" applyFont="1" applyAlignment="1">
      <alignment horizontal="center"/>
    </xf>
    <xf numFmtId="2" fontId="0" fillId="0" borderId="22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43" xfId="0" applyNumberFormat="1" applyBorder="1" applyAlignment="1" applyProtection="1">
      <alignment horizontal="center"/>
      <protection locked="0"/>
    </xf>
    <xf numFmtId="2" fontId="0" fillId="0" borderId="17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" fontId="4" fillId="5" borderId="22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4" fontId="4" fillId="5" borderId="23" xfId="0" applyNumberFormat="1" applyFont="1" applyFill="1" applyBorder="1" applyAlignment="1">
      <alignment horizontal="center" vertical="center"/>
    </xf>
    <xf numFmtId="4" fontId="4" fillId="5" borderId="22" xfId="0" applyNumberFormat="1" applyFont="1" applyFill="1" applyBorder="1" applyAlignment="1">
      <alignment horizontal="center"/>
    </xf>
    <xf numFmtId="4" fontId="4" fillId="5" borderId="4" xfId="0" applyNumberFormat="1" applyFont="1" applyFill="1" applyBorder="1" applyAlignment="1">
      <alignment horizontal="center"/>
    </xf>
    <xf numFmtId="4" fontId="4" fillId="5" borderId="40" xfId="0" applyNumberFormat="1" applyFont="1" applyFill="1" applyBorder="1" applyAlignment="1">
      <alignment horizontal="center"/>
    </xf>
    <xf numFmtId="4" fontId="4" fillId="5" borderId="23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4" fillId="7" borderId="43" xfId="0" applyNumberFormat="1" applyFont="1" applyFill="1" applyBorder="1" applyAlignment="1">
      <alignment horizontal="center" vertical="center"/>
    </xf>
    <xf numFmtId="2" fontId="0" fillId="0" borderId="33" xfId="0" applyNumberFormat="1" applyBorder="1" applyAlignment="1" applyProtection="1">
      <alignment horizontal="center" vertical="center"/>
      <protection locked="0"/>
    </xf>
    <xf numFmtId="2" fontId="0" fillId="0" borderId="34" xfId="0" applyNumberFormat="1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center" vertical="center"/>
      <protection locked="0"/>
    </xf>
    <xf numFmtId="2" fontId="0" fillId="0" borderId="172" xfId="0" applyNumberFormat="1" applyBorder="1" applyAlignment="1" applyProtection="1">
      <alignment horizontal="center" vertical="center"/>
      <protection locked="0"/>
    </xf>
    <xf numFmtId="2" fontId="0" fillId="0" borderId="38" xfId="0" applyNumberFormat="1" applyBorder="1" applyAlignment="1" applyProtection="1">
      <alignment horizontal="center" vertical="center"/>
      <protection locked="0"/>
    </xf>
    <xf numFmtId="2" fontId="0" fillId="0" borderId="63" xfId="0" applyNumberFormat="1" applyBorder="1" applyAlignment="1" applyProtection="1">
      <alignment horizontal="center" vertical="center"/>
      <protection locked="0"/>
    </xf>
    <xf numFmtId="2" fontId="0" fillId="0" borderId="65" xfId="0" applyNumberForma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>
      <alignment horizontal="center"/>
    </xf>
    <xf numFmtId="2" fontId="0" fillId="0" borderId="147" xfId="0" applyNumberFormat="1" applyBorder="1" applyAlignment="1" applyProtection="1">
      <alignment horizontal="center" vertical="center"/>
      <protection locked="0"/>
    </xf>
    <xf numFmtId="2" fontId="0" fillId="0" borderId="76" xfId="0" applyNumberFormat="1" applyBorder="1" applyAlignment="1" applyProtection="1">
      <alignment horizontal="center" vertical="center"/>
      <protection locked="0"/>
    </xf>
    <xf numFmtId="2" fontId="0" fillId="0" borderId="173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0" borderId="42" xfId="0" applyBorder="1" applyAlignment="1">
      <alignment horizontal="center"/>
    </xf>
    <xf numFmtId="172" fontId="0" fillId="0" borderId="96" xfId="0" applyNumberFormat="1" applyBorder="1" applyAlignment="1">
      <alignment horizontal="right"/>
    </xf>
    <xf numFmtId="172" fontId="0" fillId="0" borderId="0" xfId="0" applyNumberFormat="1" applyAlignment="1">
      <alignment horizontal="right" vertical="center"/>
    </xf>
    <xf numFmtId="170" fontId="0" fillId="24" borderId="165" xfId="0" applyNumberFormat="1" applyFill="1" applyBorder="1" applyAlignment="1">
      <alignment horizontal="center"/>
    </xf>
    <xf numFmtId="170" fontId="0" fillId="24" borderId="166" xfId="0" applyNumberFormat="1" applyFill="1" applyBorder="1" applyAlignment="1">
      <alignment horizontal="center"/>
    </xf>
    <xf numFmtId="170" fontId="0" fillId="24" borderId="136" xfId="0" applyNumberFormat="1" applyFill="1" applyBorder="1" applyAlignment="1">
      <alignment horizontal="center"/>
    </xf>
    <xf numFmtId="173" fontId="0" fillId="24" borderId="139" xfId="0" applyNumberFormat="1" applyFill="1" applyBorder="1" applyAlignment="1">
      <alignment horizontal="center"/>
    </xf>
    <xf numFmtId="173" fontId="0" fillId="24" borderId="140" xfId="0" applyNumberFormat="1" applyFill="1" applyBorder="1" applyAlignment="1">
      <alignment horizontal="center"/>
    </xf>
    <xf numFmtId="173" fontId="0" fillId="24" borderId="141" xfId="0" applyNumberFormat="1" applyFill="1" applyBorder="1" applyAlignment="1">
      <alignment horizontal="center"/>
    </xf>
    <xf numFmtId="0" fontId="16" fillId="0" borderId="153" xfId="0" applyFont="1" applyBorder="1" applyAlignment="1">
      <alignment horizontal="center" vertical="center" textRotation="75"/>
    </xf>
    <xf numFmtId="0" fontId="16" fillId="0" borderId="158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2" xfId="0" applyBorder="1"/>
    <xf numFmtId="0" fontId="16" fillId="0" borderId="150" xfId="0" applyFont="1" applyBorder="1" applyAlignment="1">
      <alignment horizontal="center" vertical="center" textRotation="75"/>
    </xf>
    <xf numFmtId="0" fontId="16" fillId="0" borderId="151" xfId="0" applyFont="1" applyBorder="1" applyAlignment="1">
      <alignment horizontal="center" vertical="center" textRotation="75"/>
    </xf>
    <xf numFmtId="0" fontId="0" fillId="0" borderId="152" xfId="0" applyBorder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5" fillId="14" borderId="86" xfId="0" applyFont="1" applyFill="1" applyBorder="1" applyAlignment="1">
      <alignment horizontal="center" vertical="center" wrapText="1"/>
    </xf>
    <xf numFmtId="0" fontId="15" fillId="14" borderId="87" xfId="0" applyFont="1" applyFill="1" applyBorder="1" applyAlignment="1">
      <alignment horizontal="center" vertical="center" wrapText="1"/>
    </xf>
    <xf numFmtId="0" fontId="15" fillId="14" borderId="88" xfId="0" applyFont="1" applyFill="1" applyBorder="1" applyAlignment="1">
      <alignment horizontal="center" vertical="center" wrapText="1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6" xfId="0" applyNumberFormat="1" applyFont="1" applyBorder="1" applyAlignment="1">
      <alignment horizontal="center" vertical="center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3" borderId="116" xfId="0" applyFont="1" applyFill="1" applyBorder="1" applyAlignment="1">
      <alignment horizontal="center" vertical="center"/>
    </xf>
    <xf numFmtId="0" fontId="4" fillId="13" borderId="134" xfId="0" applyFont="1" applyFill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3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Border="1" applyAlignment="1">
      <alignment horizontal="center"/>
    </xf>
    <xf numFmtId="166" fontId="0" fillId="0" borderId="95" xfId="0" applyNumberFormat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90" xfId="0" applyFont="1" applyFill="1" applyBorder="1" applyAlignment="1">
      <alignment horizontal="left"/>
    </xf>
    <xf numFmtId="0" fontId="4" fillId="24" borderId="64" xfId="0" applyFont="1" applyFill="1" applyBorder="1" applyAlignment="1">
      <alignment horizontal="left"/>
    </xf>
    <xf numFmtId="0" fontId="4" fillId="24" borderId="130" xfId="0" applyFont="1" applyFill="1" applyBorder="1" applyAlignment="1">
      <alignment horizontal="left"/>
    </xf>
    <xf numFmtId="165" fontId="0" fillId="22" borderId="30" xfId="0" applyNumberFormat="1" applyFill="1" applyBorder="1" applyAlignment="1">
      <alignment horizontal="center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16" xfId="0" applyFont="1" applyFill="1" applyBorder="1" applyAlignment="1">
      <alignment horizontal="left"/>
    </xf>
    <xf numFmtId="0" fontId="4" fillId="24" borderId="117" xfId="0" applyFont="1" applyFill="1" applyBorder="1" applyAlignment="1">
      <alignment horizontal="left"/>
    </xf>
    <xf numFmtId="0" fontId="4" fillId="24" borderId="26" xfId="0" applyFont="1" applyFill="1" applyBorder="1" applyAlignment="1">
      <alignment horizontal="left"/>
    </xf>
    <xf numFmtId="0" fontId="4" fillId="0" borderId="95" xfId="0" applyFont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0" borderId="121" xfId="0" applyFont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5" xfId="0" applyBorder="1" applyAlignment="1">
      <alignment vertical="center"/>
    </xf>
    <xf numFmtId="165" fontId="10" fillId="0" borderId="66" xfId="0" applyNumberFormat="1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171" fontId="11" fillId="0" borderId="55" xfId="0" applyNumberFormat="1" applyFont="1" applyBorder="1" applyAlignment="1">
      <alignment horizontal="center" vertical="center"/>
    </xf>
    <xf numFmtId="171" fontId="0" fillId="0" borderId="66" xfId="0" applyNumberFormat="1" applyBorder="1" applyAlignment="1">
      <alignment horizontal="center" vertical="center"/>
    </xf>
    <xf numFmtId="171" fontId="0" fillId="0" borderId="56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13" xfId="0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/>
    <xf numFmtId="0" fontId="0" fillId="0" borderId="10" xfId="0" applyBorder="1"/>
    <xf numFmtId="0" fontId="2" fillId="0" borderId="14" xfId="0" applyFont="1" applyBorder="1"/>
    <xf numFmtId="0" fontId="2" fillId="0" borderId="5" xfId="0" applyFont="1" applyBorder="1"/>
    <xf numFmtId="0" fontId="0" fillId="0" borderId="5" xfId="0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146" xfId="0" applyFont="1" applyBorder="1" applyAlignment="1">
      <alignment horizontal="left"/>
    </xf>
    <xf numFmtId="0" fontId="4" fillId="22" borderId="147" xfId="0" applyFont="1" applyFill="1" applyBorder="1" applyAlignment="1">
      <alignment horizontal="left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1000000}"/>
  </cellStyles>
  <dxfs count="0"/>
  <tableStyles count="0" defaultTableStyle="TableStyleMedium9" defaultPivotStyle="PivotStyleLight16"/>
  <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10</xdr:col>
          <xdr:colOff>476250</xdr:colOff>
          <xdr:row>45</xdr:row>
          <xdr:rowOff>57150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95250</xdr:colOff>
          <xdr:row>45</xdr:row>
          <xdr:rowOff>28575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0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361950</xdr:colOff>
          <xdr:row>42</xdr:row>
          <xdr:rowOff>114300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2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0</xdr:row>
          <xdr:rowOff>0</xdr:rowOff>
        </xdr:from>
        <xdr:to>
          <xdr:col>20</xdr:col>
          <xdr:colOff>466725</xdr:colOff>
          <xdr:row>31</xdr:row>
          <xdr:rowOff>85725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2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files\Dept\Utilities%20Department\Divisions\Water%20Treatment\Binney\BWPF%20Operating%20Reports\BWPF%20Flow%20Reports%20and%20Query%20Tool\BWPF%20Monthly%20Plant%20Flows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3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10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95250</xdr:colOff>
                <xdr:row>45</xdr:row>
                <xdr:rowOff>28575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60"/>
  <sheetViews>
    <sheetView topLeftCell="A36" zoomScale="75" zoomScaleNormal="75" workbookViewId="0">
      <selection activeCell="K46" sqref="K46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3" width="15.140625" customWidth="1"/>
    <col min="44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</row>
    <row r="2" spans="1:49" ht="15" customHeight="1" x14ac:dyDescent="0.25">
      <c r="A2" s="1" t="s">
        <v>2</v>
      </c>
      <c r="B2" s="4"/>
    </row>
    <row r="3" spans="1:49" ht="15.75" thickBot="1" x14ac:dyDescent="0.3">
      <c r="A3" s="5"/>
    </row>
    <row r="4" spans="1:49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  <c r="AV4" t="s">
        <v>169</v>
      </c>
      <c r="AW4" s="302" t="s">
        <v>207</v>
      </c>
    </row>
    <row r="5" spans="1:49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49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49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49" x14ac:dyDescent="0.25">
      <c r="A8" s="9">
        <v>44713</v>
      </c>
      <c r="B8" s="45"/>
      <c r="C8" s="46">
        <v>73.11750942468629</v>
      </c>
      <c r="D8" s="46">
        <v>891.62317136128775</v>
      </c>
      <c r="E8" s="46">
        <v>17.502744541565548</v>
      </c>
      <c r="F8" s="46">
        <v>0</v>
      </c>
      <c r="G8" s="46">
        <v>2273.243479283653</v>
      </c>
      <c r="H8" s="47">
        <v>27.811866738398852</v>
      </c>
      <c r="I8" s="45">
        <v>241.04981942176789</v>
      </c>
      <c r="J8" s="46">
        <v>584.9991289456683</v>
      </c>
      <c r="K8" s="46">
        <v>32.005099381009707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349.40579958820524</v>
      </c>
      <c r="V8" s="50">
        <v>152.84203599494936</v>
      </c>
      <c r="W8" s="50">
        <v>68.807322617500333</v>
      </c>
      <c r="X8" s="50">
        <v>30.098674070706775</v>
      </c>
      <c r="Y8" s="50">
        <v>270.26371745282825</v>
      </c>
      <c r="Z8" s="50">
        <v>118.22258497064857</v>
      </c>
      <c r="AA8" s="51">
        <v>0</v>
      </c>
      <c r="AB8" s="52">
        <v>101.60061473846534</v>
      </c>
      <c r="AC8" s="53">
        <v>0</v>
      </c>
      <c r="AD8" s="358">
        <v>16.554224431056404</v>
      </c>
      <c r="AE8" s="358">
        <v>6.9558059880544798</v>
      </c>
      <c r="AF8" s="53">
        <v>23.114148974418676</v>
      </c>
      <c r="AG8" s="53">
        <v>15.872384308061282</v>
      </c>
      <c r="AH8" s="53">
        <v>6.9431232583932889</v>
      </c>
      <c r="AI8" s="53">
        <v>0.69568403253050137</v>
      </c>
      <c r="AJ8" s="53">
        <v>214.7594092528025</v>
      </c>
      <c r="AK8" s="53">
        <v>765.26249965031923</v>
      </c>
      <c r="AL8" s="53">
        <v>2729.7572616577145</v>
      </c>
      <c r="AM8" s="53">
        <v>542.19891357421875</v>
      </c>
      <c r="AN8" s="53">
        <v>5333.5645751953125</v>
      </c>
      <c r="AO8" s="53">
        <v>2776.9603794097893</v>
      </c>
      <c r="AP8" s="53">
        <v>535.90288246472676</v>
      </c>
      <c r="AQ8" s="53">
        <v>3022.3071339925127</v>
      </c>
      <c r="AR8" s="53">
        <v>379.37143046061198</v>
      </c>
      <c r="AS8" s="53">
        <v>620.2965444564818</v>
      </c>
    </row>
    <row r="9" spans="1:49" x14ac:dyDescent="0.25">
      <c r="A9" s="9">
        <v>44714</v>
      </c>
      <c r="B9" s="45"/>
      <c r="C9" s="46">
        <v>74.148295430342628</v>
      </c>
      <c r="D9" s="46">
        <v>899.56055800120089</v>
      </c>
      <c r="E9" s="46">
        <v>17.485938110450874</v>
      </c>
      <c r="F9" s="46">
        <v>0</v>
      </c>
      <c r="G9" s="46">
        <v>2273.6980654398621</v>
      </c>
      <c r="H9" s="47">
        <v>28.102889172236186</v>
      </c>
      <c r="I9" s="45">
        <v>221.55038446585343</v>
      </c>
      <c r="J9" s="46">
        <v>534.29848966598558</v>
      </c>
      <c r="K9" s="46">
        <v>29.2883120725552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316.29522641397381</v>
      </c>
      <c r="V9" s="54">
        <v>152.58733787639341</v>
      </c>
      <c r="W9" s="54">
        <v>60.877259872843908</v>
      </c>
      <c r="X9" s="54">
        <v>29.368445191293759</v>
      </c>
      <c r="Y9" s="54">
        <v>242.57560189752121</v>
      </c>
      <c r="Z9" s="54">
        <v>117.02347122641022</v>
      </c>
      <c r="AA9" s="57">
        <v>0</v>
      </c>
      <c r="AB9" s="58">
        <v>95.480149629381941</v>
      </c>
      <c r="AC9" s="52">
        <v>0</v>
      </c>
      <c r="AD9" s="359">
        <v>15.117798427775757</v>
      </c>
      <c r="AE9" s="359">
        <v>7.0150961613965075</v>
      </c>
      <c r="AF9" s="52">
        <v>21.54073961575828</v>
      </c>
      <c r="AG9" s="58">
        <v>14.317031844318942</v>
      </c>
      <c r="AH9" s="58">
        <v>6.9068313176403446</v>
      </c>
      <c r="AI9" s="58">
        <v>0.67457237803813941</v>
      </c>
      <c r="AJ9" s="52">
        <v>205.37696498235067</v>
      </c>
      <c r="AK9" s="52">
        <v>758.57312520345067</v>
      </c>
      <c r="AL9" s="52">
        <v>2695.9661102294917</v>
      </c>
      <c r="AM9" s="52">
        <v>555.26105737686146</v>
      </c>
      <c r="AN9" s="52">
        <v>5810.9858289082858</v>
      </c>
      <c r="AO9" s="52">
        <v>2769.9720662434897</v>
      </c>
      <c r="AP9" s="52">
        <v>512.57548341751101</v>
      </c>
      <c r="AQ9" s="52">
        <v>2806.1255404154458</v>
      </c>
      <c r="AR9" s="52">
        <v>391.3358858903249</v>
      </c>
      <c r="AS9" s="52">
        <v>719.68936112721758</v>
      </c>
    </row>
    <row r="10" spans="1:49" x14ac:dyDescent="0.25">
      <c r="A10" s="9">
        <v>44715</v>
      </c>
      <c r="B10" s="45"/>
      <c r="C10" s="46">
        <v>73.026658129691285</v>
      </c>
      <c r="D10" s="46">
        <v>893.04105733235667</v>
      </c>
      <c r="E10" s="46">
        <v>17.772264455755547</v>
      </c>
      <c r="F10" s="46">
        <v>0</v>
      </c>
      <c r="G10" s="46">
        <v>2279.5011882781996</v>
      </c>
      <c r="H10" s="47">
        <v>28.06566682656613</v>
      </c>
      <c r="I10" s="45">
        <v>170.4851294596987</v>
      </c>
      <c r="J10" s="46">
        <v>443.39229698181174</v>
      </c>
      <c r="K10" s="46">
        <v>24.151602507134228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270.66188024500519</v>
      </c>
      <c r="V10" s="54">
        <v>157.87623733329289</v>
      </c>
      <c r="W10" s="54">
        <v>51.231613193671244</v>
      </c>
      <c r="X10" s="54">
        <v>29.883241467952381</v>
      </c>
      <c r="Y10" s="54">
        <v>202.8373085004846</v>
      </c>
      <c r="Z10" s="54">
        <v>118.31437448037093</v>
      </c>
      <c r="AA10" s="57">
        <v>0</v>
      </c>
      <c r="AB10" s="58">
        <v>84.401769860586711</v>
      </c>
      <c r="AC10" s="52">
        <v>0</v>
      </c>
      <c r="AD10" s="359">
        <v>12.546393246411945</v>
      </c>
      <c r="AE10" s="359">
        <v>6.9656050948404662</v>
      </c>
      <c r="AF10" s="52">
        <v>19.287635861502764</v>
      </c>
      <c r="AG10" s="58">
        <v>12.000512240125525</v>
      </c>
      <c r="AH10" s="58">
        <v>6.9998616607116659</v>
      </c>
      <c r="AI10" s="58">
        <v>0.63159347825238121</v>
      </c>
      <c r="AJ10" s="52">
        <v>213.30089286168416</v>
      </c>
      <c r="AK10" s="52">
        <v>762.12144549687685</v>
      </c>
      <c r="AL10" s="52">
        <v>2722.4936828613286</v>
      </c>
      <c r="AM10" s="52">
        <v>559.05503409703579</v>
      </c>
      <c r="AN10" s="52">
        <v>6109.8887274424233</v>
      </c>
      <c r="AO10" s="52">
        <v>2752.8371406555179</v>
      </c>
      <c r="AP10" s="52">
        <v>511.64377803802489</v>
      </c>
      <c r="AQ10" s="52">
        <v>2402.8339954376215</v>
      </c>
      <c r="AR10" s="52">
        <v>402.26711260477708</v>
      </c>
      <c r="AS10" s="52">
        <v>732.58990192413341</v>
      </c>
    </row>
    <row r="11" spans="1:49" x14ac:dyDescent="0.25">
      <c r="A11" s="9">
        <v>44716</v>
      </c>
      <c r="B11" s="45"/>
      <c r="C11" s="46">
        <v>74.010000000000005</v>
      </c>
      <c r="D11" s="46">
        <v>896.83</v>
      </c>
      <c r="E11" s="46">
        <v>17.23</v>
      </c>
      <c r="F11" s="46">
        <v>0</v>
      </c>
      <c r="G11" s="46">
        <v>2308.85</v>
      </c>
      <c r="H11" s="47">
        <v>28.06</v>
      </c>
      <c r="I11" s="45">
        <v>170.63</v>
      </c>
      <c r="J11" s="46">
        <v>443.67</v>
      </c>
      <c r="K11" s="46">
        <v>24.23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267.08999999999997</v>
      </c>
      <c r="V11" s="54">
        <v>155.81</v>
      </c>
      <c r="W11" s="54">
        <v>50.32</v>
      </c>
      <c r="X11" s="54">
        <v>29.36</v>
      </c>
      <c r="Y11" s="54">
        <v>197.91</v>
      </c>
      <c r="Z11" s="54">
        <v>115.46</v>
      </c>
      <c r="AA11" s="57">
        <v>0</v>
      </c>
      <c r="AB11" s="58">
        <v>83.99</v>
      </c>
      <c r="AC11" s="52">
        <v>0</v>
      </c>
      <c r="AD11" s="359">
        <v>12.55</v>
      </c>
      <c r="AE11" s="359">
        <v>7</v>
      </c>
      <c r="AF11" s="52">
        <v>18.989999999999998</v>
      </c>
      <c r="AG11" s="58">
        <v>11.81</v>
      </c>
      <c r="AH11" s="58">
        <v>6.89</v>
      </c>
      <c r="AI11" s="58">
        <v>0.63</v>
      </c>
      <c r="AJ11" s="52">
        <v>215.19</v>
      </c>
      <c r="AK11" s="52">
        <v>763.34</v>
      </c>
      <c r="AL11" s="52">
        <v>2733.95</v>
      </c>
      <c r="AM11" s="52">
        <v>565.1</v>
      </c>
      <c r="AN11" s="52">
        <v>6261.14</v>
      </c>
      <c r="AO11" s="52">
        <v>2775.41</v>
      </c>
      <c r="AP11" s="52">
        <v>525.57000000000005</v>
      </c>
      <c r="AQ11" s="52">
        <v>2467.2199999999998</v>
      </c>
      <c r="AR11" s="52">
        <v>405.81</v>
      </c>
      <c r="AS11" s="52">
        <v>757.43</v>
      </c>
    </row>
    <row r="12" spans="1:49" x14ac:dyDescent="0.25">
      <c r="A12" s="9">
        <v>44717</v>
      </c>
      <c r="B12" s="45"/>
      <c r="C12" s="46">
        <v>73.876985236009673</v>
      </c>
      <c r="D12" s="46">
        <v>893.44391237894911</v>
      </c>
      <c r="E12" s="46">
        <v>17.20604503601789</v>
      </c>
      <c r="F12" s="46">
        <v>0</v>
      </c>
      <c r="G12" s="46">
        <v>2345.5198248545316</v>
      </c>
      <c r="H12" s="47">
        <v>27.972779172659013</v>
      </c>
      <c r="I12" s="45">
        <v>172.33209158579481</v>
      </c>
      <c r="J12" s="46">
        <v>443.7979201634725</v>
      </c>
      <c r="K12" s="46">
        <v>24.240908634662627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258.16339266538427</v>
      </c>
      <c r="V12" s="54">
        <v>152.19242076370733</v>
      </c>
      <c r="W12" s="54">
        <v>48.104883967919875</v>
      </c>
      <c r="X12" s="54">
        <v>28.35877955448267</v>
      </c>
      <c r="Y12" s="54">
        <v>191.62099805360253</v>
      </c>
      <c r="Z12" s="54">
        <v>112.9643643966791</v>
      </c>
      <c r="AA12" s="57">
        <v>0</v>
      </c>
      <c r="AB12" s="58">
        <v>83.738504558139169</v>
      </c>
      <c r="AC12" s="52">
        <v>0</v>
      </c>
      <c r="AD12" s="359">
        <v>12.557206514439926</v>
      </c>
      <c r="AE12" s="359">
        <v>6.9689228780755226</v>
      </c>
      <c r="AF12" s="52">
        <v>18.452586101823385</v>
      </c>
      <c r="AG12" s="58">
        <v>11.421134550730216</v>
      </c>
      <c r="AH12" s="58">
        <v>6.7329844762173945</v>
      </c>
      <c r="AI12" s="58">
        <v>0.62912083664191643</v>
      </c>
      <c r="AJ12" s="52">
        <v>214.91818224589028</v>
      </c>
      <c r="AK12" s="52">
        <v>774.46333214441927</v>
      </c>
      <c r="AL12" s="52">
        <v>2750.6439820607497</v>
      </c>
      <c r="AM12" s="52">
        <v>568.24107325871773</v>
      </c>
      <c r="AN12" s="52">
        <v>6294.0781199137373</v>
      </c>
      <c r="AO12" s="52">
        <v>2820.5204317728685</v>
      </c>
      <c r="AP12" s="52">
        <v>526.32030345598855</v>
      </c>
      <c r="AQ12" s="52">
        <v>2483.6219589233401</v>
      </c>
      <c r="AR12" s="52">
        <v>413.62117708524067</v>
      </c>
      <c r="AS12" s="52">
        <v>835.2384569168089</v>
      </c>
    </row>
    <row r="13" spans="1:49" x14ac:dyDescent="0.25">
      <c r="A13" s="9">
        <v>44718</v>
      </c>
      <c r="B13" s="45"/>
      <c r="C13" s="46">
        <v>76.17</v>
      </c>
      <c r="D13" s="46">
        <v>917.87</v>
      </c>
      <c r="E13" s="46">
        <v>17.88</v>
      </c>
      <c r="F13" s="46">
        <v>0</v>
      </c>
      <c r="G13" s="46">
        <v>2391.71</v>
      </c>
      <c r="H13" s="47">
        <v>28.94</v>
      </c>
      <c r="I13" s="45">
        <v>178.03</v>
      </c>
      <c r="J13" s="46">
        <v>445.42</v>
      </c>
      <c r="K13" s="46">
        <v>24.53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266.94</v>
      </c>
      <c r="V13" s="54">
        <v>154.69999999999999</v>
      </c>
      <c r="W13" s="54">
        <v>51.15</v>
      </c>
      <c r="X13" s="54">
        <v>29.64</v>
      </c>
      <c r="Y13" s="54">
        <v>198.98</v>
      </c>
      <c r="Z13" s="54">
        <v>115.32</v>
      </c>
      <c r="AA13" s="57">
        <v>0</v>
      </c>
      <c r="AB13" s="58">
        <v>84.56</v>
      </c>
      <c r="AC13" s="52">
        <v>0</v>
      </c>
      <c r="AD13" s="359">
        <v>12.61</v>
      </c>
      <c r="AE13" s="359">
        <v>7.29</v>
      </c>
      <c r="AF13" s="52">
        <v>18.940000000000001</v>
      </c>
      <c r="AG13" s="58">
        <v>11.77</v>
      </c>
      <c r="AH13" s="58">
        <v>6.82</v>
      </c>
      <c r="AI13" s="58">
        <v>0.63</v>
      </c>
      <c r="AJ13" s="52">
        <v>217.04</v>
      </c>
      <c r="AK13" s="52">
        <v>773.62</v>
      </c>
      <c r="AL13" s="52">
        <v>2736.15</v>
      </c>
      <c r="AM13" s="52">
        <v>566.48</v>
      </c>
      <c r="AN13" s="52">
        <v>6310.21</v>
      </c>
      <c r="AO13" s="52">
        <v>2770.35</v>
      </c>
      <c r="AP13" s="52">
        <v>505.74</v>
      </c>
      <c r="AQ13" s="52">
        <v>2480.1999999999998</v>
      </c>
      <c r="AR13" s="52">
        <v>426.62</v>
      </c>
      <c r="AS13" s="52">
        <v>788.68</v>
      </c>
    </row>
    <row r="14" spans="1:49" x14ac:dyDescent="0.25">
      <c r="A14" s="9">
        <v>44719</v>
      </c>
      <c r="B14" s="45"/>
      <c r="C14" s="46">
        <v>79.37</v>
      </c>
      <c r="D14" s="46">
        <v>940.59</v>
      </c>
      <c r="E14" s="46">
        <v>18.46</v>
      </c>
      <c r="F14" s="46">
        <v>0</v>
      </c>
      <c r="G14" s="46">
        <v>2488.7800000000002</v>
      </c>
      <c r="H14" s="47">
        <v>30.1</v>
      </c>
      <c r="I14" s="45">
        <v>183.37</v>
      </c>
      <c r="J14" s="46">
        <v>445.14</v>
      </c>
      <c r="K14" s="46">
        <v>24.43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267.77999999999997</v>
      </c>
      <c r="V14" s="54">
        <v>167.39</v>
      </c>
      <c r="W14" s="54">
        <v>51.64</v>
      </c>
      <c r="X14" s="54">
        <v>32.28</v>
      </c>
      <c r="Y14" s="54">
        <v>202.41</v>
      </c>
      <c r="Z14" s="54">
        <v>126.52</v>
      </c>
      <c r="AA14" s="57">
        <v>0</v>
      </c>
      <c r="AB14" s="58">
        <v>86.18</v>
      </c>
      <c r="AC14" s="52">
        <v>0</v>
      </c>
      <c r="AD14" s="359">
        <v>12.6</v>
      </c>
      <c r="AE14" s="359">
        <v>7.49</v>
      </c>
      <c r="AF14" s="52">
        <v>19.61</v>
      </c>
      <c r="AG14" s="58">
        <v>11.85</v>
      </c>
      <c r="AH14" s="58">
        <v>7.4</v>
      </c>
      <c r="AI14" s="58">
        <v>0.62</v>
      </c>
      <c r="AJ14" s="52">
        <v>211.87</v>
      </c>
      <c r="AK14" s="52">
        <v>771.63</v>
      </c>
      <c r="AL14" s="52">
        <v>2749.46</v>
      </c>
      <c r="AM14" s="52">
        <v>568.64</v>
      </c>
      <c r="AN14" s="52">
        <v>6427.91</v>
      </c>
      <c r="AO14" s="52">
        <v>2766.29</v>
      </c>
      <c r="AP14" s="52">
        <v>512.6</v>
      </c>
      <c r="AQ14" s="52">
        <v>2536.54</v>
      </c>
      <c r="AR14" s="52">
        <v>432.05</v>
      </c>
      <c r="AS14" s="52">
        <v>726.04</v>
      </c>
    </row>
    <row r="15" spans="1:49" x14ac:dyDescent="0.25">
      <c r="A15" s="9">
        <v>44720</v>
      </c>
      <c r="B15" s="45"/>
      <c r="C15" s="46">
        <v>79.065303329626886</v>
      </c>
      <c r="D15" s="46">
        <v>934.4375560124704</v>
      </c>
      <c r="E15" s="46">
        <v>18.503086248536931</v>
      </c>
      <c r="F15" s="46">
        <v>0</v>
      </c>
      <c r="G15" s="46">
        <v>2488.6200040181493</v>
      </c>
      <c r="H15" s="47">
        <v>30.084686138232634</v>
      </c>
      <c r="I15" s="45">
        <v>184.08269753456102</v>
      </c>
      <c r="J15" s="46">
        <v>447.22170359293608</v>
      </c>
      <c r="K15" s="46">
        <v>24.656580075124893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266.33433093513787</v>
      </c>
      <c r="V15" s="54">
        <v>166.43845993129264</v>
      </c>
      <c r="W15" s="54">
        <v>51.468364218036214</v>
      </c>
      <c r="X15" s="54">
        <v>32.163766667088098</v>
      </c>
      <c r="Y15" s="54">
        <v>202.67793904116203</v>
      </c>
      <c r="Z15" s="54">
        <v>126.65811394879746</v>
      </c>
      <c r="AA15" s="57">
        <v>0</v>
      </c>
      <c r="AB15" s="58">
        <v>86.361735900243275</v>
      </c>
      <c r="AC15" s="52">
        <v>0</v>
      </c>
      <c r="AD15" s="359">
        <v>12.655384318151954</v>
      </c>
      <c r="AE15" s="359">
        <v>7.4911339883286558</v>
      </c>
      <c r="AF15" s="52">
        <v>19.744457513756206</v>
      </c>
      <c r="AG15" s="58">
        <v>11.925968271675115</v>
      </c>
      <c r="AH15" s="58">
        <v>7.452812355649602</v>
      </c>
      <c r="AI15" s="58">
        <v>0.61541376111452062</v>
      </c>
      <c r="AJ15" s="52">
        <v>226.87603627840679</v>
      </c>
      <c r="AK15" s="52">
        <v>781.02971502939863</v>
      </c>
      <c r="AL15" s="52">
        <v>2744.3756198883057</v>
      </c>
      <c r="AM15" s="52">
        <v>570.62318037350985</v>
      </c>
      <c r="AN15" s="52">
        <v>7092.9824340820333</v>
      </c>
      <c r="AO15" s="52">
        <v>2751.4713253021237</v>
      </c>
      <c r="AP15" s="52">
        <v>517.14421526590968</v>
      </c>
      <c r="AQ15" s="52">
        <v>2486.1908086140947</v>
      </c>
      <c r="AR15" s="52">
        <v>426.64175319671637</v>
      </c>
      <c r="AS15" s="52">
        <v>746.36470718383782</v>
      </c>
    </row>
    <row r="16" spans="1:49" x14ac:dyDescent="0.25">
      <c r="A16" s="9">
        <v>44721</v>
      </c>
      <c r="B16" s="45"/>
      <c r="C16" s="46">
        <v>79.359058308600339</v>
      </c>
      <c r="D16" s="46">
        <v>909.86822458902884</v>
      </c>
      <c r="E16" s="46">
        <v>18.459535466134536</v>
      </c>
      <c r="F16" s="46">
        <v>0</v>
      </c>
      <c r="G16" s="46">
        <v>2473.1016006469758</v>
      </c>
      <c r="H16" s="47">
        <v>30.122194238503827</v>
      </c>
      <c r="I16" s="45">
        <v>185.75813968181615</v>
      </c>
      <c r="J16" s="46">
        <v>447.06302293141698</v>
      </c>
      <c r="K16" s="46">
        <v>24.601059805850159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265.57885282630963</v>
      </c>
      <c r="V16" s="54">
        <v>166.00473757523235</v>
      </c>
      <c r="W16" s="54">
        <v>51.218984746538474</v>
      </c>
      <c r="X16" s="54">
        <v>32.01532814542167</v>
      </c>
      <c r="Y16" s="54">
        <v>204.26168898525395</v>
      </c>
      <c r="Z16" s="54">
        <v>127.67736480452056</v>
      </c>
      <c r="AA16" s="57">
        <v>0</v>
      </c>
      <c r="AB16" s="58">
        <v>86.363816775215113</v>
      </c>
      <c r="AC16" s="52">
        <v>0</v>
      </c>
      <c r="AD16" s="359">
        <v>12.650470637058453</v>
      </c>
      <c r="AE16" s="359">
        <v>7.4940790634561933</v>
      </c>
      <c r="AF16" s="52">
        <v>19.73003091414768</v>
      </c>
      <c r="AG16" s="58">
        <v>11.919606888495784</v>
      </c>
      <c r="AH16" s="58">
        <v>7.4505601348416279</v>
      </c>
      <c r="AI16" s="58">
        <v>0.61535901441298346</v>
      </c>
      <c r="AJ16" s="52">
        <v>209.88494559923808</v>
      </c>
      <c r="AK16" s="52">
        <v>768.95739021301267</v>
      </c>
      <c r="AL16" s="52">
        <v>2752.0007405598963</v>
      </c>
      <c r="AM16" s="52">
        <v>575.29921665191648</v>
      </c>
      <c r="AN16" s="52">
        <v>7206.0870381673185</v>
      </c>
      <c r="AO16" s="52">
        <v>2793.3842277526855</v>
      </c>
      <c r="AP16" s="52">
        <v>495.92697483698532</v>
      </c>
      <c r="AQ16" s="52">
        <v>2525.3837098439535</v>
      </c>
      <c r="AR16" s="52">
        <v>435.55075473785399</v>
      </c>
      <c r="AS16" s="52">
        <v>897.77380329767857</v>
      </c>
    </row>
    <row r="17" spans="1:45" x14ac:dyDescent="0.25">
      <c r="A17" s="9">
        <v>44722</v>
      </c>
      <c r="B17" s="45"/>
      <c r="C17" s="46">
        <v>79.731527014572421</v>
      </c>
      <c r="D17" s="46">
        <v>876.01702454885174</v>
      </c>
      <c r="E17" s="46">
        <v>18.525339626769217</v>
      </c>
      <c r="F17" s="46">
        <v>0</v>
      </c>
      <c r="G17" s="46">
        <v>2347.7253504435203</v>
      </c>
      <c r="H17" s="47">
        <v>30.041559269030941</v>
      </c>
      <c r="I17" s="45">
        <v>189.34235616524992</v>
      </c>
      <c r="J17" s="46">
        <v>447.39219576517741</v>
      </c>
      <c r="K17" s="46">
        <v>24.496969873209789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264.0609278957005</v>
      </c>
      <c r="V17" s="54">
        <v>165.05426602231324</v>
      </c>
      <c r="W17" s="54">
        <v>51.843864398642054</v>
      </c>
      <c r="X17" s="54">
        <v>32.405593111670385</v>
      </c>
      <c r="Y17" s="54">
        <v>207.38438766942107</v>
      </c>
      <c r="Z17" s="54">
        <v>129.62795429084952</v>
      </c>
      <c r="AA17" s="57">
        <v>0</v>
      </c>
      <c r="AB17" s="58">
        <v>86.365875085194219</v>
      </c>
      <c r="AC17" s="52">
        <v>0</v>
      </c>
      <c r="AD17" s="359">
        <v>12.659622303792847</v>
      </c>
      <c r="AE17" s="359">
        <v>7.476508920043484</v>
      </c>
      <c r="AF17" s="52">
        <v>19.65194618238338</v>
      </c>
      <c r="AG17" s="58">
        <v>11.872759322540949</v>
      </c>
      <c r="AH17" s="58">
        <v>7.4212023386345161</v>
      </c>
      <c r="AI17" s="58">
        <v>0.61536140327427247</v>
      </c>
      <c r="AJ17" s="52">
        <v>219.93870706558229</v>
      </c>
      <c r="AK17" s="52">
        <v>794.21475957234702</v>
      </c>
      <c r="AL17" s="52">
        <v>2778.5351282755532</v>
      </c>
      <c r="AM17" s="52">
        <v>586.10250714619951</v>
      </c>
      <c r="AN17" s="52">
        <v>7266.4699045817069</v>
      </c>
      <c r="AO17" s="52">
        <v>2823.8065696716312</v>
      </c>
      <c r="AP17" s="52">
        <v>545.42399956385293</v>
      </c>
      <c r="AQ17" s="52">
        <v>2513.0727493286131</v>
      </c>
      <c r="AR17" s="52">
        <v>446.84568802515668</v>
      </c>
      <c r="AS17" s="52">
        <v>834.18848924636848</v>
      </c>
    </row>
    <row r="18" spans="1:45" x14ac:dyDescent="0.25">
      <c r="A18" s="9">
        <v>44723</v>
      </c>
      <c r="B18" s="45"/>
      <c r="C18" s="46">
        <v>79.190788980324456</v>
      </c>
      <c r="D18" s="46">
        <v>870.6722471237191</v>
      </c>
      <c r="E18" s="46">
        <v>18.603286248942176</v>
      </c>
      <c r="F18" s="46">
        <v>0</v>
      </c>
      <c r="G18" s="46">
        <v>2301.4365608215357</v>
      </c>
      <c r="H18" s="47">
        <v>30.094192506869696</v>
      </c>
      <c r="I18" s="45">
        <v>188.30449821949003</v>
      </c>
      <c r="J18" s="46">
        <v>447.09247404734293</v>
      </c>
      <c r="K18" s="46">
        <v>24.582050722340718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265.53992676988781</v>
      </c>
      <c r="V18" s="54">
        <v>165.98281950697108</v>
      </c>
      <c r="W18" s="54">
        <v>51.505194818017742</v>
      </c>
      <c r="X18" s="54">
        <v>32.194696892263636</v>
      </c>
      <c r="Y18" s="54">
        <v>209.47565085268678</v>
      </c>
      <c r="Z18" s="54">
        <v>130.9383472742964</v>
      </c>
      <c r="AA18" s="57">
        <v>0</v>
      </c>
      <c r="AB18" s="58">
        <v>86.368104685676272</v>
      </c>
      <c r="AC18" s="52">
        <v>0</v>
      </c>
      <c r="AD18" s="359">
        <v>12.652306249025095</v>
      </c>
      <c r="AE18" s="359">
        <v>7.4769042701549626</v>
      </c>
      <c r="AF18" s="52">
        <v>19.736926196018857</v>
      </c>
      <c r="AG18" s="58">
        <v>11.924377295981616</v>
      </c>
      <c r="AH18" s="58">
        <v>7.4536503362340527</v>
      </c>
      <c r="AI18" s="58">
        <v>0.61535557293547893</v>
      </c>
      <c r="AJ18" s="52">
        <v>229.27303838729858</v>
      </c>
      <c r="AK18" s="52">
        <v>806.00496218999228</v>
      </c>
      <c r="AL18" s="52">
        <v>2826.565142567953</v>
      </c>
      <c r="AM18" s="52">
        <v>595.09784959157309</v>
      </c>
      <c r="AN18" s="52">
        <v>7335.0569541931136</v>
      </c>
      <c r="AO18" s="52">
        <v>2880.1426138559978</v>
      </c>
      <c r="AP18" s="52">
        <v>592.65649212201436</v>
      </c>
      <c r="AQ18" s="52">
        <v>2580.405880610148</v>
      </c>
      <c r="AR18" s="52">
        <v>477.35758692423508</v>
      </c>
      <c r="AS18" s="52">
        <v>821.66534086863169</v>
      </c>
    </row>
    <row r="19" spans="1:45" x14ac:dyDescent="0.25">
      <c r="A19" s="9">
        <v>44724</v>
      </c>
      <c r="B19" s="45"/>
      <c r="C19" s="46">
        <v>79.17153984705574</v>
      </c>
      <c r="D19" s="46">
        <v>871.08289597829389</v>
      </c>
      <c r="E19" s="46">
        <v>18.636034018794692</v>
      </c>
      <c r="F19" s="46">
        <v>0</v>
      </c>
      <c r="G19" s="46">
        <v>2230.8861687978115</v>
      </c>
      <c r="H19" s="47">
        <v>30.103966385126174</v>
      </c>
      <c r="I19" s="45">
        <v>194.96102046171862</v>
      </c>
      <c r="J19" s="46">
        <v>450.06876875559419</v>
      </c>
      <c r="K19" s="46">
        <v>24.71690700501204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260.66093148079864</v>
      </c>
      <c r="V19" s="54">
        <v>162.91951999710122</v>
      </c>
      <c r="W19" s="54">
        <v>50.352492634372894</v>
      </c>
      <c r="X19" s="54">
        <v>31.471551505807085</v>
      </c>
      <c r="Y19" s="54">
        <v>205.66991906843964</v>
      </c>
      <c r="Z19" s="54">
        <v>128.54877906757253</v>
      </c>
      <c r="AA19" s="57">
        <v>0</v>
      </c>
      <c r="AB19" s="58">
        <v>86.559613561628765</v>
      </c>
      <c r="AC19" s="52">
        <v>0</v>
      </c>
      <c r="AD19" s="359">
        <v>12.736158882309386</v>
      </c>
      <c r="AE19" s="359">
        <v>7.4812709917328331</v>
      </c>
      <c r="AF19" s="52">
        <v>19.400434290038213</v>
      </c>
      <c r="AG19" s="58">
        <v>11.712659544486375</v>
      </c>
      <c r="AH19" s="58">
        <v>7.3207014953744762</v>
      </c>
      <c r="AI19" s="58">
        <v>0.61537526241198248</v>
      </c>
      <c r="AJ19" s="52">
        <v>226.73656568527221</v>
      </c>
      <c r="AK19" s="52">
        <v>808.48184448877976</v>
      </c>
      <c r="AL19" s="52">
        <v>2826.9780749003094</v>
      </c>
      <c r="AM19" s="52">
        <v>593.80598699251811</v>
      </c>
      <c r="AN19" s="52">
        <v>7481.646042378743</v>
      </c>
      <c r="AO19" s="52">
        <v>2863.953544998169</v>
      </c>
      <c r="AP19" s="52">
        <v>599.05467821757009</v>
      </c>
      <c r="AQ19" s="52">
        <v>2541.4308717091881</v>
      </c>
      <c r="AR19" s="52">
        <v>483.49412914911915</v>
      </c>
      <c r="AS19" s="52">
        <v>795.34520632425938</v>
      </c>
    </row>
    <row r="20" spans="1:45" x14ac:dyDescent="0.25">
      <c r="A20" s="9">
        <v>44725</v>
      </c>
      <c r="B20" s="45"/>
      <c r="C20" s="46">
        <v>79.122563838958328</v>
      </c>
      <c r="D20" s="46">
        <v>875.49850718180301</v>
      </c>
      <c r="E20" s="46">
        <v>18.647448818882332</v>
      </c>
      <c r="F20" s="46">
        <v>0</v>
      </c>
      <c r="G20" s="46">
        <v>2128.0520525614406</v>
      </c>
      <c r="H20" s="47">
        <v>29.959801584482268</v>
      </c>
      <c r="I20" s="45">
        <v>196.87099226315834</v>
      </c>
      <c r="J20" s="46">
        <v>446.86038262049362</v>
      </c>
      <c r="K20" s="46">
        <v>24.502757502098863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265.50799604164172</v>
      </c>
      <c r="V20" s="54">
        <v>165.93542818321191</v>
      </c>
      <c r="W20" s="54">
        <v>51.284835366217749</v>
      </c>
      <c r="X20" s="54">
        <v>32.051656607977208</v>
      </c>
      <c r="Y20" s="54">
        <v>205.58355718195227</v>
      </c>
      <c r="Z20" s="54">
        <v>128.48424942751925</v>
      </c>
      <c r="AA20" s="57">
        <v>0</v>
      </c>
      <c r="AB20" s="58">
        <v>86.242558309766011</v>
      </c>
      <c r="AC20" s="52">
        <v>0</v>
      </c>
      <c r="AD20" s="359">
        <v>12.645393224047037</v>
      </c>
      <c r="AE20" s="359">
        <v>7.4799467105022712</v>
      </c>
      <c r="AF20" s="52">
        <v>19.742326362927709</v>
      </c>
      <c r="AG20" s="58">
        <v>11.928228622019146</v>
      </c>
      <c r="AH20" s="58">
        <v>7.4548252910302537</v>
      </c>
      <c r="AI20" s="58">
        <v>0.61539469866451824</v>
      </c>
      <c r="AJ20" s="52">
        <v>235.80145692825317</v>
      </c>
      <c r="AK20" s="52">
        <v>811.2116115570069</v>
      </c>
      <c r="AL20" s="52">
        <v>2847.6781469980874</v>
      </c>
      <c r="AM20" s="52">
        <v>568.24300419489543</v>
      </c>
      <c r="AN20" s="52">
        <v>7526.5610987345381</v>
      </c>
      <c r="AO20" s="52">
        <v>2848.2066439310706</v>
      </c>
      <c r="AP20" s="52">
        <v>574.3287116209666</v>
      </c>
      <c r="AQ20" s="52">
        <v>2542.3178246816001</v>
      </c>
      <c r="AR20" s="52">
        <v>485.03829743067433</v>
      </c>
      <c r="AS20" s="52">
        <v>877.76620709101348</v>
      </c>
    </row>
    <row r="21" spans="1:45" x14ac:dyDescent="0.25">
      <c r="A21" s="9">
        <v>44726</v>
      </c>
      <c r="B21" s="45"/>
      <c r="C21" s="46">
        <v>78.78</v>
      </c>
      <c r="D21" s="46">
        <v>874.26</v>
      </c>
      <c r="E21" s="46">
        <v>18.47</v>
      </c>
      <c r="F21" s="46">
        <v>0</v>
      </c>
      <c r="G21" s="46">
        <v>2388.37</v>
      </c>
      <c r="H21" s="47">
        <v>30.01</v>
      </c>
      <c r="I21" s="45">
        <v>167.71</v>
      </c>
      <c r="J21" s="46">
        <v>378.08</v>
      </c>
      <c r="K21" s="46">
        <v>20.86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222.41</v>
      </c>
      <c r="V21" s="54">
        <v>165.9</v>
      </c>
      <c r="W21" s="54">
        <v>42.43</v>
      </c>
      <c r="X21" s="54">
        <v>31.65</v>
      </c>
      <c r="Y21" s="54">
        <v>161.97</v>
      </c>
      <c r="Z21" s="54">
        <v>120.82</v>
      </c>
      <c r="AA21" s="57">
        <v>0</v>
      </c>
      <c r="AB21" s="58">
        <v>77.569999999999993</v>
      </c>
      <c r="AC21" s="52">
        <v>0</v>
      </c>
      <c r="AD21" s="359">
        <v>10.7</v>
      </c>
      <c r="AE21" s="359">
        <v>7.47</v>
      </c>
      <c r="AF21" s="52">
        <v>17.510000000000002</v>
      </c>
      <c r="AG21" s="58">
        <v>9.82</v>
      </c>
      <c r="AH21" s="58">
        <v>7.33</v>
      </c>
      <c r="AI21" s="58">
        <v>0.56999999999999995</v>
      </c>
      <c r="AJ21" s="52">
        <v>226.97</v>
      </c>
      <c r="AK21" s="52">
        <v>790.53</v>
      </c>
      <c r="AL21" s="52">
        <v>2755.1</v>
      </c>
      <c r="AM21" s="52">
        <v>582.46</v>
      </c>
      <c r="AN21" s="52">
        <v>7751.35</v>
      </c>
      <c r="AO21" s="52">
        <v>2798.99</v>
      </c>
      <c r="AP21" s="52">
        <v>431.4</v>
      </c>
      <c r="AQ21" s="52">
        <v>2383</v>
      </c>
      <c r="AR21" s="52">
        <v>448.29</v>
      </c>
      <c r="AS21" s="52">
        <v>744.06</v>
      </c>
    </row>
    <row r="22" spans="1:45" x14ac:dyDescent="0.25">
      <c r="A22" s="9">
        <v>44727</v>
      </c>
      <c r="B22" s="45"/>
      <c r="C22" s="46">
        <v>79.459999999999994</v>
      </c>
      <c r="D22" s="46">
        <v>874</v>
      </c>
      <c r="E22" s="46">
        <v>18.690000000000001</v>
      </c>
      <c r="F22" s="46">
        <v>0</v>
      </c>
      <c r="G22" s="46">
        <v>1761.32</v>
      </c>
      <c r="H22" s="47">
        <v>28.93</v>
      </c>
      <c r="I22" s="45">
        <v>137.51</v>
      </c>
      <c r="J22" s="46">
        <v>306.63</v>
      </c>
      <c r="K22" s="46">
        <v>16.95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179.22</v>
      </c>
      <c r="V22" s="54">
        <v>162.21</v>
      </c>
      <c r="W22" s="54">
        <v>33.81</v>
      </c>
      <c r="X22" s="54">
        <v>30.61</v>
      </c>
      <c r="Y22" s="54">
        <v>123.71</v>
      </c>
      <c r="Z22" s="54">
        <v>111.97</v>
      </c>
      <c r="AA22" s="57">
        <v>0</v>
      </c>
      <c r="AB22" s="58">
        <v>68.67</v>
      </c>
      <c r="AC22" s="52">
        <v>0</v>
      </c>
      <c r="AD22" s="359">
        <v>8.68</v>
      </c>
      <c r="AE22" s="359">
        <v>7.46</v>
      </c>
      <c r="AF22" s="52">
        <v>15.03</v>
      </c>
      <c r="AG22" s="58">
        <v>7.71</v>
      </c>
      <c r="AH22" s="58">
        <v>6.98</v>
      </c>
      <c r="AI22" s="58">
        <v>0.52</v>
      </c>
      <c r="AJ22" s="52">
        <v>242.17</v>
      </c>
      <c r="AK22" s="52">
        <v>800.62</v>
      </c>
      <c r="AL22" s="52">
        <v>2748</v>
      </c>
      <c r="AM22" s="52">
        <v>571.54999999999995</v>
      </c>
      <c r="AN22" s="52">
        <v>7721.01</v>
      </c>
      <c r="AO22" s="52">
        <v>2804.97</v>
      </c>
      <c r="AP22" s="52">
        <v>415.02</v>
      </c>
      <c r="AQ22" s="52">
        <v>2118.59</v>
      </c>
      <c r="AR22" s="52">
        <v>436.74</v>
      </c>
      <c r="AS22" s="52">
        <v>759.77</v>
      </c>
    </row>
    <row r="23" spans="1:45" x14ac:dyDescent="0.25">
      <c r="A23" s="9">
        <v>44728</v>
      </c>
      <c r="B23" s="45"/>
      <c r="C23" s="46">
        <v>78.885168524583591</v>
      </c>
      <c r="D23" s="46">
        <v>874.78071613311761</v>
      </c>
      <c r="E23" s="46">
        <v>18.833045306801818</v>
      </c>
      <c r="F23" s="46">
        <v>0</v>
      </c>
      <c r="G23" s="46">
        <v>1722.2116430918361</v>
      </c>
      <c r="H23" s="47">
        <v>29.981899652878518</v>
      </c>
      <c r="I23" s="45">
        <v>136.26264250278496</v>
      </c>
      <c r="J23" s="46">
        <v>303.63940868377694</v>
      </c>
      <c r="K23" s="46">
        <v>16.790361081560455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181.83491191225153</v>
      </c>
      <c r="V23" s="54">
        <v>171.57960669838707</v>
      </c>
      <c r="W23" s="54">
        <v>34.757353623805948</v>
      </c>
      <c r="X23" s="54">
        <v>32.797074015837374</v>
      </c>
      <c r="Y23" s="54">
        <v>128.28796398098822</v>
      </c>
      <c r="Z23" s="54">
        <v>121.05265249952107</v>
      </c>
      <c r="AA23" s="57">
        <v>0</v>
      </c>
      <c r="AB23" s="58">
        <v>68.304531420602501</v>
      </c>
      <c r="AC23" s="52">
        <v>0</v>
      </c>
      <c r="AD23" s="359">
        <v>8.5926903393464507</v>
      </c>
      <c r="AE23" s="359">
        <v>7.4713437182306075</v>
      </c>
      <c r="AF23" s="52">
        <v>15.527512184116574</v>
      </c>
      <c r="AG23" s="58">
        <v>7.8428563705963015</v>
      </c>
      <c r="AH23" s="58">
        <v>7.4005271996845003</v>
      </c>
      <c r="AI23" s="58">
        <v>0.5145088906564742</v>
      </c>
      <c r="AJ23" s="52">
        <v>224.27388289769493</v>
      </c>
      <c r="AK23" s="52">
        <v>787.18350556691496</v>
      </c>
      <c r="AL23" s="52">
        <v>2791.6772612253822</v>
      </c>
      <c r="AM23" s="52">
        <v>584.40349524815872</v>
      </c>
      <c r="AN23" s="52">
        <v>7424.9509376525884</v>
      </c>
      <c r="AO23" s="52">
        <v>2847.2521138509114</v>
      </c>
      <c r="AP23" s="52">
        <v>434.33853734334309</v>
      </c>
      <c r="AQ23" s="52">
        <v>2098.4682350794478</v>
      </c>
      <c r="AR23" s="52">
        <v>451.84843664169313</v>
      </c>
      <c r="AS23" s="52">
        <v>840.08902565638232</v>
      </c>
    </row>
    <row r="24" spans="1:45" x14ac:dyDescent="0.25">
      <c r="A24" s="9">
        <v>44729</v>
      </c>
      <c r="B24" s="45"/>
      <c r="C24" s="46">
        <v>79.253608206907984</v>
      </c>
      <c r="D24" s="46">
        <v>872.8843105316181</v>
      </c>
      <c r="E24" s="46">
        <v>18.859234982232252</v>
      </c>
      <c r="F24" s="46">
        <v>0</v>
      </c>
      <c r="G24" s="46">
        <v>1632.0175341288279</v>
      </c>
      <c r="H24" s="47">
        <v>29.928126051028631</v>
      </c>
      <c r="I24" s="45">
        <v>136.13790666262321</v>
      </c>
      <c r="J24" s="46">
        <v>316.85982120831841</v>
      </c>
      <c r="K24" s="46">
        <v>17.32266803830862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181.27334520066475</v>
      </c>
      <c r="V24" s="54">
        <v>169.9526233085891</v>
      </c>
      <c r="W24" s="54">
        <v>34.564045304740269</v>
      </c>
      <c r="X24" s="54">
        <v>32.405482257719093</v>
      </c>
      <c r="Y24" s="54">
        <v>129.42601970632262</v>
      </c>
      <c r="Z24" s="54">
        <v>121.34322091937658</v>
      </c>
      <c r="AA24" s="57">
        <v>0</v>
      </c>
      <c r="AB24" s="58">
        <v>67.732366572486683</v>
      </c>
      <c r="AC24" s="52">
        <v>0</v>
      </c>
      <c r="AD24" s="359">
        <v>8.5908868679853558</v>
      </c>
      <c r="AE24" s="359">
        <v>7.4551773883349322</v>
      </c>
      <c r="AF24" s="52">
        <v>15.394546255138158</v>
      </c>
      <c r="AG24" s="58">
        <v>7.8062619963252162</v>
      </c>
      <c r="AH24" s="58">
        <v>7.3187522580388107</v>
      </c>
      <c r="AI24" s="58">
        <v>0.51611600921783407</v>
      </c>
      <c r="AJ24" s="52">
        <v>217.14994605382284</v>
      </c>
      <c r="AK24" s="52">
        <v>794.18377008438108</v>
      </c>
      <c r="AL24" s="52">
        <v>2800.9158716837569</v>
      </c>
      <c r="AM24" s="52">
        <v>580.13301725387578</v>
      </c>
      <c r="AN24" s="52">
        <v>7318.3432357788088</v>
      </c>
      <c r="AO24" s="52">
        <v>2858.6965713500972</v>
      </c>
      <c r="AP24" s="52">
        <v>440.78791243235281</v>
      </c>
      <c r="AQ24" s="52">
        <v>2085.4637089411417</v>
      </c>
      <c r="AR24" s="52">
        <v>476.0278493881226</v>
      </c>
      <c r="AS24" s="52">
        <v>913.54556840260818</v>
      </c>
    </row>
    <row r="25" spans="1:45" x14ac:dyDescent="0.25">
      <c r="A25" s="9">
        <v>44730</v>
      </c>
      <c r="B25" s="45"/>
      <c r="C25" s="46">
        <v>79.17</v>
      </c>
      <c r="D25" s="46">
        <v>872.43</v>
      </c>
      <c r="E25" s="46">
        <v>18.91</v>
      </c>
      <c r="F25" s="46">
        <v>0</v>
      </c>
      <c r="G25" s="46">
        <v>1629.21</v>
      </c>
      <c r="H25" s="47">
        <v>29.97</v>
      </c>
      <c r="I25" s="45">
        <v>136.88999999999999</v>
      </c>
      <c r="J25" s="46">
        <v>318.42</v>
      </c>
      <c r="K25" s="46">
        <v>17.329999999999998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184.98</v>
      </c>
      <c r="V25" s="54">
        <v>173.41</v>
      </c>
      <c r="W25" s="54">
        <v>34.49</v>
      </c>
      <c r="X25" s="54">
        <v>32.33</v>
      </c>
      <c r="Y25" s="54">
        <v>130.99</v>
      </c>
      <c r="Z25" s="54">
        <v>122.8</v>
      </c>
      <c r="AA25" s="57">
        <v>0</v>
      </c>
      <c r="AB25" s="58">
        <v>67.73</v>
      </c>
      <c r="AC25" s="52">
        <v>0</v>
      </c>
      <c r="AD25" s="359">
        <v>8.58</v>
      </c>
      <c r="AE25" s="359">
        <v>7.45</v>
      </c>
      <c r="AF25" s="52">
        <v>15.51</v>
      </c>
      <c r="AG25" s="58">
        <v>7.87</v>
      </c>
      <c r="AH25" s="58">
        <v>7.37</v>
      </c>
      <c r="AI25" s="58">
        <v>0.52</v>
      </c>
      <c r="AJ25" s="52">
        <v>214.87</v>
      </c>
      <c r="AK25" s="52">
        <v>791.83</v>
      </c>
      <c r="AL25" s="52">
        <v>2806.21</v>
      </c>
      <c r="AM25" s="52">
        <v>581.96</v>
      </c>
      <c r="AN25" s="52">
        <v>7497.07</v>
      </c>
      <c r="AO25" s="52">
        <v>2855.64</v>
      </c>
      <c r="AP25" s="52">
        <v>444.93</v>
      </c>
      <c r="AQ25" s="52">
        <v>2204.25</v>
      </c>
      <c r="AR25" s="52">
        <v>466.8</v>
      </c>
      <c r="AS25" s="52">
        <v>792.6</v>
      </c>
    </row>
    <row r="26" spans="1:45" x14ac:dyDescent="0.25">
      <c r="A26" s="9">
        <v>44731</v>
      </c>
      <c r="B26" s="45"/>
      <c r="C26" s="46">
        <v>78.541653557619085</v>
      </c>
      <c r="D26" s="46">
        <v>872.53883876800637</v>
      </c>
      <c r="E26" s="46">
        <v>18.865177846948338</v>
      </c>
      <c r="F26" s="46">
        <v>0</v>
      </c>
      <c r="G26" s="46">
        <v>1705.0900001525868</v>
      </c>
      <c r="H26" s="47">
        <v>29.841855122645743</v>
      </c>
      <c r="I26" s="45">
        <v>134.18281665643073</v>
      </c>
      <c r="J26" s="46">
        <v>318.64154618581182</v>
      </c>
      <c r="K26" s="46">
        <v>17.467485373218871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190.06529727831892</v>
      </c>
      <c r="V26" s="54">
        <v>178.12518767990818</v>
      </c>
      <c r="W26" s="54">
        <v>35.378978289435736</v>
      </c>
      <c r="X26" s="54">
        <v>33.15643222603164</v>
      </c>
      <c r="Y26" s="54">
        <v>131.38870006532159</v>
      </c>
      <c r="Z26" s="54">
        <v>123.13471840092856</v>
      </c>
      <c r="AA26" s="57">
        <v>0</v>
      </c>
      <c r="AB26" s="58">
        <v>67.731370756362125</v>
      </c>
      <c r="AC26" s="52">
        <v>0</v>
      </c>
      <c r="AD26" s="359">
        <v>8.5864969881643916</v>
      </c>
      <c r="AE26" s="359">
        <v>7.4525121062156785</v>
      </c>
      <c r="AF26" s="52">
        <v>15.650033408403397</v>
      </c>
      <c r="AG26" s="58">
        <v>7.9392589340848527</v>
      </c>
      <c r="AH26" s="58">
        <v>7.4405060151639297</v>
      </c>
      <c r="AI26" s="58">
        <v>0.51621458197074999</v>
      </c>
      <c r="AJ26" s="52">
        <v>214.86991175015766</v>
      </c>
      <c r="AK26" s="52">
        <v>784.78449424107851</v>
      </c>
      <c r="AL26" s="52">
        <v>2819.9296564737956</v>
      </c>
      <c r="AM26" s="52">
        <v>578.62977596918745</v>
      </c>
      <c r="AN26" s="52">
        <v>7567.3493441263836</v>
      </c>
      <c r="AO26" s="52">
        <v>2833.7292845408128</v>
      </c>
      <c r="AP26" s="52">
        <v>438.06831188201909</v>
      </c>
      <c r="AQ26" s="52">
        <v>2122.2271950403847</v>
      </c>
      <c r="AR26" s="52">
        <v>460.66660070419306</v>
      </c>
      <c r="AS26" s="52">
        <v>862.71664536794037</v>
      </c>
    </row>
    <row r="27" spans="1:45" x14ac:dyDescent="0.25">
      <c r="A27" s="9">
        <v>44732</v>
      </c>
      <c r="B27" s="45"/>
      <c r="C27" s="46">
        <v>78.281079081694003</v>
      </c>
      <c r="D27" s="46">
        <v>869.80883738200112</v>
      </c>
      <c r="E27" s="46">
        <v>18.840766400098808</v>
      </c>
      <c r="F27" s="46">
        <v>0</v>
      </c>
      <c r="G27" s="46">
        <v>1719.0610186258916</v>
      </c>
      <c r="H27" s="47">
        <v>29.779716583093101</v>
      </c>
      <c r="I27" s="45">
        <v>140.18121097882596</v>
      </c>
      <c r="J27" s="46">
        <v>318.68058420817056</v>
      </c>
      <c r="K27" s="46">
        <v>17.551321419576798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189.13039322942583</v>
      </c>
      <c r="V27" s="54">
        <v>177.30604709005601</v>
      </c>
      <c r="W27" s="54">
        <v>35.776445960204128</v>
      </c>
      <c r="X27" s="54">
        <v>33.539718835353554</v>
      </c>
      <c r="Y27" s="54">
        <v>128.35253329953082</v>
      </c>
      <c r="Z27" s="54">
        <v>120.32799131194236</v>
      </c>
      <c r="AA27" s="57">
        <v>0</v>
      </c>
      <c r="AB27" s="58">
        <v>67.730583196217054</v>
      </c>
      <c r="AC27" s="52">
        <v>0</v>
      </c>
      <c r="AD27" s="359">
        <v>8.5895156334963758</v>
      </c>
      <c r="AE27" s="359">
        <v>7.4513201308863142</v>
      </c>
      <c r="AF27" s="52">
        <v>15.537859647141584</v>
      </c>
      <c r="AG27" s="58">
        <v>7.8804160957915856</v>
      </c>
      <c r="AH27" s="58">
        <v>7.3877360666972258</v>
      </c>
      <c r="AI27" s="58">
        <v>0.51613423889974019</v>
      </c>
      <c r="AJ27" s="52">
        <v>213.79234313964844</v>
      </c>
      <c r="AK27" s="52">
        <v>776.36768681208287</v>
      </c>
      <c r="AL27" s="52">
        <v>2789.5825070699061</v>
      </c>
      <c r="AM27" s="52">
        <v>572.40889250437431</v>
      </c>
      <c r="AN27" s="52">
        <v>7523.3992136637362</v>
      </c>
      <c r="AO27" s="52">
        <v>2920.6027698516846</v>
      </c>
      <c r="AP27" s="52">
        <v>431.65019383430479</v>
      </c>
      <c r="AQ27" s="52">
        <v>2076.2790032068888</v>
      </c>
      <c r="AR27" s="52">
        <v>438.57935215632125</v>
      </c>
      <c r="AS27" s="52">
        <v>839.99137884775826</v>
      </c>
    </row>
    <row r="28" spans="1:45" x14ac:dyDescent="0.25">
      <c r="A28" s="9">
        <v>44733</v>
      </c>
      <c r="B28" s="45"/>
      <c r="C28" s="46">
        <v>79.349532604216108</v>
      </c>
      <c r="D28" s="46">
        <v>898.23326352437277</v>
      </c>
      <c r="E28" s="46">
        <v>18.769973534842354</v>
      </c>
      <c r="F28" s="46">
        <v>0</v>
      </c>
      <c r="G28" s="46">
        <v>1772.2193646748858</v>
      </c>
      <c r="H28" s="47">
        <v>29.879826454321588</v>
      </c>
      <c r="I28" s="45">
        <v>144.47261500358584</v>
      </c>
      <c r="J28" s="46">
        <v>318.44447248776794</v>
      </c>
      <c r="K28" s="46">
        <v>17.453402484456696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187.37529414901005</v>
      </c>
      <c r="V28" s="54">
        <v>175.69087230488142</v>
      </c>
      <c r="W28" s="54">
        <v>35.766635372339465</v>
      </c>
      <c r="X28" s="54">
        <v>33.536285541356932</v>
      </c>
      <c r="Y28" s="54">
        <v>128.96220060513414</v>
      </c>
      <c r="Z28" s="54">
        <v>120.92032528394473</v>
      </c>
      <c r="AA28" s="57">
        <v>0</v>
      </c>
      <c r="AB28" s="58">
        <v>67.725634606679833</v>
      </c>
      <c r="AC28" s="52">
        <v>0</v>
      </c>
      <c r="AD28" s="359">
        <v>8.5837105040870512</v>
      </c>
      <c r="AE28" s="359">
        <v>7.4607658241270851</v>
      </c>
      <c r="AF28" s="52">
        <v>15.770215932528162</v>
      </c>
      <c r="AG28" s="58">
        <v>7.9990651552067824</v>
      </c>
      <c r="AH28" s="58">
        <v>7.5002563231428336</v>
      </c>
      <c r="AI28" s="58">
        <v>0.51609131189261137</v>
      </c>
      <c r="AJ28" s="52">
        <v>232.87009010314941</v>
      </c>
      <c r="AK28" s="52">
        <v>783.06723057428985</v>
      </c>
      <c r="AL28" s="52">
        <v>2725.1864700317387</v>
      </c>
      <c r="AM28" s="52">
        <v>571.15470895767214</v>
      </c>
      <c r="AN28" s="52">
        <v>6301.7683446248384</v>
      </c>
      <c r="AO28" s="52">
        <v>2898.3712202707929</v>
      </c>
      <c r="AP28" s="52">
        <v>406.63769450187675</v>
      </c>
      <c r="AQ28" s="52">
        <v>2117.1643248240152</v>
      </c>
      <c r="AR28" s="52">
        <v>444.20428040822333</v>
      </c>
      <c r="AS28" s="52">
        <v>817.24333368937187</v>
      </c>
    </row>
    <row r="29" spans="1:45" x14ac:dyDescent="0.25">
      <c r="A29" s="9">
        <v>44734</v>
      </c>
      <c r="B29" s="45"/>
      <c r="C29" s="46">
        <v>79.472817277907836</v>
      </c>
      <c r="D29" s="46">
        <v>853.04761225382731</v>
      </c>
      <c r="E29" s="46">
        <v>18.778803860644519</v>
      </c>
      <c r="F29" s="46">
        <v>0</v>
      </c>
      <c r="G29" s="46">
        <v>1765.0255212147993</v>
      </c>
      <c r="H29" s="47">
        <v>29.866788965463659</v>
      </c>
      <c r="I29" s="45">
        <v>157.06096098422995</v>
      </c>
      <c r="J29" s="46">
        <v>318.72762961387679</v>
      </c>
      <c r="K29" s="46">
        <v>17.490555718541145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180.5755888009642</v>
      </c>
      <c r="V29" s="54">
        <v>169.26184086025759</v>
      </c>
      <c r="W29" s="54">
        <v>34.272638427590998</v>
      </c>
      <c r="X29" s="54">
        <v>32.125327182436301</v>
      </c>
      <c r="Y29" s="54">
        <v>121.24622923378814</v>
      </c>
      <c r="Z29" s="54">
        <v>113.64969148790158</v>
      </c>
      <c r="AA29" s="57">
        <v>0</v>
      </c>
      <c r="AB29" s="58">
        <v>67.727217298084653</v>
      </c>
      <c r="AC29" s="52">
        <v>0</v>
      </c>
      <c r="AD29" s="359">
        <v>8.5902608457323986</v>
      </c>
      <c r="AE29" s="359">
        <v>7.4528483686341582</v>
      </c>
      <c r="AF29" s="52">
        <v>15.307068030701711</v>
      </c>
      <c r="AG29" s="58">
        <v>7.7658915165414557</v>
      </c>
      <c r="AH29" s="58">
        <v>7.279328854686506</v>
      </c>
      <c r="AI29" s="58">
        <v>0.51617000781143219</v>
      </c>
      <c r="AJ29" s="52">
        <v>219.29383873939514</v>
      </c>
      <c r="AK29" s="52">
        <v>769.36766920089713</v>
      </c>
      <c r="AL29" s="52">
        <v>2781.2045050303136</v>
      </c>
      <c r="AM29" s="52">
        <v>584.05779517491669</v>
      </c>
      <c r="AN29" s="52">
        <v>6470.9483449300133</v>
      </c>
      <c r="AO29" s="52">
        <v>2912.7293036142992</v>
      </c>
      <c r="AP29" s="52">
        <v>411.22514777183528</v>
      </c>
      <c r="AQ29" s="52">
        <v>2134.1522120157874</v>
      </c>
      <c r="AR29" s="52">
        <v>446.01410198211659</v>
      </c>
      <c r="AS29" s="52">
        <v>808.39108902613305</v>
      </c>
    </row>
    <row r="30" spans="1:45" x14ac:dyDescent="0.25">
      <c r="A30" s="9">
        <v>44735</v>
      </c>
      <c r="B30" s="45"/>
      <c r="C30" s="46">
        <v>78.422871013482748</v>
      </c>
      <c r="D30" s="46">
        <v>852.70153338114517</v>
      </c>
      <c r="E30" s="46">
        <v>18.828078092634684</v>
      </c>
      <c r="F30" s="46">
        <v>0</v>
      </c>
      <c r="G30" s="46">
        <v>1790.6618230183874</v>
      </c>
      <c r="H30" s="47">
        <v>29.886497594912907</v>
      </c>
      <c r="I30" s="45">
        <v>168.42203993797284</v>
      </c>
      <c r="J30" s="46">
        <v>318.11333053906793</v>
      </c>
      <c r="K30" s="46">
        <v>17.387264783183724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180.09068671790706</v>
      </c>
      <c r="V30" s="54">
        <v>170.07130257890586</v>
      </c>
      <c r="W30" s="54">
        <v>34.072630236932461</v>
      </c>
      <c r="X30" s="54">
        <v>32.176992115985534</v>
      </c>
      <c r="Y30" s="54">
        <v>121.4547453295973</v>
      </c>
      <c r="Z30" s="54">
        <v>114.69758441728456</v>
      </c>
      <c r="AA30" s="57">
        <v>0</v>
      </c>
      <c r="AB30" s="58">
        <v>67.728822040558541</v>
      </c>
      <c r="AC30" s="52">
        <v>0</v>
      </c>
      <c r="AD30" s="359">
        <v>8.5744788881674623</v>
      </c>
      <c r="AE30" s="359">
        <v>7.4490598335765785</v>
      </c>
      <c r="AF30" s="52">
        <v>15.275514024496063</v>
      </c>
      <c r="AG30" s="58">
        <v>7.7314905207191389</v>
      </c>
      <c r="AH30" s="58">
        <v>7.3013473805829046</v>
      </c>
      <c r="AI30" s="58">
        <v>0.51430678435303889</v>
      </c>
      <c r="AJ30" s="52">
        <v>223.86688857078553</v>
      </c>
      <c r="AK30" s="52">
        <v>782.05099538167326</v>
      </c>
      <c r="AL30" s="52">
        <v>2828.7149721781416</v>
      </c>
      <c r="AM30" s="52">
        <v>591.07982867558792</v>
      </c>
      <c r="AN30" s="52">
        <v>6654.4150741577132</v>
      </c>
      <c r="AO30" s="52">
        <v>2953.4384670257573</v>
      </c>
      <c r="AP30" s="52">
        <v>430.56122930844629</v>
      </c>
      <c r="AQ30" s="52">
        <v>2123.5967087427775</v>
      </c>
      <c r="AR30" s="52">
        <v>449.55323390960694</v>
      </c>
      <c r="AS30" s="52">
        <v>854.95928417841617</v>
      </c>
    </row>
    <row r="31" spans="1:45" x14ac:dyDescent="0.25">
      <c r="A31" s="9">
        <v>44736</v>
      </c>
      <c r="B31" s="45"/>
      <c r="C31" s="46">
        <v>78.569999999999993</v>
      </c>
      <c r="D31" s="46">
        <v>852.34</v>
      </c>
      <c r="E31" s="46">
        <v>18.87</v>
      </c>
      <c r="F31" s="46">
        <v>0</v>
      </c>
      <c r="G31" s="46">
        <v>1815.19</v>
      </c>
      <c r="H31" s="47">
        <v>29.94</v>
      </c>
      <c r="I31" s="45">
        <v>171.96</v>
      </c>
      <c r="J31" s="46">
        <v>318.05</v>
      </c>
      <c r="K31" s="46">
        <v>17.57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184.1</v>
      </c>
      <c r="V31" s="54">
        <v>172.6</v>
      </c>
      <c r="W31" s="54">
        <v>35.090000000000003</v>
      </c>
      <c r="X31" s="54">
        <v>32.89</v>
      </c>
      <c r="Y31" s="54">
        <v>127.6</v>
      </c>
      <c r="Z31" s="54">
        <v>119.63</v>
      </c>
      <c r="AA31" s="57">
        <v>0</v>
      </c>
      <c r="AB31" s="58">
        <v>67.73</v>
      </c>
      <c r="AC31" s="52">
        <v>0</v>
      </c>
      <c r="AD31" s="359">
        <v>8.57</v>
      </c>
      <c r="AE31" s="359">
        <v>7.45</v>
      </c>
      <c r="AF31" s="52">
        <v>15.63</v>
      </c>
      <c r="AG31" s="58">
        <v>7.94</v>
      </c>
      <c r="AH31" s="58">
        <v>7.44</v>
      </c>
      <c r="AI31" s="58">
        <v>0.52</v>
      </c>
      <c r="AJ31" s="52">
        <v>223.99</v>
      </c>
      <c r="AK31" s="52">
        <v>781.96</v>
      </c>
      <c r="AL31" s="52">
        <v>2802.27</v>
      </c>
      <c r="AM31" s="52">
        <v>579.01</v>
      </c>
      <c r="AN31" s="52">
        <v>6487.21</v>
      </c>
      <c r="AO31" s="52">
        <v>2923.54</v>
      </c>
      <c r="AP31" s="52">
        <v>438.45</v>
      </c>
      <c r="AQ31" s="52">
        <v>2124.27</v>
      </c>
      <c r="AR31" s="52">
        <v>453.59</v>
      </c>
      <c r="AS31" s="52">
        <v>844.18</v>
      </c>
    </row>
    <row r="32" spans="1:45" x14ac:dyDescent="0.25">
      <c r="A32" s="9">
        <v>44737</v>
      </c>
      <c r="B32" s="45"/>
      <c r="C32" s="46">
        <v>78.959999999999994</v>
      </c>
      <c r="D32" s="46">
        <v>854.9</v>
      </c>
      <c r="E32" s="46">
        <v>18.78</v>
      </c>
      <c r="F32" s="46">
        <v>0</v>
      </c>
      <c r="G32" s="46">
        <v>1817.75</v>
      </c>
      <c r="H32" s="47">
        <v>29.95</v>
      </c>
      <c r="I32" s="45">
        <v>175.37</v>
      </c>
      <c r="J32" s="46">
        <v>317.88</v>
      </c>
      <c r="K32" s="46">
        <v>17.399999999999999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180.39</v>
      </c>
      <c r="V32" s="54">
        <v>163.08000000000001</v>
      </c>
      <c r="W32" s="54">
        <v>34.51</v>
      </c>
      <c r="X32" s="54">
        <v>31.2</v>
      </c>
      <c r="Y32" s="54">
        <v>124.93</v>
      </c>
      <c r="Z32" s="54">
        <v>112.93</v>
      </c>
      <c r="AA32" s="57">
        <v>0</v>
      </c>
      <c r="AB32" s="58">
        <v>67.73</v>
      </c>
      <c r="AC32" s="52">
        <v>0</v>
      </c>
      <c r="AD32" s="359">
        <v>8.57</v>
      </c>
      <c r="AE32" s="359">
        <v>7.47</v>
      </c>
      <c r="AF32" s="52">
        <v>15.07</v>
      </c>
      <c r="AG32" s="58">
        <v>7.79</v>
      </c>
      <c r="AH32" s="58">
        <v>7.04</v>
      </c>
      <c r="AI32" s="58">
        <v>0.53</v>
      </c>
      <c r="AJ32" s="52">
        <v>237.61</v>
      </c>
      <c r="AK32" s="52">
        <v>786.5</v>
      </c>
      <c r="AL32" s="52">
        <v>2732.97</v>
      </c>
      <c r="AM32" s="52">
        <v>556.74</v>
      </c>
      <c r="AN32" s="52">
        <v>6440.04</v>
      </c>
      <c r="AO32" s="52">
        <v>2864.45</v>
      </c>
      <c r="AP32" s="52">
        <v>391.8</v>
      </c>
      <c r="AQ32" s="52">
        <v>2049.91</v>
      </c>
      <c r="AR32" s="52">
        <v>432.73</v>
      </c>
      <c r="AS32" s="52">
        <v>771.15</v>
      </c>
    </row>
    <row r="33" spans="1:45" x14ac:dyDescent="0.25">
      <c r="A33" s="9">
        <v>44738</v>
      </c>
      <c r="B33" s="45"/>
      <c r="C33" s="46">
        <v>78.64</v>
      </c>
      <c r="D33" s="46">
        <v>853.1</v>
      </c>
      <c r="E33" s="46">
        <v>18.29</v>
      </c>
      <c r="F33" s="46">
        <v>0</v>
      </c>
      <c r="G33" s="46">
        <v>1796.48</v>
      </c>
      <c r="H33" s="47">
        <v>29.87</v>
      </c>
      <c r="I33" s="45">
        <v>181.91</v>
      </c>
      <c r="J33" s="46">
        <v>320.89999999999998</v>
      </c>
      <c r="K33" s="46">
        <v>17.47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181.62</v>
      </c>
      <c r="V33" s="54">
        <v>170.26</v>
      </c>
      <c r="W33" s="54">
        <v>34.67</v>
      </c>
      <c r="X33" s="54">
        <v>32.5</v>
      </c>
      <c r="Y33" s="54">
        <v>129.07</v>
      </c>
      <c r="Z33" s="54">
        <v>120.99</v>
      </c>
      <c r="AA33" s="57">
        <v>0</v>
      </c>
      <c r="AB33" s="58">
        <v>67.959999999999994</v>
      </c>
      <c r="AC33" s="52">
        <v>0</v>
      </c>
      <c r="AD33" s="359">
        <v>8.65</v>
      </c>
      <c r="AE33" s="359">
        <v>7.45</v>
      </c>
      <c r="AF33" s="52">
        <v>15.44</v>
      </c>
      <c r="AG33" s="58">
        <v>7.83</v>
      </c>
      <c r="AH33" s="58">
        <v>7.34</v>
      </c>
      <c r="AI33" s="58">
        <v>0.52</v>
      </c>
      <c r="AJ33" s="52">
        <v>206.78</v>
      </c>
      <c r="AK33" s="52">
        <v>756.79</v>
      </c>
      <c r="AL33" s="52">
        <v>2704.19</v>
      </c>
      <c r="AM33" s="52">
        <v>576.21</v>
      </c>
      <c r="AN33" s="52">
        <v>5950.44</v>
      </c>
      <c r="AO33" s="52">
        <v>2872.82</v>
      </c>
      <c r="AP33" s="52">
        <v>361.73</v>
      </c>
      <c r="AQ33" s="52">
        <v>2059.4</v>
      </c>
      <c r="AR33" s="52">
        <v>426.18</v>
      </c>
      <c r="AS33" s="52">
        <v>688.8</v>
      </c>
    </row>
    <row r="34" spans="1:45" x14ac:dyDescent="0.25">
      <c r="A34" s="9">
        <v>44739</v>
      </c>
      <c r="B34" s="56"/>
      <c r="C34" s="54">
        <v>79.010000000000005</v>
      </c>
      <c r="D34" s="54">
        <v>853.78</v>
      </c>
      <c r="E34" s="54">
        <v>18.3</v>
      </c>
      <c r="F34" s="54">
        <v>0</v>
      </c>
      <c r="G34" s="54">
        <v>1789.62</v>
      </c>
      <c r="H34" s="57">
        <v>29.88</v>
      </c>
      <c r="I34" s="56">
        <v>179.55</v>
      </c>
      <c r="J34" s="54">
        <v>316.81</v>
      </c>
      <c r="K34" s="54">
        <v>17.309999999999999</v>
      </c>
      <c r="L34" s="54">
        <v>0</v>
      </c>
      <c r="M34" s="54">
        <v>0</v>
      </c>
      <c r="N34" s="57">
        <v>0</v>
      </c>
      <c r="O34" s="56">
        <v>0</v>
      </c>
      <c r="P34" s="54">
        <v>0</v>
      </c>
      <c r="Q34" s="54">
        <v>0</v>
      </c>
      <c r="R34" s="347">
        <v>0</v>
      </c>
      <c r="S34" s="54">
        <v>0</v>
      </c>
      <c r="T34" s="348">
        <v>0</v>
      </c>
      <c r="U34" s="56">
        <v>183.5</v>
      </c>
      <c r="V34" s="54">
        <v>172.1</v>
      </c>
      <c r="W34" s="54">
        <v>34.450000000000003</v>
      </c>
      <c r="X34" s="54">
        <v>32.31</v>
      </c>
      <c r="Y34" s="54">
        <v>132.55000000000001</v>
      </c>
      <c r="Z34" s="54">
        <v>124.31</v>
      </c>
      <c r="AA34" s="57">
        <v>0</v>
      </c>
      <c r="AB34" s="58">
        <v>67.540000000000006</v>
      </c>
      <c r="AC34" s="58">
        <v>0</v>
      </c>
      <c r="AD34" s="359">
        <v>8.5399999999999991</v>
      </c>
      <c r="AE34" s="359">
        <v>7.46</v>
      </c>
      <c r="AF34" s="58">
        <v>15.61</v>
      </c>
      <c r="AG34" s="58">
        <v>7.93</v>
      </c>
      <c r="AH34" s="58">
        <v>7.44</v>
      </c>
      <c r="AI34" s="58">
        <v>0.52</v>
      </c>
      <c r="AJ34" s="58">
        <v>191.51</v>
      </c>
      <c r="AK34" s="58">
        <v>759.09</v>
      </c>
      <c r="AL34" s="58">
        <v>2743.18</v>
      </c>
      <c r="AM34" s="58">
        <v>574.55999999999995</v>
      </c>
      <c r="AN34" s="58">
        <v>6149.18</v>
      </c>
      <c r="AO34" s="58">
        <v>2965.09</v>
      </c>
      <c r="AP34" s="58">
        <v>375.09</v>
      </c>
      <c r="AQ34" s="58">
        <v>2069.19</v>
      </c>
      <c r="AR34" s="58">
        <v>426.2</v>
      </c>
      <c r="AS34" s="58">
        <v>744.04</v>
      </c>
    </row>
    <row r="35" spans="1:45" x14ac:dyDescent="0.25">
      <c r="A35" s="9">
        <v>44740</v>
      </c>
      <c r="B35" s="56"/>
      <c r="C35" s="54">
        <v>79.148202550412122</v>
      </c>
      <c r="D35" s="54">
        <v>846.70354321797868</v>
      </c>
      <c r="E35" s="54">
        <v>18.325563798844815</v>
      </c>
      <c r="F35" s="54">
        <v>0</v>
      </c>
      <c r="G35" s="54">
        <v>1799.9796850840223</v>
      </c>
      <c r="H35" s="57">
        <v>29.801938903331788</v>
      </c>
      <c r="I35" s="347">
        <v>180.07098820209492</v>
      </c>
      <c r="J35" s="54">
        <v>317.75719135602355</v>
      </c>
      <c r="K35" s="54">
        <v>17.500177989403404</v>
      </c>
      <c r="L35" s="54">
        <v>0</v>
      </c>
      <c r="M35" s="54">
        <v>0</v>
      </c>
      <c r="N35" s="348">
        <v>0</v>
      </c>
      <c r="O35" s="56">
        <v>0</v>
      </c>
      <c r="P35" s="54">
        <v>0</v>
      </c>
      <c r="Q35" s="54">
        <v>0</v>
      </c>
      <c r="R35" s="54">
        <v>0</v>
      </c>
      <c r="S35" s="54">
        <v>0</v>
      </c>
      <c r="T35" s="348">
        <v>0</v>
      </c>
      <c r="U35" s="56">
        <v>183.53801445332343</v>
      </c>
      <c r="V35" s="54">
        <v>172.06172218422032</v>
      </c>
      <c r="W35" s="54">
        <v>33.085556954453466</v>
      </c>
      <c r="X35" s="54">
        <v>31.016778327713293</v>
      </c>
      <c r="Y35" s="54">
        <v>134.7618817872445</v>
      </c>
      <c r="Z35" s="54">
        <v>126.33547079695857</v>
      </c>
      <c r="AA35" s="348">
        <v>0</v>
      </c>
      <c r="AB35" s="381">
        <v>67.733124536938803</v>
      </c>
      <c r="AC35" s="58">
        <v>0</v>
      </c>
      <c r="AD35" s="359">
        <v>8.5639256536722126</v>
      </c>
      <c r="AE35" s="359">
        <v>7.4530839574650809</v>
      </c>
      <c r="AF35" s="58">
        <v>15.631399382485251</v>
      </c>
      <c r="AG35" s="58">
        <v>7.9384170269616119</v>
      </c>
      <c r="AH35" s="58">
        <v>7.4420425062565032</v>
      </c>
      <c r="AI35" s="58">
        <v>0.51613653088950495</v>
      </c>
      <c r="AJ35" s="58">
        <v>215.1504016081492</v>
      </c>
      <c r="AK35" s="58">
        <v>785.55744571685796</v>
      </c>
      <c r="AL35" s="58">
        <v>2794.9391334533684</v>
      </c>
      <c r="AM35" s="58">
        <v>607.61444417635607</v>
      </c>
      <c r="AN35" s="58">
        <v>6373.775522613525</v>
      </c>
      <c r="AO35" s="58">
        <v>2970.3358581542971</v>
      </c>
      <c r="AP35" s="58">
        <v>418.50016595522555</v>
      </c>
      <c r="AQ35" s="58">
        <v>2134.2944279988606</v>
      </c>
      <c r="AR35" s="58">
        <v>449.72867072423298</v>
      </c>
      <c r="AS35" s="58">
        <v>825.12062476476024</v>
      </c>
    </row>
    <row r="36" spans="1:45" x14ac:dyDescent="0.25">
      <c r="A36" s="9">
        <v>44741</v>
      </c>
      <c r="B36" s="65"/>
      <c r="C36" s="66">
        <v>78.428289552529506</v>
      </c>
      <c r="D36" s="66">
        <v>832.67633784612156</v>
      </c>
      <c r="E36" s="66">
        <v>18.404816073179248</v>
      </c>
      <c r="F36" s="66">
        <v>0</v>
      </c>
      <c r="G36" s="66">
        <v>1788.7689693450914</v>
      </c>
      <c r="H36" s="67">
        <v>29.755905405680362</v>
      </c>
      <c r="I36" s="385">
        <v>182.43379588127141</v>
      </c>
      <c r="J36" s="66">
        <v>317.46538618405719</v>
      </c>
      <c r="K36" s="66">
        <v>17.461943961679935</v>
      </c>
      <c r="L36" s="66">
        <v>0</v>
      </c>
      <c r="M36" s="66">
        <v>0</v>
      </c>
      <c r="N36" s="386">
        <v>0</v>
      </c>
      <c r="O36" s="65">
        <v>0</v>
      </c>
      <c r="P36" s="66">
        <v>0</v>
      </c>
      <c r="Q36" s="66">
        <v>0</v>
      </c>
      <c r="R36" s="66">
        <v>0</v>
      </c>
      <c r="S36" s="66">
        <v>0</v>
      </c>
      <c r="T36" s="386">
        <v>0</v>
      </c>
      <c r="U36" s="65">
        <v>182.22218570065911</v>
      </c>
      <c r="V36" s="66">
        <v>170.8640689490345</v>
      </c>
      <c r="W36" s="66">
        <v>32.83051477505682</v>
      </c>
      <c r="X36" s="66">
        <v>30.784151329259981</v>
      </c>
      <c r="Y36" s="66">
        <v>138.81200234549573</v>
      </c>
      <c r="Z36" s="66">
        <v>130.15969185374848</v>
      </c>
      <c r="AA36" s="386">
        <v>0</v>
      </c>
      <c r="AB36" s="387">
        <v>67.734179904726432</v>
      </c>
      <c r="AC36" s="349">
        <v>0</v>
      </c>
      <c r="AD36" s="388">
        <v>8.5566030285278174</v>
      </c>
      <c r="AE36" s="388">
        <v>7.4506627905666187</v>
      </c>
      <c r="AF36" s="349">
        <v>15.513938291205278</v>
      </c>
      <c r="AG36" s="349">
        <v>7.876696998046306</v>
      </c>
      <c r="AH36" s="349">
        <v>7.3857334867867781</v>
      </c>
      <c r="AI36" s="349">
        <v>0.51608405396989088</v>
      </c>
      <c r="AJ36" s="349">
        <v>218.63977298736572</v>
      </c>
      <c r="AK36" s="349">
        <v>792.857432047526</v>
      </c>
      <c r="AL36" s="349">
        <v>2824.2195416768395</v>
      </c>
      <c r="AM36" s="349">
        <v>597.67460845311473</v>
      </c>
      <c r="AN36" s="349">
        <v>6567.5857653299972</v>
      </c>
      <c r="AO36" s="349">
        <v>2967.262639109294</v>
      </c>
      <c r="AP36" s="349">
        <v>433.93492576281233</v>
      </c>
      <c r="AQ36" s="349">
        <v>2135.730587514242</v>
      </c>
      <c r="AR36" s="349">
        <v>438.39190219243369</v>
      </c>
      <c r="AS36" s="349">
        <v>857.84579817454028</v>
      </c>
    </row>
    <row r="37" spans="1:45" ht="15.75" thickBot="1" x14ac:dyDescent="0.3">
      <c r="A37" s="9">
        <v>44742</v>
      </c>
      <c r="B37" s="376"/>
      <c r="C37" s="377">
        <v>78.42</v>
      </c>
      <c r="D37" s="377">
        <v>833.72</v>
      </c>
      <c r="E37" s="377">
        <v>18.32</v>
      </c>
      <c r="F37" s="377">
        <v>0</v>
      </c>
      <c r="G37" s="377">
        <v>1684.68</v>
      </c>
      <c r="H37" s="378">
        <v>29.82</v>
      </c>
      <c r="I37" s="379">
        <v>182.66</v>
      </c>
      <c r="J37" s="377">
        <v>317.45999999999998</v>
      </c>
      <c r="K37" s="377">
        <v>17.39</v>
      </c>
      <c r="L37" s="377">
        <v>0</v>
      </c>
      <c r="M37" s="377">
        <v>0</v>
      </c>
      <c r="N37" s="380">
        <v>0</v>
      </c>
      <c r="O37" s="376">
        <v>0</v>
      </c>
      <c r="P37" s="377">
        <v>0</v>
      </c>
      <c r="Q37" s="377">
        <v>0</v>
      </c>
      <c r="R37" s="377">
        <v>0</v>
      </c>
      <c r="S37" s="377">
        <v>0</v>
      </c>
      <c r="T37" s="380">
        <v>0</v>
      </c>
      <c r="U37" s="376">
        <v>182.59</v>
      </c>
      <c r="V37" s="377">
        <v>171.17</v>
      </c>
      <c r="W37" s="377">
        <v>32.64</v>
      </c>
      <c r="X37" s="377">
        <v>30.6</v>
      </c>
      <c r="Y37" s="377">
        <v>138.16</v>
      </c>
      <c r="Z37" s="377">
        <v>129.52000000000001</v>
      </c>
      <c r="AA37" s="380">
        <v>0</v>
      </c>
      <c r="AB37" s="382">
        <v>67.739999999999995</v>
      </c>
      <c r="AC37" s="383">
        <v>0</v>
      </c>
      <c r="AD37" s="384">
        <v>8.56</v>
      </c>
      <c r="AE37" s="384">
        <v>7.45</v>
      </c>
      <c r="AF37" s="383">
        <v>15.48</v>
      </c>
      <c r="AG37" s="383">
        <v>7.86</v>
      </c>
      <c r="AH37" s="383">
        <v>7.37</v>
      </c>
      <c r="AI37" s="383">
        <v>0.52</v>
      </c>
      <c r="AJ37" s="383">
        <v>225.17</v>
      </c>
      <c r="AK37" s="383">
        <v>779.92</v>
      </c>
      <c r="AL37" s="383">
        <v>2780.76</v>
      </c>
      <c r="AM37" s="383">
        <v>572.80999999999995</v>
      </c>
      <c r="AN37" s="383">
        <v>6611.54</v>
      </c>
      <c r="AO37" s="383">
        <v>2944.07</v>
      </c>
      <c r="AP37" s="383">
        <v>414.64</v>
      </c>
      <c r="AQ37" s="383">
        <v>2149.38</v>
      </c>
      <c r="AR37" s="383">
        <v>448.23</v>
      </c>
      <c r="AS37" s="383">
        <v>863.44</v>
      </c>
    </row>
    <row r="38" spans="1:45" ht="15.75" thickTop="1" x14ac:dyDescent="0.25">
      <c r="A38" s="42" t="s">
        <v>171</v>
      </c>
      <c r="B38" s="367">
        <f>SUM(B8:B34)</f>
        <v>0</v>
      </c>
      <c r="C38" s="368">
        <f t="shared" ref="C38:AC38" si="0">SUM(C8:C37)</f>
        <v>2340.1534519092211</v>
      </c>
      <c r="D38" s="368">
        <f t="shared" si="0"/>
        <v>26312.440147546156</v>
      </c>
      <c r="E38" s="368">
        <f t="shared" si="0"/>
        <v>552.04718246807658</v>
      </c>
      <c r="F38" s="368">
        <f t="shared" si="0"/>
        <v>0</v>
      </c>
      <c r="G38" s="368">
        <f t="shared" si="0"/>
        <v>60708.779854482018</v>
      </c>
      <c r="H38" s="369">
        <f t="shared" si="0"/>
        <v>886.55215676546209</v>
      </c>
      <c r="I38" s="367">
        <f t="shared" si="0"/>
        <v>5189.5521060689271</v>
      </c>
      <c r="J38" s="368">
        <f t="shared" si="0"/>
        <v>11468.975753936771</v>
      </c>
      <c r="K38" s="368">
        <f t="shared" si="0"/>
        <v>629.13742842892793</v>
      </c>
      <c r="L38" s="368">
        <f t="shared" si="0"/>
        <v>0</v>
      </c>
      <c r="M38" s="368">
        <f t="shared" si="0"/>
        <v>0</v>
      </c>
      <c r="N38" s="369">
        <f t="shared" si="0"/>
        <v>0</v>
      </c>
      <c r="O38" s="370">
        <f t="shared" si="0"/>
        <v>0</v>
      </c>
      <c r="P38" s="371">
        <f t="shared" si="0"/>
        <v>0</v>
      </c>
      <c r="Q38" s="371">
        <f t="shared" si="0"/>
        <v>0</v>
      </c>
      <c r="R38" s="371">
        <f t="shared" si="0"/>
        <v>0</v>
      </c>
      <c r="S38" s="371">
        <f t="shared" si="0"/>
        <v>0</v>
      </c>
      <c r="T38" s="372">
        <f t="shared" si="0"/>
        <v>0</v>
      </c>
      <c r="U38" s="370">
        <f t="shared" si="0"/>
        <v>6738.9349823045713</v>
      </c>
      <c r="V38" s="371">
        <f t="shared" si="0"/>
        <v>4991.376534838706</v>
      </c>
      <c r="W38" s="371">
        <f t="shared" si="0"/>
        <v>1282.3996147783198</v>
      </c>
      <c r="X38" s="371">
        <f t="shared" si="0"/>
        <v>946.91997504635754</v>
      </c>
      <c r="Y38" s="371">
        <f t="shared" si="0"/>
        <v>4973.3230450567753</v>
      </c>
      <c r="Z38" s="371">
        <f t="shared" si="0"/>
        <v>3650.3509508592706</v>
      </c>
      <c r="AA38" s="373">
        <f t="shared" si="0"/>
        <v>0</v>
      </c>
      <c r="AB38" s="374">
        <f t="shared" si="0"/>
        <v>2301.0305734369535</v>
      </c>
      <c r="AC38" s="374">
        <f t="shared" si="0"/>
        <v>0</v>
      </c>
      <c r="AD38" s="375" t="s">
        <v>29</v>
      </c>
      <c r="AE38" s="375" t="s">
        <v>29</v>
      </c>
      <c r="AF38" s="375" t="s">
        <v>29</v>
      </c>
      <c r="AG38" s="375" t="s">
        <v>29</v>
      </c>
      <c r="AH38" s="375" t="s">
        <v>29</v>
      </c>
      <c r="AI38" s="375" t="s">
        <v>159</v>
      </c>
      <c r="AJ38" s="374">
        <f t="shared" ref="AJ38:AS38" si="1">SUM(AJ8:AJ37)</f>
        <v>6589.9432751369477</v>
      </c>
      <c r="AK38" s="374">
        <f t="shared" si="1"/>
        <v>23441.570915171302</v>
      </c>
      <c r="AL38" s="374">
        <f t="shared" si="1"/>
        <v>83123.60380882262</v>
      </c>
      <c r="AM38" s="374">
        <f t="shared" si="1"/>
        <v>17276.604389670691</v>
      </c>
      <c r="AN38" s="374">
        <f t="shared" si="1"/>
        <v>203266.95650647482</v>
      </c>
      <c r="AO38" s="374">
        <f t="shared" si="1"/>
        <v>85585.293171361292</v>
      </c>
      <c r="AP38" s="374">
        <f t="shared" si="1"/>
        <v>14073.651637795765</v>
      </c>
      <c r="AQ38" s="374">
        <f t="shared" si="1"/>
        <v>69573.016876920068</v>
      </c>
      <c r="AR38" s="374">
        <f t="shared" si="1"/>
        <v>13199.778243611652</v>
      </c>
      <c r="AS38" s="374">
        <f t="shared" si="1"/>
        <v>23981.010766544343</v>
      </c>
    </row>
    <row r="39" spans="1:45" ht="15.75" thickBot="1" x14ac:dyDescent="0.3">
      <c r="A39" s="43" t="s">
        <v>172</v>
      </c>
      <c r="B39" s="28">
        <f>Projection!$AB$30</f>
        <v>0.75949460999999996</v>
      </c>
      <c r="C39" s="29">
        <f>Projection!$AB$28</f>
        <v>2.0387463599999998</v>
      </c>
      <c r="D39" s="29">
        <f>Projection!$AB$31</f>
        <v>3.6888745740000002</v>
      </c>
      <c r="E39" s="29">
        <f>Projection!$AB$26</f>
        <v>4.4235360000000004</v>
      </c>
      <c r="F39" s="29">
        <f>Projection!$AB$23</f>
        <v>0</v>
      </c>
      <c r="G39" s="29">
        <f>Projection!$AB$24</f>
        <v>7.6444999999999999E-2</v>
      </c>
      <c r="H39" s="30">
        <f>Projection!$AB$29</f>
        <v>4.6146262499999997</v>
      </c>
      <c r="I39" s="28">
        <f>Projection!$AB$30</f>
        <v>0.75949460999999996</v>
      </c>
      <c r="J39" s="29">
        <f>Projection!$AB$28</f>
        <v>2.0387463599999998</v>
      </c>
      <c r="K39" s="29">
        <f>Projection!$AB$26</f>
        <v>4.4235360000000004</v>
      </c>
      <c r="L39" s="29">
        <f>Projection!$AB$25</f>
        <v>0</v>
      </c>
      <c r="M39" s="29">
        <f>Projection!$AB$23</f>
        <v>0</v>
      </c>
      <c r="N39" s="30">
        <f>Projection!$AB$23</f>
        <v>0</v>
      </c>
      <c r="O39" s="22">
        <v>15.77</v>
      </c>
      <c r="P39" s="23">
        <v>15.77</v>
      </c>
      <c r="Q39" s="23">
        <v>15.77</v>
      </c>
      <c r="R39" s="23">
        <v>15.77</v>
      </c>
      <c r="S39" s="23">
        <f>Projection!$AB$28</f>
        <v>2.0387463599999998</v>
      </c>
      <c r="T39" s="34">
        <f>Projection!$AB$28</f>
        <v>2.0387463599999998</v>
      </c>
      <c r="U39" s="22">
        <f>Projection!$AB$27</f>
        <v>0.41249999999999998</v>
      </c>
      <c r="V39" s="23">
        <f>Projection!$AB$27</f>
        <v>0.41249999999999998</v>
      </c>
      <c r="W39" s="23">
        <f>Projection!$AB$22</f>
        <v>1.7800896000000002</v>
      </c>
      <c r="X39" s="23">
        <f>Projection!$AB$22</f>
        <v>1.7800896000000002</v>
      </c>
      <c r="Y39" s="23">
        <f>Projection!$AB$31</f>
        <v>3.6888745740000002</v>
      </c>
      <c r="Z39" s="23">
        <f>Projection!$AB$31</f>
        <v>3.6888745740000002</v>
      </c>
      <c r="AA39" s="24">
        <v>0</v>
      </c>
      <c r="AB39" s="37">
        <f>Projection!$AB$27</f>
        <v>0.41249999999999998</v>
      </c>
      <c r="AC39" s="37">
        <f>Projection!$AB$30</f>
        <v>0.75949460999999996</v>
      </c>
      <c r="AD39" s="352">
        <f>SUM(AD8:AD37)</f>
        <v>318.61352698324828</v>
      </c>
      <c r="AE39" s="352">
        <f>SUM(AE8:AE37)</f>
        <v>221.3420481846224</v>
      </c>
      <c r="AF39" s="257">
        <f>SUM(AF8:AF37)</f>
        <v>522.82931916899133</v>
      </c>
      <c r="AG39" s="257">
        <f>SUM(AG8:AG37)</f>
        <v>295.85501750270817</v>
      </c>
      <c r="AH39" s="257">
        <f>SUM(AH8:AH37)</f>
        <v>218.0127827557672</v>
      </c>
      <c r="AI39" s="257">
        <f>IF(SUM(AG39:AH39)&gt;0, AG39/(AG39+AH39), 0)</f>
        <v>0.57574149879383985</v>
      </c>
      <c r="AJ39" s="286">
        <v>7.5999999999999998E-2</v>
      </c>
      <c r="AK39" s="286">
        <f t="shared" ref="AK39:AS39" si="2">$AJ$39</f>
        <v>7.5999999999999998E-2</v>
      </c>
      <c r="AL39" s="286">
        <f t="shared" si="2"/>
        <v>7.5999999999999998E-2</v>
      </c>
      <c r="AM39" s="286">
        <f t="shared" si="2"/>
        <v>7.5999999999999998E-2</v>
      </c>
      <c r="AN39" s="286">
        <f t="shared" si="2"/>
        <v>7.5999999999999998E-2</v>
      </c>
      <c r="AO39" s="286">
        <f t="shared" si="2"/>
        <v>7.5999999999999998E-2</v>
      </c>
      <c r="AP39" s="286">
        <f t="shared" si="2"/>
        <v>7.5999999999999998E-2</v>
      </c>
      <c r="AQ39" s="286">
        <f t="shared" si="2"/>
        <v>7.5999999999999998E-2</v>
      </c>
      <c r="AR39" s="286">
        <f t="shared" si="2"/>
        <v>7.5999999999999998E-2</v>
      </c>
      <c r="AS39" s="286">
        <f t="shared" si="2"/>
        <v>7.5999999999999998E-2</v>
      </c>
    </row>
    <row r="40" spans="1:45" ht="16.5" thickTop="1" thickBot="1" x14ac:dyDescent="0.3">
      <c r="A40" s="44" t="s">
        <v>26</v>
      </c>
      <c r="B40" s="31">
        <f t="shared" ref="B40:AC40" si="3">B39*B38</f>
        <v>0</v>
      </c>
      <c r="C40" s="32">
        <f t="shared" si="3"/>
        <v>4770.9793319213586</v>
      </c>
      <c r="D40" s="32">
        <f t="shared" si="3"/>
        <v>97063.291440179833</v>
      </c>
      <c r="E40" s="32">
        <f t="shared" si="3"/>
        <v>2442.0005853461057</v>
      </c>
      <c r="F40" s="32">
        <f t="shared" si="3"/>
        <v>0</v>
      </c>
      <c r="G40" s="32">
        <f t="shared" si="3"/>
        <v>4640.8826759758776</v>
      </c>
      <c r="H40" s="33">
        <f t="shared" si="3"/>
        <v>4091.106854604016</v>
      </c>
      <c r="I40" s="31">
        <f t="shared" si="3"/>
        <v>3941.4368528734981</v>
      </c>
      <c r="J40" s="32">
        <f t="shared" si="3"/>
        <v>23382.332571266845</v>
      </c>
      <c r="K40" s="32">
        <f t="shared" si="3"/>
        <v>2783.0120636027864</v>
      </c>
      <c r="L40" s="32">
        <f t="shared" si="3"/>
        <v>0</v>
      </c>
      <c r="M40" s="32">
        <f t="shared" si="3"/>
        <v>0</v>
      </c>
      <c r="N40" s="33">
        <f t="shared" si="3"/>
        <v>0</v>
      </c>
      <c r="O40" s="247">
        <f t="shared" si="3"/>
        <v>0</v>
      </c>
      <c r="P40" s="248">
        <f t="shared" si="3"/>
        <v>0</v>
      </c>
      <c r="Q40" s="248">
        <f t="shared" si="3"/>
        <v>0</v>
      </c>
      <c r="R40" s="248">
        <f t="shared" si="3"/>
        <v>0</v>
      </c>
      <c r="S40" s="248">
        <f t="shared" si="3"/>
        <v>0</v>
      </c>
      <c r="T40" s="249">
        <f t="shared" si="3"/>
        <v>0</v>
      </c>
      <c r="U40" s="247">
        <f t="shared" si="3"/>
        <v>2779.8106802006355</v>
      </c>
      <c r="V40" s="248">
        <f t="shared" si="3"/>
        <v>2058.9428206209659</v>
      </c>
      <c r="W40" s="248">
        <f t="shared" si="3"/>
        <v>2282.7862173108938</v>
      </c>
      <c r="X40" s="248">
        <f t="shared" si="3"/>
        <v>1685.6023996122808</v>
      </c>
      <c r="Y40" s="248">
        <f t="shared" si="3"/>
        <v>18345.964929198195</v>
      </c>
      <c r="Z40" s="248">
        <f t="shared" si="3"/>
        <v>13465.686808801487</v>
      </c>
      <c r="AA40" s="252">
        <f t="shared" si="3"/>
        <v>0</v>
      </c>
      <c r="AB40" s="255">
        <f t="shared" si="3"/>
        <v>949.17511154274325</v>
      </c>
      <c r="AC40" s="255">
        <f t="shared" si="3"/>
        <v>0</v>
      </c>
      <c r="AJ40" s="258">
        <f t="shared" ref="AJ40:AS40" si="4">AJ39*AJ38</f>
        <v>500.83568891040801</v>
      </c>
      <c r="AK40" s="258">
        <f t="shared" si="4"/>
        <v>1781.5593895530189</v>
      </c>
      <c r="AL40" s="258">
        <f t="shared" si="4"/>
        <v>6317.3938894705188</v>
      </c>
      <c r="AM40" s="258">
        <f t="shared" si="4"/>
        <v>1313.0219336149723</v>
      </c>
      <c r="AN40" s="258">
        <f t="shared" si="4"/>
        <v>15448.288694492087</v>
      </c>
      <c r="AO40" s="258">
        <f t="shared" si="4"/>
        <v>6504.4822810234582</v>
      </c>
      <c r="AP40" s="258">
        <f t="shared" si="4"/>
        <v>1069.5975244724782</v>
      </c>
      <c r="AQ40" s="258">
        <f t="shared" si="4"/>
        <v>5287.5492826459249</v>
      </c>
      <c r="AR40" s="258">
        <f t="shared" si="4"/>
        <v>1003.1831465144855</v>
      </c>
      <c r="AS40" s="258">
        <f t="shared" si="4"/>
        <v>1822.55681825737</v>
      </c>
    </row>
    <row r="41" spans="1:45" ht="49.5" customHeight="1" thickTop="1" thickBot="1" x14ac:dyDescent="0.3">
      <c r="A41" s="587">
        <f>MAY!$A$42+31</f>
        <v>44714</v>
      </c>
      <c r="B41" s="588"/>
      <c r="C41" s="588"/>
      <c r="D41" s="588"/>
      <c r="E41" s="588"/>
      <c r="F41" s="588"/>
      <c r="G41" s="588"/>
      <c r="H41" s="588"/>
      <c r="I41" s="588"/>
      <c r="J41" s="588"/>
      <c r="K41" s="589"/>
      <c r="L41" s="40"/>
      <c r="M41" s="40"/>
      <c r="N41" s="40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I41" s="276" t="s">
        <v>184</v>
      </c>
      <c r="AJ41" s="275">
        <v>656.39</v>
      </c>
      <c r="AK41" s="258" t="s">
        <v>197</v>
      </c>
      <c r="AL41" s="258">
        <v>394.57</v>
      </c>
      <c r="AM41" s="258">
        <v>582.27</v>
      </c>
      <c r="AN41" s="258">
        <v>147.1</v>
      </c>
      <c r="AO41" s="258">
        <v>2225.71</v>
      </c>
      <c r="AP41" s="258">
        <v>281.3</v>
      </c>
      <c r="AQ41" s="258" t="s">
        <v>197</v>
      </c>
      <c r="AR41" s="258"/>
      <c r="AS41" s="258">
        <v>57.64</v>
      </c>
    </row>
    <row r="42" spans="1:45" ht="38.25" customHeight="1" thickTop="1" thickBot="1" x14ac:dyDescent="0.3">
      <c r="A42" s="584" t="s">
        <v>49</v>
      </c>
      <c r="B42" s="580"/>
      <c r="C42" s="269"/>
      <c r="D42" s="580" t="s">
        <v>47</v>
      </c>
      <c r="E42" s="580"/>
      <c r="F42" s="269"/>
      <c r="G42" s="580" t="s">
        <v>48</v>
      </c>
      <c r="H42" s="580"/>
      <c r="I42" s="270"/>
      <c r="J42" s="580" t="s">
        <v>50</v>
      </c>
      <c r="K42" s="581"/>
      <c r="L42" s="40"/>
      <c r="M42" s="40"/>
      <c r="N42" s="40"/>
      <c r="O42" s="41"/>
      <c r="P42" s="41"/>
      <c r="Q42" s="41"/>
      <c r="R42" s="569" t="s">
        <v>166</v>
      </c>
      <c r="S42" s="570"/>
      <c r="T42" s="570"/>
      <c r="U42" s="571"/>
      <c r="AC42" s="41"/>
      <c r="AD42" s="41"/>
      <c r="AE42" s="41"/>
    </row>
    <row r="43" spans="1:45" ht="24.75" thickTop="1" thickBot="1" x14ac:dyDescent="0.3">
      <c r="A43" s="262" t="s">
        <v>135</v>
      </c>
      <c r="B43" s="263">
        <f>SUM(B40:AC40)</f>
        <v>184683.01134305756</v>
      </c>
      <c r="D43" s="262" t="s">
        <v>135</v>
      </c>
      <c r="E43" s="263">
        <f>SUM(B40:H40)+P40+R40+T40+V40+X40+Z40</f>
        <v>130218.49291706194</v>
      </c>
      <c r="G43" s="262" t="s">
        <v>135</v>
      </c>
      <c r="H43" s="263">
        <f>SUM(I40:N40)+O40+Q40+S40+U40+W40+Y40</f>
        <v>53515.343314452854</v>
      </c>
      <c r="J43" s="262" t="s">
        <v>198</v>
      </c>
      <c r="K43" s="263">
        <v>141168.91</v>
      </c>
      <c r="R43" s="280" t="s">
        <v>135</v>
      </c>
      <c r="S43" s="281"/>
      <c r="T43" s="277" t="s">
        <v>167</v>
      </c>
      <c r="U43" s="235" t="s">
        <v>168</v>
      </c>
    </row>
    <row r="44" spans="1:45" ht="24" thickBot="1" x14ac:dyDescent="0.4">
      <c r="A44" s="264" t="s">
        <v>183</v>
      </c>
      <c r="B44" s="265">
        <f>SUM(AJ40:AS40)</f>
        <v>41048.468648954724</v>
      </c>
      <c r="D44" s="264" t="s">
        <v>183</v>
      </c>
      <c r="E44" s="265">
        <f>AJ40*(1-$AI$39)+AK40+AL40*0.5+AN40+AO40*(1-$AI$39)+AP40*(1-$AI$39)+AQ40*(1-$AI$39)+AR40*0.5+AS40*0.5</f>
        <v>27470.554289898595</v>
      </c>
      <c r="F44" s="20"/>
      <c r="G44" s="264" t="s">
        <v>183</v>
      </c>
      <c r="H44" s="265">
        <f>AJ40*AI39+AL40*0.5+AM40+AO40*AI39+AP40*AI39+AQ40*AI39+AR40*0.5+AS40*0.5</f>
        <v>13577.914359056127</v>
      </c>
      <c r="K44" s="268"/>
      <c r="R44" s="278" t="s">
        <v>141</v>
      </c>
      <c r="S44" s="279"/>
      <c r="T44" s="234">
        <f>$W$38+$X$38</f>
        <v>2229.3195898246772</v>
      </c>
      <c r="U44" s="236">
        <f>(T44*8.34*0.895)/27000</f>
        <v>0.61630778571586442</v>
      </c>
    </row>
    <row r="45" spans="1:45" ht="32.25" thickBot="1" x14ac:dyDescent="0.3">
      <c r="A45" s="266" t="s">
        <v>184</v>
      </c>
      <c r="B45" s="267">
        <f>SUM(AJ41:AS41)</f>
        <v>4344.9800000000005</v>
      </c>
      <c r="D45" s="266" t="s">
        <v>184</v>
      </c>
      <c r="E45" s="267">
        <f>AJ41*(1-$AI$39)+AL41*0.5+AN41+AO41*(1-$AI$39)+AP41*(1-$AI$39)+AR41*0.5+AS41*0.5</f>
        <v>1715.3043427155671</v>
      </c>
      <c r="F45" s="19"/>
      <c r="G45" s="266" t="s">
        <v>184</v>
      </c>
      <c r="H45" s="267">
        <f>AJ41*AI39+AL41*0.5+AM41+AO41*AI39+AP41*AI39+AR41*0.5+AS41*0.5</f>
        <v>2629.6756572844333</v>
      </c>
      <c r="J45" s="582" t="s">
        <v>199</v>
      </c>
      <c r="K45" s="583"/>
      <c r="R45" s="278" t="s">
        <v>145</v>
      </c>
      <c r="S45" s="279"/>
      <c r="T45" s="234">
        <f>$M$38+$N$38+$F$38</f>
        <v>0</v>
      </c>
      <c r="U45" s="237">
        <f>(((T45*8.34)*0.005)/(8.34*1.055))/400</f>
        <v>0</v>
      </c>
    </row>
    <row r="46" spans="1:45" ht="24.75" thickTop="1" thickBot="1" x14ac:dyDescent="0.4">
      <c r="A46" s="266" t="s">
        <v>185</v>
      </c>
      <c r="B46" s="267">
        <f>K43</f>
        <v>141168.91</v>
      </c>
      <c r="D46" s="266" t="s">
        <v>187</v>
      </c>
      <c r="E46" s="267">
        <f>K43*0.5</f>
        <v>70584.455000000002</v>
      </c>
      <c r="F46" s="20"/>
      <c r="G46" s="266" t="s">
        <v>185</v>
      </c>
      <c r="H46" s="267">
        <f>K43*0.5</f>
        <v>70584.455000000002</v>
      </c>
      <c r="J46" s="262" t="s">
        <v>198</v>
      </c>
      <c r="K46" s="263">
        <v>245929.23999999996</v>
      </c>
      <c r="R46" s="278" t="s">
        <v>148</v>
      </c>
      <c r="S46" s="279"/>
      <c r="T46" s="234">
        <f>$G$38</f>
        <v>60708.779854482018</v>
      </c>
      <c r="U46" s="236">
        <f>T46/40000</f>
        <v>1.5177194963620504</v>
      </c>
    </row>
    <row r="47" spans="1:45" ht="24" thickBot="1" x14ac:dyDescent="0.3">
      <c r="A47" s="266" t="s">
        <v>186</v>
      </c>
      <c r="B47" s="267">
        <f>K46</f>
        <v>245929.23999999996</v>
      </c>
      <c r="D47" s="266" t="s">
        <v>186</v>
      </c>
      <c r="E47" s="267">
        <f>K46*0.5</f>
        <v>122964.61999999998</v>
      </c>
      <c r="F47" s="19"/>
      <c r="G47" s="266" t="s">
        <v>186</v>
      </c>
      <c r="H47" s="267">
        <f>K46*0.5</f>
        <v>122964.61999999998</v>
      </c>
      <c r="K47" s="71"/>
      <c r="R47" s="278" t="s">
        <v>150</v>
      </c>
      <c r="S47" s="279"/>
      <c r="T47" s="234">
        <f>$L$38</f>
        <v>0</v>
      </c>
      <c r="U47" s="236">
        <f>T47*9.34*0.107</f>
        <v>0</v>
      </c>
    </row>
    <row r="48" spans="1:45" ht="48" thickTop="1" thickBot="1" x14ac:dyDescent="0.3">
      <c r="A48" s="271" t="s">
        <v>194</v>
      </c>
      <c r="B48" s="272">
        <f>AF39</f>
        <v>522.82931916899133</v>
      </c>
      <c r="D48" s="271" t="s">
        <v>195</v>
      </c>
      <c r="E48" s="272">
        <f>AH39</f>
        <v>218.0127827557672</v>
      </c>
      <c r="F48" s="334">
        <f>E43/E48</f>
        <v>597.29751288456134</v>
      </c>
      <c r="G48" s="271" t="s">
        <v>196</v>
      </c>
      <c r="H48" s="272">
        <f>AG39</f>
        <v>295.85501750270817</v>
      </c>
      <c r="I48" s="333">
        <f>H43/H48</f>
        <v>180.88367662705937</v>
      </c>
      <c r="K48" s="71"/>
      <c r="R48" s="278" t="s">
        <v>152</v>
      </c>
      <c r="S48" s="279"/>
      <c r="T48" s="234">
        <f>$E$38+$K$38</f>
        <v>1181.1846108970044</v>
      </c>
      <c r="U48" s="236">
        <f>(T48*8.34*1.04)/45000</f>
        <v>0.22766939646836123</v>
      </c>
    </row>
    <row r="49" spans="1:21" ht="48" customHeight="1" thickTop="1" thickBot="1" x14ac:dyDescent="0.3">
      <c r="A49" s="271" t="s">
        <v>223</v>
      </c>
      <c r="B49" s="272">
        <f>SUM(E49+H49)</f>
        <v>539.95557516787062</v>
      </c>
      <c r="D49" s="271" t="s">
        <v>224</v>
      </c>
      <c r="E49" s="272">
        <f>AE39</f>
        <v>221.3420481846224</v>
      </c>
      <c r="F49" s="334"/>
      <c r="G49" s="271" t="s">
        <v>225</v>
      </c>
      <c r="H49" s="272">
        <f>AD39</f>
        <v>318.61352698324828</v>
      </c>
      <c r="I49" s="333"/>
      <c r="K49" s="71"/>
      <c r="R49" s="278"/>
      <c r="S49" s="279"/>
      <c r="T49" s="234"/>
      <c r="U49" s="236"/>
    </row>
    <row r="50" spans="1:21" ht="48" thickTop="1" thickBot="1" x14ac:dyDescent="0.3">
      <c r="A50" s="271" t="s">
        <v>190</v>
      </c>
      <c r="B50" s="273">
        <f>(SUM(B43:B47)/B49)</f>
        <v>1143.0099778118495</v>
      </c>
      <c r="D50" s="271" t="s">
        <v>188</v>
      </c>
      <c r="E50" s="274">
        <f>SUM(E43:E47)/E49</f>
        <v>1594.6063093049363</v>
      </c>
      <c r="F50" s="19"/>
      <c r="G50" s="271" t="s">
        <v>189</v>
      </c>
      <c r="H50" s="274">
        <f>SUM(H43:H47)/H49</f>
        <v>826.30518177790816</v>
      </c>
      <c r="K50" s="71"/>
      <c r="R50" s="278" t="s">
        <v>153</v>
      </c>
      <c r="S50" s="279"/>
      <c r="T50" s="234">
        <f>$U$38+$V$38+$AB$38</f>
        <v>14031.34209058023</v>
      </c>
      <c r="U50" s="236">
        <f>T50/2000/8</f>
        <v>0.87695888066126437</v>
      </c>
    </row>
    <row r="51" spans="1:21" ht="47.25" customHeight="1" thickTop="1" thickBot="1" x14ac:dyDescent="0.3">
      <c r="A51" s="261" t="s">
        <v>191</v>
      </c>
      <c r="B51" s="274">
        <f>B50/1000</f>
        <v>1.1430099778118494</v>
      </c>
      <c r="D51" s="261" t="s">
        <v>192</v>
      </c>
      <c r="E51" s="274">
        <f>E50/1000</f>
        <v>1.5946063093049363</v>
      </c>
      <c r="G51" s="261" t="s">
        <v>193</v>
      </c>
      <c r="H51" s="274">
        <f>H50/1000</f>
        <v>0.82630518177790813</v>
      </c>
      <c r="K51" s="71"/>
      <c r="R51" s="278" t="s">
        <v>154</v>
      </c>
      <c r="S51" s="279"/>
      <c r="T51" s="234">
        <f>$C$38+$J$38+$S$38+$T$38</f>
        <v>13809.129205845991</v>
      </c>
      <c r="U51" s="236">
        <f>(T51*8.34*1.4)/45000</f>
        <v>3.5830087246101723</v>
      </c>
    </row>
    <row r="52" spans="1:21" ht="16.5" thickTop="1" thickBot="1" x14ac:dyDescent="0.3">
      <c r="A52" s="282"/>
      <c r="K52" s="71"/>
      <c r="R52" s="278" t="s">
        <v>155</v>
      </c>
      <c r="S52" s="279"/>
      <c r="T52" s="234">
        <f>$H$38</f>
        <v>886.55215676546209</v>
      </c>
      <c r="U52" s="236">
        <f>(T52*8.34*1.135)/45000</f>
        <v>0.18648920134947083</v>
      </c>
    </row>
    <row r="53" spans="1:21" ht="48" customHeight="1" thickTop="1" thickBot="1" x14ac:dyDescent="0.3">
      <c r="A53" s="572" t="s">
        <v>51</v>
      </c>
      <c r="B53" s="573"/>
      <c r="C53" s="573"/>
      <c r="D53" s="573"/>
      <c r="E53" s="574"/>
      <c r="K53" s="71"/>
      <c r="R53" s="278" t="s">
        <v>156</v>
      </c>
      <c r="S53" s="279"/>
      <c r="T53" s="234">
        <f>$B$38+$I$38+$AC$38</f>
        <v>5189.5521060689271</v>
      </c>
      <c r="U53" s="236">
        <f>(T53*8.34*1.029*0.03)/3300</f>
        <v>0.40487281488171523</v>
      </c>
    </row>
    <row r="54" spans="1:21" ht="54" customHeight="1" thickBot="1" x14ac:dyDescent="0.3">
      <c r="A54" s="577" t="s">
        <v>200</v>
      </c>
      <c r="B54" s="578"/>
      <c r="C54" s="578"/>
      <c r="D54" s="578"/>
      <c r="E54" s="579"/>
      <c r="F54" s="72"/>
      <c r="G54" s="72"/>
      <c r="H54" s="72"/>
      <c r="I54" s="72"/>
      <c r="J54" s="72"/>
      <c r="K54" s="73"/>
      <c r="R54" s="585" t="s">
        <v>158</v>
      </c>
      <c r="S54" s="586"/>
      <c r="T54" s="238">
        <f>$D$38+$Y$38+$Z$38</f>
        <v>34936.114143462204</v>
      </c>
      <c r="U54" s="239">
        <f>(T54*1.54*8.34)/45000</f>
        <v>9.971232791399359</v>
      </c>
    </row>
    <row r="55" spans="1:21" ht="24" thickTop="1" x14ac:dyDescent="0.25">
      <c r="A55" s="615"/>
      <c r="B55" s="616"/>
    </row>
    <row r="56" spans="1:21" x14ac:dyDescent="0.25">
      <c r="A56" s="617"/>
      <c r="B56" s="618"/>
    </row>
    <row r="57" spans="1:21" x14ac:dyDescent="0.25">
      <c r="A57" s="613"/>
      <c r="B57" s="614"/>
    </row>
    <row r="58" spans="1:21" x14ac:dyDescent="0.25">
      <c r="A58" s="614"/>
      <c r="B58" s="614"/>
    </row>
    <row r="59" spans="1:21" x14ac:dyDescent="0.25">
      <c r="A59" s="613"/>
      <c r="B59" s="614"/>
    </row>
    <row r="60" spans="1:21" x14ac:dyDescent="0.25">
      <c r="A60" s="614"/>
      <c r="B60" s="614"/>
    </row>
  </sheetData>
  <sheetProtection algorithmName="SHA-512" hashValue="jZP4spOUY4lNaX882s9BrRM1g/ajqKMD5waIjBqTDG3FHtjg3JNMPngrIZvy2rWGhJUb+35mJ5P9+3qOtEL26w==" saltValue="OJPRPbhVWxFY8JX08TwwfQ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7:B58"/>
    <mergeCell ref="A59:B60"/>
    <mergeCell ref="A55:B55"/>
    <mergeCell ref="A56:B56"/>
    <mergeCell ref="J42:K42"/>
    <mergeCell ref="J45:K45"/>
    <mergeCell ref="A42:B42"/>
    <mergeCell ref="D42:E42"/>
    <mergeCell ref="G42:H42"/>
    <mergeCell ref="R42:U42"/>
    <mergeCell ref="AD4:AD5"/>
    <mergeCell ref="AE4:AE5"/>
    <mergeCell ref="A53:E53"/>
    <mergeCell ref="A54:E54"/>
    <mergeCell ref="R54:S54"/>
    <mergeCell ref="A41:K41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W61"/>
  <sheetViews>
    <sheetView zoomScale="75" zoomScaleNormal="75" workbookViewId="0">
      <selection activeCell="AJ46" sqref="AJ46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</row>
    <row r="2" spans="1:49" ht="15" customHeight="1" x14ac:dyDescent="0.25">
      <c r="A2" s="1" t="s">
        <v>2</v>
      </c>
      <c r="B2" s="4"/>
    </row>
    <row r="3" spans="1:49" ht="15.75" thickBot="1" x14ac:dyDescent="0.3">
      <c r="A3" s="5"/>
    </row>
    <row r="4" spans="1:49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  <c r="AV4" t="s">
        <v>169</v>
      </c>
      <c r="AW4" s="302" t="s">
        <v>207</v>
      </c>
    </row>
    <row r="5" spans="1:49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49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49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49" x14ac:dyDescent="0.25">
      <c r="A8" s="9">
        <v>44743</v>
      </c>
      <c r="B8" s="45"/>
      <c r="C8" s="46">
        <v>78.674276534716299</v>
      </c>
      <c r="D8" s="46">
        <v>835.93443495432496</v>
      </c>
      <c r="E8" s="46">
        <v>18.326990600427017</v>
      </c>
      <c r="F8" s="46">
        <v>0</v>
      </c>
      <c r="G8" s="46">
        <v>1535.5585699081475</v>
      </c>
      <c r="H8" s="47">
        <v>29.856783346335138</v>
      </c>
      <c r="I8" s="45">
        <v>183.00905491511031</v>
      </c>
      <c r="J8" s="46">
        <v>317.78107654253648</v>
      </c>
      <c r="K8" s="46">
        <v>17.371576733887196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181.48392194597304</v>
      </c>
      <c r="V8" s="50">
        <v>170.11050100901028</v>
      </c>
      <c r="W8" s="50">
        <v>32.639889934933898</v>
      </c>
      <c r="X8" s="50">
        <v>30.594379767500719</v>
      </c>
      <c r="Y8" s="50">
        <v>138.18868189679185</v>
      </c>
      <c r="Z8" s="50">
        <v>129.52853155904378</v>
      </c>
      <c r="AA8" s="51">
        <v>0</v>
      </c>
      <c r="AB8" s="52">
        <v>67.729364448124215</v>
      </c>
      <c r="AC8" s="53">
        <v>0</v>
      </c>
      <c r="AD8" s="358">
        <v>8.5642570795358228</v>
      </c>
      <c r="AE8" s="358">
        <v>7.4737760384112715</v>
      </c>
      <c r="AF8" s="53">
        <v>15.382519763045847</v>
      </c>
      <c r="AG8" s="53">
        <v>7.8096130450050971</v>
      </c>
      <c r="AH8" s="53">
        <v>7.3201921885279031</v>
      </c>
      <c r="AI8" s="53">
        <v>0.51617406334459826</v>
      </c>
      <c r="AJ8" s="53">
        <v>217.24720029830931</v>
      </c>
      <c r="AK8" s="53">
        <v>778.95461174647028</v>
      </c>
      <c r="AL8" s="53">
        <v>2754.9599384307858</v>
      </c>
      <c r="AM8" s="53">
        <v>571.54676796595254</v>
      </c>
      <c r="AN8" s="53">
        <v>6599.7730120340975</v>
      </c>
      <c r="AO8" s="53">
        <v>2926.835918807983</v>
      </c>
      <c r="AP8" s="53">
        <v>387.76721590360012</v>
      </c>
      <c r="AQ8" s="53">
        <v>2075.9544083277383</v>
      </c>
      <c r="AR8" s="53">
        <v>443.10812867482502</v>
      </c>
      <c r="AS8" s="53">
        <v>766.94019870758052</v>
      </c>
    </row>
    <row r="9" spans="1:49" x14ac:dyDescent="0.25">
      <c r="A9" s="9">
        <v>44744</v>
      </c>
      <c r="B9" s="45"/>
      <c r="C9" s="46">
        <v>79.118635630607457</v>
      </c>
      <c r="D9" s="46">
        <v>834.74727789561052</v>
      </c>
      <c r="E9" s="46">
        <v>18.34398433814448</v>
      </c>
      <c r="F9" s="46">
        <v>0</v>
      </c>
      <c r="G9" s="46">
        <v>1527.2108774821083</v>
      </c>
      <c r="H9" s="47">
        <v>30.053580768903167</v>
      </c>
      <c r="I9" s="45">
        <v>184.81265460650127</v>
      </c>
      <c r="J9" s="46">
        <v>317.90897817611727</v>
      </c>
      <c r="K9" s="46">
        <v>17.372327581048026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184.5061538357468</v>
      </c>
      <c r="V9" s="54">
        <v>172.96193713291771</v>
      </c>
      <c r="W9" s="54">
        <v>32.840009562047889</v>
      </c>
      <c r="X9" s="54">
        <v>30.785269494978049</v>
      </c>
      <c r="Y9" s="54">
        <v>138.11937689740043</v>
      </c>
      <c r="Z9" s="54">
        <v>129.47749702176887</v>
      </c>
      <c r="AA9" s="57">
        <v>0</v>
      </c>
      <c r="AB9" s="58">
        <v>67.732975975673114</v>
      </c>
      <c r="AC9" s="52">
        <v>0</v>
      </c>
      <c r="AD9" s="359">
        <v>8.5681758605050291</v>
      </c>
      <c r="AE9" s="359">
        <v>7.4630431699118045</v>
      </c>
      <c r="AF9" s="52">
        <v>15.639211020867023</v>
      </c>
      <c r="AG9" s="58">
        <v>7.9392121571943983</v>
      </c>
      <c r="AH9" s="58">
        <v>7.4424699960956477</v>
      </c>
      <c r="AI9" s="58">
        <v>0.51614719886122795</v>
      </c>
      <c r="AJ9" s="52">
        <v>219.40681169827781</v>
      </c>
      <c r="AK9" s="52">
        <v>794.40440629323325</v>
      </c>
      <c r="AL9" s="52">
        <v>2760.1058363596599</v>
      </c>
      <c r="AM9" s="52">
        <v>578.4157273610432</v>
      </c>
      <c r="AN9" s="52">
        <v>6418.6300450642893</v>
      </c>
      <c r="AO9" s="52">
        <v>2907.1638596852622</v>
      </c>
      <c r="AP9" s="52">
        <v>408.86503081321717</v>
      </c>
      <c r="AQ9" s="52">
        <v>2142.3975022633867</v>
      </c>
      <c r="AR9" s="52">
        <v>462.61817239125571</v>
      </c>
      <c r="AS9" s="52">
        <v>747.16173683802276</v>
      </c>
    </row>
    <row r="10" spans="1:49" x14ac:dyDescent="0.25">
      <c r="A10" s="9">
        <v>44745</v>
      </c>
      <c r="B10" s="45"/>
      <c r="C10" s="46">
        <v>79.08</v>
      </c>
      <c r="D10" s="46">
        <v>836.08</v>
      </c>
      <c r="E10" s="46">
        <v>18.37</v>
      </c>
      <c r="F10" s="46">
        <v>0</v>
      </c>
      <c r="G10" s="46">
        <v>1485.39</v>
      </c>
      <c r="H10" s="47">
        <v>29.95</v>
      </c>
      <c r="I10" s="45">
        <v>188.72</v>
      </c>
      <c r="J10" s="46">
        <v>318.22000000000003</v>
      </c>
      <c r="K10" s="46">
        <v>17.34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183.29</v>
      </c>
      <c r="V10" s="54">
        <v>173.03</v>
      </c>
      <c r="W10" s="54">
        <v>32.29</v>
      </c>
      <c r="X10" s="54">
        <v>30.48</v>
      </c>
      <c r="Y10" s="54">
        <v>131.72</v>
      </c>
      <c r="Z10" s="54">
        <v>124.34</v>
      </c>
      <c r="AA10" s="57">
        <v>0</v>
      </c>
      <c r="AB10" s="58">
        <v>67.739999999999995</v>
      </c>
      <c r="AC10" s="52">
        <v>0</v>
      </c>
      <c r="AD10" s="359">
        <v>8.58</v>
      </c>
      <c r="AE10" s="359">
        <v>7.48</v>
      </c>
      <c r="AF10" s="52">
        <v>15.35</v>
      </c>
      <c r="AG10" s="58">
        <v>7.76</v>
      </c>
      <c r="AH10" s="58">
        <v>7.33</v>
      </c>
      <c r="AI10" s="58">
        <v>0.51</v>
      </c>
      <c r="AJ10" s="52">
        <v>214.69</v>
      </c>
      <c r="AK10" s="52">
        <v>805.84</v>
      </c>
      <c r="AL10" s="52">
        <v>2796.25</v>
      </c>
      <c r="AM10" s="52">
        <v>585.73</v>
      </c>
      <c r="AN10" s="52">
        <v>6619.7</v>
      </c>
      <c r="AO10" s="52">
        <v>2928.07</v>
      </c>
      <c r="AP10" s="52">
        <v>429.8</v>
      </c>
      <c r="AQ10" s="52">
        <v>2162.54</v>
      </c>
      <c r="AR10" s="52">
        <v>441.33</v>
      </c>
      <c r="AS10" s="52">
        <v>786.69</v>
      </c>
    </row>
    <row r="11" spans="1:49" x14ac:dyDescent="0.25">
      <c r="A11" s="9">
        <v>44746</v>
      </c>
      <c r="B11" s="45"/>
      <c r="C11" s="46">
        <v>79.069656785329315</v>
      </c>
      <c r="D11" s="46">
        <v>836.35228201548341</v>
      </c>
      <c r="E11" s="46">
        <v>18.559826449553185</v>
      </c>
      <c r="F11" s="46">
        <v>0</v>
      </c>
      <c r="G11" s="46">
        <v>1524.6778767267917</v>
      </c>
      <c r="H11" s="47">
        <v>30.002589309215583</v>
      </c>
      <c r="I11" s="45">
        <v>188.85116628011073</v>
      </c>
      <c r="J11" s="46">
        <v>318.35556569099469</v>
      </c>
      <c r="K11" s="46">
        <v>17.606295903523772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181.93168191434074</v>
      </c>
      <c r="V11" s="54">
        <v>164.51473001319994</v>
      </c>
      <c r="W11" s="54">
        <v>32.0623505502532</v>
      </c>
      <c r="X11" s="54">
        <v>28.992910354376811</v>
      </c>
      <c r="Y11" s="54">
        <v>126.4298793422609</v>
      </c>
      <c r="Z11" s="54">
        <v>114.32630780265421</v>
      </c>
      <c r="AA11" s="57">
        <v>0</v>
      </c>
      <c r="AB11" s="58">
        <v>67.73730112711641</v>
      </c>
      <c r="AC11" s="52">
        <v>0</v>
      </c>
      <c r="AD11" s="359">
        <v>8.5801868106394394</v>
      </c>
      <c r="AE11" s="359">
        <v>7.4769165426727753</v>
      </c>
      <c r="AF11" s="52">
        <v>14.905099817117044</v>
      </c>
      <c r="AG11" s="58">
        <v>7.688131820974994</v>
      </c>
      <c r="AH11" s="58">
        <v>6.9521202548388779</v>
      </c>
      <c r="AI11" s="58">
        <v>0.52513657423126026</v>
      </c>
      <c r="AJ11" s="52">
        <v>213.51668971379598</v>
      </c>
      <c r="AK11" s="52">
        <v>803.41283655166626</v>
      </c>
      <c r="AL11" s="52">
        <v>2814.4704472859707</v>
      </c>
      <c r="AM11" s="52">
        <v>586.56797327995298</v>
      </c>
      <c r="AN11" s="52">
        <v>6831.8490890502917</v>
      </c>
      <c r="AO11" s="52">
        <v>2889.1192558288571</v>
      </c>
      <c r="AP11" s="52">
        <v>436.36552391052248</v>
      </c>
      <c r="AQ11" s="52">
        <v>2134.0737391789753</v>
      </c>
      <c r="AR11" s="52">
        <v>468.48511303265894</v>
      </c>
      <c r="AS11" s="52">
        <v>793.94953635533648</v>
      </c>
    </row>
    <row r="12" spans="1:49" x14ac:dyDescent="0.25">
      <c r="A12" s="9">
        <v>44747</v>
      </c>
      <c r="B12" s="45"/>
      <c r="C12" s="46">
        <v>78.849999999999994</v>
      </c>
      <c r="D12" s="46">
        <v>835</v>
      </c>
      <c r="E12" s="46">
        <v>18.579999999999998</v>
      </c>
      <c r="F12" s="46">
        <v>0</v>
      </c>
      <c r="G12" s="46">
        <v>1525.15</v>
      </c>
      <c r="H12" s="47">
        <v>30.03</v>
      </c>
      <c r="I12" s="45">
        <v>188.78</v>
      </c>
      <c r="J12" s="46">
        <v>318.32</v>
      </c>
      <c r="K12" s="46">
        <v>17.53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186.93</v>
      </c>
      <c r="V12" s="54">
        <v>175.25</v>
      </c>
      <c r="W12" s="54">
        <v>33.24</v>
      </c>
      <c r="X12" s="54">
        <v>31.17</v>
      </c>
      <c r="Y12" s="54">
        <v>129.19</v>
      </c>
      <c r="Z12" s="54">
        <v>121.12</v>
      </c>
      <c r="AA12" s="57">
        <v>0</v>
      </c>
      <c r="AB12" s="58">
        <v>67.739999999999995</v>
      </c>
      <c r="AC12" s="52">
        <v>0</v>
      </c>
      <c r="AD12" s="359">
        <v>8.58</v>
      </c>
      <c r="AE12" s="359">
        <v>7.47</v>
      </c>
      <c r="AF12" s="52">
        <v>15.64</v>
      </c>
      <c r="AG12" s="58">
        <v>7.94</v>
      </c>
      <c r="AH12" s="58">
        <v>7.44</v>
      </c>
      <c r="AI12" s="58">
        <v>0.52</v>
      </c>
      <c r="AJ12" s="52">
        <v>232.38</v>
      </c>
      <c r="AK12" s="52">
        <v>807.09</v>
      </c>
      <c r="AL12" s="52">
        <v>2809.65</v>
      </c>
      <c r="AM12" s="52">
        <v>584.41999999999996</v>
      </c>
      <c r="AN12" s="52">
        <v>6753.92</v>
      </c>
      <c r="AO12" s="52">
        <v>2851.77</v>
      </c>
      <c r="AP12" s="52">
        <v>441</v>
      </c>
      <c r="AQ12" s="52">
        <v>2147.87</v>
      </c>
      <c r="AR12" s="52">
        <v>447.9</v>
      </c>
      <c r="AS12" s="52">
        <v>826.14</v>
      </c>
    </row>
    <row r="13" spans="1:49" x14ac:dyDescent="0.25">
      <c r="A13" s="9">
        <v>44748</v>
      </c>
      <c r="B13" s="45"/>
      <c r="C13" s="46">
        <v>78.22064729928988</v>
      </c>
      <c r="D13" s="46">
        <v>835.11028251647986</v>
      </c>
      <c r="E13" s="46">
        <v>18.498993072907155</v>
      </c>
      <c r="F13" s="46">
        <v>0</v>
      </c>
      <c r="G13" s="46">
        <v>1512.0449725469016</v>
      </c>
      <c r="H13" s="47">
        <v>30.221038494507461</v>
      </c>
      <c r="I13" s="45">
        <v>188.95834944248207</v>
      </c>
      <c r="J13" s="46">
        <v>318.67142690022825</v>
      </c>
      <c r="K13" s="46">
        <v>17.421180836856358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185.0717209577827</v>
      </c>
      <c r="V13" s="54">
        <v>173.51407022738789</v>
      </c>
      <c r="W13" s="54">
        <v>33.337403862382303</v>
      </c>
      <c r="X13" s="54">
        <v>31.255497085347347</v>
      </c>
      <c r="Y13" s="54">
        <v>127.66866080836024</v>
      </c>
      <c r="Z13" s="54">
        <v>119.69580691580438</v>
      </c>
      <c r="AA13" s="57">
        <v>0</v>
      </c>
      <c r="AB13" s="58">
        <v>67.739485883712746</v>
      </c>
      <c r="AC13" s="52">
        <v>0</v>
      </c>
      <c r="AD13" s="359">
        <v>8.5878842826909825</v>
      </c>
      <c r="AE13" s="359">
        <v>7.4662323874131618</v>
      </c>
      <c r="AF13" s="52">
        <v>15.46533762812612</v>
      </c>
      <c r="AG13" s="58">
        <v>7.8468533548036685</v>
      </c>
      <c r="AH13" s="58">
        <v>7.3568206802378162</v>
      </c>
      <c r="AI13" s="58">
        <v>0.51611560052643934</v>
      </c>
      <c r="AJ13" s="52">
        <v>216.75760011672978</v>
      </c>
      <c r="AK13" s="52">
        <v>790.62609036763524</v>
      </c>
      <c r="AL13" s="52">
        <v>2770.7053906758633</v>
      </c>
      <c r="AM13" s="52">
        <v>569.62955093383789</v>
      </c>
      <c r="AN13" s="52">
        <v>6745.916717274984</v>
      </c>
      <c r="AO13" s="52">
        <v>2837.1658208211265</v>
      </c>
      <c r="AP13" s="52">
        <v>418.95274278322859</v>
      </c>
      <c r="AQ13" s="52">
        <v>2092.4706278483072</v>
      </c>
      <c r="AR13" s="52">
        <v>430.53150844573975</v>
      </c>
      <c r="AS13" s="52">
        <v>817.56440566380832</v>
      </c>
    </row>
    <row r="14" spans="1:49" x14ac:dyDescent="0.25">
      <c r="A14" s="9">
        <v>44749</v>
      </c>
      <c r="B14" s="45"/>
      <c r="C14" s="46">
        <v>79.400000000000006</v>
      </c>
      <c r="D14" s="46">
        <v>829.59</v>
      </c>
      <c r="E14" s="46">
        <v>18.47</v>
      </c>
      <c r="F14" s="46">
        <v>0</v>
      </c>
      <c r="G14" s="46">
        <v>1364.34</v>
      </c>
      <c r="H14" s="47">
        <v>30.08</v>
      </c>
      <c r="I14" s="45">
        <v>188.64</v>
      </c>
      <c r="J14" s="46">
        <v>318.05</v>
      </c>
      <c r="K14" s="46">
        <v>17.48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182.83</v>
      </c>
      <c r="V14" s="54">
        <v>172.62</v>
      </c>
      <c r="W14" s="54">
        <v>33.549999999999997</v>
      </c>
      <c r="X14" s="54">
        <v>31.68</v>
      </c>
      <c r="Y14" s="54">
        <v>127.68</v>
      </c>
      <c r="Z14" s="54">
        <v>120.55</v>
      </c>
      <c r="AA14" s="57">
        <v>0</v>
      </c>
      <c r="AB14" s="58">
        <v>67.739999999999995</v>
      </c>
      <c r="AC14" s="52">
        <v>0</v>
      </c>
      <c r="AD14" s="359">
        <v>8.57</v>
      </c>
      <c r="AE14" s="359">
        <v>7.47</v>
      </c>
      <c r="AF14" s="52">
        <v>15.25</v>
      </c>
      <c r="AG14" s="58">
        <v>7.71</v>
      </c>
      <c r="AH14" s="58">
        <v>7.28</v>
      </c>
      <c r="AI14" s="58">
        <v>0.51</v>
      </c>
      <c r="AJ14" s="52">
        <v>216.27</v>
      </c>
      <c r="AK14" s="52">
        <v>798.06</v>
      </c>
      <c r="AL14" s="52">
        <v>2771.7</v>
      </c>
      <c r="AM14" s="52">
        <v>571.72</v>
      </c>
      <c r="AN14" s="52">
        <v>6715.7</v>
      </c>
      <c r="AO14" s="52">
        <v>2805.7</v>
      </c>
      <c r="AP14" s="52">
        <v>401.75</v>
      </c>
      <c r="AQ14" s="52">
        <v>2119.38</v>
      </c>
      <c r="AR14" s="52">
        <v>455.89</v>
      </c>
      <c r="AS14" s="52">
        <v>808.22</v>
      </c>
    </row>
    <row r="15" spans="1:49" x14ac:dyDescent="0.25">
      <c r="A15" s="9">
        <v>44750</v>
      </c>
      <c r="B15" s="45"/>
      <c r="C15" s="46">
        <v>79.337329896291308</v>
      </c>
      <c r="D15" s="46">
        <v>821.69298235575582</v>
      </c>
      <c r="E15" s="46">
        <v>18.442702237268296</v>
      </c>
      <c r="F15" s="46">
        <v>0</v>
      </c>
      <c r="G15" s="46">
        <v>1238.7882289250715</v>
      </c>
      <c r="H15" s="47">
        <v>29.904475605487889</v>
      </c>
      <c r="I15" s="45">
        <v>190.72762199242919</v>
      </c>
      <c r="J15" s="46">
        <v>318.16696454683972</v>
      </c>
      <c r="K15" s="46">
        <v>17.417394280433648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184.11128020068898</v>
      </c>
      <c r="V15" s="54">
        <v>172.63437375710677</v>
      </c>
      <c r="W15" s="54">
        <v>34.294740927469398</v>
      </c>
      <c r="X15" s="54">
        <v>32.156916820752961</v>
      </c>
      <c r="Y15" s="54">
        <v>128.14407836541196</v>
      </c>
      <c r="Z15" s="54">
        <v>120.15598770037622</v>
      </c>
      <c r="AA15" s="57">
        <v>0</v>
      </c>
      <c r="AB15" s="58">
        <v>68.532713466220713</v>
      </c>
      <c r="AC15" s="52">
        <v>0</v>
      </c>
      <c r="AD15" s="359">
        <v>8.5746064111576707</v>
      </c>
      <c r="AE15" s="359">
        <v>7.4769904989804221</v>
      </c>
      <c r="AF15" s="52">
        <v>15.368311487966071</v>
      </c>
      <c r="AG15" s="58">
        <v>7.8008142970490173</v>
      </c>
      <c r="AH15" s="58">
        <v>7.3145365645092184</v>
      </c>
      <c r="AI15" s="58">
        <v>0.51608555887963248</v>
      </c>
      <c r="AJ15" s="52">
        <v>222.18653926849365</v>
      </c>
      <c r="AK15" s="52">
        <v>790.10781456629411</v>
      </c>
      <c r="AL15" s="52">
        <v>2795.7300712585456</v>
      </c>
      <c r="AM15" s="52">
        <v>578.26434679031377</v>
      </c>
      <c r="AN15" s="52">
        <v>7052.0752003987636</v>
      </c>
      <c r="AO15" s="52">
        <v>2814.4323635101318</v>
      </c>
      <c r="AP15" s="52">
        <v>424.09103676478065</v>
      </c>
      <c r="AQ15" s="52">
        <v>2143.9303355534867</v>
      </c>
      <c r="AR15" s="52">
        <v>449.0437578837076</v>
      </c>
      <c r="AS15" s="52">
        <v>837.9151372909547</v>
      </c>
    </row>
    <row r="16" spans="1:49" x14ac:dyDescent="0.25">
      <c r="A16" s="9">
        <v>44751</v>
      </c>
      <c r="B16" s="45"/>
      <c r="C16" s="46">
        <v>79.34</v>
      </c>
      <c r="D16" s="46">
        <v>819.97</v>
      </c>
      <c r="E16" s="46">
        <v>18.43</v>
      </c>
      <c r="F16" s="46">
        <v>0</v>
      </c>
      <c r="G16" s="46">
        <v>1241.1300000000001</v>
      </c>
      <c r="H16" s="47">
        <v>30.04</v>
      </c>
      <c r="I16" s="45">
        <v>191.4</v>
      </c>
      <c r="J16" s="46">
        <v>318.13</v>
      </c>
      <c r="K16" s="46">
        <v>17.5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189.27</v>
      </c>
      <c r="V16" s="54">
        <v>177.45</v>
      </c>
      <c r="W16" s="54">
        <v>35.33</v>
      </c>
      <c r="X16" s="54">
        <v>33.130000000000003</v>
      </c>
      <c r="Y16" s="54">
        <v>129.74</v>
      </c>
      <c r="Z16" s="54">
        <v>121.64</v>
      </c>
      <c r="AA16" s="57">
        <v>0</v>
      </c>
      <c r="AB16" s="58">
        <v>68.680000000000007</v>
      </c>
      <c r="AC16" s="52">
        <v>0</v>
      </c>
      <c r="AD16" s="359">
        <v>8.58</v>
      </c>
      <c r="AE16" s="359">
        <v>7.47</v>
      </c>
      <c r="AF16" s="52">
        <v>15.78</v>
      </c>
      <c r="AG16" s="58">
        <v>8</v>
      </c>
      <c r="AH16" s="58">
        <v>7.5</v>
      </c>
      <c r="AI16" s="58">
        <v>0.52</v>
      </c>
      <c r="AJ16" s="52">
        <v>220.53</v>
      </c>
      <c r="AK16" s="52">
        <v>782.21</v>
      </c>
      <c r="AL16" s="52">
        <v>2830.88</v>
      </c>
      <c r="AM16" s="52">
        <v>584.67999999999995</v>
      </c>
      <c r="AN16" s="52">
        <v>6897.98</v>
      </c>
      <c r="AO16" s="52">
        <v>2786</v>
      </c>
      <c r="AP16" s="52">
        <v>444.27</v>
      </c>
      <c r="AQ16" s="52">
        <v>2135.09</v>
      </c>
      <c r="AR16" s="52">
        <v>463.21</v>
      </c>
      <c r="AS16" s="52">
        <v>834.06</v>
      </c>
    </row>
    <row r="17" spans="1:45" x14ac:dyDescent="0.25">
      <c r="A17" s="9">
        <v>44752</v>
      </c>
      <c r="B17" s="45"/>
      <c r="C17" s="46">
        <v>79.140065864722374</v>
      </c>
      <c r="D17" s="46">
        <v>819.83029238383028</v>
      </c>
      <c r="E17" s="46">
        <v>18.253650904198512</v>
      </c>
      <c r="F17" s="46">
        <v>0</v>
      </c>
      <c r="G17" s="46">
        <v>1257.8310257593841</v>
      </c>
      <c r="H17" s="47">
        <v>29.859209271272078</v>
      </c>
      <c r="I17" s="45">
        <v>191.29149554570532</v>
      </c>
      <c r="J17" s="46">
        <v>317.86711535453799</v>
      </c>
      <c r="K17" s="46">
        <v>17.382322601973989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185.94652657846174</v>
      </c>
      <c r="V17" s="54">
        <v>174.30703266124252</v>
      </c>
      <c r="W17" s="54">
        <v>35.156710402396037</v>
      </c>
      <c r="X17" s="54">
        <v>32.956043767703839</v>
      </c>
      <c r="Y17" s="54">
        <v>126.54571124440058</v>
      </c>
      <c r="Z17" s="54">
        <v>118.62446601663414</v>
      </c>
      <c r="AA17" s="57">
        <v>0</v>
      </c>
      <c r="AB17" s="58">
        <v>67.744130071003823</v>
      </c>
      <c r="AC17" s="52">
        <v>0</v>
      </c>
      <c r="AD17" s="359">
        <v>8.5661244612371057</v>
      </c>
      <c r="AE17" s="359">
        <v>7.4615840151608213</v>
      </c>
      <c r="AF17" s="52">
        <v>15.498659867710508</v>
      </c>
      <c r="AG17" s="58">
        <v>7.8604883390759026</v>
      </c>
      <c r="AH17" s="58">
        <v>7.3684538391981054</v>
      </c>
      <c r="AI17" s="58">
        <v>0.51615458559491234</v>
      </c>
      <c r="AJ17" s="52">
        <v>220.53199768066406</v>
      </c>
      <c r="AK17" s="52">
        <v>760.31034234364824</v>
      </c>
      <c r="AL17" s="52">
        <v>2821.9478448232016</v>
      </c>
      <c r="AM17" s="52">
        <v>590.30225962003067</v>
      </c>
      <c r="AN17" s="52">
        <v>6782.6191424051931</v>
      </c>
      <c r="AO17" s="52">
        <v>2691.6264375050864</v>
      </c>
      <c r="AP17" s="52">
        <v>463.10201676686597</v>
      </c>
      <c r="AQ17" s="52">
        <v>2216.3289160410563</v>
      </c>
      <c r="AR17" s="52">
        <v>510.48862120310469</v>
      </c>
      <c r="AS17" s="52">
        <v>804.69918931325287</v>
      </c>
    </row>
    <row r="18" spans="1:45" x14ac:dyDescent="0.25">
      <c r="A18" s="9">
        <v>44753</v>
      </c>
      <c r="B18" s="45"/>
      <c r="C18" s="46">
        <v>78.89190260569238</v>
      </c>
      <c r="D18" s="46">
        <v>821.03933073679514</v>
      </c>
      <c r="E18" s="46">
        <v>18.529129577676436</v>
      </c>
      <c r="F18" s="46">
        <v>0</v>
      </c>
      <c r="G18" s="46">
        <v>1252.847190157579</v>
      </c>
      <c r="H18" s="47">
        <v>29.922667642434458</v>
      </c>
      <c r="I18" s="45">
        <v>192.50677994887056</v>
      </c>
      <c r="J18" s="46">
        <v>318.3044979731244</v>
      </c>
      <c r="K18" s="46">
        <v>17.350230996807419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185.8069416642663</v>
      </c>
      <c r="V18" s="54">
        <v>174.18084174654913</v>
      </c>
      <c r="W18" s="54">
        <v>35.052193602859759</v>
      </c>
      <c r="X18" s="54">
        <v>32.858947745025446</v>
      </c>
      <c r="Y18" s="54">
        <v>124.51723081818231</v>
      </c>
      <c r="Z18" s="54">
        <v>116.72608074594557</v>
      </c>
      <c r="AA18" s="57">
        <v>0</v>
      </c>
      <c r="AB18" s="58">
        <v>67.741061369578205</v>
      </c>
      <c r="AC18" s="52">
        <v>0</v>
      </c>
      <c r="AD18" s="359">
        <v>8.5792587725909009</v>
      </c>
      <c r="AE18" s="359">
        <v>7.4808960723071429</v>
      </c>
      <c r="AF18" s="52">
        <v>15.501965753237384</v>
      </c>
      <c r="AG18" s="58">
        <v>7.8687361335562231</v>
      </c>
      <c r="AH18" s="58">
        <v>7.3763825557217846</v>
      </c>
      <c r="AI18" s="58">
        <v>0.51614790897563534</v>
      </c>
      <c r="AJ18" s="52">
        <v>222.97837594350179</v>
      </c>
      <c r="AK18" s="52">
        <v>744.7810135841371</v>
      </c>
      <c r="AL18" s="52">
        <v>2743.1660776774092</v>
      </c>
      <c r="AM18" s="52">
        <v>567.76826098759955</v>
      </c>
      <c r="AN18" s="52">
        <v>7114.1075970967613</v>
      </c>
      <c r="AO18" s="52">
        <v>2677.6269109090163</v>
      </c>
      <c r="AP18" s="52">
        <v>426.31904614766438</v>
      </c>
      <c r="AQ18" s="52">
        <v>2146.8937153498332</v>
      </c>
      <c r="AR18" s="52">
        <v>454.37695802052815</v>
      </c>
      <c r="AS18" s="52">
        <v>785.5179987589521</v>
      </c>
    </row>
    <row r="19" spans="1:45" x14ac:dyDescent="0.25">
      <c r="A19" s="9">
        <v>44754</v>
      </c>
      <c r="B19" s="45"/>
      <c r="C19" s="46">
        <v>79.150238887468475</v>
      </c>
      <c r="D19" s="46">
        <v>811.10426158904966</v>
      </c>
      <c r="E19" s="46">
        <v>19.15789475440981</v>
      </c>
      <c r="F19" s="46">
        <v>0</v>
      </c>
      <c r="G19" s="46">
        <v>1243.0920935312924</v>
      </c>
      <c r="H19" s="47">
        <v>29.809412624438707</v>
      </c>
      <c r="I19" s="45">
        <v>194.2462596813838</v>
      </c>
      <c r="J19" s="46">
        <v>318.0388917764036</v>
      </c>
      <c r="K19" s="46">
        <v>17.578063967327303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188.66825965660036</v>
      </c>
      <c r="V19" s="54">
        <v>169.31525190786897</v>
      </c>
      <c r="W19" s="54">
        <v>36.484518560377246</v>
      </c>
      <c r="X19" s="54">
        <v>32.74204925635717</v>
      </c>
      <c r="Y19" s="54">
        <v>117.43244318603396</v>
      </c>
      <c r="Z19" s="54">
        <v>105.38658562065271</v>
      </c>
      <c r="AA19" s="57">
        <v>0</v>
      </c>
      <c r="AB19" s="58">
        <v>67.739590220981341</v>
      </c>
      <c r="AC19" s="52">
        <v>0</v>
      </c>
      <c r="AD19" s="359">
        <v>8.5718790750398917</v>
      </c>
      <c r="AE19" s="359">
        <v>7.4695902757079331</v>
      </c>
      <c r="AF19" s="52">
        <v>15.329763246907085</v>
      </c>
      <c r="AG19" s="58">
        <v>7.9326676319878739</v>
      </c>
      <c r="AH19" s="58">
        <v>7.1189590705721955</v>
      </c>
      <c r="AI19" s="58">
        <v>0.52703058538108971</v>
      </c>
      <c r="AJ19" s="52">
        <v>217.00968227386474</v>
      </c>
      <c r="AK19" s="52">
        <v>754.54757645924872</v>
      </c>
      <c r="AL19" s="52">
        <v>2795.21533648173</v>
      </c>
      <c r="AM19" s="52">
        <v>575.84186917940792</v>
      </c>
      <c r="AN19" s="52">
        <v>7289.6607004801417</v>
      </c>
      <c r="AO19" s="52">
        <v>2679.8254325866696</v>
      </c>
      <c r="AP19" s="52">
        <v>426.84014868736267</v>
      </c>
      <c r="AQ19" s="52">
        <v>2124.430252710978</v>
      </c>
      <c r="AR19" s="52">
        <v>475.99108142852782</v>
      </c>
      <c r="AS19" s="52">
        <v>830.48938077290848</v>
      </c>
    </row>
    <row r="20" spans="1:45" x14ac:dyDescent="0.25">
      <c r="A20" s="9">
        <v>44755</v>
      </c>
      <c r="B20" s="45"/>
      <c r="C20" s="46">
        <v>87.521043769518201</v>
      </c>
      <c r="D20" s="46">
        <v>810.62843786875396</v>
      </c>
      <c r="E20" s="46">
        <v>19.301710223158231</v>
      </c>
      <c r="F20" s="46">
        <v>0</v>
      </c>
      <c r="G20" s="46">
        <v>1211.6539314905838</v>
      </c>
      <c r="H20" s="47">
        <v>30.24129957755412</v>
      </c>
      <c r="I20" s="45">
        <v>189.51362097263302</v>
      </c>
      <c r="J20" s="46">
        <v>330.10959796905541</v>
      </c>
      <c r="K20" s="46">
        <v>17.434528946876512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183.7575906277288</v>
      </c>
      <c r="V20" s="54">
        <v>172.2766374216535</v>
      </c>
      <c r="W20" s="54">
        <v>36.493326919526957</v>
      </c>
      <c r="X20" s="54">
        <v>34.213267754265594</v>
      </c>
      <c r="Y20" s="54">
        <v>82.274813653026314</v>
      </c>
      <c r="Z20" s="54">
        <v>77.134382270778843</v>
      </c>
      <c r="AA20" s="57">
        <v>0</v>
      </c>
      <c r="AB20" s="58">
        <v>67.739954127205834</v>
      </c>
      <c r="AC20" s="52">
        <v>0</v>
      </c>
      <c r="AD20" s="359">
        <v>8.57349616751209</v>
      </c>
      <c r="AE20" s="359">
        <v>7.4647802662963958</v>
      </c>
      <c r="AF20" s="52">
        <v>15.294934462176407</v>
      </c>
      <c r="AG20" s="58">
        <v>7.7639590652841308</v>
      </c>
      <c r="AH20" s="58">
        <v>7.2788762427573941</v>
      </c>
      <c r="AI20" s="58">
        <v>0.51612338407598679</v>
      </c>
      <c r="AJ20" s="52">
        <v>217.04344579378764</v>
      </c>
      <c r="AK20" s="52">
        <v>765.22237094243371</v>
      </c>
      <c r="AL20" s="52">
        <v>2787.1943586985267</v>
      </c>
      <c r="AM20" s="52">
        <v>585.21616923014324</v>
      </c>
      <c r="AN20" s="52">
        <v>7587.1850908915194</v>
      </c>
      <c r="AO20" s="52">
        <v>2698.6864416758222</v>
      </c>
      <c r="AP20" s="52">
        <v>444.73482834498088</v>
      </c>
      <c r="AQ20" s="52">
        <v>2117.4321656545007</v>
      </c>
      <c r="AR20" s="52">
        <v>483.59493389129631</v>
      </c>
      <c r="AS20" s="52">
        <v>839.38724482854218</v>
      </c>
    </row>
    <row r="21" spans="1:45" x14ac:dyDescent="0.25">
      <c r="A21" s="9">
        <v>44756</v>
      </c>
      <c r="B21" s="45"/>
      <c r="C21" s="46">
        <v>78.957477378845724</v>
      </c>
      <c r="D21" s="46">
        <v>811.5652568817145</v>
      </c>
      <c r="E21" s="46">
        <v>18.558433508872969</v>
      </c>
      <c r="F21" s="46">
        <v>0</v>
      </c>
      <c r="G21" s="46">
        <v>1261.7616019566865</v>
      </c>
      <c r="H21" s="47">
        <v>29.974426219860771</v>
      </c>
      <c r="I21" s="45">
        <v>163.62768057187409</v>
      </c>
      <c r="J21" s="46">
        <v>318.69034525553417</v>
      </c>
      <c r="K21" s="46">
        <v>17.431630745530125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180.4436239272315</v>
      </c>
      <c r="V21" s="54">
        <v>164.73212515215272</v>
      </c>
      <c r="W21" s="54">
        <v>35.51795183196905</v>
      </c>
      <c r="X21" s="54">
        <v>32.425350139784392</v>
      </c>
      <c r="Y21" s="54">
        <v>81.550512394806901</v>
      </c>
      <c r="Z21" s="54">
        <v>74.449786152937776</v>
      </c>
      <c r="AA21" s="57">
        <v>0</v>
      </c>
      <c r="AB21" s="58">
        <v>67.737538931105036</v>
      </c>
      <c r="AC21" s="52">
        <v>0</v>
      </c>
      <c r="AD21" s="359">
        <v>8.5886134458168453</v>
      </c>
      <c r="AE21" s="359">
        <v>7.4744214479442936</v>
      </c>
      <c r="AF21" s="52">
        <v>14.771920533974971</v>
      </c>
      <c r="AG21" s="58">
        <v>7.582355418678083</v>
      </c>
      <c r="AH21" s="58">
        <v>6.9221482842834927</v>
      </c>
      <c r="AI21" s="58">
        <v>0.52275869439985689</v>
      </c>
      <c r="AJ21" s="52">
        <v>221.11711502075195</v>
      </c>
      <c r="AK21" s="52">
        <v>766.61371240615836</v>
      </c>
      <c r="AL21" s="52">
        <v>2795.3918431599936</v>
      </c>
      <c r="AM21" s="52">
        <v>579.78540693918865</v>
      </c>
      <c r="AN21" s="52">
        <v>7747.0787211100269</v>
      </c>
      <c r="AO21" s="52">
        <v>2710.3573582967119</v>
      </c>
      <c r="AP21" s="52">
        <v>458.05360307693479</v>
      </c>
      <c r="AQ21" s="52">
        <v>2134.287923049927</v>
      </c>
      <c r="AR21" s="52">
        <v>485.6813228607179</v>
      </c>
      <c r="AS21" s="52">
        <v>824.83370917638126</v>
      </c>
    </row>
    <row r="22" spans="1:45" x14ac:dyDescent="0.25">
      <c r="A22" s="9">
        <v>44757</v>
      </c>
      <c r="B22" s="45"/>
      <c r="C22" s="46">
        <v>78.08</v>
      </c>
      <c r="D22" s="46">
        <v>808.97</v>
      </c>
      <c r="E22" s="46">
        <v>18.559999999999999</v>
      </c>
      <c r="F22" s="46">
        <v>0</v>
      </c>
      <c r="G22" s="46">
        <v>1313.32</v>
      </c>
      <c r="H22" s="47">
        <v>29.83</v>
      </c>
      <c r="I22" s="45">
        <v>158.13</v>
      </c>
      <c r="J22" s="46">
        <v>318.23</v>
      </c>
      <c r="K22" s="46">
        <v>17.510000000000002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180.4</v>
      </c>
      <c r="V22" s="54">
        <v>169.14</v>
      </c>
      <c r="W22" s="54">
        <v>35.479999999999997</v>
      </c>
      <c r="X22" s="54">
        <v>33.270000000000003</v>
      </c>
      <c r="Y22" s="54">
        <v>102.21</v>
      </c>
      <c r="Z22" s="54">
        <v>95.83</v>
      </c>
      <c r="AA22" s="57">
        <v>0</v>
      </c>
      <c r="AB22" s="58">
        <v>67.739999999999995</v>
      </c>
      <c r="AC22" s="52">
        <v>0</v>
      </c>
      <c r="AD22" s="359">
        <v>8.58</v>
      </c>
      <c r="AE22" s="359">
        <v>7.45</v>
      </c>
      <c r="AF22" s="52">
        <v>15.49</v>
      </c>
      <c r="AG22" s="58">
        <v>7.86</v>
      </c>
      <c r="AH22" s="58">
        <v>7.37</v>
      </c>
      <c r="AI22" s="58">
        <v>0.52</v>
      </c>
      <c r="AJ22" s="52">
        <v>221.96</v>
      </c>
      <c r="AK22" s="52">
        <v>764.96</v>
      </c>
      <c r="AL22" s="52">
        <v>2885.93</v>
      </c>
      <c r="AM22" s="52">
        <v>577.69000000000005</v>
      </c>
      <c r="AN22" s="52">
        <v>7770.79</v>
      </c>
      <c r="AO22" s="52">
        <v>2671.15</v>
      </c>
      <c r="AP22" s="52">
        <v>459.86</v>
      </c>
      <c r="AQ22" s="52">
        <v>2181.02</v>
      </c>
      <c r="AR22" s="52">
        <v>494.68</v>
      </c>
      <c r="AS22" s="52">
        <v>815.48</v>
      </c>
    </row>
    <row r="23" spans="1:45" x14ac:dyDescent="0.25">
      <c r="A23" s="9">
        <v>44758</v>
      </c>
      <c r="B23" s="45"/>
      <c r="C23" s="46">
        <v>79.36</v>
      </c>
      <c r="D23" s="46">
        <v>816.65</v>
      </c>
      <c r="E23" s="46">
        <v>18.52</v>
      </c>
      <c r="F23" s="46">
        <v>0</v>
      </c>
      <c r="G23" s="46">
        <v>1290.51</v>
      </c>
      <c r="H23" s="47">
        <v>29.76</v>
      </c>
      <c r="I23" s="45">
        <v>158.33000000000001</v>
      </c>
      <c r="J23" s="46">
        <v>318.56</v>
      </c>
      <c r="K23" s="46">
        <v>17.66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178.89</v>
      </c>
      <c r="V23" s="54">
        <v>167.7</v>
      </c>
      <c r="W23" s="54">
        <v>35.14</v>
      </c>
      <c r="X23" s="54">
        <v>32.94</v>
      </c>
      <c r="Y23" s="54">
        <v>107.65</v>
      </c>
      <c r="Z23" s="54">
        <v>100.92</v>
      </c>
      <c r="AA23" s="57">
        <v>0</v>
      </c>
      <c r="AB23" s="58">
        <v>67.739999999999995</v>
      </c>
      <c r="AC23" s="52">
        <v>0</v>
      </c>
      <c r="AD23" s="359">
        <v>8.58</v>
      </c>
      <c r="AE23" s="359">
        <v>7.46</v>
      </c>
      <c r="AF23" s="52">
        <v>15.51</v>
      </c>
      <c r="AG23" s="58">
        <v>7.87</v>
      </c>
      <c r="AH23" s="58">
        <v>7.38</v>
      </c>
      <c r="AI23" s="58">
        <v>0.52</v>
      </c>
      <c r="AJ23" s="52">
        <v>221.95</v>
      </c>
      <c r="AK23" s="52">
        <v>749.03</v>
      </c>
      <c r="AL23" s="52">
        <v>2823.41</v>
      </c>
      <c r="AM23" s="52">
        <v>575.79999999999995</v>
      </c>
      <c r="AN23" s="52">
        <v>6985.84</v>
      </c>
      <c r="AO23" s="52">
        <v>2669.66</v>
      </c>
      <c r="AP23" s="52">
        <v>448.61</v>
      </c>
      <c r="AQ23" s="52">
        <v>2174.9299999999998</v>
      </c>
      <c r="AR23" s="52">
        <v>461.15</v>
      </c>
      <c r="AS23" s="52">
        <v>801.26</v>
      </c>
    </row>
    <row r="24" spans="1:45" x14ac:dyDescent="0.25">
      <c r="A24" s="9">
        <v>44759</v>
      </c>
      <c r="B24" s="45"/>
      <c r="C24" s="46">
        <v>79.75</v>
      </c>
      <c r="D24" s="46">
        <v>820.42</v>
      </c>
      <c r="E24" s="46">
        <v>18.53</v>
      </c>
      <c r="F24" s="46">
        <v>0</v>
      </c>
      <c r="G24" s="46">
        <v>1306.9100000000001</v>
      </c>
      <c r="H24" s="47">
        <v>29.93</v>
      </c>
      <c r="I24" s="45">
        <v>159.12</v>
      </c>
      <c r="J24" s="46">
        <v>320.07</v>
      </c>
      <c r="K24" s="46">
        <v>17.52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176.93</v>
      </c>
      <c r="V24" s="54">
        <v>167.05</v>
      </c>
      <c r="W24" s="54">
        <v>34.86</v>
      </c>
      <c r="X24" s="54">
        <v>32.92</v>
      </c>
      <c r="Y24" s="54">
        <v>107.62</v>
      </c>
      <c r="Z24" s="54">
        <v>101.61</v>
      </c>
      <c r="AA24" s="57">
        <v>0</v>
      </c>
      <c r="AB24" s="58">
        <v>67.739999999999995</v>
      </c>
      <c r="AC24" s="52">
        <v>0</v>
      </c>
      <c r="AD24" s="359">
        <v>8.6300000000000008</v>
      </c>
      <c r="AE24" s="359">
        <v>7.47</v>
      </c>
      <c r="AF24" s="52">
        <v>15.4</v>
      </c>
      <c r="AG24" s="58">
        <v>7.77</v>
      </c>
      <c r="AH24" s="58">
        <v>7.34</v>
      </c>
      <c r="AI24" s="58">
        <v>0.51</v>
      </c>
      <c r="AJ24" s="52">
        <v>215.82</v>
      </c>
      <c r="AK24" s="52">
        <v>761.85</v>
      </c>
      <c r="AL24" s="52">
        <v>2823.31</v>
      </c>
      <c r="AM24" s="52">
        <v>584.66999999999996</v>
      </c>
      <c r="AN24" s="52">
        <v>8219.01</v>
      </c>
      <c r="AO24" s="52">
        <v>2671.36</v>
      </c>
      <c r="AP24" s="52">
        <v>448.98</v>
      </c>
      <c r="AQ24" s="52">
        <v>2183.3200000000002</v>
      </c>
      <c r="AR24" s="52">
        <v>471.86</v>
      </c>
      <c r="AS24" s="52">
        <v>848.36</v>
      </c>
    </row>
    <row r="25" spans="1:45" x14ac:dyDescent="0.25">
      <c r="A25" s="9">
        <v>44760</v>
      </c>
      <c r="B25" s="45"/>
      <c r="C25" s="46">
        <v>79.547332731882491</v>
      </c>
      <c r="D25" s="46">
        <v>824.75407466888475</v>
      </c>
      <c r="E25" s="46">
        <v>18.608244574566722</v>
      </c>
      <c r="F25" s="46">
        <v>0</v>
      </c>
      <c r="G25" s="46">
        <v>1308.0339588165361</v>
      </c>
      <c r="H25" s="47">
        <v>30.093871605396309</v>
      </c>
      <c r="I25" s="45">
        <v>200.64393807252219</v>
      </c>
      <c r="J25" s="46">
        <v>486.89646649360623</v>
      </c>
      <c r="K25" s="46">
        <v>26.937890806794172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273.75853126113924</v>
      </c>
      <c r="V25" s="54">
        <v>166.44562491511076</v>
      </c>
      <c r="W25" s="54">
        <v>53.70426900797078</v>
      </c>
      <c r="X25" s="54">
        <v>32.652281463017204</v>
      </c>
      <c r="Y25" s="54">
        <v>187.42775723254502</v>
      </c>
      <c r="Z25" s="54">
        <v>113.95637620969752</v>
      </c>
      <c r="AA25" s="57">
        <v>0</v>
      </c>
      <c r="AB25" s="58">
        <v>87.577566077974396</v>
      </c>
      <c r="AC25" s="52">
        <v>0</v>
      </c>
      <c r="AD25" s="359">
        <v>13.123150136279978</v>
      </c>
      <c r="AE25" s="359">
        <v>7.4753674662811065</v>
      </c>
      <c r="AF25" s="52">
        <v>20.05987353059983</v>
      </c>
      <c r="AG25" s="58">
        <v>12.224736379541982</v>
      </c>
      <c r="AH25" s="58">
        <v>7.432659273637011</v>
      </c>
      <c r="AI25" s="58">
        <v>0.62188992861651027</v>
      </c>
      <c r="AJ25" s="52">
        <v>212.4948214371999</v>
      </c>
      <c r="AK25" s="52">
        <v>772.52825740178434</v>
      </c>
      <c r="AL25" s="52">
        <v>2923.7610153198248</v>
      </c>
      <c r="AM25" s="52">
        <v>596.50892178217555</v>
      </c>
      <c r="AN25" s="52">
        <v>6542.0337010701505</v>
      </c>
      <c r="AO25" s="52">
        <v>2652.8272457122807</v>
      </c>
      <c r="AP25" s="52">
        <v>461.75347814559939</v>
      </c>
      <c r="AQ25" s="52">
        <v>2799.0007937113442</v>
      </c>
      <c r="AR25" s="52">
        <v>488.06773703893026</v>
      </c>
      <c r="AS25" s="52">
        <v>835.0382853507997</v>
      </c>
    </row>
    <row r="26" spans="1:45" x14ac:dyDescent="0.25">
      <c r="A26" s="9">
        <v>44761</v>
      </c>
      <c r="B26" s="45"/>
      <c r="C26" s="46">
        <v>79.48</v>
      </c>
      <c r="D26" s="46">
        <v>837.55</v>
      </c>
      <c r="E26" s="46">
        <v>18.62</v>
      </c>
      <c r="F26" s="46">
        <v>0</v>
      </c>
      <c r="G26" s="46">
        <v>1316</v>
      </c>
      <c r="H26" s="47">
        <v>30.12</v>
      </c>
      <c r="I26" s="45">
        <v>245.11</v>
      </c>
      <c r="J26" s="46">
        <v>694.89</v>
      </c>
      <c r="K26" s="46">
        <v>38.19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389.94</v>
      </c>
      <c r="V26" s="54">
        <v>162.49</v>
      </c>
      <c r="W26" s="54">
        <v>78.41</v>
      </c>
      <c r="X26" s="54">
        <v>32.67</v>
      </c>
      <c r="Y26" s="54">
        <v>320.73</v>
      </c>
      <c r="Z26" s="54">
        <v>133.66</v>
      </c>
      <c r="AA26" s="57">
        <v>0</v>
      </c>
      <c r="AB26" s="58">
        <v>112.93</v>
      </c>
      <c r="AC26" s="52">
        <v>0</v>
      </c>
      <c r="AD26" s="359">
        <v>18.73</v>
      </c>
      <c r="AE26" s="359">
        <v>7.5</v>
      </c>
      <c r="AF26" s="52">
        <v>25.58</v>
      </c>
      <c r="AG26" s="58">
        <v>17.72</v>
      </c>
      <c r="AH26" s="58">
        <v>7.38</v>
      </c>
      <c r="AI26" s="58">
        <v>0.71</v>
      </c>
      <c r="AJ26" s="52">
        <v>209.59</v>
      </c>
      <c r="AK26" s="52">
        <v>765.39</v>
      </c>
      <c r="AL26" s="52">
        <v>2875.12</v>
      </c>
      <c r="AM26" s="52">
        <v>613.76</v>
      </c>
      <c r="AN26" s="52">
        <v>6266.18</v>
      </c>
      <c r="AO26" s="52">
        <v>2657.14</v>
      </c>
      <c r="AP26" s="52">
        <v>474.53</v>
      </c>
      <c r="AQ26" s="52">
        <v>3644.01</v>
      </c>
      <c r="AR26" s="52">
        <v>503.82</v>
      </c>
      <c r="AS26" s="52">
        <v>830.51</v>
      </c>
    </row>
    <row r="27" spans="1:45" x14ac:dyDescent="0.25">
      <c r="A27" s="9">
        <v>44762</v>
      </c>
      <c r="B27" s="45"/>
      <c r="C27" s="46">
        <v>79.3</v>
      </c>
      <c r="D27" s="46">
        <v>837.91</v>
      </c>
      <c r="E27" s="46">
        <v>18.600000000000001</v>
      </c>
      <c r="F27" s="46">
        <v>0</v>
      </c>
      <c r="G27" s="46">
        <v>1352.15</v>
      </c>
      <c r="H27" s="47">
        <v>30.12</v>
      </c>
      <c r="I27" s="45">
        <v>248.17</v>
      </c>
      <c r="J27" s="46">
        <v>694.17</v>
      </c>
      <c r="K27" s="46">
        <v>38.14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394.06</v>
      </c>
      <c r="V27" s="54">
        <v>164.17</v>
      </c>
      <c r="W27" s="54">
        <v>79.66</v>
      </c>
      <c r="X27" s="54">
        <v>33.19</v>
      </c>
      <c r="Y27" s="54">
        <v>335.64</v>
      </c>
      <c r="Z27" s="54">
        <v>139.84</v>
      </c>
      <c r="AA27" s="57">
        <v>0</v>
      </c>
      <c r="AB27" s="52">
        <v>112.86</v>
      </c>
      <c r="AC27" s="52">
        <v>0</v>
      </c>
      <c r="AD27" s="359">
        <v>18.71</v>
      </c>
      <c r="AE27" s="359">
        <v>7.5</v>
      </c>
      <c r="AF27" s="52">
        <v>25.87</v>
      </c>
      <c r="AG27" s="52">
        <v>17.920000000000002</v>
      </c>
      <c r="AH27" s="52">
        <v>7.47</v>
      </c>
      <c r="AI27" s="52">
        <v>0.71</v>
      </c>
      <c r="AJ27" s="52">
        <v>215.8</v>
      </c>
      <c r="AK27" s="52">
        <v>755.53</v>
      </c>
      <c r="AL27" s="52">
        <v>2840.93</v>
      </c>
      <c r="AM27" s="52">
        <v>701.42</v>
      </c>
      <c r="AN27" s="52">
        <v>6332.64</v>
      </c>
      <c r="AO27" s="52">
        <v>2654.89</v>
      </c>
      <c r="AP27" s="52">
        <v>471.37</v>
      </c>
      <c r="AQ27" s="52">
        <v>3685.17</v>
      </c>
      <c r="AR27" s="52">
        <v>473.07</v>
      </c>
      <c r="AS27" s="52">
        <v>811.82</v>
      </c>
    </row>
    <row r="28" spans="1:45" x14ac:dyDescent="0.25">
      <c r="A28" s="9">
        <v>44763</v>
      </c>
      <c r="B28" s="45"/>
      <c r="C28" s="46">
        <v>79.092878572145864</v>
      </c>
      <c r="D28" s="46">
        <v>838.55581493377815</v>
      </c>
      <c r="E28" s="46">
        <v>18.579195814828111</v>
      </c>
      <c r="F28" s="46">
        <v>0</v>
      </c>
      <c r="G28" s="46">
        <v>1351.4481451034562</v>
      </c>
      <c r="H28" s="47">
        <v>30.052314354976037</v>
      </c>
      <c r="I28" s="45">
        <v>247.87961586316399</v>
      </c>
      <c r="J28" s="46">
        <v>693.88173866271916</v>
      </c>
      <c r="K28" s="46">
        <v>38.195261306564021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393.82224931290466</v>
      </c>
      <c r="V28" s="54">
        <v>164.11035498940055</v>
      </c>
      <c r="W28" s="54">
        <v>79.16968728438917</v>
      </c>
      <c r="X28" s="54">
        <v>32.990938189269038</v>
      </c>
      <c r="Y28" s="54">
        <v>349.59348280240067</v>
      </c>
      <c r="Z28" s="54">
        <v>145.67970871320429</v>
      </c>
      <c r="AA28" s="57">
        <v>0</v>
      </c>
      <c r="AB28" s="58">
        <v>112.85807444254658</v>
      </c>
      <c r="AC28" s="52">
        <v>0</v>
      </c>
      <c r="AD28" s="359">
        <v>18.699449320247517</v>
      </c>
      <c r="AE28" s="359">
        <v>7.4964924344481316</v>
      </c>
      <c r="AF28" s="52">
        <v>25.86478222873474</v>
      </c>
      <c r="AG28" s="58">
        <v>17.915556607005126</v>
      </c>
      <c r="AH28" s="58">
        <v>7.4656227771232011</v>
      </c>
      <c r="AI28" s="58">
        <v>0.70585989468276267</v>
      </c>
      <c r="AJ28" s="52">
        <v>215.80062103271484</v>
      </c>
      <c r="AK28" s="52">
        <v>745.68023036321006</v>
      </c>
      <c r="AL28" s="52">
        <v>2826.3520547231042</v>
      </c>
      <c r="AM28" s="52">
        <v>654.02187309265139</v>
      </c>
      <c r="AN28" s="52">
        <v>6581.6954233805336</v>
      </c>
      <c r="AO28" s="52">
        <v>2664.2973748524992</v>
      </c>
      <c r="AP28" s="52">
        <v>486.10259976387022</v>
      </c>
      <c r="AQ28" s="52">
        <v>3631.9604122161863</v>
      </c>
      <c r="AR28" s="52">
        <v>494.11264479955025</v>
      </c>
      <c r="AS28" s="52">
        <v>810.24963378906261</v>
      </c>
    </row>
    <row r="29" spans="1:45" x14ac:dyDescent="0.25">
      <c r="A29" s="9">
        <v>44764</v>
      </c>
      <c r="B29" s="45"/>
      <c r="C29" s="46">
        <v>79.19</v>
      </c>
      <c r="D29" s="46">
        <v>838</v>
      </c>
      <c r="E29" s="46">
        <v>18.600000000000001</v>
      </c>
      <c r="F29" s="46">
        <v>0</v>
      </c>
      <c r="G29" s="46">
        <v>1320.83</v>
      </c>
      <c r="H29" s="47">
        <v>29.91</v>
      </c>
      <c r="I29" s="45">
        <v>282.69</v>
      </c>
      <c r="J29" s="46">
        <v>797.86</v>
      </c>
      <c r="K29" s="46">
        <v>43.9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446.22</v>
      </c>
      <c r="V29" s="54">
        <v>161.65</v>
      </c>
      <c r="W29" s="54">
        <v>87.25</v>
      </c>
      <c r="X29" s="54">
        <v>31.61</v>
      </c>
      <c r="Y29" s="54">
        <v>422.24</v>
      </c>
      <c r="Z29" s="54">
        <v>152.96</v>
      </c>
      <c r="AA29" s="57">
        <v>0</v>
      </c>
      <c r="AB29" s="58">
        <v>125.12</v>
      </c>
      <c r="AC29" s="52">
        <v>0</v>
      </c>
      <c r="AD29" s="359">
        <v>21.52</v>
      </c>
      <c r="AE29" s="359">
        <v>7.49</v>
      </c>
      <c r="AF29" s="52">
        <v>28.41</v>
      </c>
      <c r="AG29" s="58">
        <v>20.48</v>
      </c>
      <c r="AH29" s="58">
        <v>7.42</v>
      </c>
      <c r="AI29" s="58">
        <v>0.73</v>
      </c>
      <c r="AJ29" s="52">
        <v>215.8</v>
      </c>
      <c r="AK29" s="52">
        <v>756.7</v>
      </c>
      <c r="AL29" s="52">
        <v>2917.39</v>
      </c>
      <c r="AM29" s="52">
        <v>603.12</v>
      </c>
      <c r="AN29" s="52">
        <v>6366.45</v>
      </c>
      <c r="AO29" s="52">
        <v>2690.38</v>
      </c>
      <c r="AP29" s="52">
        <v>489.45</v>
      </c>
      <c r="AQ29" s="52">
        <v>4044.27</v>
      </c>
      <c r="AR29" s="52">
        <v>503.42</v>
      </c>
      <c r="AS29" s="52">
        <v>809.66</v>
      </c>
    </row>
    <row r="30" spans="1:45" x14ac:dyDescent="0.25">
      <c r="A30" s="9">
        <v>44765</v>
      </c>
      <c r="B30" s="45"/>
      <c r="C30" s="46">
        <v>79.213523197174496</v>
      </c>
      <c r="D30" s="46">
        <v>838.62682431539054</v>
      </c>
      <c r="E30" s="46">
        <v>18.562371541062987</v>
      </c>
      <c r="F30" s="46">
        <v>0</v>
      </c>
      <c r="G30" s="46">
        <v>1315.0538007100477</v>
      </c>
      <c r="H30" s="47">
        <v>29.839964381853779</v>
      </c>
      <c r="I30" s="45">
        <v>307.12341785430948</v>
      </c>
      <c r="J30" s="46">
        <v>880.42534987131751</v>
      </c>
      <c r="K30" s="46">
        <v>48.382413207491226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513.37888940689959</v>
      </c>
      <c r="V30" s="54">
        <v>167.40635552421321</v>
      </c>
      <c r="W30" s="54">
        <v>98.032195139745923</v>
      </c>
      <c r="X30" s="54">
        <v>31.967057569007224</v>
      </c>
      <c r="Y30" s="54">
        <v>480.55685154435497</v>
      </c>
      <c r="Z30" s="54">
        <v>156.70350456399123</v>
      </c>
      <c r="AA30" s="57">
        <v>0</v>
      </c>
      <c r="AB30" s="58">
        <v>134.85224315854964</v>
      </c>
      <c r="AC30" s="52">
        <v>0</v>
      </c>
      <c r="AD30" s="359">
        <v>23.728290335345783</v>
      </c>
      <c r="AE30" s="359">
        <v>7.4706284561434853</v>
      </c>
      <c r="AF30" s="52">
        <v>30.612106713983724</v>
      </c>
      <c r="AG30" s="58">
        <v>22.673924745042406</v>
      </c>
      <c r="AH30" s="58">
        <v>7.3936797661918288</v>
      </c>
      <c r="AI30" s="58">
        <v>0.75409814362067629</v>
      </c>
      <c r="AJ30" s="52">
        <v>215.03853268623354</v>
      </c>
      <c r="AK30" s="52">
        <v>762.73261699676516</v>
      </c>
      <c r="AL30" s="52">
        <v>2840.7019097646075</v>
      </c>
      <c r="AM30" s="52">
        <v>611.40592330296829</v>
      </c>
      <c r="AN30" s="52">
        <v>5923.8857963562004</v>
      </c>
      <c r="AO30" s="52">
        <v>2688.8428778330481</v>
      </c>
      <c r="AP30" s="52">
        <v>476.15822208722432</v>
      </c>
      <c r="AQ30" s="52">
        <v>4240.8232143402101</v>
      </c>
      <c r="AR30" s="52">
        <v>496.5551035881042</v>
      </c>
      <c r="AS30" s="52">
        <v>767.63098958333353</v>
      </c>
    </row>
    <row r="31" spans="1:45" x14ac:dyDescent="0.25">
      <c r="A31" s="9">
        <v>44766</v>
      </c>
      <c r="B31" s="45"/>
      <c r="C31" s="46">
        <v>79.61</v>
      </c>
      <c r="D31" s="46">
        <v>843.57</v>
      </c>
      <c r="E31" s="46">
        <v>18.64</v>
      </c>
      <c r="F31" s="46">
        <v>0</v>
      </c>
      <c r="G31" s="46">
        <v>1352.74</v>
      </c>
      <c r="H31" s="47">
        <v>30.04</v>
      </c>
      <c r="I31" s="45">
        <v>306.7</v>
      </c>
      <c r="J31" s="46">
        <v>858</v>
      </c>
      <c r="K31" s="46">
        <v>47.18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494.78</v>
      </c>
      <c r="V31" s="54">
        <v>161.96</v>
      </c>
      <c r="W31" s="54">
        <v>94.5</v>
      </c>
      <c r="X31" s="54">
        <v>30.93</v>
      </c>
      <c r="Y31" s="54">
        <v>485.36</v>
      </c>
      <c r="Z31" s="54">
        <v>158.88</v>
      </c>
      <c r="AA31" s="57">
        <v>0</v>
      </c>
      <c r="AB31" s="58">
        <v>134.78</v>
      </c>
      <c r="AC31" s="52">
        <v>0</v>
      </c>
      <c r="AD31" s="359">
        <v>23.7</v>
      </c>
      <c r="AE31" s="359">
        <v>7.5</v>
      </c>
      <c r="AF31" s="52">
        <v>30.34</v>
      </c>
      <c r="AG31" s="58">
        <v>22.46</v>
      </c>
      <c r="AH31" s="58">
        <v>7.35</v>
      </c>
      <c r="AI31" s="58">
        <v>0.75</v>
      </c>
      <c r="AJ31" s="52">
        <v>214.28</v>
      </c>
      <c r="AK31" s="52">
        <v>746.74</v>
      </c>
      <c r="AL31" s="52">
        <v>2771.84</v>
      </c>
      <c r="AM31" s="52">
        <v>595.71</v>
      </c>
      <c r="AN31" s="52">
        <v>6468.87</v>
      </c>
      <c r="AO31" s="52">
        <v>2743.77</v>
      </c>
      <c r="AP31" s="52">
        <v>442.59</v>
      </c>
      <c r="AQ31" s="52">
        <v>4172.42</v>
      </c>
      <c r="AR31" s="52">
        <v>451.77</v>
      </c>
      <c r="AS31" s="52">
        <v>761.57</v>
      </c>
    </row>
    <row r="32" spans="1:45" x14ac:dyDescent="0.25">
      <c r="A32" s="9">
        <v>44767</v>
      </c>
      <c r="B32" s="45"/>
      <c r="C32" s="46">
        <v>78.8</v>
      </c>
      <c r="D32" s="46">
        <v>857.2</v>
      </c>
      <c r="E32" s="46">
        <v>18.63</v>
      </c>
      <c r="F32" s="46">
        <v>0</v>
      </c>
      <c r="G32" s="46">
        <v>1336.66</v>
      </c>
      <c r="H32" s="47">
        <v>29.95</v>
      </c>
      <c r="I32" s="45">
        <v>293.32</v>
      </c>
      <c r="J32" s="46">
        <v>795.4</v>
      </c>
      <c r="K32" s="46">
        <v>43.73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504.11</v>
      </c>
      <c r="V32" s="54">
        <v>158.63</v>
      </c>
      <c r="W32" s="54">
        <v>96.81</v>
      </c>
      <c r="X32" s="54">
        <v>30.47</v>
      </c>
      <c r="Y32" s="54">
        <v>493.92</v>
      </c>
      <c r="Z32" s="54">
        <v>155.41999999999999</v>
      </c>
      <c r="AA32" s="57">
        <v>0</v>
      </c>
      <c r="AB32" s="58">
        <v>134.77000000000001</v>
      </c>
      <c r="AC32" s="52">
        <v>0</v>
      </c>
      <c r="AD32" s="359">
        <v>23.69</v>
      </c>
      <c r="AE32" s="359">
        <v>7.47</v>
      </c>
      <c r="AF32" s="52">
        <v>30.54</v>
      </c>
      <c r="AG32" s="58">
        <v>22.84</v>
      </c>
      <c r="AH32" s="58">
        <v>7.19</v>
      </c>
      <c r="AI32" s="58">
        <v>0.76</v>
      </c>
      <c r="AJ32" s="52">
        <v>214.57</v>
      </c>
      <c r="AK32" s="52">
        <v>751.22</v>
      </c>
      <c r="AL32" s="52">
        <v>2792.98</v>
      </c>
      <c r="AM32" s="52">
        <v>590.75</v>
      </c>
      <c r="AN32" s="52">
        <v>6554.72</v>
      </c>
      <c r="AO32" s="52">
        <v>2807.85</v>
      </c>
      <c r="AP32" s="52">
        <v>426.21</v>
      </c>
      <c r="AQ32" s="52">
        <v>4181.0200000000004</v>
      </c>
      <c r="AR32" s="52">
        <v>456.25</v>
      </c>
      <c r="AS32" s="52">
        <v>806.43</v>
      </c>
    </row>
    <row r="33" spans="1:45" x14ac:dyDescent="0.25">
      <c r="A33" s="9">
        <v>44768</v>
      </c>
      <c r="B33" s="45"/>
      <c r="C33" s="46">
        <v>78.56</v>
      </c>
      <c r="D33" s="46">
        <v>858.36</v>
      </c>
      <c r="E33" s="46">
        <v>18.649999999999999</v>
      </c>
      <c r="F33" s="46">
        <v>0</v>
      </c>
      <c r="G33" s="46">
        <v>1371.68</v>
      </c>
      <c r="H33" s="47">
        <v>29.87</v>
      </c>
      <c r="I33" s="45">
        <v>287.77</v>
      </c>
      <c r="J33" s="46">
        <v>781.54</v>
      </c>
      <c r="K33" s="46">
        <v>42.92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494.47</v>
      </c>
      <c r="V33" s="54">
        <v>164.18</v>
      </c>
      <c r="W33" s="54">
        <v>95.8</v>
      </c>
      <c r="X33" s="54">
        <v>31.81</v>
      </c>
      <c r="Y33" s="54">
        <v>485.6</v>
      </c>
      <c r="Z33" s="54">
        <v>161.24</v>
      </c>
      <c r="AA33" s="57">
        <v>0</v>
      </c>
      <c r="AB33" s="58">
        <v>133.02000000000001</v>
      </c>
      <c r="AC33" s="52">
        <v>0</v>
      </c>
      <c r="AD33" s="359">
        <v>23.28</v>
      </c>
      <c r="AE33" s="359">
        <v>7.46</v>
      </c>
      <c r="AF33" s="52">
        <v>30.47</v>
      </c>
      <c r="AG33" s="58">
        <v>22.49</v>
      </c>
      <c r="AH33" s="58">
        <v>7.47</v>
      </c>
      <c r="AI33" s="58">
        <v>0.75</v>
      </c>
      <c r="AJ33" s="52">
        <v>203.23</v>
      </c>
      <c r="AK33" s="52">
        <v>745.67</v>
      </c>
      <c r="AL33" s="52">
        <v>2807.22</v>
      </c>
      <c r="AM33" s="52">
        <v>600.74</v>
      </c>
      <c r="AN33" s="52">
        <v>7037.07</v>
      </c>
      <c r="AO33" s="52">
        <v>2752.19</v>
      </c>
      <c r="AP33" s="52">
        <v>437.19</v>
      </c>
      <c r="AQ33" s="52">
        <v>4080.01</v>
      </c>
      <c r="AR33" s="52">
        <v>446.25</v>
      </c>
      <c r="AS33" s="52">
        <v>806.78</v>
      </c>
    </row>
    <row r="34" spans="1:45" x14ac:dyDescent="0.25">
      <c r="A34" s="9">
        <v>44769</v>
      </c>
      <c r="B34" s="45"/>
      <c r="C34" s="46">
        <v>78.905115191141363</v>
      </c>
      <c r="D34" s="46">
        <v>857.34590950012148</v>
      </c>
      <c r="E34" s="46">
        <v>18.643869221707206</v>
      </c>
      <c r="F34" s="46">
        <v>0</v>
      </c>
      <c r="G34" s="46">
        <v>1302.4876600901368</v>
      </c>
      <c r="H34" s="47">
        <v>29.876080580552514</v>
      </c>
      <c r="I34" s="45">
        <v>261.65709665616362</v>
      </c>
      <c r="J34" s="46">
        <v>626.49855194091697</v>
      </c>
      <c r="K34" s="46">
        <v>34.402550559242584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394.91291035023846</v>
      </c>
      <c r="V34" s="54">
        <v>164.55019718268332</v>
      </c>
      <c r="W34" s="54">
        <v>75.007618794383987</v>
      </c>
      <c r="X34" s="54">
        <v>31.253773020165777</v>
      </c>
      <c r="Y34" s="54">
        <v>365.51465398131683</v>
      </c>
      <c r="Z34" s="54">
        <v>152.30068911255495</v>
      </c>
      <c r="AA34" s="57">
        <v>0</v>
      </c>
      <c r="AB34" s="58">
        <v>112.22580533557253</v>
      </c>
      <c r="AC34" s="52">
        <v>0</v>
      </c>
      <c r="AD34" s="359">
        <v>18.661126349210242</v>
      </c>
      <c r="AE34" s="359">
        <v>7.4482973728601625</v>
      </c>
      <c r="AF34" s="52">
        <v>25.387009962399798</v>
      </c>
      <c r="AG34" s="58">
        <v>17.5919849987269</v>
      </c>
      <c r="AH34" s="58">
        <v>7.330134124528934</v>
      </c>
      <c r="AI34" s="58">
        <v>0.70587837702417167</v>
      </c>
      <c r="AJ34" s="52">
        <v>209.3537885348002</v>
      </c>
      <c r="AK34" s="52">
        <v>747.96096216837566</v>
      </c>
      <c r="AL34" s="52">
        <v>2878.3550777435307</v>
      </c>
      <c r="AM34" s="52">
        <v>601.06456956863417</v>
      </c>
      <c r="AN34" s="52">
        <v>6925.549545288085</v>
      </c>
      <c r="AO34" s="52">
        <v>2764.4742685953775</v>
      </c>
      <c r="AP34" s="52">
        <v>436.43469381332397</v>
      </c>
      <c r="AQ34" s="52">
        <v>3405.0758115132649</v>
      </c>
      <c r="AR34" s="52">
        <v>441.61583871841435</v>
      </c>
      <c r="AS34" s="52">
        <v>809.58564106623339</v>
      </c>
    </row>
    <row r="35" spans="1:45" x14ac:dyDescent="0.25">
      <c r="A35" s="9">
        <v>44770</v>
      </c>
      <c r="B35" s="45"/>
      <c r="C35" s="46">
        <v>78.62</v>
      </c>
      <c r="D35" s="46">
        <v>858.34</v>
      </c>
      <c r="E35" s="46">
        <v>18.600000000000001</v>
      </c>
      <c r="F35" s="46">
        <v>0</v>
      </c>
      <c r="G35" s="46">
        <v>1309.6099999999999</v>
      </c>
      <c r="H35" s="47">
        <v>29.84</v>
      </c>
      <c r="I35" s="45">
        <v>270</v>
      </c>
      <c r="J35" s="46">
        <v>623.11</v>
      </c>
      <c r="K35" s="46">
        <v>34.25</v>
      </c>
      <c r="L35" s="46">
        <v>0</v>
      </c>
      <c r="M35" s="46">
        <v>0</v>
      </c>
      <c r="N35" s="47">
        <v>0</v>
      </c>
      <c r="O35" s="45">
        <v>0</v>
      </c>
      <c r="P35" s="46">
        <v>0</v>
      </c>
      <c r="Q35" s="46">
        <v>0</v>
      </c>
      <c r="R35" s="55">
        <v>0</v>
      </c>
      <c r="S35" s="46">
        <v>0</v>
      </c>
      <c r="T35" s="48">
        <v>0</v>
      </c>
      <c r="U35" s="56">
        <v>385.31</v>
      </c>
      <c r="V35" s="54">
        <v>161.24</v>
      </c>
      <c r="W35" s="54">
        <v>72.069999999999993</v>
      </c>
      <c r="X35" s="54">
        <v>30.16</v>
      </c>
      <c r="Y35" s="54">
        <v>356.09</v>
      </c>
      <c r="Z35" s="54">
        <v>149.01</v>
      </c>
      <c r="AA35" s="57">
        <v>0</v>
      </c>
      <c r="AB35" s="58">
        <v>112.21</v>
      </c>
      <c r="AC35" s="52">
        <v>0</v>
      </c>
      <c r="AD35" s="359">
        <v>18.559999999999999</v>
      </c>
      <c r="AE35" s="359">
        <v>7.45</v>
      </c>
      <c r="AF35" s="52">
        <v>25.33</v>
      </c>
      <c r="AG35" s="58">
        <v>17.61</v>
      </c>
      <c r="AH35" s="58">
        <v>7.37</v>
      </c>
      <c r="AI35" s="58">
        <v>0.7</v>
      </c>
      <c r="AJ35" s="52">
        <v>213.87</v>
      </c>
      <c r="AK35" s="52">
        <v>744.49</v>
      </c>
      <c r="AL35" s="52">
        <v>2720.47</v>
      </c>
      <c r="AM35" s="52">
        <v>584.54999999999995</v>
      </c>
      <c r="AN35" s="52">
        <v>7077.77</v>
      </c>
      <c r="AO35" s="52">
        <v>2738.83</v>
      </c>
      <c r="AP35" s="52">
        <v>420.01</v>
      </c>
      <c r="AQ35" s="52">
        <v>3343.88</v>
      </c>
      <c r="AR35" s="52">
        <v>428.04</v>
      </c>
      <c r="AS35" s="52">
        <v>785.39</v>
      </c>
    </row>
    <row r="36" spans="1:45" x14ac:dyDescent="0.25">
      <c r="A36" s="9">
        <v>44771</v>
      </c>
      <c r="B36" s="45"/>
      <c r="C36" s="46">
        <v>79.184375496704959</v>
      </c>
      <c r="D36" s="46">
        <v>863.22268384297865</v>
      </c>
      <c r="E36" s="46">
        <v>18.566281071305273</v>
      </c>
      <c r="F36" s="46">
        <v>0</v>
      </c>
      <c r="G36" s="46">
        <v>1327.0086875915547</v>
      </c>
      <c r="H36" s="47">
        <v>29.964045892159259</v>
      </c>
      <c r="I36" s="45">
        <v>270.08216104507449</v>
      </c>
      <c r="J36" s="46">
        <v>622.56551793416349</v>
      </c>
      <c r="K36" s="46">
        <v>34.170538811882338</v>
      </c>
      <c r="L36" s="46">
        <v>0</v>
      </c>
      <c r="M36" s="46">
        <v>0</v>
      </c>
      <c r="N36" s="47">
        <v>0</v>
      </c>
      <c r="O36" s="45">
        <v>0</v>
      </c>
      <c r="P36" s="46">
        <v>0</v>
      </c>
      <c r="Q36" s="46">
        <v>0</v>
      </c>
      <c r="R36" s="55">
        <v>0</v>
      </c>
      <c r="S36" s="46">
        <v>0</v>
      </c>
      <c r="T36" s="48">
        <v>0</v>
      </c>
      <c r="U36" s="56">
        <v>384.77205402886688</v>
      </c>
      <c r="V36" s="54">
        <v>161.05589551624897</v>
      </c>
      <c r="W36" s="54">
        <v>71.646825752725093</v>
      </c>
      <c r="X36" s="54">
        <v>29.98955761385956</v>
      </c>
      <c r="Y36" s="54">
        <v>346.5411609778439</v>
      </c>
      <c r="Z36" s="54">
        <v>145.05340611441599</v>
      </c>
      <c r="AA36" s="57">
        <v>0</v>
      </c>
      <c r="AB36" s="58">
        <v>112.20904129875775</v>
      </c>
      <c r="AC36" s="52">
        <v>0</v>
      </c>
      <c r="AD36" s="359">
        <v>18.543896233135047</v>
      </c>
      <c r="AE36" s="359">
        <v>7.498230595431095</v>
      </c>
      <c r="AF36" s="52">
        <v>25.596003070142572</v>
      </c>
      <c r="AG36" s="58">
        <v>17.79277910099994</v>
      </c>
      <c r="AH36" s="58">
        <v>7.4476094140125726</v>
      </c>
      <c r="AI36" s="58">
        <v>0.70493285356590785</v>
      </c>
      <c r="AJ36" s="52">
        <v>229.42406160036722</v>
      </c>
      <c r="AK36" s="52">
        <v>739.29980093638108</v>
      </c>
      <c r="AL36" s="52">
        <v>2739.8974919637049</v>
      </c>
      <c r="AM36" s="52">
        <v>584.33168176015215</v>
      </c>
      <c r="AN36" s="52">
        <v>7005.5507809956862</v>
      </c>
      <c r="AO36" s="52">
        <v>2748.384652201335</v>
      </c>
      <c r="AP36" s="52">
        <v>410.91794130007429</v>
      </c>
      <c r="AQ36" s="52">
        <v>3273.8680393218997</v>
      </c>
      <c r="AR36" s="52">
        <v>448.36680145263665</v>
      </c>
      <c r="AS36" s="52">
        <v>780.52240654627485</v>
      </c>
    </row>
    <row r="37" spans="1:45" s="19" customFormat="1" ht="15" customHeight="1" x14ac:dyDescent="0.25">
      <c r="A37" s="9">
        <v>44772</v>
      </c>
      <c r="B37" s="326"/>
      <c r="C37" s="327">
        <v>78.86</v>
      </c>
      <c r="D37" s="327">
        <v>867.77</v>
      </c>
      <c r="E37" s="327">
        <v>18.57</v>
      </c>
      <c r="F37" s="327">
        <v>0</v>
      </c>
      <c r="G37" s="327">
        <v>1419.56</v>
      </c>
      <c r="H37" s="328">
        <v>29.91</v>
      </c>
      <c r="I37" s="326">
        <v>262</v>
      </c>
      <c r="J37" s="327">
        <v>622.6</v>
      </c>
      <c r="K37" s="327">
        <v>34.17</v>
      </c>
      <c r="L37" s="329">
        <v>0</v>
      </c>
      <c r="M37" s="327">
        <v>0</v>
      </c>
      <c r="N37" s="328">
        <v>0</v>
      </c>
      <c r="O37" s="326">
        <v>0</v>
      </c>
      <c r="P37" s="327">
        <v>0</v>
      </c>
      <c r="Q37" s="327">
        <v>0</v>
      </c>
      <c r="R37" s="327">
        <v>0</v>
      </c>
      <c r="S37" s="327">
        <v>0</v>
      </c>
      <c r="T37" s="328">
        <v>0</v>
      </c>
      <c r="U37" s="326">
        <v>386.1</v>
      </c>
      <c r="V37" s="327">
        <v>160.88999999999999</v>
      </c>
      <c r="W37" s="327">
        <v>71.37</v>
      </c>
      <c r="X37" s="327">
        <v>29.74</v>
      </c>
      <c r="Y37" s="327">
        <v>350.4</v>
      </c>
      <c r="Z37" s="327">
        <v>146.01</v>
      </c>
      <c r="AA37" s="328">
        <v>0</v>
      </c>
      <c r="AB37" s="330">
        <v>112.21</v>
      </c>
      <c r="AC37" s="331">
        <v>0</v>
      </c>
      <c r="AD37" s="359">
        <v>18.54</v>
      </c>
      <c r="AE37" s="359">
        <v>7.46</v>
      </c>
      <c r="AF37" s="331">
        <v>25.73</v>
      </c>
      <c r="AG37" s="331">
        <v>17.920000000000002</v>
      </c>
      <c r="AH37" s="331">
        <v>7.47</v>
      </c>
      <c r="AI37" s="331">
        <v>0.71</v>
      </c>
      <c r="AJ37" s="331">
        <v>213.44</v>
      </c>
      <c r="AK37" s="331">
        <v>737.91</v>
      </c>
      <c r="AL37" s="331">
        <v>2760.58</v>
      </c>
      <c r="AM37" s="331">
        <v>590.83000000000004</v>
      </c>
      <c r="AN37" s="331">
        <v>7214.22</v>
      </c>
      <c r="AO37" s="331">
        <v>2745.37</v>
      </c>
      <c r="AP37" s="331">
        <v>409.42</v>
      </c>
      <c r="AQ37" s="331">
        <v>3375.75</v>
      </c>
      <c r="AR37" s="331">
        <v>444.39</v>
      </c>
      <c r="AS37" s="331">
        <v>762.01</v>
      </c>
    </row>
    <row r="38" spans="1:45" s="19" customFormat="1" ht="15" customHeight="1" thickBot="1" x14ac:dyDescent="0.3">
      <c r="A38" s="9">
        <v>44773</v>
      </c>
      <c r="B38" s="326"/>
      <c r="C38" s="327">
        <v>79.178560050328528</v>
      </c>
      <c r="D38" s="327">
        <v>863.57356472015476</v>
      </c>
      <c r="E38" s="327">
        <v>18.65808587670325</v>
      </c>
      <c r="F38" s="327">
        <v>0</v>
      </c>
      <c r="G38" s="327">
        <v>1375.5145481109621</v>
      </c>
      <c r="H38" s="328">
        <v>29.80329447388651</v>
      </c>
      <c r="I38" s="326">
        <v>222.73125146230072</v>
      </c>
      <c r="J38" s="327">
        <v>622.76019538243565</v>
      </c>
      <c r="K38" s="327">
        <v>34.239483842253648</v>
      </c>
      <c r="L38" s="329">
        <v>0</v>
      </c>
      <c r="M38" s="327">
        <v>0</v>
      </c>
      <c r="N38" s="328">
        <v>0</v>
      </c>
      <c r="O38" s="326">
        <v>0</v>
      </c>
      <c r="P38" s="327">
        <v>0</v>
      </c>
      <c r="Q38" s="327">
        <v>0</v>
      </c>
      <c r="R38" s="327">
        <v>0</v>
      </c>
      <c r="S38" s="327">
        <v>0</v>
      </c>
      <c r="T38" s="332">
        <v>0</v>
      </c>
      <c r="U38" s="326">
        <v>385.9894394067382</v>
      </c>
      <c r="V38" s="327">
        <v>160.82489499640582</v>
      </c>
      <c r="W38" s="327">
        <v>71.265733706972355</v>
      </c>
      <c r="X38" s="327">
        <v>29.693310153463145</v>
      </c>
      <c r="Y38" s="327">
        <v>359.15034006225079</v>
      </c>
      <c r="Z38" s="327">
        <v>149.64221771769698</v>
      </c>
      <c r="AA38" s="328">
        <v>0</v>
      </c>
      <c r="AB38" s="330">
        <v>112.20963554911877</v>
      </c>
      <c r="AC38" s="331">
        <v>0</v>
      </c>
      <c r="AD38" s="359">
        <v>18.549399055019101</v>
      </c>
      <c r="AE38" s="359">
        <v>7.458880851883162</v>
      </c>
      <c r="AF38" s="331">
        <v>25.715305998590271</v>
      </c>
      <c r="AG38" s="331">
        <v>17.90246152400686</v>
      </c>
      <c r="AH38" s="331">
        <v>7.4591716788957756</v>
      </c>
      <c r="AI38" s="331">
        <v>0.70588756570921174</v>
      </c>
      <c r="AJ38" s="331">
        <v>208.6167804876963</v>
      </c>
      <c r="AK38" s="331">
        <v>742.43231042226171</v>
      </c>
      <c r="AL38" s="331">
        <v>2792.2182250976562</v>
      </c>
      <c r="AM38" s="331">
        <v>605.7872993787131</v>
      </c>
      <c r="AN38" s="331">
        <v>7194.764963022868</v>
      </c>
      <c r="AO38" s="331">
        <v>2736.7069436391198</v>
      </c>
      <c r="AP38" s="331">
        <v>449.67279473940528</v>
      </c>
      <c r="AQ38" s="331">
        <v>3391.9048792521157</v>
      </c>
      <c r="AR38" s="331">
        <v>457.37910359700516</v>
      </c>
      <c r="AS38" s="331">
        <v>769.54131193161004</v>
      </c>
    </row>
    <row r="39" spans="1:45" ht="15.75" thickTop="1" x14ac:dyDescent="0.25">
      <c r="A39" s="42" t="s">
        <v>171</v>
      </c>
      <c r="B39" s="25">
        <f t="shared" ref="B39:AC39" si="0">SUM(B8:B37)</f>
        <v>0</v>
      </c>
      <c r="C39" s="26">
        <f t="shared" si="0"/>
        <v>2380.3044998415303</v>
      </c>
      <c r="D39" s="26">
        <f t="shared" si="0"/>
        <v>25025.890146458951</v>
      </c>
      <c r="E39" s="26">
        <f t="shared" si="0"/>
        <v>557.30327789008641</v>
      </c>
      <c r="F39" s="26">
        <f t="shared" si="0"/>
        <v>0</v>
      </c>
      <c r="G39" s="26">
        <f t="shared" si="0"/>
        <v>40475.478620796268</v>
      </c>
      <c r="H39" s="27">
        <f t="shared" si="0"/>
        <v>899.05175967494722</v>
      </c>
      <c r="I39" s="25">
        <f t="shared" si="0"/>
        <v>6583.8109134483338</v>
      </c>
      <c r="J39" s="26">
        <f t="shared" si="0"/>
        <v>14601.312085088093</v>
      </c>
      <c r="K39" s="26">
        <f t="shared" si="0"/>
        <v>801.47420728623854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8575.9023356688685</v>
      </c>
      <c r="V39" s="242">
        <f t="shared" si="0"/>
        <v>5029.5659291567472</v>
      </c>
      <c r="W39" s="242">
        <f t="shared" si="0"/>
        <v>1637.1996921334303</v>
      </c>
      <c r="X39" s="242">
        <f t="shared" si="0"/>
        <v>954.00424004141087</v>
      </c>
      <c r="Y39" s="242">
        <f t="shared" si="0"/>
        <v>7006.2952951451362</v>
      </c>
      <c r="Z39" s="242">
        <f t="shared" si="0"/>
        <v>3802.2291165204615</v>
      </c>
      <c r="AA39" s="250">
        <f t="shared" si="0"/>
        <v>0</v>
      </c>
      <c r="AB39" s="253">
        <f t="shared" si="0"/>
        <v>2690.9168459341226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SUM(AJ8:AJ37)</f>
        <v>6514.0872830994913</v>
      </c>
      <c r="AK39" s="253">
        <f t="shared" si="1"/>
        <v>22989.872643127441</v>
      </c>
      <c r="AL39" s="253">
        <f t="shared" si="1"/>
        <v>84275.614694366464</v>
      </c>
      <c r="AM39" s="253">
        <f t="shared" si="1"/>
        <v>17776.261301794053</v>
      </c>
      <c r="AN39" s="253">
        <f t="shared" si="1"/>
        <v>206428.47056289672</v>
      </c>
      <c r="AO39" s="253">
        <f t="shared" si="1"/>
        <v>82525.796218821226</v>
      </c>
      <c r="AP39" s="253">
        <f t="shared" si="1"/>
        <v>13211.498128309251</v>
      </c>
      <c r="AQ39" s="253">
        <f t="shared" si="1"/>
        <v>84309.607857081093</v>
      </c>
      <c r="AR39" s="253">
        <f t="shared" si="1"/>
        <v>13975.667723429997</v>
      </c>
      <c r="AS39" s="253">
        <f t="shared" si="1"/>
        <v>24145.865494041442</v>
      </c>
    </row>
    <row r="40" spans="1:45" ht="15.75" thickBot="1" x14ac:dyDescent="0.3">
      <c r="A40" s="43" t="s">
        <v>172</v>
      </c>
      <c r="B40" s="28">
        <f>Projection!$AC$30</f>
        <v>0.75949460999999996</v>
      </c>
      <c r="C40" s="29">
        <f>Projection!$AC$28</f>
        <v>2.1496683599999997</v>
      </c>
      <c r="D40" s="29">
        <f>Projection!$AC$31</f>
        <v>4.0072032000000002</v>
      </c>
      <c r="E40" s="29">
        <f>Projection!$AC$26</f>
        <v>5.6378400000000006</v>
      </c>
      <c r="F40" s="29">
        <f>Projection!$AC$23</f>
        <v>0</v>
      </c>
      <c r="G40" s="29">
        <f>Projection!$AC$24</f>
        <v>7.6444999999999999E-2</v>
      </c>
      <c r="H40" s="30">
        <f>Projection!$AC$29</f>
        <v>4.6146262499999997</v>
      </c>
      <c r="I40" s="28">
        <f>Projection!$AC$30</f>
        <v>0.75949460999999996</v>
      </c>
      <c r="J40" s="29">
        <f>Projection!$AC$28</f>
        <v>2.1496683599999997</v>
      </c>
      <c r="K40" s="29">
        <f>Projection!$AC$26</f>
        <v>5.6378400000000006</v>
      </c>
      <c r="L40" s="29">
        <f>Projection!$AC$25</f>
        <v>0</v>
      </c>
      <c r="M40" s="29">
        <f>Projection!$AC$23</f>
        <v>0</v>
      </c>
      <c r="N40" s="30">
        <f>Projection!$AC$23</f>
        <v>0</v>
      </c>
      <c r="O40" s="22">
        <v>15.77</v>
      </c>
      <c r="P40" s="23">
        <v>15.77</v>
      </c>
      <c r="Q40" s="23">
        <v>15.77</v>
      </c>
      <c r="R40" s="23">
        <v>15.77</v>
      </c>
      <c r="S40" s="23">
        <f>Projection!$AC$28</f>
        <v>2.1496683599999997</v>
      </c>
      <c r="T40" s="34">
        <f>Projection!$AC$28</f>
        <v>2.1496683599999997</v>
      </c>
      <c r="U40" s="22">
        <f>Projection!$AC$27</f>
        <v>0.41249999999999998</v>
      </c>
      <c r="V40" s="23">
        <f>Projection!$AC$27</f>
        <v>0.41249999999999998</v>
      </c>
      <c r="W40" s="23">
        <f>Projection!$AC$22</f>
        <v>2.6240976000000003</v>
      </c>
      <c r="X40" s="23">
        <f>Projection!$AC$22</f>
        <v>2.6240976000000003</v>
      </c>
      <c r="Y40" s="23">
        <f>Projection!$AC$31</f>
        <v>4.0072032000000002</v>
      </c>
      <c r="Z40" s="23">
        <f>Projection!$AC$31</f>
        <v>4.0072032000000002</v>
      </c>
      <c r="AA40" s="24">
        <v>0</v>
      </c>
      <c r="AB40" s="37">
        <f>Projection!$AC$27</f>
        <v>0.41249999999999998</v>
      </c>
      <c r="AC40" s="37">
        <f>Projection!$AC$30</f>
        <v>0.75949460999999996</v>
      </c>
      <c r="AD40" s="352">
        <f>SUM(AD8:AD38)</f>
        <v>423.8897937959635</v>
      </c>
      <c r="AE40" s="352">
        <f>SUM(AE8:AE38)</f>
        <v>231.65612789185317</v>
      </c>
      <c r="AF40" s="257">
        <f>SUM(AF8:AF37)</f>
        <v>611.36749908698914</v>
      </c>
      <c r="AG40" s="257">
        <f>SUM(AG8:AG37)</f>
        <v>380.64181309492574</v>
      </c>
      <c r="AH40" s="257">
        <f>SUM(AH8:AH37)</f>
        <v>220.28066503223596</v>
      </c>
      <c r="AI40" s="257">
        <f>IF(SUM(AG40:AH40)&gt;0, AG40/(AG40+AH40), 0)</f>
        <v>0.63342914760192714</v>
      </c>
      <c r="AJ40" s="286">
        <v>8.2000000000000003E-2</v>
      </c>
      <c r="AK40" s="286">
        <f t="shared" ref="AK40:AS40" si="2">$AJ$40</f>
        <v>8.2000000000000003E-2</v>
      </c>
      <c r="AL40" s="286">
        <f t="shared" si="2"/>
        <v>8.2000000000000003E-2</v>
      </c>
      <c r="AM40" s="286">
        <f t="shared" si="2"/>
        <v>8.2000000000000003E-2</v>
      </c>
      <c r="AN40" s="286">
        <f t="shared" si="2"/>
        <v>8.2000000000000003E-2</v>
      </c>
      <c r="AO40" s="286">
        <f t="shared" si="2"/>
        <v>8.2000000000000003E-2</v>
      </c>
      <c r="AP40" s="286">
        <f t="shared" si="2"/>
        <v>8.2000000000000003E-2</v>
      </c>
      <c r="AQ40" s="286">
        <f t="shared" si="2"/>
        <v>8.2000000000000003E-2</v>
      </c>
      <c r="AR40" s="286">
        <f t="shared" si="2"/>
        <v>8.2000000000000003E-2</v>
      </c>
      <c r="AS40" s="286">
        <f t="shared" si="2"/>
        <v>8.2000000000000003E-2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 t="shared" si="3"/>
        <v>5116.865270474962</v>
      </c>
      <c r="D41" s="32">
        <f t="shared" si="3"/>
        <v>100283.82707773878</v>
      </c>
      <c r="E41" s="32">
        <f t="shared" si="3"/>
        <v>3141.9867122198452</v>
      </c>
      <c r="F41" s="32">
        <f t="shared" si="3"/>
        <v>0</v>
      </c>
      <c r="G41" s="32">
        <f t="shared" si="3"/>
        <v>3094.1479631667708</v>
      </c>
      <c r="H41" s="33">
        <f t="shared" si="3"/>
        <v>4148.7878503047023</v>
      </c>
      <c r="I41" s="31">
        <f t="shared" si="3"/>
        <v>5000.3689020231859</v>
      </c>
      <c r="J41" s="32">
        <f t="shared" si="3"/>
        <v>31387.978603799496</v>
      </c>
      <c r="K41" s="32">
        <f t="shared" si="3"/>
        <v>4518.5833448066478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3537.5597134634081</v>
      </c>
      <c r="V41" s="248">
        <f t="shared" si="3"/>
        <v>2074.6959457771582</v>
      </c>
      <c r="W41" s="248">
        <f t="shared" si="3"/>
        <v>4296.1717828480741</v>
      </c>
      <c r="X41" s="248">
        <f t="shared" si="3"/>
        <v>2503.4002366824902</v>
      </c>
      <c r="Y41" s="248">
        <f t="shared" si="3"/>
        <v>28075.648926850536</v>
      </c>
      <c r="Z41" s="248">
        <f t="shared" si="3"/>
        <v>15236.304682853966</v>
      </c>
      <c r="AA41" s="252">
        <f t="shared" si="3"/>
        <v>0</v>
      </c>
      <c r="AB41" s="255">
        <f t="shared" si="3"/>
        <v>1110.0031989478255</v>
      </c>
      <c r="AC41" s="255">
        <f t="shared" si="3"/>
        <v>0</v>
      </c>
      <c r="AJ41" s="258">
        <f t="shared" ref="AJ41:AS41" si="4">AJ40*AJ39</f>
        <v>534.15515721415829</v>
      </c>
      <c r="AK41" s="258">
        <f t="shared" si="4"/>
        <v>1885.1695567364502</v>
      </c>
      <c r="AL41" s="258">
        <f t="shared" si="4"/>
        <v>6910.6004049380508</v>
      </c>
      <c r="AM41" s="258">
        <f t="shared" si="4"/>
        <v>1457.6534267471125</v>
      </c>
      <c r="AN41" s="258">
        <f t="shared" si="4"/>
        <v>16927.134586157532</v>
      </c>
      <c r="AO41" s="258">
        <f t="shared" si="4"/>
        <v>6767.1152899433409</v>
      </c>
      <c r="AP41" s="258">
        <f t="shared" si="4"/>
        <v>1083.3428465213585</v>
      </c>
      <c r="AQ41" s="258">
        <f t="shared" si="4"/>
        <v>6913.3878442806499</v>
      </c>
      <c r="AR41" s="258">
        <f t="shared" si="4"/>
        <v>1146.0047533212598</v>
      </c>
      <c r="AS41" s="258">
        <f t="shared" si="4"/>
        <v>1979.9609705113983</v>
      </c>
    </row>
    <row r="42" spans="1:45" ht="49.5" customHeight="1" thickTop="1" thickBot="1" x14ac:dyDescent="0.3">
      <c r="A42" s="587">
        <f>JUNE!$A$41+30</f>
        <v>44744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548.70000000000005</v>
      </c>
      <c r="AK42" s="258" t="s">
        <v>197</v>
      </c>
      <c r="AL42" s="258">
        <v>157.08000000000001</v>
      </c>
      <c r="AM42" s="258">
        <v>628.46</v>
      </c>
      <c r="AN42" s="258">
        <v>55.27</v>
      </c>
      <c r="AO42" s="258">
        <v>1944.85</v>
      </c>
      <c r="AP42" s="258">
        <v>77.39</v>
      </c>
      <c r="AQ42" s="258" t="s">
        <v>197</v>
      </c>
      <c r="AR42" s="258">
        <v>53.05</v>
      </c>
      <c r="AS42" s="258">
        <v>246.7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213526.33021195786</v>
      </c>
      <c r="D44" s="262" t="s">
        <v>135</v>
      </c>
      <c r="E44" s="263">
        <f>SUM(B41:H41)+P41+R41+T41+V41+X41+Z41</f>
        <v>135600.01573921868</v>
      </c>
      <c r="G44" s="262" t="s">
        <v>135</v>
      </c>
      <c r="H44" s="263">
        <f>SUM(I41:N41)+O41+Q41+S41+U41+W41+Y41</f>
        <v>76816.311273791347</v>
      </c>
      <c r="J44" s="262" t="s">
        <v>198</v>
      </c>
      <c r="K44" s="263">
        <v>226996.33000000002</v>
      </c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45604.524836371311</v>
      </c>
      <c r="D45" s="264" t="s">
        <v>183</v>
      </c>
      <c r="E45" s="265">
        <f>AJ41*(1-$AI$40)+AK41+AL41*0.5+AN41+AO41*(1-$AI$40)+AP41*(1-$AI$40)+AQ41*(1-$AI$40)+AR41*0.5+AS41*0.5</f>
        <v>29438.388524407841</v>
      </c>
      <c r="F45" s="20"/>
      <c r="G45" s="264" t="s">
        <v>183</v>
      </c>
      <c r="H45" s="265">
        <f>AJ41*AI40+AL41*0.5+AM41+AO41*AI40+AP41*AI40+AQ41*AI40+AR41*0.5+AS41*0.5</f>
        <v>16166.13631196347</v>
      </c>
      <c r="K45" s="268"/>
      <c r="R45" s="278" t="s">
        <v>141</v>
      </c>
      <c r="S45" s="279"/>
      <c r="T45" s="234">
        <f>$W$39+$X$39</f>
        <v>2591.2039321748412</v>
      </c>
      <c r="U45" s="236">
        <f>(T45*8.34*0.895)/27000</f>
        <v>0.7163527226271359</v>
      </c>
    </row>
    <row r="46" spans="1:45" ht="32.25" thickBot="1" x14ac:dyDescent="0.3">
      <c r="A46" s="266" t="s">
        <v>184</v>
      </c>
      <c r="B46" s="267">
        <f>SUM(AJ42:AS42)</f>
        <v>3711.5</v>
      </c>
      <c r="D46" s="266" t="s">
        <v>184</v>
      </c>
      <c r="E46" s="267">
        <f>AJ42*(1-$AI$40)+AL42*0.5+AN42+AO42*(1-$AI$40)+AP42*(1-$AI$40)+AR42*0.5+AS42*0.5</f>
        <v>1226.1166672643014</v>
      </c>
      <c r="F46" s="19"/>
      <c r="G46" s="266" t="s">
        <v>184</v>
      </c>
      <c r="H46" s="267">
        <f>AJ42*AI40+AL42*0.5+AM42+AO42*AI40+AP42*AI40+AR42*0.5+AS42*0.5</f>
        <v>2485.3833327356983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226996.33000000002</v>
      </c>
      <c r="D47" s="266" t="s">
        <v>187</v>
      </c>
      <c r="E47" s="267">
        <f>K44*0.5</f>
        <v>113498.16500000001</v>
      </c>
      <c r="F47" s="20"/>
      <c r="G47" s="266" t="s">
        <v>185</v>
      </c>
      <c r="H47" s="267">
        <f>K44*0.5</f>
        <v>113498.16500000001</v>
      </c>
      <c r="J47" s="262" t="s">
        <v>198</v>
      </c>
      <c r="K47" s="263">
        <v>114411.73000000001</v>
      </c>
      <c r="R47" s="278" t="s">
        <v>148</v>
      </c>
      <c r="S47" s="279"/>
      <c r="T47" s="234">
        <f>$G$39</f>
        <v>40475.478620796268</v>
      </c>
      <c r="U47" s="236">
        <f>T47/40000</f>
        <v>1.0118869655199068</v>
      </c>
    </row>
    <row r="48" spans="1:45" ht="24" thickBot="1" x14ac:dyDescent="0.3">
      <c r="A48" s="266" t="s">
        <v>186</v>
      </c>
      <c r="B48" s="267">
        <f>K47</f>
        <v>114411.73000000001</v>
      </c>
      <c r="D48" s="266" t="s">
        <v>186</v>
      </c>
      <c r="E48" s="267">
        <f>K47*0.5</f>
        <v>57205.865000000005</v>
      </c>
      <c r="F48" s="19"/>
      <c r="G48" s="266" t="s">
        <v>186</v>
      </c>
      <c r="H48" s="267">
        <f>K47*0.5</f>
        <v>57205.865000000005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1" ht="48" thickTop="1" thickBot="1" x14ac:dyDescent="0.3">
      <c r="A49" s="271" t="s">
        <v>194</v>
      </c>
      <c r="B49" s="272">
        <f>AF40</f>
        <v>611.36749908698914</v>
      </c>
      <c r="D49" s="271" t="s">
        <v>195</v>
      </c>
      <c r="E49" s="272">
        <f>AH40</f>
        <v>220.28066503223596</v>
      </c>
      <c r="F49" s="334">
        <f>E44/E49</f>
        <v>615.57838369234503</v>
      </c>
      <c r="G49" s="271" t="s">
        <v>196</v>
      </c>
      <c r="H49" s="272">
        <f>AG40</f>
        <v>380.64181309492574</v>
      </c>
      <c r="I49" s="333">
        <f>H44/H49</f>
        <v>201.80733863474595</v>
      </c>
      <c r="K49" s="71"/>
      <c r="R49" s="278" t="s">
        <v>152</v>
      </c>
      <c r="S49" s="279"/>
      <c r="T49" s="234">
        <f>$E$39+$K$39</f>
        <v>1358.7774851763249</v>
      </c>
      <c r="U49" s="236">
        <f>(T49*8.34*1.04)/45000</f>
        <v>0.26189983100945269</v>
      </c>
    </row>
    <row r="50" spans="1:21" ht="48" customHeight="1" thickTop="1" thickBot="1" x14ac:dyDescent="0.3">
      <c r="A50" s="271" t="s">
        <v>223</v>
      </c>
      <c r="B50" s="272">
        <f>SUM(E50+H50)</f>
        <v>655.54592168781664</v>
      </c>
      <c r="D50" s="271" t="s">
        <v>224</v>
      </c>
      <c r="E50" s="272">
        <f>AE40</f>
        <v>231.65612789185317</v>
      </c>
      <c r="F50" s="334"/>
      <c r="G50" s="271" t="s">
        <v>225</v>
      </c>
      <c r="H50" s="272">
        <f>AD40</f>
        <v>423.8897937959635</v>
      </c>
      <c r="I50" s="333"/>
      <c r="K50" s="71"/>
      <c r="R50" s="278"/>
      <c r="S50" s="279"/>
      <c r="T50" s="234"/>
      <c r="U50" s="236"/>
    </row>
    <row r="51" spans="1:21" ht="48" thickTop="1" thickBot="1" x14ac:dyDescent="0.3">
      <c r="A51" s="271" t="s">
        <v>190</v>
      </c>
      <c r="B51" s="273">
        <f>(SUM(B44:B48)/B50)</f>
        <v>921.7514670712643</v>
      </c>
      <c r="D51" s="271" t="s">
        <v>188</v>
      </c>
      <c r="E51" s="274">
        <f>SUM(E44:E48)/E50</f>
        <v>1454.6066792940696</v>
      </c>
      <c r="F51" s="19"/>
      <c r="G51" s="271" t="s">
        <v>189</v>
      </c>
      <c r="H51" s="274">
        <f>SUM(H44:H48)/H50</f>
        <v>627.92703389931239</v>
      </c>
      <c r="K51" s="71"/>
      <c r="R51" s="278" t="s">
        <v>153</v>
      </c>
      <c r="S51" s="279"/>
      <c r="T51" s="234">
        <f>$U$39+$V$39+$AB$39</f>
        <v>16296.38511075974</v>
      </c>
      <c r="U51" s="236">
        <f>T51/2000/8</f>
        <v>1.0185240694224837</v>
      </c>
    </row>
    <row r="52" spans="1:21" ht="47.25" customHeight="1" thickTop="1" thickBot="1" x14ac:dyDescent="0.3">
      <c r="A52" s="261" t="s">
        <v>191</v>
      </c>
      <c r="B52" s="274">
        <f>B51/1000</f>
        <v>0.92175146707126432</v>
      </c>
      <c r="D52" s="261" t="s">
        <v>192</v>
      </c>
      <c r="E52" s="274">
        <f>E51/1000</f>
        <v>1.4546066792940697</v>
      </c>
      <c r="G52" s="261" t="s">
        <v>193</v>
      </c>
      <c r="H52" s="274">
        <f>H51/1000</f>
        <v>0.62792703389931237</v>
      </c>
      <c r="K52" s="71"/>
      <c r="R52" s="278" t="s">
        <v>154</v>
      </c>
      <c r="S52" s="279"/>
      <c r="T52" s="234">
        <f>$C$39+$J$39+$S$39+$T$39</f>
        <v>16981.616584929623</v>
      </c>
      <c r="U52" s="236">
        <f>(T52*8.34*1.4)/45000</f>
        <v>4.4061634499030724</v>
      </c>
    </row>
    <row r="53" spans="1:21" ht="16.5" thickTop="1" thickBot="1" x14ac:dyDescent="0.3">
      <c r="A53" s="282"/>
      <c r="K53" s="71"/>
      <c r="R53" s="278" t="s">
        <v>155</v>
      </c>
      <c r="S53" s="279"/>
      <c r="T53" s="234">
        <f>$H$39</f>
        <v>899.05175967494722</v>
      </c>
      <c r="U53" s="236">
        <f>(T53*8.34*1.135)/45000</f>
        <v>0.18911853448682406</v>
      </c>
    </row>
    <row r="54" spans="1:21" ht="48" customHeight="1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6583.8109134483338</v>
      </c>
      <c r="U54" s="236">
        <f>(T54*8.34*1.029*0.03)/3300</f>
        <v>0.51364857750623372</v>
      </c>
    </row>
    <row r="55" spans="1:21" ht="51.75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35834.414558124547</v>
      </c>
      <c r="U55" s="239">
        <f>(T55*1.54*8.34)/45000</f>
        <v>10.227619707082853</v>
      </c>
    </row>
    <row r="56" spans="1:21" ht="24" thickTop="1" x14ac:dyDescent="0.25">
      <c r="A56" s="615"/>
      <c r="B56" s="616"/>
    </row>
    <row r="57" spans="1:21" x14ac:dyDescent="0.25">
      <c r="A57" s="617"/>
      <c r="B57" s="618"/>
    </row>
    <row r="58" spans="1:21" x14ac:dyDescent="0.25">
      <c r="A58" s="613"/>
      <c r="B58" s="614"/>
    </row>
    <row r="59" spans="1:21" x14ac:dyDescent="0.25">
      <c r="A59" s="614"/>
      <c r="B59" s="614"/>
    </row>
    <row r="60" spans="1:21" x14ac:dyDescent="0.25">
      <c r="A60" s="613"/>
      <c r="B60" s="614"/>
    </row>
    <row r="61" spans="1:21" x14ac:dyDescent="0.25">
      <c r="A61" s="614"/>
      <c r="B61" s="614"/>
    </row>
  </sheetData>
  <sheetProtection algorithmName="SHA-512" hashValue="JdOQpO3xBzybUQ8OwS2MBLsIsno5XAwVdCi9oOdpbcvDWuFYKLHAi6RScBVKZ+I/fkNbJ9097FGU/on0/SXIVw==" saltValue="jtbzcbVP+PPQ9ojjiGLlYg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W61"/>
  <sheetViews>
    <sheetView topLeftCell="AD24" zoomScale="75" zoomScaleNormal="75" workbookViewId="0">
      <selection activeCell="K47" sqref="K47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</row>
    <row r="2" spans="1:49" ht="15" customHeight="1" x14ac:dyDescent="0.25">
      <c r="A2" s="1" t="s">
        <v>2</v>
      </c>
      <c r="B2" s="4"/>
    </row>
    <row r="3" spans="1:49" ht="15.75" thickBot="1" x14ac:dyDescent="0.3">
      <c r="A3" s="5"/>
    </row>
    <row r="4" spans="1:49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  <c r="AV4" t="s">
        <v>169</v>
      </c>
      <c r="AW4" s="302" t="s">
        <v>207</v>
      </c>
    </row>
    <row r="5" spans="1:49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49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49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49" x14ac:dyDescent="0.25">
      <c r="A8" s="9">
        <v>44774</v>
      </c>
      <c r="B8" s="45"/>
      <c r="C8" s="46">
        <v>79.13</v>
      </c>
      <c r="D8" s="46">
        <v>864.8</v>
      </c>
      <c r="E8" s="46">
        <v>18.7</v>
      </c>
      <c r="F8" s="46">
        <v>0</v>
      </c>
      <c r="G8" s="46">
        <v>1332.31</v>
      </c>
      <c r="H8" s="47">
        <v>29.77</v>
      </c>
      <c r="I8" s="45">
        <v>222.49</v>
      </c>
      <c r="J8" s="46">
        <v>622.85</v>
      </c>
      <c r="K8" s="46">
        <v>34.22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384.59</v>
      </c>
      <c r="V8" s="50">
        <v>160.26</v>
      </c>
      <c r="W8" s="50">
        <v>71.06</v>
      </c>
      <c r="X8" s="50">
        <v>29.61</v>
      </c>
      <c r="Y8" s="50">
        <v>357.07</v>
      </c>
      <c r="Z8" s="50">
        <v>148.79</v>
      </c>
      <c r="AA8" s="51">
        <v>0</v>
      </c>
      <c r="AB8" s="52">
        <v>112.21</v>
      </c>
      <c r="AC8" s="53">
        <v>0</v>
      </c>
      <c r="AD8" s="358">
        <v>18.55</v>
      </c>
      <c r="AE8" s="358">
        <v>7.47</v>
      </c>
      <c r="AF8" s="53">
        <v>25.59</v>
      </c>
      <c r="AG8" s="53">
        <v>17.82</v>
      </c>
      <c r="AH8" s="53">
        <v>7.43</v>
      </c>
      <c r="AI8" s="53">
        <v>0.71</v>
      </c>
      <c r="AJ8" s="53">
        <v>216.53</v>
      </c>
      <c r="AK8" s="53">
        <v>748.12</v>
      </c>
      <c r="AL8" s="53">
        <v>2856.77</v>
      </c>
      <c r="AM8" s="53">
        <v>604.63</v>
      </c>
      <c r="AN8" s="53">
        <v>7384.33</v>
      </c>
      <c r="AO8" s="53">
        <v>2783.86</v>
      </c>
      <c r="AP8" s="53">
        <v>453.56</v>
      </c>
      <c r="AQ8" s="53">
        <v>3414.84</v>
      </c>
      <c r="AR8" s="53">
        <v>474.99</v>
      </c>
      <c r="AS8" s="53">
        <v>829.48</v>
      </c>
    </row>
    <row r="9" spans="1:49" x14ac:dyDescent="0.25">
      <c r="A9" s="9">
        <v>44775</v>
      </c>
      <c r="B9" s="45"/>
      <c r="C9" s="46">
        <v>78.94</v>
      </c>
      <c r="D9" s="46">
        <v>864.25</v>
      </c>
      <c r="E9" s="46">
        <v>18.71</v>
      </c>
      <c r="F9" s="46">
        <v>0</v>
      </c>
      <c r="G9" s="46">
        <v>1380.86</v>
      </c>
      <c r="H9" s="47">
        <v>29.74</v>
      </c>
      <c r="I9" s="45">
        <v>215.11</v>
      </c>
      <c r="J9" s="46">
        <v>623.03</v>
      </c>
      <c r="K9" s="46">
        <v>34.21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385.12</v>
      </c>
      <c r="V9" s="54">
        <v>160.5</v>
      </c>
      <c r="W9" s="54">
        <v>70.95</v>
      </c>
      <c r="X9" s="54">
        <v>29.57</v>
      </c>
      <c r="Y9" s="54">
        <v>363.32</v>
      </c>
      <c r="Z9" s="54">
        <v>151.41999999999999</v>
      </c>
      <c r="AA9" s="57">
        <v>0</v>
      </c>
      <c r="AB9" s="58">
        <v>112.21</v>
      </c>
      <c r="AC9" s="52">
        <v>0</v>
      </c>
      <c r="AD9" s="359">
        <v>18.559999999999999</v>
      </c>
      <c r="AE9" s="359">
        <v>7.46</v>
      </c>
      <c r="AF9" s="52">
        <v>25.66</v>
      </c>
      <c r="AG9" s="58">
        <v>17.87</v>
      </c>
      <c r="AH9" s="58">
        <v>7.45</v>
      </c>
      <c r="AI9" s="58">
        <v>0.71</v>
      </c>
      <c r="AJ9" s="52">
        <v>215.37</v>
      </c>
      <c r="AK9" s="52">
        <v>761.73</v>
      </c>
      <c r="AL9" s="52">
        <v>2814</v>
      </c>
      <c r="AM9" s="52">
        <v>608.59</v>
      </c>
      <c r="AN9" s="52">
        <v>6837.3</v>
      </c>
      <c r="AO9" s="52">
        <v>2782.14</v>
      </c>
      <c r="AP9" s="52">
        <v>464.41</v>
      </c>
      <c r="AQ9" s="52">
        <v>3464.59</v>
      </c>
      <c r="AR9" s="52">
        <v>490.58</v>
      </c>
      <c r="AS9" s="52">
        <v>844.28</v>
      </c>
    </row>
    <row r="10" spans="1:49" x14ac:dyDescent="0.25">
      <c r="A10" s="9">
        <v>44776</v>
      </c>
      <c r="B10" s="45"/>
      <c r="C10" s="46">
        <v>78.64</v>
      </c>
      <c r="D10" s="46">
        <v>864.69</v>
      </c>
      <c r="E10" s="46">
        <v>18.690000000000001</v>
      </c>
      <c r="F10" s="46">
        <v>0</v>
      </c>
      <c r="G10" s="46">
        <v>1403.63</v>
      </c>
      <c r="H10" s="47">
        <v>29.81</v>
      </c>
      <c r="I10" s="45">
        <v>274.87</v>
      </c>
      <c r="J10" s="46">
        <v>808.83</v>
      </c>
      <c r="K10" s="46">
        <v>44.46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495.98</v>
      </c>
      <c r="V10" s="54">
        <v>159.28</v>
      </c>
      <c r="W10" s="54">
        <v>93.8</v>
      </c>
      <c r="X10" s="54">
        <v>30.13</v>
      </c>
      <c r="Y10" s="54">
        <v>491.72</v>
      </c>
      <c r="Z10" s="54">
        <v>157.91999999999999</v>
      </c>
      <c r="AA10" s="57">
        <v>0</v>
      </c>
      <c r="AB10" s="58">
        <v>136.6</v>
      </c>
      <c r="AC10" s="52">
        <v>0</v>
      </c>
      <c r="AD10" s="359">
        <v>24.1</v>
      </c>
      <c r="AE10" s="359">
        <v>7.47</v>
      </c>
      <c r="AF10" s="52">
        <v>30.74</v>
      </c>
      <c r="AG10" s="58">
        <v>22.98</v>
      </c>
      <c r="AH10" s="58">
        <v>7.38</v>
      </c>
      <c r="AI10" s="58">
        <v>0.76</v>
      </c>
      <c r="AJ10" s="52">
        <v>214.22</v>
      </c>
      <c r="AK10" s="52">
        <v>757.91</v>
      </c>
      <c r="AL10" s="52">
        <v>2814.06</v>
      </c>
      <c r="AM10" s="52">
        <v>608.25</v>
      </c>
      <c r="AN10" s="52">
        <v>6845.04</v>
      </c>
      <c r="AO10" s="52">
        <v>2914.4</v>
      </c>
      <c r="AP10" s="52">
        <v>456.18</v>
      </c>
      <c r="AQ10" s="52">
        <v>4104.03</v>
      </c>
      <c r="AR10" s="52">
        <v>485.5</v>
      </c>
      <c r="AS10" s="52">
        <v>828.34</v>
      </c>
    </row>
    <row r="11" spans="1:49" x14ac:dyDescent="0.25">
      <c r="A11" s="9">
        <v>44777</v>
      </c>
      <c r="B11" s="45"/>
      <c r="C11" s="46">
        <v>79.27</v>
      </c>
      <c r="D11" s="46">
        <v>866.79</v>
      </c>
      <c r="E11" s="46">
        <v>18.690000000000001</v>
      </c>
      <c r="F11" s="46">
        <v>0</v>
      </c>
      <c r="G11" s="46">
        <v>1394.57</v>
      </c>
      <c r="H11" s="47">
        <v>29.96</v>
      </c>
      <c r="I11" s="45">
        <v>323.98</v>
      </c>
      <c r="J11" s="46">
        <v>959.86</v>
      </c>
      <c r="K11" s="46">
        <v>52.89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596.85</v>
      </c>
      <c r="V11" s="54">
        <v>154.34</v>
      </c>
      <c r="W11" s="54">
        <v>113.91</v>
      </c>
      <c r="X11" s="54">
        <v>29.45</v>
      </c>
      <c r="Y11" s="54">
        <v>636.67999999999995</v>
      </c>
      <c r="Z11" s="54">
        <v>164.64</v>
      </c>
      <c r="AA11" s="57">
        <v>0</v>
      </c>
      <c r="AB11" s="58">
        <v>156.63</v>
      </c>
      <c r="AC11" s="52">
        <v>0</v>
      </c>
      <c r="AD11" s="359">
        <v>28.59</v>
      </c>
      <c r="AE11" s="359">
        <v>7.49</v>
      </c>
      <c r="AF11" s="52">
        <v>35.11</v>
      </c>
      <c r="AG11" s="58">
        <v>27.58</v>
      </c>
      <c r="AH11" s="58">
        <v>7.13</v>
      </c>
      <c r="AI11" s="58">
        <v>0.79</v>
      </c>
      <c r="AJ11" s="52">
        <v>215.38</v>
      </c>
      <c r="AK11" s="52">
        <v>748.06</v>
      </c>
      <c r="AL11" s="52">
        <v>2867.42</v>
      </c>
      <c r="AM11" s="52">
        <v>611.16</v>
      </c>
      <c r="AN11" s="52">
        <v>6417.19</v>
      </c>
      <c r="AO11" s="52">
        <v>2921.42</v>
      </c>
      <c r="AP11" s="52">
        <v>453.6</v>
      </c>
      <c r="AQ11" s="52">
        <v>4711.8100000000004</v>
      </c>
      <c r="AR11" s="52">
        <v>467.88</v>
      </c>
      <c r="AS11" s="52">
        <v>959.59</v>
      </c>
    </row>
    <row r="12" spans="1:49" x14ac:dyDescent="0.25">
      <c r="A12" s="9">
        <v>44778</v>
      </c>
      <c r="B12" s="45"/>
      <c r="C12" s="46">
        <v>79.297843583424864</v>
      </c>
      <c r="D12" s="46">
        <v>864.10286687215432</v>
      </c>
      <c r="E12" s="46">
        <v>18.753004773457864</v>
      </c>
      <c r="F12" s="46">
        <v>0</v>
      </c>
      <c r="G12" s="46">
        <v>1431.7067428588837</v>
      </c>
      <c r="H12" s="47">
        <v>29.986412189404192</v>
      </c>
      <c r="I12" s="45">
        <v>303.62314186096194</v>
      </c>
      <c r="J12" s="46">
        <v>848.71193294525142</v>
      </c>
      <c r="K12" s="46">
        <v>46.675213587284077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524.79627374945733</v>
      </c>
      <c r="V12" s="54">
        <v>160.43887847391417</v>
      </c>
      <c r="W12" s="54">
        <v>99.243120313467031</v>
      </c>
      <c r="X12" s="54">
        <v>30.340259098230387</v>
      </c>
      <c r="Y12" s="54">
        <v>567.58600097973329</v>
      </c>
      <c r="Z12" s="54">
        <v>173.52040399234352</v>
      </c>
      <c r="AA12" s="57">
        <v>0</v>
      </c>
      <c r="AB12" s="58">
        <v>141.89747109942775</v>
      </c>
      <c r="AC12" s="52">
        <v>0</v>
      </c>
      <c r="AD12" s="359">
        <v>25.278148148187363</v>
      </c>
      <c r="AE12" s="359">
        <v>7.4895633640023966</v>
      </c>
      <c r="AF12" s="52">
        <v>32.138497292995517</v>
      </c>
      <c r="AG12" s="58">
        <v>24.281750357480593</v>
      </c>
      <c r="AH12" s="58">
        <v>7.4233316614546139</v>
      </c>
      <c r="AI12" s="58">
        <v>0.76586303555306423</v>
      </c>
      <c r="AJ12" s="52">
        <v>218.94482304255166</v>
      </c>
      <c r="AK12" s="52">
        <v>772.28960103988663</v>
      </c>
      <c r="AL12" s="52">
        <v>2910.4519655863446</v>
      </c>
      <c r="AM12" s="52">
        <v>604.40638103485105</v>
      </c>
      <c r="AN12" s="52">
        <v>6021.414914830526</v>
      </c>
      <c r="AO12" s="52">
        <v>2926.1798343658447</v>
      </c>
      <c r="AP12" s="52">
        <v>462.99157738685602</v>
      </c>
      <c r="AQ12" s="52">
        <v>4233.671391042074</v>
      </c>
      <c r="AR12" s="52">
        <v>485.77717889149994</v>
      </c>
      <c r="AS12" s="52">
        <v>858.1533986091614</v>
      </c>
    </row>
    <row r="13" spans="1:49" x14ac:dyDescent="0.25">
      <c r="A13" s="9">
        <v>44779</v>
      </c>
      <c r="B13" s="45"/>
      <c r="C13" s="46">
        <v>80.09</v>
      </c>
      <c r="D13" s="46">
        <v>872.19</v>
      </c>
      <c r="E13" s="46">
        <v>18.73</v>
      </c>
      <c r="F13" s="46">
        <v>0</v>
      </c>
      <c r="G13" s="46">
        <v>1410.56</v>
      </c>
      <c r="H13" s="47">
        <v>30.25</v>
      </c>
      <c r="I13" s="45">
        <v>290.06</v>
      </c>
      <c r="J13" s="46">
        <v>791.66</v>
      </c>
      <c r="K13" s="46">
        <v>43.48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495.5</v>
      </c>
      <c r="V13" s="54">
        <v>161.56</v>
      </c>
      <c r="W13" s="54">
        <v>94.09</v>
      </c>
      <c r="X13" s="54">
        <v>30.68</v>
      </c>
      <c r="Y13" s="54">
        <v>545.73</v>
      </c>
      <c r="Z13" s="54">
        <v>177.94</v>
      </c>
      <c r="AA13" s="57">
        <v>0</v>
      </c>
      <c r="AB13" s="58">
        <v>134.63</v>
      </c>
      <c r="AC13" s="52">
        <v>0</v>
      </c>
      <c r="AD13" s="359">
        <v>23.58</v>
      </c>
      <c r="AE13" s="359">
        <v>7.56</v>
      </c>
      <c r="AF13" s="52">
        <v>30.92</v>
      </c>
      <c r="AG13" s="58">
        <v>23</v>
      </c>
      <c r="AH13" s="58">
        <v>7.5</v>
      </c>
      <c r="AI13" s="58">
        <v>0.75</v>
      </c>
      <c r="AJ13" s="52">
        <v>218.88</v>
      </c>
      <c r="AK13" s="52">
        <v>749.07</v>
      </c>
      <c r="AL13" s="52">
        <v>2781.8</v>
      </c>
      <c r="AM13" s="52">
        <v>596.62</v>
      </c>
      <c r="AN13" s="52">
        <v>6534.8</v>
      </c>
      <c r="AO13" s="52">
        <v>2901.64</v>
      </c>
      <c r="AP13" s="52">
        <v>443.87</v>
      </c>
      <c r="AQ13" s="52">
        <v>4042.46</v>
      </c>
      <c r="AR13" s="52">
        <v>474.37</v>
      </c>
      <c r="AS13" s="52">
        <v>784.73</v>
      </c>
    </row>
    <row r="14" spans="1:49" x14ac:dyDescent="0.25">
      <c r="A14" s="9">
        <v>44780</v>
      </c>
      <c r="B14" s="45"/>
      <c r="C14" s="46">
        <v>80.1458839535712</v>
      </c>
      <c r="D14" s="46">
        <v>872.60730628967326</v>
      </c>
      <c r="E14" s="46">
        <v>18.675486339132</v>
      </c>
      <c r="F14" s="46">
        <v>0</v>
      </c>
      <c r="G14" s="46">
        <v>1421.3037938435839</v>
      </c>
      <c r="H14" s="47">
        <v>30.175503969192597</v>
      </c>
      <c r="I14" s="45">
        <v>267.13000830014551</v>
      </c>
      <c r="J14" s="46">
        <v>672.86023435592699</v>
      </c>
      <c r="K14" s="46">
        <v>36.898341369628838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414.7052884856073</v>
      </c>
      <c r="V14" s="54">
        <v>160.24963425405974</v>
      </c>
      <c r="W14" s="54">
        <v>77.495574708733045</v>
      </c>
      <c r="X14" s="54">
        <v>29.945693600224324</v>
      </c>
      <c r="Y14" s="54">
        <v>422.8441637568024</v>
      </c>
      <c r="Z14" s="54">
        <v>163.39464306311351</v>
      </c>
      <c r="AA14" s="57">
        <v>0</v>
      </c>
      <c r="AB14" s="58">
        <v>119.55003870858157</v>
      </c>
      <c r="AC14" s="52">
        <v>0</v>
      </c>
      <c r="AD14" s="359">
        <v>20.043885940401083</v>
      </c>
      <c r="AE14" s="359">
        <v>7.566826822139233</v>
      </c>
      <c r="AF14" s="52">
        <v>26.93061961465412</v>
      </c>
      <c r="AG14" s="58">
        <v>19.142265564973666</v>
      </c>
      <c r="AH14" s="58">
        <v>7.3969181024504183</v>
      </c>
      <c r="AI14" s="58">
        <v>0.72128313383166054</v>
      </c>
      <c r="AJ14" s="52">
        <v>218.49723815917969</v>
      </c>
      <c r="AK14" s="52">
        <v>748.20075422922775</v>
      </c>
      <c r="AL14" s="52">
        <v>2774.4275382995611</v>
      </c>
      <c r="AM14" s="52">
        <v>590.39089775085426</v>
      </c>
      <c r="AN14" s="52">
        <v>7188.1242291768403</v>
      </c>
      <c r="AO14" s="52">
        <v>2905.4918793996176</v>
      </c>
      <c r="AP14" s="52">
        <v>427.4902334372203</v>
      </c>
      <c r="AQ14" s="52">
        <v>3566.9418983459477</v>
      </c>
      <c r="AR14" s="52">
        <v>447.15319522221881</v>
      </c>
      <c r="AS14" s="52">
        <v>804.57007967631023</v>
      </c>
    </row>
    <row r="15" spans="1:49" x14ac:dyDescent="0.25">
      <c r="A15" s="9">
        <v>44781</v>
      </c>
      <c r="B15" s="45"/>
      <c r="C15" s="46">
        <v>79.72</v>
      </c>
      <c r="D15" s="46">
        <v>868.32</v>
      </c>
      <c r="E15" s="46">
        <v>18.63</v>
      </c>
      <c r="F15" s="46">
        <v>0</v>
      </c>
      <c r="G15" s="46">
        <v>1230.8699999999999</v>
      </c>
      <c r="H15" s="47">
        <v>30.29</v>
      </c>
      <c r="I15" s="45">
        <v>297.63</v>
      </c>
      <c r="J15" s="46">
        <v>757.85</v>
      </c>
      <c r="K15" s="46">
        <v>41.59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471.24</v>
      </c>
      <c r="V15" s="54">
        <v>160.69</v>
      </c>
      <c r="W15" s="54">
        <v>89.33</v>
      </c>
      <c r="X15" s="54">
        <v>30.46</v>
      </c>
      <c r="Y15" s="54">
        <v>483.99</v>
      </c>
      <c r="Z15" s="54">
        <v>165.04</v>
      </c>
      <c r="AA15" s="57">
        <v>0</v>
      </c>
      <c r="AB15" s="58">
        <v>129.80000000000001</v>
      </c>
      <c r="AC15" s="52">
        <v>0</v>
      </c>
      <c r="AD15" s="359">
        <v>22.57</v>
      </c>
      <c r="AE15" s="359">
        <v>7.57</v>
      </c>
      <c r="AF15" s="52">
        <v>29.66</v>
      </c>
      <c r="AG15" s="58">
        <v>21.8</v>
      </c>
      <c r="AH15" s="58">
        <v>7.43</v>
      </c>
      <c r="AI15" s="58">
        <v>0.75</v>
      </c>
      <c r="AJ15" s="52">
        <v>220.51</v>
      </c>
      <c r="AK15" s="52">
        <v>750.36</v>
      </c>
      <c r="AL15" s="52">
        <v>2794.64</v>
      </c>
      <c r="AM15" s="52">
        <v>599.15</v>
      </c>
      <c r="AN15" s="52">
        <v>7013.65</v>
      </c>
      <c r="AO15" s="52">
        <v>2807.66</v>
      </c>
      <c r="AP15" s="52">
        <v>429.4</v>
      </c>
      <c r="AQ15" s="52">
        <v>4019.93</v>
      </c>
      <c r="AR15" s="52">
        <v>477.58</v>
      </c>
      <c r="AS15" s="52">
        <v>906.63</v>
      </c>
    </row>
    <row r="16" spans="1:49" x14ac:dyDescent="0.25">
      <c r="A16" s="9">
        <v>44782</v>
      </c>
      <c r="B16" s="45"/>
      <c r="C16" s="46">
        <v>79.787249310810722</v>
      </c>
      <c r="D16" s="46">
        <v>867.92758452097655</v>
      </c>
      <c r="E16" s="46">
        <v>18.657832622031371</v>
      </c>
      <c r="F16" s="46">
        <v>0</v>
      </c>
      <c r="G16" s="46">
        <v>1245.3155960718802</v>
      </c>
      <c r="H16" s="47">
        <v>30.134981960058258</v>
      </c>
      <c r="I16" s="45">
        <v>302.27220865885397</v>
      </c>
      <c r="J16" s="46">
        <v>757.70614134470623</v>
      </c>
      <c r="K16" s="46">
        <v>41.583064412077327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470.75986959708393</v>
      </c>
      <c r="V16" s="54">
        <v>160.5132474047621</v>
      </c>
      <c r="W16" s="54">
        <v>89.022624448082638</v>
      </c>
      <c r="X16" s="54">
        <v>30.353714208660801</v>
      </c>
      <c r="Y16" s="54">
        <v>496.00164229834741</v>
      </c>
      <c r="Z16" s="54">
        <v>169.11984105940053</v>
      </c>
      <c r="AA16" s="57">
        <v>0</v>
      </c>
      <c r="AB16" s="58">
        <v>128.84298836389939</v>
      </c>
      <c r="AC16" s="52">
        <v>0</v>
      </c>
      <c r="AD16" s="359">
        <v>22.569857022370964</v>
      </c>
      <c r="AE16" s="359">
        <v>7.5261939779462113</v>
      </c>
      <c r="AF16" s="52">
        <v>29.651831584506542</v>
      </c>
      <c r="AG16" s="58">
        <v>21.793901724715997</v>
      </c>
      <c r="AH16" s="58">
        <v>7.4309858706700584</v>
      </c>
      <c r="AI16" s="58">
        <v>0.74573089985662622</v>
      </c>
      <c r="AJ16" s="52">
        <v>216.68832885424297</v>
      </c>
      <c r="AK16" s="52">
        <v>757.68331120808921</v>
      </c>
      <c r="AL16" s="52">
        <v>2867.4940424601236</v>
      </c>
      <c r="AM16" s="52">
        <v>602.00953858693447</v>
      </c>
      <c r="AN16" s="52">
        <v>6459.9120801289873</v>
      </c>
      <c r="AO16" s="52">
        <v>2900.4199446360267</v>
      </c>
      <c r="AP16" s="52">
        <v>438.74539262453709</v>
      </c>
      <c r="AQ16" s="52">
        <v>4110.3141985575357</v>
      </c>
      <c r="AR16" s="52">
        <v>461.30491387049364</v>
      </c>
      <c r="AS16" s="52">
        <v>876.18195463816312</v>
      </c>
    </row>
    <row r="17" spans="1:45" s="341" customFormat="1" ht="15" customHeight="1" x14ac:dyDescent="0.25">
      <c r="A17" s="9">
        <v>44783</v>
      </c>
      <c r="B17" s="335"/>
      <c r="C17" s="336">
        <v>82.07</v>
      </c>
      <c r="D17" s="336">
        <v>885.43</v>
      </c>
      <c r="E17" s="336">
        <v>19.190000000000001</v>
      </c>
      <c r="F17" s="336">
        <v>0</v>
      </c>
      <c r="G17" s="336">
        <v>1299.07</v>
      </c>
      <c r="H17" s="337">
        <v>30.95</v>
      </c>
      <c r="I17" s="335">
        <v>307</v>
      </c>
      <c r="J17" s="336">
        <v>758.08</v>
      </c>
      <c r="K17" s="336">
        <v>41.61</v>
      </c>
      <c r="L17" s="338">
        <v>0</v>
      </c>
      <c r="M17" s="46">
        <v>0</v>
      </c>
      <c r="N17" s="337">
        <v>0</v>
      </c>
      <c r="O17" s="335">
        <v>0</v>
      </c>
      <c r="P17" s="336">
        <v>0</v>
      </c>
      <c r="Q17" s="336">
        <v>0</v>
      </c>
      <c r="R17" s="336">
        <v>0</v>
      </c>
      <c r="S17" s="336">
        <v>0</v>
      </c>
      <c r="T17" s="337">
        <v>0</v>
      </c>
      <c r="U17" s="335">
        <v>474.36</v>
      </c>
      <c r="V17" s="336">
        <v>167.31</v>
      </c>
      <c r="W17" s="336">
        <v>89.2</v>
      </c>
      <c r="X17" s="336">
        <v>31.46</v>
      </c>
      <c r="Y17" s="336">
        <v>507.27</v>
      </c>
      <c r="Z17" s="336">
        <v>178.92</v>
      </c>
      <c r="AA17" s="337">
        <v>0</v>
      </c>
      <c r="AB17" s="339">
        <v>130.61000000000001</v>
      </c>
      <c r="AC17" s="340">
        <v>0</v>
      </c>
      <c r="AD17" s="359">
        <v>22.58</v>
      </c>
      <c r="AE17" s="359">
        <v>7.73</v>
      </c>
      <c r="AF17" s="340">
        <v>30.18</v>
      </c>
      <c r="AG17" s="340">
        <v>22</v>
      </c>
      <c r="AH17" s="340">
        <v>7.76</v>
      </c>
      <c r="AI17" s="340">
        <v>0.74</v>
      </c>
      <c r="AJ17" s="340">
        <v>214.81</v>
      </c>
      <c r="AK17" s="340">
        <v>759.45</v>
      </c>
      <c r="AL17" s="340">
        <v>2812.87</v>
      </c>
      <c r="AM17" s="340">
        <v>605.73</v>
      </c>
      <c r="AN17" s="340">
        <v>6112.09</v>
      </c>
      <c r="AO17" s="340">
        <v>2977.28</v>
      </c>
      <c r="AP17" s="340">
        <v>451.41</v>
      </c>
      <c r="AQ17" s="340">
        <v>4193.37</v>
      </c>
      <c r="AR17" s="340">
        <v>476.94</v>
      </c>
      <c r="AS17" s="340">
        <v>936.9</v>
      </c>
    </row>
    <row r="18" spans="1:45" x14ac:dyDescent="0.25">
      <c r="A18" s="9">
        <v>44784</v>
      </c>
      <c r="B18" s="45"/>
      <c r="C18" s="46">
        <v>84.37</v>
      </c>
      <c r="D18" s="46">
        <v>893.84</v>
      </c>
      <c r="E18" s="46">
        <v>19.559999999999999</v>
      </c>
      <c r="F18" s="46">
        <v>0</v>
      </c>
      <c r="G18" s="46">
        <v>1275.6199999999999</v>
      </c>
      <c r="H18" s="47">
        <v>31.93</v>
      </c>
      <c r="I18" s="45">
        <v>307.01</v>
      </c>
      <c r="J18" s="46">
        <v>758.26</v>
      </c>
      <c r="K18" s="46">
        <v>41.64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474.56</v>
      </c>
      <c r="V18" s="54">
        <v>172.58</v>
      </c>
      <c r="W18" s="54">
        <v>88.89</v>
      </c>
      <c r="X18" s="54">
        <v>32.32</v>
      </c>
      <c r="Y18" s="54">
        <v>498.58</v>
      </c>
      <c r="Z18" s="54">
        <v>181.32</v>
      </c>
      <c r="AA18" s="57">
        <v>0</v>
      </c>
      <c r="AB18" s="58">
        <v>132.19</v>
      </c>
      <c r="AC18" s="52">
        <v>0</v>
      </c>
      <c r="AD18" s="359">
        <v>22.59</v>
      </c>
      <c r="AE18" s="359">
        <v>7.98</v>
      </c>
      <c r="AF18" s="52">
        <v>30.42</v>
      </c>
      <c r="AG18" s="58">
        <v>22</v>
      </c>
      <c r="AH18" s="58">
        <v>8</v>
      </c>
      <c r="AI18" s="58">
        <v>0.73</v>
      </c>
      <c r="AJ18" s="52">
        <v>207.04</v>
      </c>
      <c r="AK18" s="52">
        <v>764.13</v>
      </c>
      <c r="AL18" s="52">
        <v>2825.59</v>
      </c>
      <c r="AM18" s="52">
        <v>604.67999999999995</v>
      </c>
      <c r="AN18" s="52">
        <v>6030</v>
      </c>
      <c r="AO18" s="52">
        <v>2985.87</v>
      </c>
      <c r="AP18" s="52">
        <v>453.81</v>
      </c>
      <c r="AQ18" s="52">
        <v>4154.67</v>
      </c>
      <c r="AR18" s="52">
        <v>477.69</v>
      </c>
      <c r="AS18" s="52">
        <v>926.88</v>
      </c>
    </row>
    <row r="19" spans="1:45" x14ac:dyDescent="0.25">
      <c r="A19" s="9">
        <v>44785</v>
      </c>
      <c r="B19" s="45"/>
      <c r="C19" s="46">
        <v>85.038889475663709</v>
      </c>
      <c r="D19" s="46">
        <v>912.43491624196395</v>
      </c>
      <c r="E19" s="46">
        <v>20.188091446459303</v>
      </c>
      <c r="F19" s="46">
        <v>0</v>
      </c>
      <c r="G19" s="46">
        <v>1306.7793259302859</v>
      </c>
      <c r="H19" s="47">
        <v>32.317927412192113</v>
      </c>
      <c r="I19" s="45">
        <v>307.07051161130272</v>
      </c>
      <c r="J19" s="46">
        <v>758.72661692301358</v>
      </c>
      <c r="K19" s="46">
        <v>41.664014586806339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468.87833775935422</v>
      </c>
      <c r="V19" s="54">
        <v>163.96203000289253</v>
      </c>
      <c r="W19" s="54">
        <v>87.790590382814173</v>
      </c>
      <c r="X19" s="54">
        <v>30.699484823942385</v>
      </c>
      <c r="Y19" s="54">
        <v>490.48381122831216</v>
      </c>
      <c r="Z19" s="54">
        <v>171.51724636471585</v>
      </c>
      <c r="AA19" s="57">
        <v>0</v>
      </c>
      <c r="AB19" s="58">
        <v>137.29979951646354</v>
      </c>
      <c r="AC19" s="52">
        <v>0</v>
      </c>
      <c r="AD19" s="359">
        <v>22.599550936523293</v>
      </c>
      <c r="AE19" s="359">
        <v>8.06829714880263</v>
      </c>
      <c r="AF19" s="52">
        <v>29.388943951659719</v>
      </c>
      <c r="AG19" s="58">
        <v>21.456511133329453</v>
      </c>
      <c r="AH19" s="58">
        <v>7.5031257340917232</v>
      </c>
      <c r="AI19" s="58">
        <v>0.74091091789439734</v>
      </c>
      <c r="AJ19" s="52">
        <v>207.03438231150309</v>
      </c>
      <c r="AK19" s="52">
        <v>763.27895040512078</v>
      </c>
      <c r="AL19" s="52">
        <v>2868.4877265930177</v>
      </c>
      <c r="AM19" s="52">
        <v>599.60012439092009</v>
      </c>
      <c r="AN19" s="52">
        <v>6027.5036323547356</v>
      </c>
      <c r="AO19" s="52">
        <v>2993.9234682718907</v>
      </c>
      <c r="AP19" s="52">
        <v>454.1126604715983</v>
      </c>
      <c r="AQ19" s="52">
        <v>4093.3897823333746</v>
      </c>
      <c r="AR19" s="52">
        <v>481.07342910766596</v>
      </c>
      <c r="AS19" s="52">
        <v>898.25324691136666</v>
      </c>
    </row>
    <row r="20" spans="1:45" x14ac:dyDescent="0.25">
      <c r="A20" s="9">
        <v>44786</v>
      </c>
      <c r="B20" s="45"/>
      <c r="C20" s="46">
        <v>84.04</v>
      </c>
      <c r="D20" s="46">
        <v>913.89</v>
      </c>
      <c r="E20" s="46">
        <v>19.559999999999999</v>
      </c>
      <c r="F20" s="46">
        <v>0</v>
      </c>
      <c r="G20" s="46">
        <v>1341.02</v>
      </c>
      <c r="H20" s="47">
        <v>31.88</v>
      </c>
      <c r="I20" s="45">
        <v>308.45</v>
      </c>
      <c r="J20" s="46">
        <v>761.76</v>
      </c>
      <c r="K20" s="46">
        <v>41.77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466.29</v>
      </c>
      <c r="V20" s="54">
        <v>170.16</v>
      </c>
      <c r="W20" s="54">
        <v>87.77</v>
      </c>
      <c r="X20" s="54">
        <v>32.03</v>
      </c>
      <c r="Y20" s="54">
        <v>492.63</v>
      </c>
      <c r="Z20" s="54">
        <v>179.78</v>
      </c>
      <c r="AA20" s="57">
        <v>0</v>
      </c>
      <c r="AB20" s="58">
        <v>139.38999999999999</v>
      </c>
      <c r="AC20" s="52">
        <v>0</v>
      </c>
      <c r="AD20" s="359">
        <v>22.69</v>
      </c>
      <c r="AE20" s="359">
        <v>7.95</v>
      </c>
      <c r="AF20" s="52">
        <v>29.73</v>
      </c>
      <c r="AG20" s="58">
        <v>21.4</v>
      </c>
      <c r="AH20" s="58">
        <v>7.81</v>
      </c>
      <c r="AI20" s="58">
        <v>0.73</v>
      </c>
      <c r="AJ20" s="52">
        <v>216.6</v>
      </c>
      <c r="AK20" s="52">
        <v>768.18</v>
      </c>
      <c r="AL20" s="52">
        <v>2851.32</v>
      </c>
      <c r="AM20" s="52">
        <v>603.48</v>
      </c>
      <c r="AN20" s="52">
        <v>6108.53</v>
      </c>
      <c r="AO20" s="52">
        <v>3025.4</v>
      </c>
      <c r="AP20" s="52">
        <v>449.3</v>
      </c>
      <c r="AQ20" s="52">
        <v>4192.76</v>
      </c>
      <c r="AR20" s="52">
        <v>471.96</v>
      </c>
      <c r="AS20" s="52">
        <v>836.22</v>
      </c>
    </row>
    <row r="21" spans="1:45" x14ac:dyDescent="0.25">
      <c r="A21" s="9">
        <v>44787</v>
      </c>
      <c r="B21" s="45"/>
      <c r="C21" s="46">
        <v>84.32</v>
      </c>
      <c r="D21" s="46">
        <v>909.99</v>
      </c>
      <c r="E21" s="46">
        <v>19.440000000000001</v>
      </c>
      <c r="F21" s="46">
        <v>0</v>
      </c>
      <c r="G21" s="46">
        <v>1385.15</v>
      </c>
      <c r="H21" s="47">
        <v>31.95</v>
      </c>
      <c r="I21" s="45">
        <v>308.48</v>
      </c>
      <c r="J21" s="46">
        <v>761.87</v>
      </c>
      <c r="K21" s="46">
        <v>41.8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498.94</v>
      </c>
      <c r="V21" s="54">
        <v>182.26</v>
      </c>
      <c r="W21" s="54">
        <v>91.3</v>
      </c>
      <c r="X21" s="54">
        <v>33.35</v>
      </c>
      <c r="Y21" s="54">
        <v>500.07</v>
      </c>
      <c r="Z21" s="54">
        <v>182.68</v>
      </c>
      <c r="AA21" s="57">
        <v>0</v>
      </c>
      <c r="AB21" s="58">
        <v>138.74</v>
      </c>
      <c r="AC21" s="52">
        <v>0</v>
      </c>
      <c r="AD21" s="359">
        <v>22.7</v>
      </c>
      <c r="AE21" s="359">
        <v>7.95</v>
      </c>
      <c r="AF21" s="52">
        <v>30.2</v>
      </c>
      <c r="AG21" s="58">
        <v>21.73</v>
      </c>
      <c r="AH21" s="58">
        <v>7.94</v>
      </c>
      <c r="AI21" s="58">
        <v>0.73</v>
      </c>
      <c r="AJ21" s="52">
        <v>204.55</v>
      </c>
      <c r="AK21" s="52">
        <v>761.1</v>
      </c>
      <c r="AL21" s="52">
        <v>2846.81</v>
      </c>
      <c r="AM21" s="52">
        <v>596.16999999999996</v>
      </c>
      <c r="AN21" s="52">
        <v>6221.79</v>
      </c>
      <c r="AO21" s="52">
        <v>2879.05</v>
      </c>
      <c r="AP21" s="52">
        <v>449.87</v>
      </c>
      <c r="AQ21" s="52">
        <v>4034.94</v>
      </c>
      <c r="AR21" s="52">
        <v>484.53</v>
      </c>
      <c r="AS21" s="52">
        <v>825.42</v>
      </c>
    </row>
    <row r="22" spans="1:45" x14ac:dyDescent="0.25">
      <c r="A22" s="9">
        <v>44788</v>
      </c>
      <c r="B22" s="45"/>
      <c r="C22" s="46">
        <v>84.25</v>
      </c>
      <c r="D22" s="46">
        <v>908.66</v>
      </c>
      <c r="E22" s="46">
        <v>19.37</v>
      </c>
      <c r="F22" s="46">
        <v>0</v>
      </c>
      <c r="G22" s="46">
        <v>1430.74</v>
      </c>
      <c r="H22" s="47">
        <v>31.81</v>
      </c>
      <c r="I22" s="45">
        <v>288.89999999999998</v>
      </c>
      <c r="J22" s="46">
        <v>695.85</v>
      </c>
      <c r="K22" s="46">
        <v>38.24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445.5</v>
      </c>
      <c r="V22" s="54">
        <v>177.69</v>
      </c>
      <c r="W22" s="54">
        <v>82.82</v>
      </c>
      <c r="X22" s="54">
        <v>33.03</v>
      </c>
      <c r="Y22" s="54">
        <v>454.91</v>
      </c>
      <c r="Z22" s="54">
        <v>181.44</v>
      </c>
      <c r="AA22" s="57">
        <v>0</v>
      </c>
      <c r="AB22" s="58">
        <v>130.05000000000001</v>
      </c>
      <c r="AC22" s="52">
        <v>0</v>
      </c>
      <c r="AD22" s="359">
        <v>20.72</v>
      </c>
      <c r="AE22" s="359">
        <v>7.94</v>
      </c>
      <c r="AF22" s="52">
        <v>28.21</v>
      </c>
      <c r="AG22" s="58">
        <v>19.8</v>
      </c>
      <c r="AH22" s="58">
        <v>7.9</v>
      </c>
      <c r="AI22" s="58">
        <v>0.71</v>
      </c>
      <c r="AJ22" s="52">
        <v>224.72</v>
      </c>
      <c r="AK22" s="52">
        <v>757.21</v>
      </c>
      <c r="AL22" s="52">
        <v>2753.63</v>
      </c>
      <c r="AM22" s="52">
        <v>587.85</v>
      </c>
      <c r="AN22" s="52">
        <v>6786.07</v>
      </c>
      <c r="AO22" s="52">
        <v>2859.46</v>
      </c>
      <c r="AP22" s="52">
        <v>430.25</v>
      </c>
      <c r="AQ22" s="52">
        <v>3800.45</v>
      </c>
      <c r="AR22" s="52">
        <v>476.97</v>
      </c>
      <c r="AS22" s="52">
        <v>825.12</v>
      </c>
    </row>
    <row r="23" spans="1:45" x14ac:dyDescent="0.25">
      <c r="A23" s="9">
        <v>44789</v>
      </c>
      <c r="B23" s="45"/>
      <c r="C23" s="46">
        <v>84.179498251279995</v>
      </c>
      <c r="D23" s="46">
        <v>911.02766901652092</v>
      </c>
      <c r="E23" s="46">
        <v>19.268944181998584</v>
      </c>
      <c r="F23" s="46">
        <v>0</v>
      </c>
      <c r="G23" s="46">
        <v>1334.9852207183917</v>
      </c>
      <c r="H23" s="47">
        <v>31.866652864217812</v>
      </c>
      <c r="I23" s="45">
        <v>185.55066205660484</v>
      </c>
      <c r="J23" s="46">
        <v>392.17602718671236</v>
      </c>
      <c r="K23" s="46">
        <v>21.500473120311874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251.29061117369281</v>
      </c>
      <c r="V23" s="54">
        <v>181.54154475332808</v>
      </c>
      <c r="W23" s="54">
        <v>45.612455315768301</v>
      </c>
      <c r="X23" s="54">
        <v>32.952108952025995</v>
      </c>
      <c r="Y23" s="54">
        <v>206.42206140118603</v>
      </c>
      <c r="Z23" s="54">
        <v>149.1268604223155</v>
      </c>
      <c r="AA23" s="57">
        <v>0</v>
      </c>
      <c r="AB23" s="58">
        <v>90.052379110126026</v>
      </c>
      <c r="AC23" s="52">
        <v>0</v>
      </c>
      <c r="AD23" s="359">
        <v>11.680009025964383</v>
      </c>
      <c r="AE23" s="359">
        <v>7.9317216087833966</v>
      </c>
      <c r="AF23" s="52">
        <v>19.063470597399601</v>
      </c>
      <c r="AG23" s="58">
        <v>10.831108105086386</v>
      </c>
      <c r="AH23" s="58">
        <v>7.8247893449093677</v>
      </c>
      <c r="AI23" s="58">
        <v>0.5805728796546773</v>
      </c>
      <c r="AJ23" s="52">
        <v>219.61379264195759</v>
      </c>
      <c r="AK23" s="52">
        <v>745.06240320205677</v>
      </c>
      <c r="AL23" s="52">
        <v>2695.3429080963133</v>
      </c>
      <c r="AM23" s="52">
        <v>560.65300366083773</v>
      </c>
      <c r="AN23" s="52">
        <v>7154.6183725992832</v>
      </c>
      <c r="AO23" s="52">
        <v>2882.1630608876544</v>
      </c>
      <c r="AP23" s="52">
        <v>378.6125598112742</v>
      </c>
      <c r="AQ23" s="52">
        <v>2972.8106323242182</v>
      </c>
      <c r="AR23" s="52">
        <v>449.73387479782099</v>
      </c>
      <c r="AS23" s="52">
        <v>794.09420499801638</v>
      </c>
    </row>
    <row r="24" spans="1:45" x14ac:dyDescent="0.25">
      <c r="A24" s="9">
        <v>44790</v>
      </c>
      <c r="B24" s="45"/>
      <c r="C24" s="46">
        <v>87.57</v>
      </c>
      <c r="D24" s="46">
        <v>953.32</v>
      </c>
      <c r="E24" s="46">
        <v>20.45</v>
      </c>
      <c r="F24" s="46">
        <v>0</v>
      </c>
      <c r="G24" s="46">
        <v>1360.32</v>
      </c>
      <c r="H24" s="47">
        <v>33.119999999999997</v>
      </c>
      <c r="I24" s="45">
        <v>246.58</v>
      </c>
      <c r="J24" s="46">
        <v>537.4</v>
      </c>
      <c r="K24" s="46">
        <v>29.46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338.69</v>
      </c>
      <c r="V24" s="54">
        <v>182.08</v>
      </c>
      <c r="W24" s="54">
        <v>62.59</v>
      </c>
      <c r="X24" s="54">
        <v>33.65</v>
      </c>
      <c r="Y24" s="54">
        <v>294.72000000000003</v>
      </c>
      <c r="Z24" s="54">
        <v>158.44</v>
      </c>
      <c r="AA24" s="57">
        <v>0</v>
      </c>
      <c r="AB24" s="58">
        <v>110.91</v>
      </c>
      <c r="AC24" s="52">
        <v>0</v>
      </c>
      <c r="AD24" s="359">
        <v>16.010000000000002</v>
      </c>
      <c r="AE24" s="359">
        <v>8.26</v>
      </c>
      <c r="AF24" s="52">
        <v>23.39</v>
      </c>
      <c r="AG24" s="58">
        <v>14.96</v>
      </c>
      <c r="AH24" s="58">
        <v>8.0399999999999991</v>
      </c>
      <c r="AI24" s="58">
        <v>0.65</v>
      </c>
      <c r="AJ24" s="52">
        <v>195.6</v>
      </c>
      <c r="AK24" s="52">
        <v>672.11</v>
      </c>
      <c r="AL24" s="52">
        <v>2705.85</v>
      </c>
      <c r="AM24" s="52">
        <v>577.59</v>
      </c>
      <c r="AN24" s="52">
        <v>7066.72</v>
      </c>
      <c r="AO24" s="52">
        <v>3090.19</v>
      </c>
      <c r="AP24" s="52">
        <v>390.39</v>
      </c>
      <c r="AQ24" s="52">
        <v>3223.6</v>
      </c>
      <c r="AR24" s="52">
        <v>448.15</v>
      </c>
      <c r="AS24" s="52">
        <v>783.62</v>
      </c>
    </row>
    <row r="25" spans="1:45" x14ac:dyDescent="0.25">
      <c r="A25" s="9">
        <v>44791</v>
      </c>
      <c r="B25" s="45"/>
      <c r="C25" s="46">
        <v>89.51</v>
      </c>
      <c r="D25" s="46">
        <v>972.38</v>
      </c>
      <c r="E25" s="46">
        <v>21.07</v>
      </c>
      <c r="F25" s="46">
        <v>0</v>
      </c>
      <c r="G25" s="46">
        <v>1441.35</v>
      </c>
      <c r="H25" s="47">
        <v>33.9</v>
      </c>
      <c r="I25" s="45">
        <v>234</v>
      </c>
      <c r="J25" s="46">
        <v>558.29999999999995</v>
      </c>
      <c r="K25" s="46">
        <v>30.59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355.2</v>
      </c>
      <c r="V25" s="54">
        <v>188.65</v>
      </c>
      <c r="W25" s="54">
        <v>65.97</v>
      </c>
      <c r="X25" s="54">
        <v>35.03</v>
      </c>
      <c r="Y25" s="54">
        <v>320.68</v>
      </c>
      <c r="Z25" s="54">
        <v>170.31</v>
      </c>
      <c r="AA25" s="57">
        <v>0</v>
      </c>
      <c r="AB25" s="58">
        <v>114.86</v>
      </c>
      <c r="AC25" s="52">
        <v>0</v>
      </c>
      <c r="AD25" s="359">
        <v>16.63</v>
      </c>
      <c r="AE25" s="359">
        <v>8.44</v>
      </c>
      <c r="AF25" s="52">
        <v>24.69</v>
      </c>
      <c r="AG25" s="58">
        <v>15.84</v>
      </c>
      <c r="AH25" s="58">
        <v>8.41</v>
      </c>
      <c r="AI25" s="58">
        <v>0.65</v>
      </c>
      <c r="AJ25" s="52">
        <v>172.98</v>
      </c>
      <c r="AK25" s="52">
        <v>656.4</v>
      </c>
      <c r="AL25" s="52">
        <v>2749.28</v>
      </c>
      <c r="AM25" s="52">
        <v>592.01</v>
      </c>
      <c r="AN25" s="52">
        <v>7043.79</v>
      </c>
      <c r="AO25" s="52">
        <v>3142.7</v>
      </c>
      <c r="AP25" s="52">
        <v>415.85</v>
      </c>
      <c r="AQ25" s="52">
        <v>3555.4</v>
      </c>
      <c r="AR25" s="52">
        <v>472.58</v>
      </c>
      <c r="AS25" s="52">
        <v>823.45</v>
      </c>
    </row>
    <row r="26" spans="1:45" x14ac:dyDescent="0.25">
      <c r="A26" s="9">
        <v>44792</v>
      </c>
      <c r="B26" s="45"/>
      <c r="C26" s="46">
        <v>89.247611383597075</v>
      </c>
      <c r="D26" s="46">
        <v>973.40341053008888</v>
      </c>
      <c r="E26" s="46">
        <v>20.920921510954702</v>
      </c>
      <c r="F26" s="46">
        <v>0</v>
      </c>
      <c r="G26" s="46">
        <v>1455.0732941945441</v>
      </c>
      <c r="H26" s="47">
        <v>33.909015941619934</v>
      </c>
      <c r="I26" s="45">
        <v>220.76267898877498</v>
      </c>
      <c r="J26" s="46">
        <v>558.39726584752441</v>
      </c>
      <c r="K26" s="46">
        <v>30.670261148611665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355.41824591433368</v>
      </c>
      <c r="V26" s="54">
        <v>188.83540665830009</v>
      </c>
      <c r="W26" s="54">
        <v>65.768174213575364</v>
      </c>
      <c r="X26" s="54">
        <v>34.942944166653341</v>
      </c>
      <c r="Y26" s="54">
        <v>323.91761960366642</v>
      </c>
      <c r="Z26" s="54">
        <v>172.0989738843908</v>
      </c>
      <c r="AA26" s="57">
        <v>0</v>
      </c>
      <c r="AB26" s="58">
        <v>114.85001655154592</v>
      </c>
      <c r="AC26" s="52">
        <v>0</v>
      </c>
      <c r="AD26" s="359">
        <v>16.631770688905462</v>
      </c>
      <c r="AE26" s="359">
        <v>8.4460722462127329</v>
      </c>
      <c r="AF26" s="52">
        <v>24.754772542582593</v>
      </c>
      <c r="AG26" s="58">
        <v>15.868499379496917</v>
      </c>
      <c r="AH26" s="58">
        <v>8.431009290689417</v>
      </c>
      <c r="AI26" s="58">
        <v>0.65303786981365475</v>
      </c>
      <c r="AJ26" s="52">
        <v>171.01245471636454</v>
      </c>
      <c r="AK26" s="52">
        <v>637.90934454600006</v>
      </c>
      <c r="AL26" s="52">
        <v>2709.7430136362709</v>
      </c>
      <c r="AM26" s="52">
        <v>589.76452827453613</v>
      </c>
      <c r="AN26" s="52">
        <v>7179.05780843099</v>
      </c>
      <c r="AO26" s="52">
        <v>3123.7848033905029</v>
      </c>
      <c r="AP26" s="52">
        <v>417.11241205533344</v>
      </c>
      <c r="AQ26" s="52">
        <v>3479.7289998372403</v>
      </c>
      <c r="AR26" s="52">
        <v>445.43947652180992</v>
      </c>
      <c r="AS26" s="52">
        <v>779.79772922197969</v>
      </c>
    </row>
    <row r="27" spans="1:45" x14ac:dyDescent="0.25">
      <c r="A27" s="9">
        <v>44793</v>
      </c>
      <c r="B27" s="45"/>
      <c r="C27" s="46">
        <v>89.99</v>
      </c>
      <c r="D27" s="46">
        <v>981.59</v>
      </c>
      <c r="E27" s="46">
        <v>21.35</v>
      </c>
      <c r="F27" s="46">
        <v>0</v>
      </c>
      <c r="G27" s="46">
        <v>1577.49</v>
      </c>
      <c r="H27" s="47">
        <v>34.130000000000003</v>
      </c>
      <c r="I27" s="45">
        <v>220.64</v>
      </c>
      <c r="J27" s="46">
        <v>557.74</v>
      </c>
      <c r="K27" s="46">
        <v>30.55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356.24</v>
      </c>
      <c r="V27" s="54">
        <v>181.21</v>
      </c>
      <c r="W27" s="54">
        <v>66.2</v>
      </c>
      <c r="X27" s="54">
        <v>33.67</v>
      </c>
      <c r="Y27" s="54">
        <v>323.62</v>
      </c>
      <c r="Z27" s="54">
        <v>164.62</v>
      </c>
      <c r="AA27" s="57">
        <v>0</v>
      </c>
      <c r="AB27" s="52">
        <v>114.65</v>
      </c>
      <c r="AC27" s="52">
        <v>0</v>
      </c>
      <c r="AD27" s="359">
        <v>16.61</v>
      </c>
      <c r="AE27" s="359">
        <v>8.51</v>
      </c>
      <c r="AF27" s="52">
        <v>24.12</v>
      </c>
      <c r="AG27" s="52">
        <v>15.68</v>
      </c>
      <c r="AH27" s="52">
        <v>7.98</v>
      </c>
      <c r="AI27" s="52">
        <v>0.66</v>
      </c>
      <c r="AJ27" s="52">
        <v>164.43</v>
      </c>
      <c r="AK27" s="52">
        <v>634.55999999999995</v>
      </c>
      <c r="AL27" s="52">
        <v>2709.46</v>
      </c>
      <c r="AM27" s="52">
        <v>578.25</v>
      </c>
      <c r="AN27" s="52">
        <v>7272.79</v>
      </c>
      <c r="AO27" s="52">
        <v>3090.03</v>
      </c>
      <c r="AP27" s="52">
        <v>383.55</v>
      </c>
      <c r="AQ27" s="52">
        <v>3325.64</v>
      </c>
      <c r="AR27" s="52">
        <v>462.6</v>
      </c>
      <c r="AS27" s="52">
        <v>737.16</v>
      </c>
    </row>
    <row r="28" spans="1:45" x14ac:dyDescent="0.25">
      <c r="A28" s="9">
        <v>44794</v>
      </c>
      <c r="B28" s="45"/>
      <c r="C28" s="46">
        <v>90.03</v>
      </c>
      <c r="D28" s="46">
        <v>975.41</v>
      </c>
      <c r="E28" s="46">
        <v>21.37</v>
      </c>
      <c r="F28" s="46">
        <v>0</v>
      </c>
      <c r="G28" s="46">
        <v>1547.56</v>
      </c>
      <c r="H28" s="47">
        <v>33.909999999999997</v>
      </c>
      <c r="I28" s="45">
        <v>220.7</v>
      </c>
      <c r="J28" s="46">
        <v>557.91</v>
      </c>
      <c r="K28" s="46">
        <v>30.64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357.86</v>
      </c>
      <c r="V28" s="54">
        <v>190.06</v>
      </c>
      <c r="W28" s="54">
        <v>66.25</v>
      </c>
      <c r="X28" s="54">
        <v>35.19</v>
      </c>
      <c r="Y28" s="54">
        <v>331.67</v>
      </c>
      <c r="Z28" s="54">
        <v>176.15</v>
      </c>
      <c r="AA28" s="57">
        <v>0</v>
      </c>
      <c r="AB28" s="58">
        <v>114.25</v>
      </c>
      <c r="AC28" s="52">
        <v>0</v>
      </c>
      <c r="AD28" s="359">
        <v>16.62</v>
      </c>
      <c r="AE28" s="359">
        <v>8.4499999999999993</v>
      </c>
      <c r="AF28" s="52">
        <v>24.96</v>
      </c>
      <c r="AG28" s="58">
        <v>16</v>
      </c>
      <c r="AH28" s="58">
        <v>8.5</v>
      </c>
      <c r="AI28" s="58">
        <v>0.65</v>
      </c>
      <c r="AJ28" s="52">
        <v>172.95</v>
      </c>
      <c r="AK28" s="52">
        <v>648.22</v>
      </c>
      <c r="AL28" s="52">
        <v>2734.25</v>
      </c>
      <c r="AM28" s="52">
        <v>583.58000000000004</v>
      </c>
      <c r="AN28" s="52">
        <v>7414.22</v>
      </c>
      <c r="AO28" s="52">
        <v>3097.32</v>
      </c>
      <c r="AP28" s="52">
        <v>384.62</v>
      </c>
      <c r="AQ28" s="52">
        <v>3436.62</v>
      </c>
      <c r="AR28" s="52">
        <v>460.64</v>
      </c>
      <c r="AS28" s="52">
        <v>720.93</v>
      </c>
    </row>
    <row r="29" spans="1:45" x14ac:dyDescent="0.25">
      <c r="A29" s="9">
        <v>44795</v>
      </c>
      <c r="B29" s="45"/>
      <c r="C29" s="46">
        <v>89.11</v>
      </c>
      <c r="D29" s="46">
        <v>975.41</v>
      </c>
      <c r="E29" s="46">
        <v>21.38</v>
      </c>
      <c r="F29" s="46">
        <v>0</v>
      </c>
      <c r="G29" s="46">
        <v>1492.35</v>
      </c>
      <c r="H29" s="47">
        <v>33.94</v>
      </c>
      <c r="I29" s="45">
        <v>220.86</v>
      </c>
      <c r="J29" s="46">
        <v>558.26</v>
      </c>
      <c r="K29" s="46">
        <v>30.65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354.28</v>
      </c>
      <c r="V29" s="54">
        <v>188.22</v>
      </c>
      <c r="W29" s="54">
        <v>65.239999999999995</v>
      </c>
      <c r="X29" s="54">
        <v>34.659999999999997</v>
      </c>
      <c r="Y29" s="54">
        <v>328.32</v>
      </c>
      <c r="Z29" s="54">
        <v>174.42</v>
      </c>
      <c r="AA29" s="57">
        <v>0</v>
      </c>
      <c r="AB29" s="58">
        <v>114.26</v>
      </c>
      <c r="AC29" s="52">
        <v>0</v>
      </c>
      <c r="AD29" s="359">
        <v>16.63</v>
      </c>
      <c r="AE29" s="359">
        <v>8.4499999999999993</v>
      </c>
      <c r="AF29" s="52">
        <v>24.71</v>
      </c>
      <c r="AG29" s="58">
        <v>15.84</v>
      </c>
      <c r="AH29" s="58">
        <v>8.41</v>
      </c>
      <c r="AI29" s="58">
        <v>0.65</v>
      </c>
      <c r="AJ29" s="52">
        <v>160.07</v>
      </c>
      <c r="AK29" s="52">
        <v>647.91</v>
      </c>
      <c r="AL29" s="52">
        <v>2748.9</v>
      </c>
      <c r="AM29" s="52">
        <v>580.57000000000005</v>
      </c>
      <c r="AN29" s="52">
        <v>7368.89</v>
      </c>
      <c r="AO29" s="52">
        <v>3161.85</v>
      </c>
      <c r="AP29" s="52">
        <v>392.4</v>
      </c>
      <c r="AQ29" s="52">
        <v>3534.98</v>
      </c>
      <c r="AR29" s="52">
        <v>468.29</v>
      </c>
      <c r="AS29" s="52">
        <v>798.63</v>
      </c>
    </row>
    <row r="30" spans="1:45" x14ac:dyDescent="0.25">
      <c r="A30" s="9">
        <v>44796</v>
      </c>
      <c r="B30" s="45"/>
      <c r="C30" s="46">
        <v>89.66</v>
      </c>
      <c r="D30" s="46">
        <v>958.3</v>
      </c>
      <c r="E30" s="46">
        <v>21.19</v>
      </c>
      <c r="F30" s="46">
        <v>0</v>
      </c>
      <c r="G30" s="46">
        <v>1507.73</v>
      </c>
      <c r="H30" s="47">
        <v>34</v>
      </c>
      <c r="I30" s="45">
        <v>220.92</v>
      </c>
      <c r="J30" s="46">
        <v>558.58000000000004</v>
      </c>
      <c r="K30" s="46">
        <v>30.63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350.41</v>
      </c>
      <c r="V30" s="54">
        <v>187.1</v>
      </c>
      <c r="W30" s="54">
        <v>64.209999999999994</v>
      </c>
      <c r="X30" s="54">
        <v>34.28</v>
      </c>
      <c r="Y30" s="54">
        <v>324.47000000000003</v>
      </c>
      <c r="Z30" s="54">
        <v>173.24</v>
      </c>
      <c r="AA30" s="57">
        <v>0</v>
      </c>
      <c r="AB30" s="58">
        <v>114.66</v>
      </c>
      <c r="AC30" s="52">
        <v>0</v>
      </c>
      <c r="AD30" s="359">
        <v>16.64</v>
      </c>
      <c r="AE30" s="359">
        <v>8.48</v>
      </c>
      <c r="AF30" s="52">
        <v>24.42</v>
      </c>
      <c r="AG30" s="58">
        <v>15.62</v>
      </c>
      <c r="AH30" s="58">
        <v>8.34</v>
      </c>
      <c r="AI30" s="58">
        <v>0.65</v>
      </c>
      <c r="AJ30" s="52">
        <v>167.44</v>
      </c>
      <c r="AK30" s="52">
        <v>655.56</v>
      </c>
      <c r="AL30" s="52">
        <v>2705.52</v>
      </c>
      <c r="AM30" s="52">
        <v>581.88</v>
      </c>
      <c r="AN30" s="52">
        <v>7558.84</v>
      </c>
      <c r="AO30" s="52">
        <v>3190.49</v>
      </c>
      <c r="AP30" s="52">
        <v>424.59</v>
      </c>
      <c r="AQ30" s="52">
        <v>3482.29</v>
      </c>
      <c r="AR30" s="52">
        <v>450.37</v>
      </c>
      <c r="AS30" s="52">
        <v>811.41</v>
      </c>
    </row>
    <row r="31" spans="1:45" x14ac:dyDescent="0.25">
      <c r="A31" s="9">
        <v>44797</v>
      </c>
      <c r="B31" s="45"/>
      <c r="C31" s="46">
        <v>89.370171829065015</v>
      </c>
      <c r="D31" s="46">
        <v>928.79389184316096</v>
      </c>
      <c r="E31" s="46">
        <v>20.904427101711441</v>
      </c>
      <c r="F31" s="46">
        <v>0</v>
      </c>
      <c r="G31" s="46">
        <v>1487.0777415593527</v>
      </c>
      <c r="H31" s="47">
        <v>33.942457731564872</v>
      </c>
      <c r="I31" s="45">
        <v>222.22019961675025</v>
      </c>
      <c r="J31" s="46">
        <v>556.16659653981526</v>
      </c>
      <c r="K31" s="46">
        <v>30.510347723960894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350.30452403812217</v>
      </c>
      <c r="V31" s="54">
        <v>179.6263084856453</v>
      </c>
      <c r="W31" s="54">
        <v>64.207364553997309</v>
      </c>
      <c r="X31" s="54">
        <v>32.923730871290388</v>
      </c>
      <c r="Y31" s="54">
        <v>326.73922897845785</v>
      </c>
      <c r="Z31" s="54">
        <v>167.5426878942028</v>
      </c>
      <c r="AA31" s="57">
        <v>0</v>
      </c>
      <c r="AB31" s="58">
        <v>114.25258562300125</v>
      </c>
      <c r="AC31" s="52">
        <v>0</v>
      </c>
      <c r="AD31" s="359">
        <v>16.566229459507273</v>
      </c>
      <c r="AE31" s="359">
        <v>8.4538224898922021</v>
      </c>
      <c r="AF31" s="52">
        <v>23.949843841791196</v>
      </c>
      <c r="AG31" s="58">
        <v>15.584187419427515</v>
      </c>
      <c r="AH31" s="58">
        <v>7.9911330422771263</v>
      </c>
      <c r="AI31" s="58">
        <v>0.66103820072105535</v>
      </c>
      <c r="AJ31" s="52">
        <v>166.26329560279845</v>
      </c>
      <c r="AK31" s="52">
        <v>660.93706684112533</v>
      </c>
      <c r="AL31" s="52">
        <v>2764.1366151173906</v>
      </c>
      <c r="AM31" s="52">
        <v>583.34211276372275</v>
      </c>
      <c r="AN31" s="52">
        <v>7774.1481885274252</v>
      </c>
      <c r="AO31" s="52">
        <v>3184.5532276153563</v>
      </c>
      <c r="AP31" s="52">
        <v>429.21084489822397</v>
      </c>
      <c r="AQ31" s="52">
        <v>3447.4467679341633</v>
      </c>
      <c r="AR31" s="52">
        <v>465.08718360265095</v>
      </c>
      <c r="AS31" s="52">
        <v>818.4725927352905</v>
      </c>
    </row>
    <row r="32" spans="1:45" x14ac:dyDescent="0.25">
      <c r="A32" s="9">
        <v>44798</v>
      </c>
      <c r="B32" s="45"/>
      <c r="C32" s="46">
        <v>89.399742452303087</v>
      </c>
      <c r="D32" s="46">
        <v>928.9807198206596</v>
      </c>
      <c r="E32" s="46">
        <v>20.909679706394662</v>
      </c>
      <c r="F32" s="46">
        <v>0</v>
      </c>
      <c r="G32" s="46">
        <v>1700.0085759480796</v>
      </c>
      <c r="H32" s="47">
        <v>33.852049630880416</v>
      </c>
      <c r="I32" s="45">
        <v>217.16712013880434</v>
      </c>
      <c r="J32" s="46">
        <v>555.62138404846144</v>
      </c>
      <c r="K32" s="46">
        <v>30.454816719889628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352.17853652041134</v>
      </c>
      <c r="V32" s="54">
        <v>188.33274036049093</v>
      </c>
      <c r="W32" s="54">
        <v>65.636222090901612</v>
      </c>
      <c r="X32" s="54">
        <v>35.099951562700802</v>
      </c>
      <c r="Y32" s="54">
        <v>326.15587314014988</v>
      </c>
      <c r="Z32" s="54">
        <v>174.41673186575068</v>
      </c>
      <c r="AA32" s="57">
        <v>0</v>
      </c>
      <c r="AB32" s="58">
        <v>114.25684097608085</v>
      </c>
      <c r="AC32" s="52">
        <v>0</v>
      </c>
      <c r="AD32" s="359">
        <v>16.552388871409029</v>
      </c>
      <c r="AE32" s="359">
        <v>8.4335748362144987</v>
      </c>
      <c r="AF32" s="52">
        <v>24.229381485780067</v>
      </c>
      <c r="AG32" s="58">
        <v>15.544826718825941</v>
      </c>
      <c r="AH32" s="58">
        <v>8.3128286104845923</v>
      </c>
      <c r="AI32" s="58">
        <v>0.65156556686977563</v>
      </c>
      <c r="AJ32" s="52">
        <v>164.07377204895019</v>
      </c>
      <c r="AK32" s="52">
        <v>657.21287612915023</v>
      </c>
      <c r="AL32" s="52">
        <v>2782.6877161661787</v>
      </c>
      <c r="AM32" s="52">
        <v>582.98037099838257</v>
      </c>
      <c r="AN32" s="52">
        <v>7722.2693501790363</v>
      </c>
      <c r="AO32" s="52">
        <v>3216.5697678883871</v>
      </c>
      <c r="AP32" s="52">
        <v>434.01164182027179</v>
      </c>
      <c r="AQ32" s="52">
        <v>3461.8144570668546</v>
      </c>
      <c r="AR32" s="52">
        <v>462.5229250907899</v>
      </c>
      <c r="AS32" s="52">
        <v>817.5852540334065</v>
      </c>
    </row>
    <row r="33" spans="1:45" x14ac:dyDescent="0.25">
      <c r="A33" s="9">
        <v>44799</v>
      </c>
      <c r="B33" s="45"/>
      <c r="C33" s="362">
        <v>89.490461707115742</v>
      </c>
      <c r="D33" s="362">
        <v>930.227499834696</v>
      </c>
      <c r="E33" s="362">
        <v>20.769890263676665</v>
      </c>
      <c r="F33" s="362">
        <v>0</v>
      </c>
      <c r="G33" s="362">
        <v>1778.4135032653792</v>
      </c>
      <c r="H33" s="363">
        <v>33.936072788635954</v>
      </c>
      <c r="I33" s="361">
        <v>223.45372056961082</v>
      </c>
      <c r="J33" s="362">
        <v>555.84281435012747</v>
      </c>
      <c r="K33" s="362">
        <v>30.387715478738144</v>
      </c>
      <c r="L33" s="46">
        <v>0</v>
      </c>
      <c r="M33" s="362">
        <v>0</v>
      </c>
      <c r="N33" s="363">
        <v>0</v>
      </c>
      <c r="O33" s="361">
        <v>0</v>
      </c>
      <c r="P33" s="362">
        <v>0</v>
      </c>
      <c r="Q33" s="362">
        <v>0</v>
      </c>
      <c r="R33" s="362">
        <v>0</v>
      </c>
      <c r="S33" s="362">
        <v>0</v>
      </c>
      <c r="T33" s="363">
        <v>0</v>
      </c>
      <c r="U33" s="361">
        <v>357.26765750830106</v>
      </c>
      <c r="V33" s="362">
        <v>190.58751628083215</v>
      </c>
      <c r="W33" s="362">
        <v>66.327307652037632</v>
      </c>
      <c r="X33" s="362">
        <v>35.382874887584158</v>
      </c>
      <c r="Y33" s="362">
        <v>338.48159443248886</v>
      </c>
      <c r="Z33" s="362">
        <v>180.56592874815459</v>
      </c>
      <c r="AA33" s="363">
        <v>0</v>
      </c>
      <c r="AB33" s="364">
        <v>114.35613892343429</v>
      </c>
      <c r="AC33" s="52">
        <v>0</v>
      </c>
      <c r="AD33" s="365">
        <v>16.556687246102726</v>
      </c>
      <c r="AE33" s="364">
        <v>8.4443418536520696</v>
      </c>
      <c r="AF33" s="52">
        <v>24.800788307189908</v>
      </c>
      <c r="AG33" s="52">
        <v>15.929694719512989</v>
      </c>
      <c r="AH33" s="52">
        <v>8.4978331732514221</v>
      </c>
      <c r="AI33" s="52">
        <v>0.65212062348034272</v>
      </c>
      <c r="AJ33" s="52">
        <v>166.56660327116646</v>
      </c>
      <c r="AK33" s="52">
        <v>655.25408175786333</v>
      </c>
      <c r="AL33" s="52">
        <v>2747.4765015920007</v>
      </c>
      <c r="AM33" s="52">
        <v>583.01956030527754</v>
      </c>
      <c r="AN33" s="52">
        <v>7809.0638615926118</v>
      </c>
      <c r="AO33" s="52">
        <v>3234.6708307902022</v>
      </c>
      <c r="AP33" s="52">
        <v>419.56337273915614</v>
      </c>
      <c r="AQ33" s="52">
        <v>3314.2015956878663</v>
      </c>
      <c r="AR33" s="52">
        <v>461.77511161168422</v>
      </c>
      <c r="AS33" s="52">
        <v>775.82497536341339</v>
      </c>
    </row>
    <row r="34" spans="1:45" x14ac:dyDescent="0.25">
      <c r="A34" s="9">
        <v>44800</v>
      </c>
      <c r="B34" s="45"/>
      <c r="C34" s="46">
        <v>88.988531510035173</v>
      </c>
      <c r="D34" s="46">
        <v>930.90993563334132</v>
      </c>
      <c r="E34" s="46">
        <v>21.214433759947607</v>
      </c>
      <c r="F34" s="46">
        <v>0</v>
      </c>
      <c r="G34" s="46">
        <v>1769.9136542002357</v>
      </c>
      <c r="H34" s="47">
        <v>33.764298822482452</v>
      </c>
      <c r="I34" s="45">
        <v>234.52714792887318</v>
      </c>
      <c r="J34" s="46">
        <v>556.11826817194651</v>
      </c>
      <c r="K34" s="46">
        <v>30.414508340756107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350.71628801809953</v>
      </c>
      <c r="V34" s="54">
        <v>186.34541685064124</v>
      </c>
      <c r="W34" s="54">
        <v>64.324901167314621</v>
      </c>
      <c r="X34" s="54">
        <v>34.177627134559955</v>
      </c>
      <c r="Y34" s="54">
        <v>337.37289547609475</v>
      </c>
      <c r="Z34" s="54">
        <v>179.25569752368119</v>
      </c>
      <c r="AA34" s="57">
        <v>0</v>
      </c>
      <c r="AB34" s="58">
        <v>114.96255796220308</v>
      </c>
      <c r="AC34" s="52">
        <v>0</v>
      </c>
      <c r="AD34" s="359">
        <v>16.56579936441501</v>
      </c>
      <c r="AE34" s="359">
        <v>8.422715287131723</v>
      </c>
      <c r="AF34" s="52">
        <v>24.36733394861221</v>
      </c>
      <c r="AG34" s="58">
        <v>15.672304981445167</v>
      </c>
      <c r="AH34" s="58">
        <v>8.3271359345222749</v>
      </c>
      <c r="AI34" s="58">
        <v>0.65302791995533449</v>
      </c>
      <c r="AJ34" s="52">
        <v>174.20729779402416</v>
      </c>
      <c r="AK34" s="52">
        <v>657.02355642318719</v>
      </c>
      <c r="AL34" s="52">
        <v>2757.0958493550611</v>
      </c>
      <c r="AM34" s="52">
        <v>581.37919600804639</v>
      </c>
      <c r="AN34" s="52">
        <v>7786.8585840861006</v>
      </c>
      <c r="AO34" s="52">
        <v>3140.2838986714683</v>
      </c>
      <c r="AP34" s="52">
        <v>420.87322071393339</v>
      </c>
      <c r="AQ34" s="52">
        <v>3366.2763014475499</v>
      </c>
      <c r="AR34" s="52">
        <v>456.03346700668334</v>
      </c>
      <c r="AS34" s="52">
        <v>715.58292086919141</v>
      </c>
    </row>
    <row r="35" spans="1:45" x14ac:dyDescent="0.25">
      <c r="A35" s="9">
        <v>44801</v>
      </c>
      <c r="B35" s="45"/>
      <c r="C35" s="362">
        <v>89.79427040020569</v>
      </c>
      <c r="D35" s="362">
        <v>932.00180384317912</v>
      </c>
      <c r="E35" s="362">
        <v>20.702288207411815</v>
      </c>
      <c r="F35" s="362">
        <v>0</v>
      </c>
      <c r="G35" s="362">
        <v>1732.6004867553684</v>
      </c>
      <c r="H35" s="363">
        <v>33.822691452503193</v>
      </c>
      <c r="I35" s="361">
        <v>235.9853957811986</v>
      </c>
      <c r="J35" s="362">
        <v>556.30631157557229</v>
      </c>
      <c r="K35" s="362">
        <v>30.516294013460477</v>
      </c>
      <c r="L35" s="46">
        <v>0</v>
      </c>
      <c r="M35" s="362">
        <v>0</v>
      </c>
      <c r="N35" s="363">
        <v>0</v>
      </c>
      <c r="O35" s="361">
        <v>0</v>
      </c>
      <c r="P35" s="362">
        <v>0</v>
      </c>
      <c r="Q35" s="362">
        <v>0</v>
      </c>
      <c r="R35" s="362">
        <v>0</v>
      </c>
      <c r="S35" s="362">
        <v>0</v>
      </c>
      <c r="T35" s="363">
        <v>0</v>
      </c>
      <c r="U35" s="361">
        <v>354.29233210556663</v>
      </c>
      <c r="V35" s="362">
        <v>188.24861176074228</v>
      </c>
      <c r="W35" s="362">
        <v>64.993603312237738</v>
      </c>
      <c r="X35" s="362">
        <v>34.533503799375346</v>
      </c>
      <c r="Y35" s="362">
        <v>344.43384360822148</v>
      </c>
      <c r="Z35" s="362">
        <v>183.01043242263714</v>
      </c>
      <c r="AA35" s="363">
        <v>0</v>
      </c>
      <c r="AB35" s="364">
        <v>114.67869716220504</v>
      </c>
      <c r="AC35" s="52">
        <v>0</v>
      </c>
      <c r="AD35" s="365">
        <v>16.571623502948484</v>
      </c>
      <c r="AE35" s="364">
        <v>8.4308370647147495</v>
      </c>
      <c r="AF35" s="52">
        <v>24.59581216176354</v>
      </c>
      <c r="AG35" s="52">
        <v>15.815923629928212</v>
      </c>
      <c r="AH35" s="52">
        <v>8.4035848288152284</v>
      </c>
      <c r="AI35" s="52">
        <v>0.65302413782962365</v>
      </c>
      <c r="AJ35" s="52">
        <v>165.69386814435325</v>
      </c>
      <c r="AK35" s="52">
        <v>658.39399782816577</v>
      </c>
      <c r="AL35" s="52">
        <v>2782.5912720998131</v>
      </c>
      <c r="AM35" s="52">
        <v>579.53872191111236</v>
      </c>
      <c r="AN35" s="52">
        <v>7849.2203712463379</v>
      </c>
      <c r="AO35" s="52">
        <v>3136.4033607482916</v>
      </c>
      <c r="AP35" s="52">
        <v>429.71255215009057</v>
      </c>
      <c r="AQ35" s="52">
        <v>3328.7408358256025</v>
      </c>
      <c r="AR35" s="52">
        <v>452.06418587366733</v>
      </c>
      <c r="AS35" s="52">
        <v>740.04400320053094</v>
      </c>
    </row>
    <row r="36" spans="1:45" x14ac:dyDescent="0.25">
      <c r="A36" s="9">
        <v>44802</v>
      </c>
      <c r="B36" s="45"/>
      <c r="C36" s="46">
        <v>89.84</v>
      </c>
      <c r="D36" s="46">
        <v>934.96</v>
      </c>
      <c r="E36" s="46">
        <v>21.24</v>
      </c>
      <c r="F36" s="46">
        <v>0</v>
      </c>
      <c r="G36" s="46">
        <v>1715.59</v>
      </c>
      <c r="H36" s="47">
        <v>34.020000000000003</v>
      </c>
      <c r="I36" s="45">
        <v>244.2</v>
      </c>
      <c r="J36" s="46">
        <v>609.66</v>
      </c>
      <c r="K36" s="46">
        <v>33.39</v>
      </c>
      <c r="L36" s="46">
        <v>0</v>
      </c>
      <c r="M36" s="46">
        <v>0</v>
      </c>
      <c r="N36" s="47">
        <v>0</v>
      </c>
      <c r="O36" s="45">
        <v>0</v>
      </c>
      <c r="P36" s="46">
        <v>0</v>
      </c>
      <c r="Q36" s="46">
        <v>0</v>
      </c>
      <c r="R36" s="55">
        <v>0</v>
      </c>
      <c r="S36" s="46">
        <v>0</v>
      </c>
      <c r="T36" s="48">
        <v>0</v>
      </c>
      <c r="U36" s="56">
        <v>384.74</v>
      </c>
      <c r="V36" s="54">
        <v>186.74</v>
      </c>
      <c r="W36" s="54">
        <v>71.5</v>
      </c>
      <c r="X36" s="54">
        <v>34.700000000000003</v>
      </c>
      <c r="Y36" s="54">
        <v>384.98</v>
      </c>
      <c r="Z36" s="54">
        <v>186.85</v>
      </c>
      <c r="AA36" s="57">
        <v>0</v>
      </c>
      <c r="AB36" s="58">
        <v>121.5</v>
      </c>
      <c r="AC36" s="52">
        <v>0</v>
      </c>
      <c r="AD36" s="359">
        <v>18.16</v>
      </c>
      <c r="AE36" s="359">
        <v>8.4600000000000009</v>
      </c>
      <c r="AF36" s="52">
        <v>25.97</v>
      </c>
      <c r="AG36" s="58">
        <v>17.23</v>
      </c>
      <c r="AH36" s="58">
        <v>8.36</v>
      </c>
      <c r="AI36" s="58">
        <v>0.67</v>
      </c>
      <c r="AJ36" s="52">
        <v>178.14</v>
      </c>
      <c r="AK36" s="52">
        <v>660.69</v>
      </c>
      <c r="AL36" s="52">
        <v>2767.83</v>
      </c>
      <c r="AM36" s="52">
        <v>591.02</v>
      </c>
      <c r="AN36" s="52">
        <v>7656.27</v>
      </c>
      <c r="AO36" s="52">
        <v>3127.29</v>
      </c>
      <c r="AP36" s="52">
        <v>424.24</v>
      </c>
      <c r="AQ36" s="52">
        <v>3516.69</v>
      </c>
      <c r="AR36" s="52">
        <v>460.37</v>
      </c>
      <c r="AS36" s="52">
        <v>747.18</v>
      </c>
    </row>
    <row r="37" spans="1:45" x14ac:dyDescent="0.25">
      <c r="A37" s="9">
        <v>44803</v>
      </c>
      <c r="B37" s="45"/>
      <c r="C37" s="46">
        <v>90.19</v>
      </c>
      <c r="D37" s="46">
        <v>939.03</v>
      </c>
      <c r="E37" s="46">
        <v>21.45</v>
      </c>
      <c r="F37" s="46">
        <v>0</v>
      </c>
      <c r="G37" s="46">
        <v>1706.13</v>
      </c>
      <c r="H37" s="47">
        <v>34.14</v>
      </c>
      <c r="I37" s="45">
        <v>253.69</v>
      </c>
      <c r="J37" s="46">
        <v>691.36</v>
      </c>
      <c r="K37" s="46">
        <v>37.86</v>
      </c>
      <c r="L37" s="46">
        <v>0</v>
      </c>
      <c r="M37" s="46">
        <v>0</v>
      </c>
      <c r="N37" s="47">
        <v>0</v>
      </c>
      <c r="O37" s="45">
        <v>0</v>
      </c>
      <c r="P37" s="46">
        <v>0</v>
      </c>
      <c r="Q37" s="46">
        <v>0</v>
      </c>
      <c r="R37" s="55">
        <v>0</v>
      </c>
      <c r="S37" s="46">
        <v>0</v>
      </c>
      <c r="T37" s="48">
        <v>0</v>
      </c>
      <c r="U37" s="56">
        <v>435.68</v>
      </c>
      <c r="V37" s="54">
        <v>172.57</v>
      </c>
      <c r="W37" s="54">
        <v>81.13</v>
      </c>
      <c r="X37" s="54">
        <v>32.14</v>
      </c>
      <c r="Y37" s="54">
        <v>473.31</v>
      </c>
      <c r="Z37" s="54">
        <v>187.48</v>
      </c>
      <c r="AA37" s="57">
        <v>0</v>
      </c>
      <c r="AB37" s="58">
        <v>132.66</v>
      </c>
      <c r="AC37" s="52">
        <v>0</v>
      </c>
      <c r="AD37" s="359">
        <v>20.59</v>
      </c>
      <c r="AE37" s="359">
        <v>8.49</v>
      </c>
      <c r="AF37" s="52">
        <v>27.92</v>
      </c>
      <c r="AG37" s="58">
        <v>19.7</v>
      </c>
      <c r="AH37" s="58">
        <v>7.8</v>
      </c>
      <c r="AI37" s="58">
        <v>0.72</v>
      </c>
      <c r="AJ37" s="52">
        <v>169.27</v>
      </c>
      <c r="AK37" s="52">
        <v>670.41</v>
      </c>
      <c r="AL37" s="52">
        <v>2808.54</v>
      </c>
      <c r="AM37" s="52">
        <v>597.35</v>
      </c>
      <c r="AN37" s="52">
        <v>7641.72</v>
      </c>
      <c r="AO37" s="52">
        <v>3119.4</v>
      </c>
      <c r="AP37" s="52">
        <v>438.82</v>
      </c>
      <c r="AQ37" s="52">
        <v>3812.52</v>
      </c>
      <c r="AR37" s="52">
        <v>479.11</v>
      </c>
      <c r="AS37" s="52">
        <v>822.23</v>
      </c>
    </row>
    <row r="38" spans="1:45" ht="15.75" thickBot="1" x14ac:dyDescent="0.3">
      <c r="A38" s="9">
        <v>44804</v>
      </c>
      <c r="B38" s="59"/>
      <c r="C38" s="60">
        <v>89.738657581806152</v>
      </c>
      <c r="D38" s="60">
        <v>937.38568236033029</v>
      </c>
      <c r="E38" s="60">
        <v>21.58923138330379</v>
      </c>
      <c r="F38" s="60">
        <v>0</v>
      </c>
      <c r="G38" s="60">
        <v>1728.4635868072496</v>
      </c>
      <c r="H38" s="61">
        <v>34.100944817066249</v>
      </c>
      <c r="I38" s="62">
        <v>253.56865173975604</v>
      </c>
      <c r="J38" s="60">
        <v>690.83083492915034</v>
      </c>
      <c r="K38" s="60">
        <v>37.843246695399287</v>
      </c>
      <c r="L38" s="60">
        <v>0</v>
      </c>
      <c r="M38" s="46">
        <v>0</v>
      </c>
      <c r="N38" s="61">
        <v>0</v>
      </c>
      <c r="O38" s="62">
        <v>0</v>
      </c>
      <c r="P38" s="60">
        <v>0</v>
      </c>
      <c r="Q38" s="60">
        <v>0</v>
      </c>
      <c r="R38" s="63">
        <v>0</v>
      </c>
      <c r="S38" s="60">
        <v>0</v>
      </c>
      <c r="T38" s="64">
        <v>0</v>
      </c>
      <c r="U38" s="65">
        <v>437.53982141952747</v>
      </c>
      <c r="V38" s="66">
        <v>185.94786418668605</v>
      </c>
      <c r="W38" s="66">
        <v>81.435862371392318</v>
      </c>
      <c r="X38" s="66">
        <v>34.609020561906476</v>
      </c>
      <c r="Y38" s="66">
        <v>476.36433147313403</v>
      </c>
      <c r="Z38" s="66">
        <v>202.44769887405391</v>
      </c>
      <c r="AA38" s="67">
        <v>0</v>
      </c>
      <c r="AB38" s="68">
        <v>132.78690186606633</v>
      </c>
      <c r="AC38" s="69">
        <v>0</v>
      </c>
      <c r="AD38" s="359">
        <v>20.5797837650486</v>
      </c>
      <c r="AE38" s="359">
        <v>8.4795512045996464</v>
      </c>
      <c r="AF38" s="70">
        <v>28.659896980391604</v>
      </c>
      <c r="AG38" s="68">
        <v>19.810365906470047</v>
      </c>
      <c r="AH38" s="68">
        <v>8.4191084987731912</v>
      </c>
      <c r="AI38" s="68">
        <v>0.70176176935092149</v>
      </c>
      <c r="AJ38" s="69">
        <v>168.39720153808594</v>
      </c>
      <c r="AK38" s="69">
        <v>671.23563092549648</v>
      </c>
      <c r="AL38" s="69">
        <v>2798.3761575063072</v>
      </c>
      <c r="AM38" s="69">
        <v>597.14664430618291</v>
      </c>
      <c r="AN38" s="69">
        <v>7680.5158220926924</v>
      </c>
      <c r="AO38" s="69">
        <v>3148.5235729217534</v>
      </c>
      <c r="AP38" s="69">
        <v>440.9567460219065</v>
      </c>
      <c r="AQ38" s="69">
        <v>3865.7323112487788</v>
      </c>
      <c r="AR38" s="69">
        <v>449.77907787958782</v>
      </c>
      <c r="AS38" s="69">
        <v>823.18170887629196</v>
      </c>
    </row>
    <row r="39" spans="1:45" ht="15.75" thickTop="1" x14ac:dyDescent="0.25">
      <c r="A39" s="42" t="s">
        <v>171</v>
      </c>
      <c r="B39" s="25">
        <f>SUM(B8:B38)</f>
        <v>0</v>
      </c>
      <c r="C39" s="26">
        <f t="shared" ref="C39:AC39" si="0">SUM(C8:C38)</f>
        <v>2645.2188114388782</v>
      </c>
      <c r="D39" s="26">
        <f t="shared" si="0"/>
        <v>28393.053286806742</v>
      </c>
      <c r="E39" s="26">
        <f t="shared" si="0"/>
        <v>621.32423129647987</v>
      </c>
      <c r="F39" s="26">
        <f t="shared" si="0"/>
        <v>0</v>
      </c>
      <c r="G39" s="26">
        <f t="shared" si="0"/>
        <v>45624.561522153235</v>
      </c>
      <c r="H39" s="27">
        <f t="shared" si="0"/>
        <v>1001.3090095798182</v>
      </c>
      <c r="I39" s="25">
        <f t="shared" si="0"/>
        <v>7978.9014472516365</v>
      </c>
      <c r="J39" s="26">
        <f t="shared" si="0"/>
        <v>20388.574428218206</v>
      </c>
      <c r="K39" s="26">
        <f t="shared" si="0"/>
        <v>1118.7982971969248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12810.177786289554</v>
      </c>
      <c r="V39" s="242">
        <f t="shared" si="0"/>
        <v>5437.8891994722944</v>
      </c>
      <c r="W39" s="242">
        <f t="shared" si="0"/>
        <v>2388.0678005303216</v>
      </c>
      <c r="X39" s="242">
        <f t="shared" si="0"/>
        <v>1011.3709136671544</v>
      </c>
      <c r="Y39" s="242">
        <f t="shared" si="0"/>
        <v>12770.543066376595</v>
      </c>
      <c r="Z39" s="242">
        <f t="shared" si="0"/>
        <v>5347.4171461147598</v>
      </c>
      <c r="AA39" s="250">
        <f t="shared" si="0"/>
        <v>0</v>
      </c>
      <c r="AB39" s="253">
        <f t="shared" si="0"/>
        <v>3828.596415863035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SUM(AJ8:AJ38)</f>
        <v>6006.4830581251772</v>
      </c>
      <c r="AK39" s="253">
        <f t="shared" si="1"/>
        <v>21955.66157453537</v>
      </c>
      <c r="AL39" s="253">
        <f t="shared" si="1"/>
        <v>86406.851306508368</v>
      </c>
      <c r="AM39" s="253">
        <f t="shared" si="1"/>
        <v>18362.791079991661</v>
      </c>
      <c r="AN39" s="253">
        <f t="shared" si="1"/>
        <v>217966.73721524555</v>
      </c>
      <c r="AO39" s="253">
        <f t="shared" si="1"/>
        <v>93650.417649586961</v>
      </c>
      <c r="AP39" s="253">
        <f t="shared" si="1"/>
        <v>13343.513214130402</v>
      </c>
      <c r="AQ39" s="253">
        <f t="shared" si="1"/>
        <v>115262.65917165119</v>
      </c>
      <c r="AR39" s="253">
        <f t="shared" si="1"/>
        <v>14478.844019476575</v>
      </c>
      <c r="AS39" s="253">
        <f t="shared" si="1"/>
        <v>25449.942069133125</v>
      </c>
    </row>
    <row r="40" spans="1:45" ht="15.75" thickBot="1" x14ac:dyDescent="0.3">
      <c r="A40" s="43" t="s">
        <v>172</v>
      </c>
      <c r="B40" s="28">
        <f>Projection!$AC$30</f>
        <v>0.75949460999999996</v>
      </c>
      <c r="C40" s="29">
        <f>Projection!$AC$28</f>
        <v>2.1496683599999997</v>
      </c>
      <c r="D40" s="29">
        <f>Projection!$AC$31</f>
        <v>4.0072032000000002</v>
      </c>
      <c r="E40" s="29">
        <f>Projection!$AC$26</f>
        <v>5.6378400000000006</v>
      </c>
      <c r="F40" s="29">
        <f>Projection!$AC$23</f>
        <v>0</v>
      </c>
      <c r="G40" s="29">
        <f>Projection!$AC$24</f>
        <v>7.6444999999999999E-2</v>
      </c>
      <c r="H40" s="30">
        <f>Projection!$AC$29</f>
        <v>4.6146262499999997</v>
      </c>
      <c r="I40" s="28">
        <f>Projection!$AC$30</f>
        <v>0.75949460999999996</v>
      </c>
      <c r="J40" s="29">
        <f>Projection!$AC$28</f>
        <v>2.1496683599999997</v>
      </c>
      <c r="K40" s="29">
        <f>Projection!$AC$26</f>
        <v>5.6378400000000006</v>
      </c>
      <c r="L40" s="29">
        <f>Projection!$AC$25</f>
        <v>0</v>
      </c>
      <c r="M40" s="29">
        <f>Projection!$AC$23</f>
        <v>0</v>
      </c>
      <c r="N40" s="30">
        <f>Projection!$AC$23</f>
        <v>0</v>
      </c>
      <c r="O40" s="22">
        <v>15.77</v>
      </c>
      <c r="P40" s="23">
        <v>15.77</v>
      </c>
      <c r="Q40" s="23">
        <v>15.77</v>
      </c>
      <c r="R40" s="23">
        <v>15.77</v>
      </c>
      <c r="S40" s="23">
        <f>Projection!$AC$28</f>
        <v>2.1496683599999997</v>
      </c>
      <c r="T40" s="34">
        <f>Projection!$AC$28</f>
        <v>2.1496683599999997</v>
      </c>
      <c r="U40" s="22">
        <f>Projection!$AC$27</f>
        <v>0.41249999999999998</v>
      </c>
      <c r="V40" s="23">
        <f>Projection!$AC$27</f>
        <v>0.41249999999999998</v>
      </c>
      <c r="W40" s="23">
        <f>Projection!$AC$22</f>
        <v>2.6240976000000003</v>
      </c>
      <c r="X40" s="23">
        <f>Projection!$AC$22</f>
        <v>2.6240976000000003</v>
      </c>
      <c r="Y40" s="23">
        <f>Projection!$AC$31</f>
        <v>4.0072032000000002</v>
      </c>
      <c r="Z40" s="23">
        <f>Projection!$AC$31</f>
        <v>4.0072032000000002</v>
      </c>
      <c r="AA40" s="24">
        <v>0</v>
      </c>
      <c r="AB40" s="37">
        <f>Projection!$AC$27</f>
        <v>0.41249999999999998</v>
      </c>
      <c r="AC40" s="37">
        <f>Projection!$AC$30</f>
        <v>0.75949460999999996</v>
      </c>
      <c r="AD40" s="352">
        <f>SUM(AD8:AD38)</f>
        <v>607.31573397178363</v>
      </c>
      <c r="AE40" s="352">
        <f>SUM(AE8:AE38)</f>
        <v>249.80351790409148</v>
      </c>
      <c r="AF40" s="39">
        <f>SUM(AF8:AF38)</f>
        <v>839.13119230932671</v>
      </c>
      <c r="AG40" s="39">
        <f>SUM(AG8:AG38)</f>
        <v>580.58133964069293</v>
      </c>
      <c r="AH40" s="39">
        <f>SUM(AH8:AH38)</f>
        <v>245.53178409238944</v>
      </c>
      <c r="AI40" s="39">
        <f>IF(SUM(AG40:AH40)&gt;0, AG40/(AG40+AH40), 0)</f>
        <v>0.70278672855011937</v>
      </c>
      <c r="AJ40" s="286">
        <v>8.2000000000000003E-2</v>
      </c>
      <c r="AK40" s="286">
        <f t="shared" ref="AK40:AS40" si="2">$AJ$40</f>
        <v>8.2000000000000003E-2</v>
      </c>
      <c r="AL40" s="286">
        <f t="shared" si="2"/>
        <v>8.2000000000000003E-2</v>
      </c>
      <c r="AM40" s="286">
        <f t="shared" si="2"/>
        <v>8.2000000000000003E-2</v>
      </c>
      <c r="AN40" s="286">
        <f t="shared" si="2"/>
        <v>8.2000000000000003E-2</v>
      </c>
      <c r="AO40" s="286">
        <f t="shared" si="2"/>
        <v>8.2000000000000003E-2</v>
      </c>
      <c r="AP40" s="286">
        <f t="shared" si="2"/>
        <v>8.2000000000000003E-2</v>
      </c>
      <c r="AQ40" s="286">
        <f t="shared" si="2"/>
        <v>8.2000000000000003E-2</v>
      </c>
      <c r="AR40" s="286">
        <f t="shared" si="2"/>
        <v>8.2000000000000003E-2</v>
      </c>
      <c r="AS40" s="286">
        <f t="shared" si="2"/>
        <v>8.2000000000000003E-2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 t="shared" si="3"/>
        <v>5686.343184226962</v>
      </c>
      <c r="D41" s="32">
        <f t="shared" si="3"/>
        <v>113776.7339886625</v>
      </c>
      <c r="E41" s="32">
        <f t="shared" si="3"/>
        <v>3502.9266041725464</v>
      </c>
      <c r="F41" s="32">
        <f t="shared" si="3"/>
        <v>0</v>
      </c>
      <c r="G41" s="32">
        <f t="shared" si="3"/>
        <v>3487.769605561004</v>
      </c>
      <c r="H41" s="33">
        <f t="shared" si="3"/>
        <v>4620.6668399685304</v>
      </c>
      <c r="I41" s="31">
        <f t="shared" si="3"/>
        <v>6059.9326429088169</v>
      </c>
      <c r="J41" s="32">
        <f t="shared" si="3"/>
        <v>43828.673353845763</v>
      </c>
      <c r="K41" s="32">
        <f t="shared" si="3"/>
        <v>6307.6057918687111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5284.1983368444407</v>
      </c>
      <c r="V41" s="248">
        <f t="shared" si="3"/>
        <v>2243.1292947823213</v>
      </c>
      <c r="W41" s="248">
        <f t="shared" si="3"/>
        <v>6266.5229840088959</v>
      </c>
      <c r="X41" s="248">
        <f t="shared" si="3"/>
        <v>2653.9359872637874</v>
      </c>
      <c r="Y41" s="248">
        <f t="shared" si="3"/>
        <v>51174.161041322106</v>
      </c>
      <c r="Z41" s="248">
        <f t="shared" si="3"/>
        <v>21428.187099645933</v>
      </c>
      <c r="AA41" s="252">
        <f t="shared" si="3"/>
        <v>0</v>
      </c>
      <c r="AB41" s="255">
        <f t="shared" si="3"/>
        <v>1579.2960215435019</v>
      </c>
      <c r="AC41" s="255">
        <f t="shared" si="3"/>
        <v>0</v>
      </c>
      <c r="AJ41" s="258">
        <f t="shared" ref="AJ41:AS41" si="4">AJ40*AJ39</f>
        <v>492.53161076626458</v>
      </c>
      <c r="AK41" s="258">
        <f t="shared" si="4"/>
        <v>1800.3642491119003</v>
      </c>
      <c r="AL41" s="258">
        <f t="shared" si="4"/>
        <v>7085.3618071336869</v>
      </c>
      <c r="AM41" s="258">
        <f t="shared" si="4"/>
        <v>1505.7488685593162</v>
      </c>
      <c r="AN41" s="258">
        <f t="shared" si="4"/>
        <v>17873.272451650137</v>
      </c>
      <c r="AO41" s="258">
        <f t="shared" si="4"/>
        <v>7679.3342472661316</v>
      </c>
      <c r="AP41" s="258">
        <f t="shared" si="4"/>
        <v>1094.1680835586931</v>
      </c>
      <c r="AQ41" s="258">
        <f t="shared" si="4"/>
        <v>9451.5380520753988</v>
      </c>
      <c r="AR41" s="258">
        <f t="shared" si="4"/>
        <v>1187.2652095970793</v>
      </c>
      <c r="AS41" s="258">
        <f t="shared" si="4"/>
        <v>2086.8952496689162</v>
      </c>
    </row>
    <row r="42" spans="1:45" ht="49.5" customHeight="1" thickTop="1" thickBot="1" x14ac:dyDescent="0.3">
      <c r="A42" s="587">
        <f>JULY!$A$42+31</f>
        <v>44775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786.58</v>
      </c>
      <c r="AK42" s="258" t="s">
        <v>197</v>
      </c>
      <c r="AL42" s="258">
        <v>143.96</v>
      </c>
      <c r="AM42" s="258">
        <v>995.64</v>
      </c>
      <c r="AN42" s="258">
        <v>58.91</v>
      </c>
      <c r="AO42" s="258">
        <v>1825.18</v>
      </c>
      <c r="AP42" s="258">
        <v>256.98</v>
      </c>
      <c r="AQ42" s="258" t="s">
        <v>197</v>
      </c>
      <c r="AR42" s="258">
        <v>56.57</v>
      </c>
      <c r="AS42" s="258">
        <v>552.29999999999995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277900.08277662582</v>
      </c>
      <c r="D44" s="262" t="s">
        <v>135</v>
      </c>
      <c r="E44" s="263">
        <f>SUM(B41:H41)+P41+R41+T41+V41+X41+Z41</f>
        <v>157399.6926042836</v>
      </c>
      <c r="G44" s="262" t="s">
        <v>135</v>
      </c>
      <c r="H44" s="263">
        <f>SUM(I41:N41)+O41+Q41+S41+U41+W41+Y41</f>
        <v>118921.09415079873</v>
      </c>
      <c r="J44" s="262" t="s">
        <v>198</v>
      </c>
      <c r="K44" s="263">
        <v>151988.43</v>
      </c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50256.479829387521</v>
      </c>
      <c r="D45" s="264" t="s">
        <v>183</v>
      </c>
      <c r="E45" s="265">
        <f>AJ41*(1-$AI$40)+AK41+AL41*0.5+AN41+AO41*(1-$AI$40)+AP41*(1-$AI$40)+AQ41*(1-$AI$40)+AR41*0.5+AS41*0.5</f>
        <v>30416.508639798161</v>
      </c>
      <c r="F45" s="20"/>
      <c r="G45" s="264" t="s">
        <v>183</v>
      </c>
      <c r="H45" s="265">
        <f>AJ41*AI40+AL41*0.5+AM41+AO41*AI40+AP41*AI40+AQ41*AI40+AR41*0.5+AS41*0.5</f>
        <v>19839.971189589363</v>
      </c>
      <c r="K45" s="268"/>
      <c r="R45" s="278" t="s">
        <v>141</v>
      </c>
      <c r="S45" s="279"/>
      <c r="T45" s="234">
        <f>$W$39+$X$39</f>
        <v>3399.4387141974757</v>
      </c>
      <c r="U45" s="236">
        <f>(T45*8.34*0.895)/27000</f>
        <v>0.9397937183105266</v>
      </c>
    </row>
    <row r="46" spans="1:45" ht="32.25" thickBot="1" x14ac:dyDescent="0.3">
      <c r="A46" s="266" t="s">
        <v>184</v>
      </c>
      <c r="B46" s="267">
        <f>SUM(AJ42:AS42)</f>
        <v>4676.1200000000008</v>
      </c>
      <c r="D46" s="266" t="s">
        <v>184</v>
      </c>
      <c r="E46" s="267">
        <f>AJ42*(1-$AI$40)+AL42*0.5+AN42+AO42*(1-$AI$40)+AP42*(1-$AI$40)+AR42*0.5+AS42*0.5</f>
        <v>1287.9526003391306</v>
      </c>
      <c r="F46" s="19"/>
      <c r="G46" s="266" t="s">
        <v>184</v>
      </c>
      <c r="H46" s="267">
        <f>AJ42*AI40+AL42*0.5+AM42+AO42*AI40+AP42*AI40+AR42*0.5+AS42*0.5</f>
        <v>3388.1673996608693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151988.43</v>
      </c>
      <c r="D47" s="266" t="s">
        <v>187</v>
      </c>
      <c r="E47" s="267">
        <f>K44*0.5</f>
        <v>75994.214999999997</v>
      </c>
      <c r="F47" s="20"/>
      <c r="G47" s="266" t="s">
        <v>185</v>
      </c>
      <c r="H47" s="267">
        <f>K44*0.5</f>
        <v>75994.214999999997</v>
      </c>
      <c r="J47" s="262" t="s">
        <v>198</v>
      </c>
      <c r="K47" s="263">
        <v>87496.98</v>
      </c>
      <c r="R47" s="278" t="s">
        <v>148</v>
      </c>
      <c r="S47" s="279"/>
      <c r="T47" s="234">
        <f>$G$39</f>
        <v>45624.561522153235</v>
      </c>
      <c r="U47" s="236">
        <f>T47/40000</f>
        <v>1.140614038053831</v>
      </c>
    </row>
    <row r="48" spans="1:45" ht="24" thickBot="1" x14ac:dyDescent="0.3">
      <c r="A48" s="266" t="s">
        <v>186</v>
      </c>
      <c r="B48" s="267">
        <f>K47</f>
        <v>87496.98</v>
      </c>
      <c r="D48" s="266" t="s">
        <v>186</v>
      </c>
      <c r="E48" s="267">
        <f>K47*0.5</f>
        <v>43748.49</v>
      </c>
      <c r="F48" s="19"/>
      <c r="G48" s="266" t="s">
        <v>186</v>
      </c>
      <c r="H48" s="267">
        <f>K47*0.5</f>
        <v>43748.49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1" ht="48" thickTop="1" thickBot="1" x14ac:dyDescent="0.3">
      <c r="A49" s="271" t="s">
        <v>194</v>
      </c>
      <c r="B49" s="272">
        <f>AF40</f>
        <v>839.13119230932671</v>
      </c>
      <c r="D49" s="271" t="s">
        <v>195</v>
      </c>
      <c r="E49" s="272">
        <f>AH40</f>
        <v>245.53178409238944</v>
      </c>
      <c r="F49" s="19"/>
      <c r="G49" s="271" t="s">
        <v>196</v>
      </c>
      <c r="H49" s="272">
        <f>AG40</f>
        <v>580.58133964069293</v>
      </c>
      <c r="K49" s="71"/>
      <c r="R49" s="278" t="s">
        <v>152</v>
      </c>
      <c r="S49" s="279"/>
      <c r="T49" s="234">
        <f>$E$39+$K$39</f>
        <v>1740.1225284934046</v>
      </c>
      <c r="U49" s="236">
        <f>(T49*8.34*1.04)/45000</f>
        <v>0.33540281695867541</v>
      </c>
    </row>
    <row r="50" spans="1:21" ht="48" customHeight="1" thickTop="1" thickBot="1" x14ac:dyDescent="0.3">
      <c r="A50" s="271" t="s">
        <v>223</v>
      </c>
      <c r="B50" s="272">
        <f>SUM(E50+H50)</f>
        <v>857.11925187587508</v>
      </c>
      <c r="D50" s="271" t="s">
        <v>224</v>
      </c>
      <c r="E50" s="272">
        <f>AE40</f>
        <v>249.80351790409148</v>
      </c>
      <c r="F50" s="19"/>
      <c r="G50" s="271" t="s">
        <v>225</v>
      </c>
      <c r="H50" s="272">
        <f>AD40</f>
        <v>607.31573397178363</v>
      </c>
      <c r="K50" s="71"/>
      <c r="R50" s="278"/>
      <c r="S50" s="279"/>
      <c r="T50" s="234"/>
      <c r="U50" s="236"/>
    </row>
    <row r="51" spans="1:21" ht="48" thickTop="1" thickBot="1" x14ac:dyDescent="0.3">
      <c r="A51" s="271" t="s">
        <v>190</v>
      </c>
      <c r="B51" s="273">
        <f>(SUM(B44:B48)/B50)</f>
        <v>667.72283011196942</v>
      </c>
      <c r="D51" s="271" t="s">
        <v>188</v>
      </c>
      <c r="E51" s="274">
        <f>SUM(E44:E48)/E50</f>
        <v>1236.3591251064697</v>
      </c>
      <c r="F51" s="19"/>
      <c r="G51" s="271" t="s">
        <v>189</v>
      </c>
      <c r="H51" s="274">
        <f>SUM(H44:H48)/H50</f>
        <v>431.22863955343638</v>
      </c>
      <c r="K51" s="71"/>
      <c r="R51" s="278" t="s">
        <v>153</v>
      </c>
      <c r="S51" s="279"/>
      <c r="T51" s="234">
        <f>$U$39+$V$39+$AB$39</f>
        <v>22076.663401624883</v>
      </c>
      <c r="U51" s="236">
        <f>T51/2000/8</f>
        <v>1.3797914626015553</v>
      </c>
    </row>
    <row r="52" spans="1:21" ht="47.25" customHeight="1" thickTop="1" thickBot="1" x14ac:dyDescent="0.3">
      <c r="A52" s="261" t="s">
        <v>191</v>
      </c>
      <c r="B52" s="274">
        <f>B51/1000</f>
        <v>0.66772283011196942</v>
      </c>
      <c r="D52" s="261" t="s">
        <v>192</v>
      </c>
      <c r="E52" s="274">
        <f>E51/1000</f>
        <v>1.2363591251064696</v>
      </c>
      <c r="F52" s="333">
        <f>E44/E49</f>
        <v>641.05628192338941</v>
      </c>
      <c r="G52" s="261" t="s">
        <v>193</v>
      </c>
      <c r="H52" s="274">
        <f>H51/1000</f>
        <v>0.43122863955343638</v>
      </c>
      <c r="I52" s="333">
        <f>H44/H49</f>
        <v>204.83106505695821</v>
      </c>
      <c r="K52" s="71"/>
      <c r="R52" s="278" t="s">
        <v>154</v>
      </c>
      <c r="S52" s="279"/>
      <c r="T52" s="234">
        <f>$C$39+$J$39+$S$39+$T$39</f>
        <v>23033.793239657083</v>
      </c>
      <c r="U52" s="236">
        <f>(T52*8.34*1.4)/45000</f>
        <v>5.9765015525830236</v>
      </c>
    </row>
    <row r="53" spans="1:21" ht="16.5" thickTop="1" thickBot="1" x14ac:dyDescent="0.3">
      <c r="A53" s="282"/>
      <c r="K53" s="71"/>
      <c r="R53" s="278" t="s">
        <v>155</v>
      </c>
      <c r="S53" s="279"/>
      <c r="T53" s="234">
        <f>$H$39</f>
        <v>1001.3090095798182</v>
      </c>
      <c r="U53" s="236">
        <f>(T53*8.34*1.135)/45000</f>
        <v>0.21062868786181335</v>
      </c>
    </row>
    <row r="54" spans="1:21" ht="48" customHeight="1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7978.9014472516365</v>
      </c>
      <c r="U54" s="236">
        <f>(T54*8.34*1.029*0.03)/3300</f>
        <v>0.6224892288555538</v>
      </c>
    </row>
    <row r="55" spans="1:21" ht="42.75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46511.013499298104</v>
      </c>
      <c r="U55" s="239">
        <f>(T55*1.54*8.34)/45000</f>
        <v>13.274863399546337</v>
      </c>
    </row>
    <row r="56" spans="1:21" ht="24" thickTop="1" x14ac:dyDescent="0.25">
      <c r="A56" s="615"/>
      <c r="B56" s="616"/>
    </row>
    <row r="57" spans="1:21" x14ac:dyDescent="0.25">
      <c r="A57" s="617"/>
      <c r="B57" s="618"/>
    </row>
    <row r="58" spans="1:21" x14ac:dyDescent="0.25">
      <c r="A58" s="613"/>
      <c r="B58" s="614"/>
    </row>
    <row r="59" spans="1:21" x14ac:dyDescent="0.25">
      <c r="A59" s="614"/>
      <c r="B59" s="614"/>
    </row>
    <row r="60" spans="1:21" x14ac:dyDescent="0.25">
      <c r="A60" s="613"/>
      <c r="B60" s="614"/>
    </row>
    <row r="61" spans="1:21" x14ac:dyDescent="0.25">
      <c r="A61" s="614"/>
      <c r="B61" s="614"/>
    </row>
  </sheetData>
  <sheetProtection algorithmName="SHA-512" hashValue="wY9rgntqURHz51DNNjy3hi8v557t4sxsPAsbC9/BFUQ1RwJaSDVC7QE6mLgTkfpfC/n92FjC6D9zr8vT4hZNFg==" saltValue="dWdX/bNWU9klPcJSVPRotQ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H73"/>
  <sheetViews>
    <sheetView topLeftCell="AG13" zoomScale="75" zoomScaleNormal="75" workbookViewId="0">
      <selection activeCell="AJ40" sqref="AJ40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29.5703125" customWidth="1"/>
    <col min="5" max="5" width="26.42578125" bestFit="1" customWidth="1"/>
    <col min="6" max="6" width="16.7109375" customWidth="1"/>
    <col min="7" max="7" width="35.570312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3.42578125" bestFit="1" customWidth="1"/>
    <col min="37" max="40" width="18.85546875" bestFit="1" customWidth="1"/>
    <col min="41" max="41" width="23.42578125" bestFit="1" customWidth="1"/>
    <col min="42" max="45" width="18.85546875" bestFit="1" customWidth="1"/>
    <col min="46" max="47" width="20.42578125" customWidth="1"/>
  </cols>
  <sheetData>
    <row r="1" spans="1:60" ht="15" customHeight="1" x14ac:dyDescent="0.25">
      <c r="A1" s="1" t="s">
        <v>0</v>
      </c>
      <c r="B1" s="2"/>
      <c r="C1" t="s">
        <v>1</v>
      </c>
      <c r="O1" s="3"/>
    </row>
    <row r="2" spans="1:60" ht="15" customHeight="1" x14ac:dyDescent="0.25">
      <c r="A2" s="1" t="s">
        <v>2</v>
      </c>
      <c r="B2" s="4"/>
    </row>
    <row r="3" spans="1:60" ht="15.75" thickBot="1" x14ac:dyDescent="0.3">
      <c r="A3" s="5"/>
      <c r="BG3" t="s">
        <v>169</v>
      </c>
      <c r="BH3" s="240" t="s">
        <v>206</v>
      </c>
    </row>
    <row r="4" spans="1:60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</row>
    <row r="5" spans="1:60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60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60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60" x14ac:dyDescent="0.25">
      <c r="A8" s="9">
        <v>44805</v>
      </c>
      <c r="B8" s="45"/>
      <c r="C8" s="46">
        <v>89.84546059369994</v>
      </c>
      <c r="D8" s="46">
        <v>937.08829580942745</v>
      </c>
      <c r="E8" s="46">
        <v>21.545229428509867</v>
      </c>
      <c r="F8" s="46">
        <v>0</v>
      </c>
      <c r="G8" s="46">
        <v>1707.87471605937</v>
      </c>
      <c r="H8" s="47">
        <v>34.007503851254803</v>
      </c>
      <c r="I8" s="45">
        <v>263.97983787854514</v>
      </c>
      <c r="J8" s="46">
        <v>690.98219121297257</v>
      </c>
      <c r="K8" s="46">
        <v>37.905423192183207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441.19883671764188</v>
      </c>
      <c r="V8" s="50">
        <v>187.52363129823325</v>
      </c>
      <c r="W8" s="50">
        <v>81.357851178644907</v>
      </c>
      <c r="X8" s="50">
        <v>34.579691553911772</v>
      </c>
      <c r="Y8" s="50">
        <v>484.22412078045681</v>
      </c>
      <c r="Z8" s="50">
        <v>205.81075454887903</v>
      </c>
      <c r="AA8" s="51">
        <v>0</v>
      </c>
      <c r="AB8" s="52">
        <v>132.78321358362999</v>
      </c>
      <c r="AC8" s="53">
        <v>0</v>
      </c>
      <c r="AD8" s="358">
        <v>20.582404677091944</v>
      </c>
      <c r="AE8" s="358">
        <v>8.4764393454848204</v>
      </c>
      <c r="AF8" s="53">
        <v>28.925681708918667</v>
      </c>
      <c r="AG8" s="53">
        <v>19.999304319724502</v>
      </c>
      <c r="AH8" s="53">
        <v>8.5003446459069476</v>
      </c>
      <c r="AI8" s="53">
        <v>0.70173861944202331</v>
      </c>
      <c r="AJ8" s="53">
        <v>170.56187009016674</v>
      </c>
      <c r="AK8" s="53">
        <v>652.91868699391694</v>
      </c>
      <c r="AL8" s="53">
        <v>2801.1947647094726</v>
      </c>
      <c r="AM8" s="53">
        <v>593.07032670974729</v>
      </c>
      <c r="AN8" s="53">
        <v>7701.7311541239433</v>
      </c>
      <c r="AO8" s="53">
        <v>3139.1253768920897</v>
      </c>
      <c r="AP8" s="53">
        <v>437.79976654052734</v>
      </c>
      <c r="AQ8" s="53">
        <v>3926.7536336263029</v>
      </c>
      <c r="AR8" s="53">
        <v>468.15431505839035</v>
      </c>
      <c r="AS8" s="53">
        <v>788.72026055653896</v>
      </c>
    </row>
    <row r="9" spans="1:60" x14ac:dyDescent="0.25">
      <c r="A9" s="9">
        <v>44806</v>
      </c>
      <c r="B9" s="45"/>
      <c r="C9" s="46">
        <v>89.82</v>
      </c>
      <c r="D9" s="46">
        <v>941.5</v>
      </c>
      <c r="E9" s="46">
        <v>21.53</v>
      </c>
      <c r="F9" s="46">
        <v>0</v>
      </c>
      <c r="G9" s="46">
        <v>1674.1</v>
      </c>
      <c r="H9" s="47">
        <v>34.07</v>
      </c>
      <c r="I9" s="45">
        <v>266.58</v>
      </c>
      <c r="J9" s="46">
        <v>690.97</v>
      </c>
      <c r="K9" s="46">
        <v>37.89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445.06</v>
      </c>
      <c r="V9" s="54">
        <v>189.16</v>
      </c>
      <c r="W9" s="54">
        <v>82.91</v>
      </c>
      <c r="X9" s="54">
        <v>35.24</v>
      </c>
      <c r="Y9" s="54">
        <v>496.24</v>
      </c>
      <c r="Z9" s="54">
        <v>210.91</v>
      </c>
      <c r="AA9" s="57">
        <v>0</v>
      </c>
      <c r="AB9" s="58">
        <v>132.78</v>
      </c>
      <c r="AC9" s="52">
        <v>0</v>
      </c>
      <c r="AD9" s="359">
        <v>20.58</v>
      </c>
      <c r="AE9" s="359">
        <v>8.4700000000000006</v>
      </c>
      <c r="AF9" s="52">
        <v>28.75</v>
      </c>
      <c r="AG9" s="58">
        <v>19.87</v>
      </c>
      <c r="AH9" s="58">
        <v>8.44</v>
      </c>
      <c r="AI9" s="58">
        <v>0.7</v>
      </c>
      <c r="AJ9" s="52">
        <v>165.76</v>
      </c>
      <c r="AK9" s="52">
        <v>666.75</v>
      </c>
      <c r="AL9" s="52">
        <v>2824.28</v>
      </c>
      <c r="AM9" s="52">
        <v>601.27</v>
      </c>
      <c r="AN9" s="52">
        <v>7787.23</v>
      </c>
      <c r="AO9" s="52">
        <v>3134.28</v>
      </c>
      <c r="AP9" s="52">
        <v>440.21</v>
      </c>
      <c r="AQ9" s="52">
        <v>3866.21</v>
      </c>
      <c r="AR9" s="52">
        <v>471.22</v>
      </c>
      <c r="AS9" s="52">
        <v>819.57</v>
      </c>
    </row>
    <row r="10" spans="1:60" x14ac:dyDescent="0.25">
      <c r="A10" s="9">
        <v>44807</v>
      </c>
      <c r="B10" s="45"/>
      <c r="C10" s="46">
        <v>89.470232605932821</v>
      </c>
      <c r="D10" s="46">
        <v>947.90504112243491</v>
      </c>
      <c r="E10" s="46">
        <v>21.357986802856175</v>
      </c>
      <c r="F10" s="46">
        <v>0</v>
      </c>
      <c r="G10" s="46">
        <v>1781.0479724884008</v>
      </c>
      <c r="H10" s="47">
        <v>33.98663649559024</v>
      </c>
      <c r="I10" s="45">
        <v>266.65384192466729</v>
      </c>
      <c r="J10" s="46">
        <v>691.07144304911435</v>
      </c>
      <c r="K10" s="46">
        <v>37.940808859467509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437.02552963517985</v>
      </c>
      <c r="V10" s="54">
        <v>186.41812092837802</v>
      </c>
      <c r="W10" s="54">
        <v>82.007459166583118</v>
      </c>
      <c r="X10" s="54">
        <v>34.981197672151922</v>
      </c>
      <c r="Y10" s="54">
        <v>482.26396116028286</v>
      </c>
      <c r="Z10" s="54">
        <v>205.71507917632459</v>
      </c>
      <c r="AA10" s="57">
        <v>0</v>
      </c>
      <c r="AB10" s="58">
        <v>132.78049448861165</v>
      </c>
      <c r="AC10" s="52">
        <v>0</v>
      </c>
      <c r="AD10" s="359">
        <v>20.585760148764951</v>
      </c>
      <c r="AE10" s="359">
        <v>8.4751090478661393</v>
      </c>
      <c r="AF10" s="52">
        <v>28.069674554136054</v>
      </c>
      <c r="AG10" s="58">
        <v>19.369062821146102</v>
      </c>
      <c r="AH10" s="58">
        <v>8.2620900849338064</v>
      </c>
      <c r="AI10" s="58">
        <v>0.70098641511567794</v>
      </c>
      <c r="AJ10" s="52">
        <v>168.45161483287814</v>
      </c>
      <c r="AK10" s="52">
        <v>666.31807622909548</v>
      </c>
      <c r="AL10" s="52">
        <v>2810.7821390787758</v>
      </c>
      <c r="AM10" s="52">
        <v>594.92043097813928</v>
      </c>
      <c r="AN10" s="52">
        <v>7743.0150975545248</v>
      </c>
      <c r="AO10" s="52">
        <v>3118.4982449849444</v>
      </c>
      <c r="AP10" s="52">
        <v>419.47522641817733</v>
      </c>
      <c r="AQ10" s="52">
        <v>3935.3495946248377</v>
      </c>
      <c r="AR10" s="52">
        <v>469.6189857800801</v>
      </c>
      <c r="AS10" s="52">
        <v>772.16293493906676</v>
      </c>
    </row>
    <row r="11" spans="1:60" x14ac:dyDescent="0.25">
      <c r="A11" s="9">
        <v>44808</v>
      </c>
      <c r="B11" s="45"/>
      <c r="C11" s="46">
        <v>90.18</v>
      </c>
      <c r="D11" s="46">
        <v>953.35</v>
      </c>
      <c r="E11" s="46">
        <v>21.12</v>
      </c>
      <c r="F11" s="46">
        <v>0</v>
      </c>
      <c r="G11" s="46">
        <v>1749.81</v>
      </c>
      <c r="H11" s="47">
        <v>34.229999999999997</v>
      </c>
      <c r="I11" s="45">
        <v>267.49</v>
      </c>
      <c r="J11" s="46">
        <v>701.35</v>
      </c>
      <c r="K11" s="46">
        <v>38.450000000000003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441.98</v>
      </c>
      <c r="V11" s="54">
        <v>188.52</v>
      </c>
      <c r="W11" s="54">
        <v>82.6</v>
      </c>
      <c r="X11" s="54">
        <v>35.229999999999997</v>
      </c>
      <c r="Y11" s="54">
        <v>493.29</v>
      </c>
      <c r="Z11" s="54">
        <v>210.41</v>
      </c>
      <c r="AA11" s="57">
        <v>0</v>
      </c>
      <c r="AB11" s="58">
        <v>132.82</v>
      </c>
      <c r="AC11" s="52">
        <v>0</v>
      </c>
      <c r="AD11" s="359">
        <v>20.64</v>
      </c>
      <c r="AE11" s="359">
        <v>8.52</v>
      </c>
      <c r="AF11" s="52">
        <v>28.56</v>
      </c>
      <c r="AG11" s="58">
        <v>19.690000000000001</v>
      </c>
      <c r="AH11" s="58">
        <v>8.4</v>
      </c>
      <c r="AI11" s="58">
        <v>0.7</v>
      </c>
      <c r="AJ11" s="52">
        <v>164.52</v>
      </c>
      <c r="AK11" s="52">
        <v>668.68</v>
      </c>
      <c r="AL11" s="52">
        <v>2815.4</v>
      </c>
      <c r="AM11" s="52">
        <v>595.86</v>
      </c>
      <c r="AN11" s="52">
        <v>7755.33</v>
      </c>
      <c r="AO11" s="52">
        <v>3198.74</v>
      </c>
      <c r="AP11" s="52">
        <v>424.84</v>
      </c>
      <c r="AQ11" s="52">
        <v>3903.35</v>
      </c>
      <c r="AR11" s="52">
        <v>458.21</v>
      </c>
      <c r="AS11" s="52">
        <v>808.63</v>
      </c>
    </row>
    <row r="12" spans="1:60" x14ac:dyDescent="0.25">
      <c r="A12" s="9">
        <v>44809</v>
      </c>
      <c r="B12" s="45"/>
      <c r="C12" s="46">
        <v>89.793341616789448</v>
      </c>
      <c r="D12" s="46">
        <v>943.21841354369974</v>
      </c>
      <c r="E12" s="46">
        <v>21.304647755622891</v>
      </c>
      <c r="F12" s="46">
        <v>0</v>
      </c>
      <c r="G12" s="46">
        <v>1692.8795805613215</v>
      </c>
      <c r="H12" s="47">
        <v>33.797883355617593</v>
      </c>
      <c r="I12" s="45">
        <v>268.05896921157841</v>
      </c>
      <c r="J12" s="46">
        <v>731.48271954854317</v>
      </c>
      <c r="K12" s="46">
        <v>40.126518210768651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436.58176668893344</v>
      </c>
      <c r="V12" s="54">
        <v>178.32052378246334</v>
      </c>
      <c r="W12" s="54">
        <v>81.115835777601006</v>
      </c>
      <c r="X12" s="54">
        <v>33.131521805444976</v>
      </c>
      <c r="Y12" s="54">
        <v>494.62954965674214</v>
      </c>
      <c r="Z12" s="54">
        <v>202.02996804472363</v>
      </c>
      <c r="AA12" s="57">
        <v>0</v>
      </c>
      <c r="AB12" s="58">
        <v>132.59094025293967</v>
      </c>
      <c r="AC12" s="52">
        <v>0</v>
      </c>
      <c r="AD12" s="359">
        <v>20.698135526071482</v>
      </c>
      <c r="AE12" s="359">
        <v>8.4322204246976842</v>
      </c>
      <c r="AF12" s="52">
        <v>27.76840633683738</v>
      </c>
      <c r="AG12" s="58">
        <v>19.345237607160144</v>
      </c>
      <c r="AH12" s="58">
        <v>7.9015047489669854</v>
      </c>
      <c r="AI12" s="58">
        <v>0.71000185469180943</v>
      </c>
      <c r="AJ12" s="52">
        <v>162.70036697387695</v>
      </c>
      <c r="AK12" s="52">
        <v>678.83771460851017</v>
      </c>
      <c r="AL12" s="52">
        <v>2813.5746028900144</v>
      </c>
      <c r="AM12" s="52">
        <v>600.68198000590007</v>
      </c>
      <c r="AN12" s="52">
        <v>7753.2590662638331</v>
      </c>
      <c r="AO12" s="52">
        <v>3157.3258787790933</v>
      </c>
      <c r="AP12" s="52">
        <v>435.94807111422222</v>
      </c>
      <c r="AQ12" s="52">
        <v>3897.4789302825925</v>
      </c>
      <c r="AR12" s="52">
        <v>466.93355607986462</v>
      </c>
      <c r="AS12" s="52">
        <v>853.29074910481768</v>
      </c>
    </row>
    <row r="13" spans="1:60" x14ac:dyDescent="0.25">
      <c r="A13" s="9">
        <v>44810</v>
      </c>
      <c r="B13" s="45"/>
      <c r="C13" s="46">
        <v>89.381420715647778</v>
      </c>
      <c r="D13" s="46">
        <v>943.42486845652309</v>
      </c>
      <c r="E13" s="46">
        <v>21.427732641001544</v>
      </c>
      <c r="F13" s="46">
        <v>0</v>
      </c>
      <c r="G13" s="46">
        <v>1700.3540259043393</v>
      </c>
      <c r="H13" s="47">
        <v>33.819660057624219</v>
      </c>
      <c r="I13" s="45">
        <v>274.22233161926306</v>
      </c>
      <c r="J13" s="46">
        <v>730.71119689941293</v>
      </c>
      <c r="K13" s="46">
        <v>40.065984438856461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471.14954974684446</v>
      </c>
      <c r="V13" s="54">
        <v>200.19936537445133</v>
      </c>
      <c r="W13" s="54">
        <v>84.37673241861809</v>
      </c>
      <c r="X13" s="54">
        <v>35.853092275379751</v>
      </c>
      <c r="Y13" s="54">
        <v>508.91315975919508</v>
      </c>
      <c r="Z13" s="54">
        <v>216.24575820828318</v>
      </c>
      <c r="AA13" s="57">
        <v>0</v>
      </c>
      <c r="AB13" s="58">
        <v>132.42654311921726</v>
      </c>
      <c r="AC13" s="52">
        <v>0</v>
      </c>
      <c r="AD13" s="359">
        <v>20.678086417506186</v>
      </c>
      <c r="AE13" s="359">
        <v>8.434724830274396</v>
      </c>
      <c r="AF13" s="52">
        <v>28.881875545448704</v>
      </c>
      <c r="AG13" s="58">
        <v>19.903674245297239</v>
      </c>
      <c r="AH13" s="58">
        <v>8.4574058378477854</v>
      </c>
      <c r="AI13" s="58">
        <v>0.70179535430055717</v>
      </c>
      <c r="AJ13" s="52">
        <v>162.70036697387695</v>
      </c>
      <c r="AK13" s="52">
        <v>683.00262565612798</v>
      </c>
      <c r="AL13" s="52">
        <v>2708.0096022288012</v>
      </c>
      <c r="AM13" s="52">
        <v>601.59232823054003</v>
      </c>
      <c r="AN13" s="52">
        <v>7740.0894205729164</v>
      </c>
      <c r="AO13" s="52">
        <v>3050.5170166015623</v>
      </c>
      <c r="AP13" s="52">
        <v>444.65265849431347</v>
      </c>
      <c r="AQ13" s="52">
        <v>3997.8511515299474</v>
      </c>
      <c r="AR13" s="52">
        <v>488.88530766169225</v>
      </c>
      <c r="AS13" s="52">
        <v>869.86563326517717</v>
      </c>
    </row>
    <row r="14" spans="1:60" x14ac:dyDescent="0.25">
      <c r="A14" s="9">
        <v>44811</v>
      </c>
      <c r="B14" s="45"/>
      <c r="C14" s="46">
        <v>90.29</v>
      </c>
      <c r="D14" s="46">
        <v>956.67</v>
      </c>
      <c r="E14" s="46">
        <v>21.45</v>
      </c>
      <c r="F14" s="46">
        <v>0</v>
      </c>
      <c r="G14" s="46">
        <v>1723.68</v>
      </c>
      <c r="H14" s="47">
        <v>34.270000000000003</v>
      </c>
      <c r="I14" s="45">
        <v>274.27</v>
      </c>
      <c r="J14" s="46">
        <v>730.73</v>
      </c>
      <c r="K14" s="46">
        <v>40.03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459.29</v>
      </c>
      <c r="V14" s="54">
        <v>195.23</v>
      </c>
      <c r="W14" s="54">
        <v>84.81</v>
      </c>
      <c r="X14" s="54">
        <v>36.049999999999997</v>
      </c>
      <c r="Y14" s="54">
        <v>519.51</v>
      </c>
      <c r="Z14" s="54">
        <v>220.83</v>
      </c>
      <c r="AA14" s="57">
        <v>0</v>
      </c>
      <c r="AB14" s="58">
        <v>132.61000000000001</v>
      </c>
      <c r="AC14" s="52">
        <v>0</v>
      </c>
      <c r="AD14" s="359">
        <v>20.68</v>
      </c>
      <c r="AE14" s="359">
        <v>8.5500000000000007</v>
      </c>
      <c r="AF14" s="52">
        <v>29.02</v>
      </c>
      <c r="AG14" s="58">
        <v>20</v>
      </c>
      <c r="AH14" s="58">
        <v>8.5</v>
      </c>
      <c r="AI14" s="58">
        <v>0.7</v>
      </c>
      <c r="AJ14" s="52">
        <v>162.69999999999999</v>
      </c>
      <c r="AK14" s="52">
        <v>690.54</v>
      </c>
      <c r="AL14" s="52">
        <v>2696.85</v>
      </c>
      <c r="AM14" s="52">
        <v>599.98</v>
      </c>
      <c r="AN14" s="52">
        <v>7942.73</v>
      </c>
      <c r="AO14" s="52">
        <v>2875.79</v>
      </c>
      <c r="AP14" s="52">
        <v>471.25</v>
      </c>
      <c r="AQ14" s="52">
        <v>3886.48</v>
      </c>
      <c r="AR14" s="52">
        <v>496.04</v>
      </c>
      <c r="AS14" s="52">
        <v>892.38</v>
      </c>
    </row>
    <row r="15" spans="1:60" x14ac:dyDescent="0.25">
      <c r="A15" s="9">
        <v>44812</v>
      </c>
      <c r="B15" s="45"/>
      <c r="C15" s="46">
        <v>90.94</v>
      </c>
      <c r="D15" s="46">
        <v>958</v>
      </c>
      <c r="E15" s="46">
        <v>21.44</v>
      </c>
      <c r="F15" s="46">
        <v>0</v>
      </c>
      <c r="G15" s="46">
        <v>1788.99</v>
      </c>
      <c r="H15" s="47">
        <v>34.369999999999997</v>
      </c>
      <c r="I15" s="45">
        <v>274.27999999999997</v>
      </c>
      <c r="J15" s="46">
        <v>730.44</v>
      </c>
      <c r="K15" s="46">
        <v>40.03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450.94</v>
      </c>
      <c r="V15" s="54">
        <v>191.62</v>
      </c>
      <c r="W15" s="54">
        <v>83.15</v>
      </c>
      <c r="X15" s="54">
        <v>35.33</v>
      </c>
      <c r="Y15" s="54">
        <v>516.92999999999995</v>
      </c>
      <c r="Z15" s="54">
        <v>219.67</v>
      </c>
      <c r="AA15" s="57">
        <v>0</v>
      </c>
      <c r="AB15" s="58">
        <v>133.82</v>
      </c>
      <c r="AC15" s="52">
        <v>0</v>
      </c>
      <c r="AD15" s="359">
        <v>20.67</v>
      </c>
      <c r="AE15" s="359">
        <v>8.56</v>
      </c>
      <c r="AF15" s="52">
        <v>28.68</v>
      </c>
      <c r="AG15" s="58">
        <v>19.77</v>
      </c>
      <c r="AH15" s="58">
        <v>8.4</v>
      </c>
      <c r="AI15" s="58">
        <v>0.7</v>
      </c>
      <c r="AJ15" s="52">
        <v>167.15</v>
      </c>
      <c r="AK15" s="52">
        <v>684.25</v>
      </c>
      <c r="AL15" s="52">
        <v>2831.64</v>
      </c>
      <c r="AM15" s="52">
        <v>604.04999999999995</v>
      </c>
      <c r="AN15" s="52">
        <v>8084.53</v>
      </c>
      <c r="AO15" s="52">
        <v>2802.59</v>
      </c>
      <c r="AP15" s="52">
        <v>469.66</v>
      </c>
      <c r="AQ15" s="52">
        <v>3856.14</v>
      </c>
      <c r="AR15" s="52">
        <v>484.94</v>
      </c>
      <c r="AS15" s="52">
        <v>828.02</v>
      </c>
    </row>
    <row r="16" spans="1:60" x14ac:dyDescent="0.25">
      <c r="A16" s="9">
        <v>44813</v>
      </c>
      <c r="B16" s="45"/>
      <c r="C16" s="46">
        <v>89.73976534605022</v>
      </c>
      <c r="D16" s="46">
        <v>948.50132287343297</v>
      </c>
      <c r="E16" s="46">
        <v>21.212848325073708</v>
      </c>
      <c r="F16" s="46">
        <v>0</v>
      </c>
      <c r="G16" s="46">
        <v>1802.6128228505468</v>
      </c>
      <c r="H16" s="47">
        <v>33.981196761131393</v>
      </c>
      <c r="I16" s="45">
        <v>265.27238974571225</v>
      </c>
      <c r="J16" s="46">
        <v>695.9271901130669</v>
      </c>
      <c r="K16" s="46">
        <v>38.203191019097972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428.01747044010301</v>
      </c>
      <c r="V16" s="54">
        <v>190.84616095672581</v>
      </c>
      <c r="W16" s="54">
        <v>79.505444615172564</v>
      </c>
      <c r="X16" s="54">
        <v>35.450209227117597</v>
      </c>
      <c r="Y16" s="54">
        <v>492.37097453919137</v>
      </c>
      <c r="Z16" s="54">
        <v>219.54036166025207</v>
      </c>
      <c r="AA16" s="57">
        <v>0</v>
      </c>
      <c r="AB16" s="58">
        <v>129.83335351414121</v>
      </c>
      <c r="AC16" s="52">
        <v>0</v>
      </c>
      <c r="AD16" s="359">
        <v>19.691294116104693</v>
      </c>
      <c r="AE16" s="359">
        <v>8.4794367425592139</v>
      </c>
      <c r="AF16" s="52">
        <v>27.518928329149897</v>
      </c>
      <c r="AG16" s="58">
        <v>18.679916675507325</v>
      </c>
      <c r="AH16" s="58">
        <v>8.3290768034455382</v>
      </c>
      <c r="AI16" s="58">
        <v>0.69161839333494279</v>
      </c>
      <c r="AJ16" s="52">
        <v>224.95749479134875</v>
      </c>
      <c r="AK16" s="52">
        <v>699.78258892695112</v>
      </c>
      <c r="AL16" s="52">
        <v>2719.9075202941895</v>
      </c>
      <c r="AM16" s="52">
        <v>580.0724371910095</v>
      </c>
      <c r="AN16" s="52">
        <v>7928.166437784831</v>
      </c>
      <c r="AO16" s="52">
        <v>2799.0227984110506</v>
      </c>
      <c r="AP16" s="52">
        <v>423.70451121330268</v>
      </c>
      <c r="AQ16" s="52">
        <v>3755.767761866251</v>
      </c>
      <c r="AR16" s="52">
        <v>445.96855138142905</v>
      </c>
      <c r="AS16" s="52">
        <v>587.6730519612629</v>
      </c>
    </row>
    <row r="17" spans="1:45" x14ac:dyDescent="0.25">
      <c r="A17" s="9">
        <v>44814</v>
      </c>
      <c r="B17" s="45"/>
      <c r="C17" s="46">
        <v>89.03964779377074</v>
      </c>
      <c r="D17" s="46">
        <v>937.76472288767422</v>
      </c>
      <c r="E17" s="46">
        <v>21.172900136808618</v>
      </c>
      <c r="F17" s="46">
        <v>0</v>
      </c>
      <c r="G17" s="46">
        <v>1837.8687788645454</v>
      </c>
      <c r="H17" s="47">
        <v>33.62370128830279</v>
      </c>
      <c r="I17" s="45">
        <v>231.26517179806999</v>
      </c>
      <c r="J17" s="46">
        <v>551.87193886438945</v>
      </c>
      <c r="K17" s="46">
        <v>30.264201193054465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336.11316340282633</v>
      </c>
      <c r="V17" s="54">
        <v>188.04363830835803</v>
      </c>
      <c r="W17" s="54">
        <v>61.215680103612478</v>
      </c>
      <c r="X17" s="54">
        <v>34.248046377189461</v>
      </c>
      <c r="Y17" s="54">
        <v>358.18227870795391</v>
      </c>
      <c r="Z17" s="54">
        <v>200.3905416376073</v>
      </c>
      <c r="AA17" s="57">
        <v>0</v>
      </c>
      <c r="AB17" s="58">
        <v>115.56863820817995</v>
      </c>
      <c r="AC17" s="52">
        <v>0</v>
      </c>
      <c r="AD17" s="359">
        <v>15.615728990357638</v>
      </c>
      <c r="AE17" s="359">
        <v>8.3842457392769649</v>
      </c>
      <c r="AF17" s="52">
        <v>23.411290831698309</v>
      </c>
      <c r="AG17" s="58">
        <v>14.725974166512827</v>
      </c>
      <c r="AH17" s="58">
        <v>8.238670963883699</v>
      </c>
      <c r="AI17" s="58">
        <v>0.64124544850994425</v>
      </c>
      <c r="AJ17" s="52">
        <v>157.41411064465842</v>
      </c>
      <c r="AK17" s="52">
        <v>619.8790338198346</v>
      </c>
      <c r="AL17" s="52">
        <v>2616.0298229217528</v>
      </c>
      <c r="AM17" s="52">
        <v>560.91671199798577</v>
      </c>
      <c r="AN17" s="52">
        <v>6766.5840212504072</v>
      </c>
      <c r="AO17" s="52">
        <v>2817.4981526692713</v>
      </c>
      <c r="AP17" s="52">
        <v>346.12444524765021</v>
      </c>
      <c r="AQ17" s="52">
        <v>3227.5092149098709</v>
      </c>
      <c r="AR17" s="52">
        <v>426.40872230529783</v>
      </c>
      <c r="AS17" s="52">
        <v>471.35332115491229</v>
      </c>
    </row>
    <row r="18" spans="1:45" x14ac:dyDescent="0.25">
      <c r="A18" s="9">
        <v>44815</v>
      </c>
      <c r="B18" s="45"/>
      <c r="C18" s="46">
        <v>87.588976645470098</v>
      </c>
      <c r="D18" s="46">
        <v>931.61482391357379</v>
      </c>
      <c r="E18" s="46">
        <v>20.910361193617163</v>
      </c>
      <c r="F18" s="46">
        <v>0</v>
      </c>
      <c r="G18" s="46">
        <v>1770.4909093221022</v>
      </c>
      <c r="H18" s="47">
        <v>33.14677979747465</v>
      </c>
      <c r="I18" s="45">
        <v>240.03409236272103</v>
      </c>
      <c r="J18" s="46">
        <v>552.2603106498716</v>
      </c>
      <c r="K18" s="46">
        <v>30.226751957336994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337.63992577027204</v>
      </c>
      <c r="V18" s="54">
        <v>180.04420330891222</v>
      </c>
      <c r="W18" s="54">
        <v>61.477441339494419</v>
      </c>
      <c r="X18" s="54">
        <v>32.782429157891414</v>
      </c>
      <c r="Y18" s="54">
        <v>348.46719919474083</v>
      </c>
      <c r="Z18" s="54">
        <v>185.81777352063708</v>
      </c>
      <c r="AA18" s="57">
        <v>0</v>
      </c>
      <c r="AB18" s="58">
        <v>114.33656731181837</v>
      </c>
      <c r="AC18" s="52">
        <v>0</v>
      </c>
      <c r="AD18" s="359">
        <v>15.629349894029161</v>
      </c>
      <c r="AE18" s="359">
        <v>8.2611771995132486</v>
      </c>
      <c r="AF18" s="52">
        <v>23.114503012100815</v>
      </c>
      <c r="AG18" s="58">
        <v>14.78132254440205</v>
      </c>
      <c r="AH18" s="58">
        <v>7.88204012095908</v>
      </c>
      <c r="AI18" s="58">
        <v>0.6522122406395563</v>
      </c>
      <c r="AJ18" s="52">
        <v>151.17273590564727</v>
      </c>
      <c r="AK18" s="52">
        <v>628.52836109797158</v>
      </c>
      <c r="AL18" s="52">
        <v>2673.9684384663897</v>
      </c>
      <c r="AM18" s="52">
        <v>567.1482711156209</v>
      </c>
      <c r="AN18" s="52">
        <v>6564.2702036539713</v>
      </c>
      <c r="AO18" s="52">
        <v>2780.65604985555</v>
      </c>
      <c r="AP18" s="52">
        <v>354.16146070162466</v>
      </c>
      <c r="AQ18" s="52">
        <v>3245.2945565541586</v>
      </c>
      <c r="AR18" s="52">
        <v>433.35175129572548</v>
      </c>
      <c r="AS18" s="52">
        <v>597.45803610483802</v>
      </c>
    </row>
    <row r="19" spans="1:45" x14ac:dyDescent="0.25">
      <c r="A19" s="9">
        <v>44816</v>
      </c>
      <c r="B19" s="45"/>
      <c r="C19" s="46">
        <v>87.629359281062918</v>
      </c>
      <c r="D19" s="46">
        <v>947.25467802683409</v>
      </c>
      <c r="E19" s="46">
        <v>21.088047649959723</v>
      </c>
      <c r="F19" s="46">
        <v>0</v>
      </c>
      <c r="G19" s="46">
        <v>1683.5739327748615</v>
      </c>
      <c r="H19" s="47">
        <v>33.307923185825388</v>
      </c>
      <c r="I19" s="45">
        <v>242.82559789021775</v>
      </c>
      <c r="J19" s="46">
        <v>552.14606440862042</v>
      </c>
      <c r="K19" s="46">
        <v>30.228838687141675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341.35352540345502</v>
      </c>
      <c r="V19" s="54">
        <v>190.23039361306382</v>
      </c>
      <c r="W19" s="54">
        <v>61.501219343768682</v>
      </c>
      <c r="X19" s="54">
        <v>34.273561843606714</v>
      </c>
      <c r="Y19" s="54">
        <v>359.60335041115565</v>
      </c>
      <c r="Z19" s="54">
        <v>200.4007042623567</v>
      </c>
      <c r="AA19" s="57">
        <v>0</v>
      </c>
      <c r="AB19" s="58">
        <v>114.25233318011122</v>
      </c>
      <c r="AC19" s="52">
        <v>0</v>
      </c>
      <c r="AD19" s="359">
        <v>15.624863384769917</v>
      </c>
      <c r="AE19" s="359">
        <v>8.3227019916549665</v>
      </c>
      <c r="AF19" s="52">
        <v>23.814553072717473</v>
      </c>
      <c r="AG19" s="58">
        <v>14.998050692852093</v>
      </c>
      <c r="AH19" s="58">
        <v>8.3581532763073074</v>
      </c>
      <c r="AI19" s="58">
        <v>0.64214419058234817</v>
      </c>
      <c r="AJ19" s="52">
        <v>154.93953323364258</v>
      </c>
      <c r="AK19" s="52">
        <v>630.41293465296428</v>
      </c>
      <c r="AL19" s="52">
        <v>2709.5541768391931</v>
      </c>
      <c r="AM19" s="52">
        <v>577.45285463333119</v>
      </c>
      <c r="AN19" s="52">
        <v>6622.1918820699066</v>
      </c>
      <c r="AO19" s="52">
        <v>2828.7662399291985</v>
      </c>
      <c r="AP19" s="52">
        <v>371.02416812578838</v>
      </c>
      <c r="AQ19" s="52">
        <v>3323.7683720906566</v>
      </c>
      <c r="AR19" s="52">
        <v>455.31399262746186</v>
      </c>
      <c r="AS19" s="52">
        <v>716.99294433593764</v>
      </c>
    </row>
    <row r="20" spans="1:45" x14ac:dyDescent="0.25">
      <c r="A20" s="9">
        <v>44817</v>
      </c>
      <c r="B20" s="45"/>
      <c r="C20" s="46">
        <v>88.53</v>
      </c>
      <c r="D20" s="46">
        <v>951.61</v>
      </c>
      <c r="E20" s="46">
        <v>20.87</v>
      </c>
      <c r="F20" s="46">
        <v>0</v>
      </c>
      <c r="G20" s="46">
        <v>1722.65</v>
      </c>
      <c r="H20" s="47">
        <v>33.479999999999997</v>
      </c>
      <c r="I20" s="45">
        <v>242.98</v>
      </c>
      <c r="J20" s="46">
        <v>552.23</v>
      </c>
      <c r="K20" s="46">
        <v>30.26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338.65</v>
      </c>
      <c r="V20" s="54">
        <v>189.63</v>
      </c>
      <c r="W20" s="54">
        <v>60.64</v>
      </c>
      <c r="X20" s="54">
        <v>33.950000000000003</v>
      </c>
      <c r="Y20" s="54">
        <v>355.46</v>
      </c>
      <c r="Z20" s="54">
        <v>199.04</v>
      </c>
      <c r="AA20" s="57">
        <v>0</v>
      </c>
      <c r="AB20" s="58">
        <v>114.95</v>
      </c>
      <c r="AC20" s="52">
        <v>0</v>
      </c>
      <c r="AD20" s="359">
        <v>15.63</v>
      </c>
      <c r="AE20" s="359">
        <v>8.36</v>
      </c>
      <c r="AF20" s="52">
        <v>23.62</v>
      </c>
      <c r="AG20" s="58">
        <v>14.85</v>
      </c>
      <c r="AH20" s="58">
        <v>8.32</v>
      </c>
      <c r="AI20" s="58">
        <v>0.64</v>
      </c>
      <c r="AJ20" s="52">
        <v>179.76</v>
      </c>
      <c r="AK20" s="52">
        <v>657.31</v>
      </c>
      <c r="AL20" s="52">
        <v>2651.24</v>
      </c>
      <c r="AM20" s="52">
        <v>581.69000000000005</v>
      </c>
      <c r="AN20" s="52">
        <v>7130.41</v>
      </c>
      <c r="AO20" s="52">
        <v>2897.58</v>
      </c>
      <c r="AP20" s="52">
        <v>394.44</v>
      </c>
      <c r="AQ20" s="52">
        <v>3276.11</v>
      </c>
      <c r="AR20" s="52">
        <v>464.26</v>
      </c>
      <c r="AS20" s="52">
        <v>740.03</v>
      </c>
    </row>
    <row r="21" spans="1:45" x14ac:dyDescent="0.25">
      <c r="A21" s="9">
        <v>44818</v>
      </c>
      <c r="B21" s="45"/>
      <c r="C21" s="46">
        <v>88.933456679185483</v>
      </c>
      <c r="D21" s="46">
        <v>951.64271227518464</v>
      </c>
      <c r="E21" s="46">
        <v>20.603452623883836</v>
      </c>
      <c r="F21" s="46">
        <v>0</v>
      </c>
      <c r="G21" s="46">
        <v>1838.4004233042406</v>
      </c>
      <c r="H21" s="47">
        <v>33.586442093054487</v>
      </c>
      <c r="I21" s="45">
        <v>243.04968349138841</v>
      </c>
      <c r="J21" s="46">
        <v>552.44886976877888</v>
      </c>
      <c r="K21" s="46">
        <v>30.285894526044494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322.41486263791364</v>
      </c>
      <c r="V21" s="54">
        <v>172.91550843464114</v>
      </c>
      <c r="W21" s="54">
        <v>57.533065715821493</v>
      </c>
      <c r="X21" s="54">
        <v>30.855771438884776</v>
      </c>
      <c r="Y21" s="54">
        <v>351.26701352498594</v>
      </c>
      <c r="Z21" s="54">
        <v>188.38931227622751</v>
      </c>
      <c r="AA21" s="57">
        <v>0</v>
      </c>
      <c r="AB21" s="58">
        <v>115.0600219567595</v>
      </c>
      <c r="AC21" s="52">
        <v>0</v>
      </c>
      <c r="AD21" s="359">
        <v>15.634011809694691</v>
      </c>
      <c r="AE21" s="359">
        <v>8.360695895501749</v>
      </c>
      <c r="AF21" s="52">
        <v>23.066029976473903</v>
      </c>
      <c r="AG21" s="58">
        <v>14.719109098219981</v>
      </c>
      <c r="AH21" s="58">
        <v>7.8940598848322701</v>
      </c>
      <c r="AI21" s="58">
        <v>0.65090872974289538</v>
      </c>
      <c r="AJ21" s="52">
        <v>186.27741166750587</v>
      </c>
      <c r="AK21" s="52">
        <v>660.95929962793969</v>
      </c>
      <c r="AL21" s="52">
        <v>2636.0993582407641</v>
      </c>
      <c r="AM21" s="52">
        <v>572.31888205210373</v>
      </c>
      <c r="AN21" s="52">
        <v>6731.5410898844402</v>
      </c>
      <c r="AO21" s="52">
        <v>2955.3144613901773</v>
      </c>
      <c r="AP21" s="52">
        <v>408.60296951929735</v>
      </c>
      <c r="AQ21" s="52">
        <v>3260.0837815602622</v>
      </c>
      <c r="AR21" s="52">
        <v>461.03222516377764</v>
      </c>
      <c r="AS21" s="52">
        <v>753.9180594126384</v>
      </c>
    </row>
    <row r="22" spans="1:45" x14ac:dyDescent="0.25">
      <c r="A22" s="9">
        <v>44819</v>
      </c>
      <c r="B22" s="361"/>
      <c r="C22" s="362">
        <v>86.077128310997068</v>
      </c>
      <c r="D22" s="362">
        <v>925.38073247273701</v>
      </c>
      <c r="E22" s="362">
        <v>20.32075217813254</v>
      </c>
      <c r="F22" s="362">
        <v>0</v>
      </c>
      <c r="G22" s="362">
        <v>1753.5888380050719</v>
      </c>
      <c r="H22" s="363">
        <v>32.569211721420324</v>
      </c>
      <c r="I22" s="361">
        <v>241.91769701639768</v>
      </c>
      <c r="J22" s="362">
        <v>549.80119279225676</v>
      </c>
      <c r="K22" s="362">
        <v>30.146071107188842</v>
      </c>
      <c r="L22" s="46">
        <v>0</v>
      </c>
      <c r="M22" s="362">
        <v>0</v>
      </c>
      <c r="N22" s="363">
        <v>0</v>
      </c>
      <c r="O22" s="361">
        <v>0</v>
      </c>
      <c r="P22" s="362">
        <v>0</v>
      </c>
      <c r="Q22" s="362">
        <v>0</v>
      </c>
      <c r="R22" s="362">
        <v>0</v>
      </c>
      <c r="S22" s="362">
        <v>0</v>
      </c>
      <c r="T22" s="363">
        <v>0</v>
      </c>
      <c r="U22" s="361">
        <v>290.87392387595588</v>
      </c>
      <c r="V22" s="362">
        <v>159.53539786663208</v>
      </c>
      <c r="W22" s="362">
        <v>51.915184087190809</v>
      </c>
      <c r="X22" s="362">
        <v>28.473881186412054</v>
      </c>
      <c r="Y22" s="362">
        <v>346.21194959556874</v>
      </c>
      <c r="Z22" s="362">
        <v>189.88660237713762</v>
      </c>
      <c r="AA22" s="363">
        <v>0</v>
      </c>
      <c r="AB22" s="364">
        <v>113.72760403421134</v>
      </c>
      <c r="AC22" s="52">
        <v>0</v>
      </c>
      <c r="AD22" s="365">
        <v>15.557646136469145</v>
      </c>
      <c r="AE22" s="364">
        <v>8.1299984238698428</v>
      </c>
      <c r="AF22" s="52">
        <v>23.147802253564194</v>
      </c>
      <c r="AG22" s="52">
        <v>14.698766171376185</v>
      </c>
      <c r="AH22" s="52">
        <v>8.0618210049626597</v>
      </c>
      <c r="AI22" s="52">
        <v>0.64579907616164378</v>
      </c>
      <c r="AJ22" s="52">
        <v>170.35993194580078</v>
      </c>
      <c r="AK22" s="52">
        <v>627.66084111531575</v>
      </c>
      <c r="AL22" s="52">
        <v>2618.3124977111815</v>
      </c>
      <c r="AM22" s="52">
        <v>572.86201016108191</v>
      </c>
      <c r="AN22" s="52">
        <v>6849.8052108764641</v>
      </c>
      <c r="AO22" s="52">
        <v>2963.6880630493165</v>
      </c>
      <c r="AP22" s="52">
        <v>372.64480431874591</v>
      </c>
      <c r="AQ22" s="52">
        <v>3319.1462109883623</v>
      </c>
      <c r="AR22" s="52">
        <v>467.20926583607985</v>
      </c>
      <c r="AS22" s="52">
        <v>645.4584874947866</v>
      </c>
    </row>
    <row r="23" spans="1:45" x14ac:dyDescent="0.25">
      <c r="A23" s="9">
        <v>44820</v>
      </c>
      <c r="B23" s="45"/>
      <c r="C23" s="46">
        <v>79.09</v>
      </c>
      <c r="D23" s="46">
        <v>851.48</v>
      </c>
      <c r="E23" s="46">
        <v>19.059999999999999</v>
      </c>
      <c r="F23" s="46">
        <v>0</v>
      </c>
      <c r="G23" s="46">
        <v>1596.09</v>
      </c>
      <c r="H23" s="47">
        <v>29.96</v>
      </c>
      <c r="I23" s="45">
        <v>263.39999999999998</v>
      </c>
      <c r="J23" s="46">
        <v>599.16</v>
      </c>
      <c r="K23" s="46">
        <v>32.79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313.43</v>
      </c>
      <c r="V23" s="54">
        <v>144.1</v>
      </c>
      <c r="W23" s="54">
        <v>54.13</v>
      </c>
      <c r="X23" s="54">
        <v>24.88</v>
      </c>
      <c r="Y23" s="54">
        <v>382.17</v>
      </c>
      <c r="Z23" s="54">
        <v>175.7</v>
      </c>
      <c r="AA23" s="57">
        <v>0</v>
      </c>
      <c r="AB23" s="58">
        <v>117.09</v>
      </c>
      <c r="AC23" s="52">
        <v>0</v>
      </c>
      <c r="AD23" s="359">
        <v>16.96</v>
      </c>
      <c r="AE23" s="359">
        <v>7.48</v>
      </c>
      <c r="AF23" s="52">
        <v>23.87</v>
      </c>
      <c r="AG23" s="58">
        <v>16.09</v>
      </c>
      <c r="AH23" s="58">
        <v>7.4</v>
      </c>
      <c r="AI23" s="58">
        <v>0.69</v>
      </c>
      <c r="AJ23" s="52">
        <v>156.82</v>
      </c>
      <c r="AK23" s="52">
        <v>632.95000000000005</v>
      </c>
      <c r="AL23" s="52">
        <v>2640.8</v>
      </c>
      <c r="AM23" s="52">
        <v>576.03</v>
      </c>
      <c r="AN23" s="52">
        <v>6679.37</v>
      </c>
      <c r="AO23" s="52">
        <v>2885.26</v>
      </c>
      <c r="AP23" s="52">
        <v>379.5</v>
      </c>
      <c r="AQ23" s="52">
        <v>3321.21</v>
      </c>
      <c r="AR23" s="52">
        <v>460.54</v>
      </c>
      <c r="AS23" s="52">
        <v>663.48</v>
      </c>
    </row>
    <row r="24" spans="1:45" x14ac:dyDescent="0.25">
      <c r="A24" s="9">
        <v>44821</v>
      </c>
      <c r="B24" s="45"/>
      <c r="C24" s="46">
        <v>79.150000000000006</v>
      </c>
      <c r="D24" s="46">
        <v>851.18</v>
      </c>
      <c r="E24" s="46">
        <v>19.079999999999998</v>
      </c>
      <c r="F24" s="46">
        <v>0</v>
      </c>
      <c r="G24" s="46">
        <v>1627.08</v>
      </c>
      <c r="H24" s="47">
        <v>29.98</v>
      </c>
      <c r="I24" s="45">
        <v>281.3</v>
      </c>
      <c r="J24" s="46">
        <v>620.80999999999995</v>
      </c>
      <c r="K24" s="46">
        <v>34.07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319.7</v>
      </c>
      <c r="V24" s="54">
        <v>136.16</v>
      </c>
      <c r="W24" s="54">
        <v>54.79</v>
      </c>
      <c r="X24" s="54">
        <v>23.34</v>
      </c>
      <c r="Y24" s="54">
        <v>388.22</v>
      </c>
      <c r="Z24" s="54">
        <v>165.35</v>
      </c>
      <c r="AA24" s="57">
        <v>0</v>
      </c>
      <c r="AB24" s="58">
        <v>119.97</v>
      </c>
      <c r="AC24" s="52">
        <v>0</v>
      </c>
      <c r="AD24" s="359">
        <v>17.57</v>
      </c>
      <c r="AE24" s="359">
        <v>7.48</v>
      </c>
      <c r="AF24" s="52">
        <v>23.59</v>
      </c>
      <c r="AG24" s="58">
        <v>16.260000000000002</v>
      </c>
      <c r="AH24" s="58">
        <v>6.93</v>
      </c>
      <c r="AI24" s="58">
        <v>0.7</v>
      </c>
      <c r="AJ24" s="52">
        <v>181.74</v>
      </c>
      <c r="AK24" s="52">
        <v>688.19</v>
      </c>
      <c r="AL24" s="52">
        <v>2653.37</v>
      </c>
      <c r="AM24" s="52">
        <v>575.41</v>
      </c>
      <c r="AN24" s="52">
        <v>6869.4</v>
      </c>
      <c r="AO24" s="52">
        <v>2892.54</v>
      </c>
      <c r="AP24" s="52">
        <v>385.04</v>
      </c>
      <c r="AQ24" s="52">
        <v>3403.99</v>
      </c>
      <c r="AR24" s="52">
        <v>458.65</v>
      </c>
      <c r="AS24" s="52">
        <v>678.84</v>
      </c>
    </row>
    <row r="25" spans="1:45" s="341" customFormat="1" ht="15" customHeight="1" x14ac:dyDescent="0.25">
      <c r="A25" s="9">
        <v>44822</v>
      </c>
      <c r="B25" s="335"/>
      <c r="C25" s="336">
        <v>79.010000000000005</v>
      </c>
      <c r="D25" s="336">
        <v>848.09</v>
      </c>
      <c r="E25" s="46">
        <v>19.100000000000001</v>
      </c>
      <c r="F25" s="336">
        <v>0</v>
      </c>
      <c r="G25" s="336">
        <v>1700.32</v>
      </c>
      <c r="H25" s="337">
        <v>29.96</v>
      </c>
      <c r="I25" s="335">
        <v>284.23</v>
      </c>
      <c r="J25" s="336">
        <v>622.91</v>
      </c>
      <c r="K25" s="336">
        <v>34.1</v>
      </c>
      <c r="L25" s="338">
        <v>0</v>
      </c>
      <c r="M25" s="46">
        <v>0</v>
      </c>
      <c r="N25" s="337">
        <v>0</v>
      </c>
      <c r="O25" s="335">
        <v>0</v>
      </c>
      <c r="P25" s="336">
        <v>0</v>
      </c>
      <c r="Q25" s="336">
        <v>0</v>
      </c>
      <c r="R25" s="336">
        <v>0</v>
      </c>
      <c r="S25" s="336">
        <v>0</v>
      </c>
      <c r="T25" s="337">
        <v>0</v>
      </c>
      <c r="U25" s="335">
        <v>330.16</v>
      </c>
      <c r="V25" s="336">
        <v>145.69999999999999</v>
      </c>
      <c r="W25" s="336">
        <v>56.6</v>
      </c>
      <c r="X25" s="336">
        <v>24.98</v>
      </c>
      <c r="Y25" s="336">
        <v>414.39</v>
      </c>
      <c r="Z25" s="336">
        <v>182.87</v>
      </c>
      <c r="AA25" s="337">
        <v>0</v>
      </c>
      <c r="AB25" s="339">
        <v>119.62</v>
      </c>
      <c r="AC25" s="340">
        <v>0</v>
      </c>
      <c r="AD25" s="359">
        <v>17.559999999999999</v>
      </c>
      <c r="AE25" s="359">
        <v>7.45</v>
      </c>
      <c r="AF25" s="340">
        <v>24.86</v>
      </c>
      <c r="AG25" s="340">
        <v>17</v>
      </c>
      <c r="AH25" s="340">
        <v>7.5</v>
      </c>
      <c r="AI25" s="340">
        <v>0.69</v>
      </c>
      <c r="AJ25" s="340">
        <v>213.62</v>
      </c>
      <c r="AK25" s="340">
        <v>741.12</v>
      </c>
      <c r="AL25" s="340">
        <v>2670.55</v>
      </c>
      <c r="AM25" s="340">
        <v>578.51</v>
      </c>
      <c r="AN25" s="340">
        <v>6746.64</v>
      </c>
      <c r="AO25" s="340">
        <v>2841.68</v>
      </c>
      <c r="AP25" s="340">
        <v>388.71</v>
      </c>
      <c r="AQ25" s="340">
        <v>3402.93</v>
      </c>
      <c r="AR25" s="340">
        <v>442.82</v>
      </c>
      <c r="AS25" s="340">
        <v>700.36</v>
      </c>
    </row>
    <row r="26" spans="1:45" x14ac:dyDescent="0.25">
      <c r="A26" s="9">
        <v>44823</v>
      </c>
      <c r="B26" s="361"/>
      <c r="C26" s="362">
        <v>79.240311602750964</v>
      </c>
      <c r="D26" s="362">
        <v>849.82936166127661</v>
      </c>
      <c r="E26" s="362">
        <v>19.12294429391623</v>
      </c>
      <c r="F26" s="362">
        <v>0</v>
      </c>
      <c r="G26" s="362">
        <v>1655.8297159830745</v>
      </c>
      <c r="H26" s="363">
        <v>29.946621100107873</v>
      </c>
      <c r="I26" s="361">
        <v>313.61505575180075</v>
      </c>
      <c r="J26" s="362">
        <v>655.34692039489823</v>
      </c>
      <c r="K26" s="362">
        <v>35.914902325471274</v>
      </c>
      <c r="L26" s="46">
        <v>0</v>
      </c>
      <c r="M26" s="362">
        <v>0</v>
      </c>
      <c r="N26" s="363">
        <v>0</v>
      </c>
      <c r="O26" s="361">
        <v>0</v>
      </c>
      <c r="P26" s="362">
        <v>0</v>
      </c>
      <c r="Q26" s="362">
        <v>0</v>
      </c>
      <c r="R26" s="362">
        <v>0</v>
      </c>
      <c r="S26" s="362">
        <v>0</v>
      </c>
      <c r="T26" s="363">
        <v>0</v>
      </c>
      <c r="U26" s="361">
        <v>327.04234110192431</v>
      </c>
      <c r="V26" s="362">
        <v>144.25616858062637</v>
      </c>
      <c r="W26" s="362">
        <v>56.038873409815643</v>
      </c>
      <c r="X26" s="362">
        <v>24.718368705522881</v>
      </c>
      <c r="Y26" s="362">
        <v>415.69943882694497</v>
      </c>
      <c r="Z26" s="362">
        <v>183.36221580435202</v>
      </c>
      <c r="AA26" s="363">
        <v>0</v>
      </c>
      <c r="AB26" s="364">
        <v>120.36057733429897</v>
      </c>
      <c r="AC26" s="52">
        <v>0</v>
      </c>
      <c r="AD26" s="365">
        <v>17.662400455067502</v>
      </c>
      <c r="AE26" s="364">
        <v>7.466539289102669</v>
      </c>
      <c r="AF26" s="52">
        <v>24.457891595363655</v>
      </c>
      <c r="AG26" s="52">
        <v>16.719553046394108</v>
      </c>
      <c r="AH26" s="52">
        <v>7.374881963989103</v>
      </c>
      <c r="AI26" s="52">
        <v>0.69391762202305285</v>
      </c>
      <c r="AJ26" s="52">
        <v>225.21622834205627</v>
      </c>
      <c r="AK26" s="52">
        <v>751.7941920280457</v>
      </c>
      <c r="AL26" s="52">
        <v>2690.4646494547533</v>
      </c>
      <c r="AM26" s="52">
        <v>586.99538977940892</v>
      </c>
      <c r="AN26" s="52">
        <v>6758.1145042419439</v>
      </c>
      <c r="AO26" s="52">
        <v>2856.7122762044273</v>
      </c>
      <c r="AP26" s="52">
        <v>407.8203207969666</v>
      </c>
      <c r="AQ26" s="52">
        <v>3309.7771903991697</v>
      </c>
      <c r="AR26" s="52">
        <v>442.625304889679</v>
      </c>
      <c r="AS26" s="52">
        <v>785.32242005666092</v>
      </c>
    </row>
    <row r="27" spans="1:45" x14ac:dyDescent="0.25">
      <c r="A27" s="9">
        <v>44824</v>
      </c>
      <c r="B27" s="45"/>
      <c r="C27" s="46">
        <v>79.272382863362466</v>
      </c>
      <c r="D27" s="46">
        <v>849.45871346791625</v>
      </c>
      <c r="E27" s="46">
        <v>19.192677599191661</v>
      </c>
      <c r="F27" s="46">
        <v>0</v>
      </c>
      <c r="G27" s="46">
        <v>1565.051219622299</v>
      </c>
      <c r="H27" s="47">
        <v>29.90422554810846</v>
      </c>
      <c r="I27" s="45">
        <v>332.71066260337881</v>
      </c>
      <c r="J27" s="46">
        <v>651.77054077784396</v>
      </c>
      <c r="K27" s="46">
        <v>35.636165033777601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327.73473585753379</v>
      </c>
      <c r="V27" s="54">
        <v>144.55472676182407</v>
      </c>
      <c r="W27" s="54">
        <v>56.681242580319456</v>
      </c>
      <c r="X27" s="54">
        <v>25.000528284803103</v>
      </c>
      <c r="Y27" s="54">
        <v>420.08130940382654</v>
      </c>
      <c r="Z27" s="54">
        <v>185.28624602372466</v>
      </c>
      <c r="AA27" s="57">
        <v>0</v>
      </c>
      <c r="AB27" s="58">
        <v>120.1142852412321</v>
      </c>
      <c r="AC27" s="52">
        <v>0</v>
      </c>
      <c r="AD27" s="359">
        <v>17.565272330446817</v>
      </c>
      <c r="AE27" s="359">
        <v>7.4630624783817554</v>
      </c>
      <c r="AF27" s="52">
        <v>24.607913014623829</v>
      </c>
      <c r="AG27" s="58">
        <v>16.809321741498465</v>
      </c>
      <c r="AH27" s="58">
        <v>7.4141268701226783</v>
      </c>
      <c r="AI27" s="58">
        <v>0.69392769010743716</v>
      </c>
      <c r="AJ27" s="52">
        <v>211.35864146550497</v>
      </c>
      <c r="AK27" s="52">
        <v>742.2453225771585</v>
      </c>
      <c r="AL27" s="52">
        <v>2703.8766559600836</v>
      </c>
      <c r="AM27" s="52">
        <v>588.86309811274214</v>
      </c>
      <c r="AN27" s="52">
        <v>6643.1416000366216</v>
      </c>
      <c r="AO27" s="52">
        <v>2871.0731437683107</v>
      </c>
      <c r="AP27" s="52">
        <v>429.5087441921234</v>
      </c>
      <c r="AQ27" s="52">
        <v>3399.4248687744148</v>
      </c>
      <c r="AR27" s="52">
        <v>461.44405771891286</v>
      </c>
      <c r="AS27" s="52">
        <v>801.66524136861153</v>
      </c>
    </row>
    <row r="28" spans="1:45" x14ac:dyDescent="0.25">
      <c r="A28" s="9">
        <v>44825</v>
      </c>
      <c r="B28" s="45"/>
      <c r="C28" s="46">
        <v>79.31</v>
      </c>
      <c r="D28" s="46">
        <v>882.39</v>
      </c>
      <c r="E28" s="46">
        <v>19.13</v>
      </c>
      <c r="F28" s="46">
        <v>0</v>
      </c>
      <c r="G28" s="46">
        <v>1592.75</v>
      </c>
      <c r="H28" s="47">
        <v>30.07</v>
      </c>
      <c r="I28" s="45">
        <v>307.02</v>
      </c>
      <c r="J28" s="46">
        <v>652.19000000000005</v>
      </c>
      <c r="K28" s="46">
        <v>35.67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329.15</v>
      </c>
      <c r="V28" s="54">
        <v>145.21</v>
      </c>
      <c r="W28" s="54">
        <v>57.23</v>
      </c>
      <c r="X28" s="54">
        <v>25.25</v>
      </c>
      <c r="Y28" s="54">
        <v>430.8</v>
      </c>
      <c r="Z28" s="54">
        <v>190.05</v>
      </c>
      <c r="AA28" s="57">
        <v>0</v>
      </c>
      <c r="AB28" s="58">
        <v>120.29</v>
      </c>
      <c r="AC28" s="52">
        <v>0</v>
      </c>
      <c r="AD28" s="359">
        <v>17.579999999999998</v>
      </c>
      <c r="AE28" s="359">
        <v>7.5</v>
      </c>
      <c r="AF28" s="52">
        <v>24.75</v>
      </c>
      <c r="AG28" s="58">
        <v>16.91</v>
      </c>
      <c r="AH28" s="58">
        <v>7.46</v>
      </c>
      <c r="AI28" s="58">
        <v>0.69</v>
      </c>
      <c r="AJ28" s="52">
        <v>238.6</v>
      </c>
      <c r="AK28" s="52">
        <v>754.82</v>
      </c>
      <c r="AL28" s="52">
        <v>2612.83</v>
      </c>
      <c r="AM28" s="52">
        <v>573.29999999999995</v>
      </c>
      <c r="AN28" s="52">
        <v>6480.24</v>
      </c>
      <c r="AO28" s="52">
        <v>2843.14</v>
      </c>
      <c r="AP28" s="52">
        <v>376.99</v>
      </c>
      <c r="AQ28" s="52">
        <v>3249.95</v>
      </c>
      <c r="AR28" s="52">
        <v>446.81</v>
      </c>
      <c r="AS28" s="52">
        <v>550.65</v>
      </c>
    </row>
    <row r="29" spans="1:45" x14ac:dyDescent="0.25">
      <c r="A29" s="9">
        <v>44826</v>
      </c>
      <c r="B29" s="45"/>
      <c r="C29" s="46">
        <v>79.23</v>
      </c>
      <c r="D29" s="46">
        <v>891.15</v>
      </c>
      <c r="E29" s="46">
        <v>19.07</v>
      </c>
      <c r="F29" s="46">
        <v>0</v>
      </c>
      <c r="G29" s="46">
        <v>1672.61</v>
      </c>
      <c r="H29" s="47">
        <v>29.99</v>
      </c>
      <c r="I29" s="45">
        <v>274.02</v>
      </c>
      <c r="J29" s="46">
        <v>602.51</v>
      </c>
      <c r="K29" s="46">
        <v>32.97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303.2</v>
      </c>
      <c r="V29" s="54">
        <v>139.08000000000001</v>
      </c>
      <c r="W29" s="54">
        <v>52.49</v>
      </c>
      <c r="X29" s="54">
        <v>24.08</v>
      </c>
      <c r="Y29" s="54">
        <v>391.4</v>
      </c>
      <c r="Z29" s="54">
        <v>179.53</v>
      </c>
      <c r="AA29" s="57">
        <v>0</v>
      </c>
      <c r="AB29" s="58">
        <v>113.57</v>
      </c>
      <c r="AC29" s="52">
        <v>0</v>
      </c>
      <c r="AD29" s="359">
        <v>16.239999999999998</v>
      </c>
      <c r="AE29" s="359">
        <v>7.49</v>
      </c>
      <c r="AF29" s="52">
        <v>22.92</v>
      </c>
      <c r="AG29" s="58">
        <v>15.45</v>
      </c>
      <c r="AH29" s="58">
        <v>7.09</v>
      </c>
      <c r="AI29" s="58">
        <v>0.69</v>
      </c>
      <c r="AJ29" s="52">
        <v>204.91</v>
      </c>
      <c r="AK29" s="52">
        <v>709.32</v>
      </c>
      <c r="AL29" s="52">
        <v>2627.76</v>
      </c>
      <c r="AM29" s="52">
        <v>556.36</v>
      </c>
      <c r="AN29" s="52">
        <v>5872.6</v>
      </c>
      <c r="AO29" s="52">
        <v>2873.13</v>
      </c>
      <c r="AP29" s="52">
        <v>345.26</v>
      </c>
      <c r="AQ29" s="52">
        <v>3219.82</v>
      </c>
      <c r="AR29" s="52">
        <v>434.42</v>
      </c>
      <c r="AS29" s="52">
        <v>568.35</v>
      </c>
    </row>
    <row r="30" spans="1:45" x14ac:dyDescent="0.25">
      <c r="A30" s="9">
        <v>44827</v>
      </c>
      <c r="B30" s="45"/>
      <c r="C30" s="362">
        <v>78.605388959248899</v>
      </c>
      <c r="D30" s="362">
        <v>884.21704336802281</v>
      </c>
      <c r="E30" s="362">
        <v>18.557753949364024</v>
      </c>
      <c r="F30" s="362">
        <v>0</v>
      </c>
      <c r="G30" s="362">
        <v>1536.1974345525102</v>
      </c>
      <c r="H30" s="363">
        <v>29.724230096737593</v>
      </c>
      <c r="I30" s="361">
        <v>262.14901938438373</v>
      </c>
      <c r="J30" s="362">
        <v>577.79704939524493</v>
      </c>
      <c r="K30" s="362">
        <v>31.672639559705971</v>
      </c>
      <c r="L30" s="46">
        <v>0</v>
      </c>
      <c r="M30" s="362">
        <v>0</v>
      </c>
      <c r="N30" s="363">
        <v>0</v>
      </c>
      <c r="O30" s="361">
        <v>0</v>
      </c>
      <c r="P30" s="362">
        <v>0</v>
      </c>
      <c r="Q30" s="362">
        <v>0</v>
      </c>
      <c r="R30" s="362">
        <v>0</v>
      </c>
      <c r="S30" s="362">
        <v>0</v>
      </c>
      <c r="T30" s="363">
        <v>0</v>
      </c>
      <c r="U30" s="361">
        <v>285.76354385794269</v>
      </c>
      <c r="V30" s="362">
        <v>140.95868167035351</v>
      </c>
      <c r="W30" s="362">
        <v>49.064178586426529</v>
      </c>
      <c r="X30" s="362">
        <v>24.201904264665508</v>
      </c>
      <c r="Y30" s="362">
        <v>366.61665157429331</v>
      </c>
      <c r="Z30" s="362">
        <v>180.8411219522163</v>
      </c>
      <c r="AA30" s="363">
        <v>0</v>
      </c>
      <c r="AB30" s="364">
        <v>110.20180687374325</v>
      </c>
      <c r="AC30" s="52">
        <v>0</v>
      </c>
      <c r="AD30" s="365">
        <v>15.57134940660989</v>
      </c>
      <c r="AE30" s="364">
        <v>7.4267391466013173</v>
      </c>
      <c r="AF30" s="52">
        <v>22.325484571854311</v>
      </c>
      <c r="AG30" s="52">
        <v>14.710331768267871</v>
      </c>
      <c r="AH30" s="52">
        <v>7.2561704162632843</v>
      </c>
      <c r="AI30" s="52">
        <v>0.66967110396970297</v>
      </c>
      <c r="AJ30" s="52">
        <v>214.42528223991394</v>
      </c>
      <c r="AK30" s="52">
        <v>724.61712989807143</v>
      </c>
      <c r="AL30" s="52">
        <v>2591.3459580739341</v>
      </c>
      <c r="AM30" s="52">
        <v>571.41924695968646</v>
      </c>
      <c r="AN30" s="52">
        <v>6400.4231129964201</v>
      </c>
      <c r="AO30" s="52">
        <v>2872.1124997456873</v>
      </c>
      <c r="AP30" s="52">
        <v>356.9368995984396</v>
      </c>
      <c r="AQ30" s="52">
        <v>3183.4109846750894</v>
      </c>
      <c r="AR30" s="52">
        <v>427.12159423828138</v>
      </c>
      <c r="AS30" s="52">
        <v>660.50951623916626</v>
      </c>
    </row>
    <row r="31" spans="1:45" x14ac:dyDescent="0.25">
      <c r="A31" s="9">
        <v>44828</v>
      </c>
      <c r="B31" s="45"/>
      <c r="C31" s="46">
        <v>78.099999999999994</v>
      </c>
      <c r="D31" s="46">
        <v>876.91</v>
      </c>
      <c r="E31" s="46">
        <v>18.46</v>
      </c>
      <c r="F31" s="46">
        <v>0</v>
      </c>
      <c r="G31" s="46">
        <v>1462.14</v>
      </c>
      <c r="H31" s="47">
        <v>29.45</v>
      </c>
      <c r="I31" s="45">
        <v>262.14</v>
      </c>
      <c r="J31" s="46">
        <v>577.52</v>
      </c>
      <c r="K31" s="46">
        <v>31.64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287.39</v>
      </c>
      <c r="V31" s="54">
        <v>141.79</v>
      </c>
      <c r="W31" s="54">
        <v>49.17</v>
      </c>
      <c r="X31" s="54">
        <v>24.26</v>
      </c>
      <c r="Y31" s="54">
        <v>367.15</v>
      </c>
      <c r="Z31" s="54">
        <v>181.14</v>
      </c>
      <c r="AA31" s="57">
        <v>0</v>
      </c>
      <c r="AB31" s="58">
        <v>110.2</v>
      </c>
      <c r="AC31" s="52">
        <v>0</v>
      </c>
      <c r="AD31" s="359">
        <v>15.56</v>
      </c>
      <c r="AE31" s="359">
        <v>7.37</v>
      </c>
      <c r="AF31" s="52">
        <v>22.37</v>
      </c>
      <c r="AG31" s="58">
        <v>14.74</v>
      </c>
      <c r="AH31" s="58">
        <v>7.27</v>
      </c>
      <c r="AI31" s="58">
        <v>0.67</v>
      </c>
      <c r="AJ31" s="52">
        <v>229.38</v>
      </c>
      <c r="AK31" s="52">
        <v>747.65</v>
      </c>
      <c r="AL31" s="52">
        <v>2585.58</v>
      </c>
      <c r="AM31" s="52">
        <v>572.32000000000005</v>
      </c>
      <c r="AN31" s="52">
        <v>6215.3</v>
      </c>
      <c r="AO31" s="52">
        <v>2852.75</v>
      </c>
      <c r="AP31" s="52">
        <v>367.92</v>
      </c>
      <c r="AQ31" s="52">
        <v>3130.9</v>
      </c>
      <c r="AR31" s="52">
        <v>446.17</v>
      </c>
      <c r="AS31" s="52">
        <v>616.78</v>
      </c>
    </row>
    <row r="32" spans="1:45" x14ac:dyDescent="0.25">
      <c r="A32" s="9">
        <v>44829</v>
      </c>
      <c r="B32" s="45"/>
      <c r="C32" s="46">
        <v>77.510000000000005</v>
      </c>
      <c r="D32" s="46">
        <v>876.82</v>
      </c>
      <c r="E32" s="46">
        <v>18.53</v>
      </c>
      <c r="F32" s="46">
        <v>0</v>
      </c>
      <c r="G32" s="46">
        <v>1551.16</v>
      </c>
      <c r="H32" s="47">
        <v>29.5</v>
      </c>
      <c r="I32" s="45">
        <v>262.19</v>
      </c>
      <c r="J32" s="46">
        <v>577.9</v>
      </c>
      <c r="K32" s="46">
        <v>31.62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287.19</v>
      </c>
      <c r="V32" s="54">
        <v>142.22999999999999</v>
      </c>
      <c r="W32" s="54">
        <v>49.38</v>
      </c>
      <c r="X32" s="54">
        <v>24.46</v>
      </c>
      <c r="Y32" s="54">
        <v>359.44</v>
      </c>
      <c r="Z32" s="54">
        <v>178.02</v>
      </c>
      <c r="AA32" s="57">
        <v>0</v>
      </c>
      <c r="AB32" s="58">
        <v>110.2</v>
      </c>
      <c r="AC32" s="52">
        <v>0</v>
      </c>
      <c r="AD32" s="359">
        <v>15.57</v>
      </c>
      <c r="AE32" s="359">
        <v>7.36</v>
      </c>
      <c r="AF32" s="52">
        <v>22.23</v>
      </c>
      <c r="AG32" s="58">
        <v>14.62</v>
      </c>
      <c r="AH32" s="58">
        <v>7.24</v>
      </c>
      <c r="AI32" s="58">
        <v>0.67</v>
      </c>
      <c r="AJ32" s="52">
        <v>227.81</v>
      </c>
      <c r="AK32" s="52">
        <v>756.81</v>
      </c>
      <c r="AL32" s="52">
        <v>2628.91</v>
      </c>
      <c r="AM32" s="52">
        <v>570.11</v>
      </c>
      <c r="AN32" s="52">
        <v>6252.43</v>
      </c>
      <c r="AO32" s="52">
        <v>2843.05</v>
      </c>
      <c r="AP32" s="52">
        <v>370.79</v>
      </c>
      <c r="AQ32" s="52">
        <v>3043.07</v>
      </c>
      <c r="AR32" s="52">
        <v>453.06</v>
      </c>
      <c r="AS32" s="52">
        <v>583.97</v>
      </c>
    </row>
    <row r="33" spans="1:45" x14ac:dyDescent="0.25">
      <c r="A33" s="9">
        <v>44830</v>
      </c>
      <c r="B33" s="45"/>
      <c r="C33" s="46">
        <v>77.569999999999993</v>
      </c>
      <c r="D33" s="46">
        <v>877.35</v>
      </c>
      <c r="E33" s="46">
        <v>18.5</v>
      </c>
      <c r="F33" s="46">
        <v>0</v>
      </c>
      <c r="G33" s="46">
        <v>1532.76</v>
      </c>
      <c r="H33" s="47">
        <v>29.74</v>
      </c>
      <c r="I33" s="45">
        <v>262.42</v>
      </c>
      <c r="J33" s="46">
        <v>578.4</v>
      </c>
      <c r="K33" s="46">
        <v>31.61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286.83</v>
      </c>
      <c r="V33" s="54">
        <v>142.19</v>
      </c>
      <c r="W33" s="54">
        <v>49.75</v>
      </c>
      <c r="X33" s="54">
        <v>24.66</v>
      </c>
      <c r="Y33" s="54">
        <v>355.42</v>
      </c>
      <c r="Z33" s="54">
        <v>176.19</v>
      </c>
      <c r="AA33" s="57">
        <v>0</v>
      </c>
      <c r="AB33" s="58">
        <v>110.2</v>
      </c>
      <c r="AC33" s="52">
        <v>0</v>
      </c>
      <c r="AD33" s="359">
        <v>15.59</v>
      </c>
      <c r="AE33" s="359">
        <v>7.37</v>
      </c>
      <c r="AF33" s="52">
        <v>22.42</v>
      </c>
      <c r="AG33" s="58">
        <v>14.74</v>
      </c>
      <c r="AH33" s="58">
        <v>7.31</v>
      </c>
      <c r="AI33" s="58">
        <v>0.67</v>
      </c>
      <c r="AJ33" s="52">
        <v>217.3</v>
      </c>
      <c r="AK33" s="52">
        <v>744.39</v>
      </c>
      <c r="AL33" s="52">
        <v>2634.54</v>
      </c>
      <c r="AM33" s="52">
        <v>576.27</v>
      </c>
      <c r="AN33" s="52">
        <v>6216.27</v>
      </c>
      <c r="AO33" s="52">
        <v>2877.89</v>
      </c>
      <c r="AP33" s="52">
        <v>373.31</v>
      </c>
      <c r="AQ33" s="52">
        <v>2942.75</v>
      </c>
      <c r="AR33" s="52">
        <v>448.13</v>
      </c>
      <c r="AS33" s="52">
        <v>701.35</v>
      </c>
    </row>
    <row r="34" spans="1:45" x14ac:dyDescent="0.25">
      <c r="A34" s="9">
        <v>44831</v>
      </c>
      <c r="B34" s="45"/>
      <c r="C34" s="46">
        <v>77.790000000000006</v>
      </c>
      <c r="D34" s="46">
        <v>878.68</v>
      </c>
      <c r="E34" s="46">
        <v>18.48</v>
      </c>
      <c r="F34" s="46">
        <v>0</v>
      </c>
      <c r="G34" s="46">
        <v>1580.76</v>
      </c>
      <c r="H34" s="47">
        <v>29.76</v>
      </c>
      <c r="I34" s="45">
        <v>262.87</v>
      </c>
      <c r="J34" s="46">
        <v>579.30999999999995</v>
      </c>
      <c r="K34" s="46">
        <v>31.67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290.93</v>
      </c>
      <c r="V34" s="54">
        <v>143.52000000000001</v>
      </c>
      <c r="W34" s="54">
        <v>50.51</v>
      </c>
      <c r="X34" s="54">
        <v>24.92</v>
      </c>
      <c r="Y34" s="54">
        <v>346.5</v>
      </c>
      <c r="Z34" s="54">
        <v>170.93</v>
      </c>
      <c r="AA34" s="57">
        <v>0</v>
      </c>
      <c r="AB34" s="58">
        <v>110.2</v>
      </c>
      <c r="AC34" s="52">
        <v>0</v>
      </c>
      <c r="AD34" s="359">
        <v>15.61</v>
      </c>
      <c r="AE34" s="359">
        <v>7.38</v>
      </c>
      <c r="AF34" s="52">
        <v>22.8</v>
      </c>
      <c r="AG34" s="58">
        <v>15</v>
      </c>
      <c r="AH34" s="58">
        <v>7.4</v>
      </c>
      <c r="AI34" s="58">
        <v>0.67</v>
      </c>
      <c r="AJ34" s="52">
        <v>219.54</v>
      </c>
      <c r="AK34" s="52">
        <v>751.29</v>
      </c>
      <c r="AL34" s="52">
        <v>2631.1</v>
      </c>
      <c r="AM34" s="52">
        <v>562.4</v>
      </c>
      <c r="AN34" s="52">
        <v>6450.26</v>
      </c>
      <c r="AO34" s="52">
        <v>2854.8</v>
      </c>
      <c r="AP34" s="52">
        <v>377.23</v>
      </c>
      <c r="AQ34" s="52">
        <v>3031.04</v>
      </c>
      <c r="AR34" s="52">
        <v>468.51</v>
      </c>
      <c r="AS34" s="52">
        <v>679.35</v>
      </c>
    </row>
    <row r="35" spans="1:45" x14ac:dyDescent="0.25">
      <c r="A35" s="9">
        <v>44832</v>
      </c>
      <c r="B35" s="45"/>
      <c r="C35" s="46">
        <v>78.277894763152958</v>
      </c>
      <c r="D35" s="46">
        <v>876.13283395767166</v>
      </c>
      <c r="E35" s="46">
        <v>18.645986230174724</v>
      </c>
      <c r="F35" s="46">
        <v>0</v>
      </c>
      <c r="G35" s="46">
        <v>1553.8822223027621</v>
      </c>
      <c r="H35" s="47">
        <v>29.512058214346595</v>
      </c>
      <c r="I35" s="45">
        <v>268.99644908905032</v>
      </c>
      <c r="J35" s="46">
        <v>579.31877826054858</v>
      </c>
      <c r="K35" s="46">
        <v>31.687658906976299</v>
      </c>
      <c r="L35" s="46">
        <v>0</v>
      </c>
      <c r="M35" s="46">
        <v>0</v>
      </c>
      <c r="N35" s="47">
        <v>0</v>
      </c>
      <c r="O35" s="45">
        <v>0</v>
      </c>
      <c r="P35" s="46">
        <v>0</v>
      </c>
      <c r="Q35" s="46">
        <v>0</v>
      </c>
      <c r="R35" s="55">
        <v>0</v>
      </c>
      <c r="S35" s="46">
        <v>0</v>
      </c>
      <c r="T35" s="48">
        <v>0</v>
      </c>
      <c r="U35" s="56">
        <v>291.25796440225736</v>
      </c>
      <c r="V35" s="54">
        <v>143.70513677284316</v>
      </c>
      <c r="W35" s="54">
        <v>50.774880590581738</v>
      </c>
      <c r="X35" s="54">
        <v>25.052057116683521</v>
      </c>
      <c r="Y35" s="54">
        <v>341.97190527451545</v>
      </c>
      <c r="Z35" s="54">
        <v>168.72712655531808</v>
      </c>
      <c r="AA35" s="57">
        <v>0</v>
      </c>
      <c r="AB35" s="58">
        <v>110.09770680003457</v>
      </c>
      <c r="AC35" s="52">
        <v>0</v>
      </c>
      <c r="AD35" s="359">
        <v>15.612979104291318</v>
      </c>
      <c r="AE35" s="359">
        <v>7.3546394415626182</v>
      </c>
      <c r="AF35" s="52">
        <v>22.796430232789778</v>
      </c>
      <c r="AG35" s="58">
        <v>14.999501189752685</v>
      </c>
      <c r="AH35" s="58">
        <v>7.4006744310718897</v>
      </c>
      <c r="AI35" s="58">
        <v>0.66961533889976421</v>
      </c>
      <c r="AJ35" s="52">
        <v>218.42194186846416</v>
      </c>
      <c r="AK35" s="52">
        <v>758.9999222119651</v>
      </c>
      <c r="AL35" s="52">
        <v>2640.3347933451337</v>
      </c>
      <c r="AM35" s="52">
        <v>565.08858070373526</v>
      </c>
      <c r="AN35" s="52">
        <v>7007.9824373881029</v>
      </c>
      <c r="AO35" s="52">
        <v>2860.4631289164231</v>
      </c>
      <c r="AP35" s="52">
        <v>380.70264670054127</v>
      </c>
      <c r="AQ35" s="52">
        <v>3167.100029500325</v>
      </c>
      <c r="AR35" s="52">
        <v>465.45727648735044</v>
      </c>
      <c r="AS35" s="52">
        <v>744.60054963429764</v>
      </c>
    </row>
    <row r="36" spans="1:45" x14ac:dyDescent="0.25">
      <c r="A36" s="9">
        <v>44833</v>
      </c>
      <c r="B36" s="45"/>
      <c r="C36" s="46">
        <v>78.290000000000006</v>
      </c>
      <c r="D36" s="46">
        <v>879.4</v>
      </c>
      <c r="E36" s="46">
        <v>18.46</v>
      </c>
      <c r="F36" s="46">
        <v>0</v>
      </c>
      <c r="G36" s="46">
        <v>1611.06</v>
      </c>
      <c r="H36" s="47">
        <v>29.6</v>
      </c>
      <c r="I36" s="45">
        <v>277.95999999999998</v>
      </c>
      <c r="J36" s="46">
        <v>579.29999999999995</v>
      </c>
      <c r="K36" s="46">
        <v>31.76</v>
      </c>
      <c r="L36" s="46">
        <v>0</v>
      </c>
      <c r="M36" s="46">
        <v>0</v>
      </c>
      <c r="N36" s="47">
        <v>0</v>
      </c>
      <c r="O36" s="45">
        <v>0</v>
      </c>
      <c r="P36" s="46">
        <v>0</v>
      </c>
      <c r="Q36" s="46">
        <v>0</v>
      </c>
      <c r="R36" s="55">
        <v>0</v>
      </c>
      <c r="S36" s="46">
        <v>0</v>
      </c>
      <c r="T36" s="48">
        <v>0</v>
      </c>
      <c r="U36" s="56">
        <v>285.16000000000003</v>
      </c>
      <c r="V36" s="54">
        <v>135.69999999999999</v>
      </c>
      <c r="W36" s="54">
        <v>49.27</v>
      </c>
      <c r="X36" s="54">
        <v>23.45</v>
      </c>
      <c r="Y36" s="54">
        <v>329.36</v>
      </c>
      <c r="Z36" s="54">
        <v>156.72999999999999</v>
      </c>
      <c r="AA36" s="57">
        <v>0</v>
      </c>
      <c r="AB36" s="58">
        <v>110.2</v>
      </c>
      <c r="AC36" s="52">
        <v>0</v>
      </c>
      <c r="AD36" s="359">
        <v>15.61</v>
      </c>
      <c r="AE36" s="359">
        <v>7.39</v>
      </c>
      <c r="AF36" s="52">
        <v>21.93</v>
      </c>
      <c r="AG36" s="58">
        <v>14.59</v>
      </c>
      <c r="AH36" s="58">
        <v>6.94</v>
      </c>
      <c r="AI36" s="58">
        <v>0.68</v>
      </c>
      <c r="AJ36" s="52">
        <v>221.81</v>
      </c>
      <c r="AK36" s="52">
        <v>756.99</v>
      </c>
      <c r="AL36" s="52">
        <v>2660.83</v>
      </c>
      <c r="AM36" s="52">
        <v>566</v>
      </c>
      <c r="AN36" s="52">
        <v>6544.01</v>
      </c>
      <c r="AO36" s="52">
        <v>2885.16</v>
      </c>
      <c r="AP36" s="52">
        <v>390.26</v>
      </c>
      <c r="AQ36" s="52">
        <v>3149.9</v>
      </c>
      <c r="AR36" s="52">
        <v>467.99</v>
      </c>
      <c r="AS36" s="52">
        <v>767.1</v>
      </c>
    </row>
    <row r="37" spans="1:45" x14ac:dyDescent="0.25">
      <c r="A37" s="9">
        <v>44834</v>
      </c>
      <c r="B37" s="56"/>
      <c r="C37" s="54">
        <v>78.209999999999994</v>
      </c>
      <c r="D37" s="54">
        <v>877.95</v>
      </c>
      <c r="E37" s="46">
        <v>18.43</v>
      </c>
      <c r="F37" s="54">
        <v>0</v>
      </c>
      <c r="G37" s="54">
        <v>1632.15</v>
      </c>
      <c r="H37" s="57">
        <v>29.52</v>
      </c>
      <c r="I37" s="56">
        <v>285.29000000000002</v>
      </c>
      <c r="J37" s="54">
        <v>581.72</v>
      </c>
      <c r="K37" s="54">
        <v>31.9</v>
      </c>
      <c r="L37" s="54">
        <v>0</v>
      </c>
      <c r="M37" s="54">
        <v>0</v>
      </c>
      <c r="N37" s="57">
        <v>0</v>
      </c>
      <c r="O37" s="56">
        <v>0</v>
      </c>
      <c r="P37" s="54">
        <v>0</v>
      </c>
      <c r="Q37" s="54">
        <v>0</v>
      </c>
      <c r="R37" s="347">
        <v>0</v>
      </c>
      <c r="S37" s="54">
        <v>0</v>
      </c>
      <c r="T37" s="348">
        <v>0</v>
      </c>
      <c r="U37" s="56">
        <v>286.19</v>
      </c>
      <c r="V37" s="54">
        <v>141.82</v>
      </c>
      <c r="W37" s="54">
        <v>49.04</v>
      </c>
      <c r="X37" s="54">
        <v>24.3</v>
      </c>
      <c r="Y37" s="54">
        <v>311.31</v>
      </c>
      <c r="Z37" s="54">
        <v>154.27000000000001</v>
      </c>
      <c r="AA37" s="57">
        <v>0</v>
      </c>
      <c r="AB37" s="58">
        <v>110.2</v>
      </c>
      <c r="AC37" s="58">
        <v>0</v>
      </c>
      <c r="AD37" s="359">
        <v>15.68</v>
      </c>
      <c r="AE37" s="359">
        <v>7.38</v>
      </c>
      <c r="AF37" s="58">
        <v>22.4</v>
      </c>
      <c r="AG37" s="58">
        <v>14.66</v>
      </c>
      <c r="AH37" s="58">
        <v>7.27</v>
      </c>
      <c r="AI37" s="58">
        <v>0.67</v>
      </c>
      <c r="AJ37" s="58">
        <v>251.07</v>
      </c>
      <c r="AK37" s="58">
        <v>775.77</v>
      </c>
      <c r="AL37" s="58">
        <v>2631.58</v>
      </c>
      <c r="AM37" s="58">
        <v>571.97</v>
      </c>
      <c r="AN37" s="58">
        <v>6354.91</v>
      </c>
      <c r="AO37" s="58">
        <v>2874.67</v>
      </c>
      <c r="AP37" s="58">
        <v>388.57</v>
      </c>
      <c r="AQ37" s="58">
        <v>3164.78</v>
      </c>
      <c r="AR37" s="58">
        <v>476.71</v>
      </c>
      <c r="AS37" s="58">
        <v>699.71</v>
      </c>
    </row>
    <row r="38" spans="1:45" ht="15.75" thickBot="1" x14ac:dyDescent="0.3">
      <c r="A38" s="9"/>
      <c r="B38" s="342"/>
      <c r="C38" s="343"/>
      <c r="D38" s="343"/>
      <c r="E38" s="46"/>
      <c r="F38" s="343"/>
      <c r="G38" s="343"/>
      <c r="H38" s="344"/>
      <c r="I38" s="342"/>
      <c r="J38" s="343"/>
      <c r="K38" s="343"/>
      <c r="L38" s="343"/>
      <c r="M38" s="46"/>
      <c r="N38" s="344"/>
      <c r="O38" s="342"/>
      <c r="P38" s="343"/>
      <c r="Q38" s="343"/>
      <c r="R38" s="345"/>
      <c r="S38" s="343"/>
      <c r="T38" s="346"/>
      <c r="U38" s="342"/>
      <c r="V38" s="343"/>
      <c r="W38" s="343"/>
      <c r="X38" s="343"/>
      <c r="Y38" s="343"/>
      <c r="Z38" s="343"/>
      <c r="AA38" s="344"/>
      <c r="AB38" s="70"/>
      <c r="AC38" s="70"/>
      <c r="AD38" s="359"/>
      <c r="AE38" s="359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</row>
    <row r="39" spans="1:45" ht="15.75" thickTop="1" x14ac:dyDescent="0.25">
      <c r="A39" s="42" t="s">
        <v>171</v>
      </c>
      <c r="B39" s="25">
        <f t="shared" ref="B39:AC39" si="0">SUM(B8:B37)</f>
        <v>0</v>
      </c>
      <c r="C39" s="26">
        <f t="shared" si="0"/>
        <v>2515.9147677771221</v>
      </c>
      <c r="D39" s="26">
        <f t="shared" si="0"/>
        <v>27225.963563836409</v>
      </c>
      <c r="E39" s="26">
        <f t="shared" si="0"/>
        <v>599.17332080811263</v>
      </c>
      <c r="F39" s="26">
        <f t="shared" si="0"/>
        <v>0</v>
      </c>
      <c r="G39" s="26">
        <f t="shared" si="0"/>
        <v>50097.762592595449</v>
      </c>
      <c r="H39" s="27">
        <f t="shared" si="0"/>
        <v>952.86407356659674</v>
      </c>
      <c r="I39" s="25">
        <f t="shared" si="0"/>
        <v>8063.1907997671742</v>
      </c>
      <c r="J39" s="26">
        <f t="shared" si="0"/>
        <v>18740.386406135567</v>
      </c>
      <c r="K39" s="26">
        <f t="shared" si="0"/>
        <v>1026.7650490170715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10529.417139538784</v>
      </c>
      <c r="V39" s="242">
        <f t="shared" si="0"/>
        <v>4919.2116576575054</v>
      </c>
      <c r="W39" s="242">
        <f t="shared" si="0"/>
        <v>1881.0350889136507</v>
      </c>
      <c r="X39" s="242">
        <f t="shared" si="0"/>
        <v>877.98226090966534</v>
      </c>
      <c r="Y39" s="242">
        <f t="shared" si="0"/>
        <v>12228.092862409851</v>
      </c>
      <c r="Z39" s="242">
        <f t="shared" si="0"/>
        <v>5704.0835660480398</v>
      </c>
      <c r="AA39" s="250">
        <f t="shared" si="0"/>
        <v>0</v>
      </c>
      <c r="AB39" s="253">
        <f t="shared" si="0"/>
        <v>3592.8540858989281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SUM(AJ8:AJ37)</f>
        <v>5781.4475309753425</v>
      </c>
      <c r="AK39" s="253">
        <f t="shared" si="1"/>
        <v>20952.786729443873</v>
      </c>
      <c r="AL39" s="253">
        <f t="shared" si="1"/>
        <v>80530.714980214441</v>
      </c>
      <c r="AM39" s="253">
        <f t="shared" si="1"/>
        <v>17394.932548631037</v>
      </c>
      <c r="AN39" s="253">
        <f t="shared" si="1"/>
        <v>208591.9752386983</v>
      </c>
      <c r="AO39" s="253">
        <f t="shared" si="1"/>
        <v>87503.823331197113</v>
      </c>
      <c r="AP39" s="253">
        <f t="shared" si="1"/>
        <v>11933.086692981718</v>
      </c>
      <c r="AQ39" s="253">
        <f t="shared" si="1"/>
        <v>102797.34628138223</v>
      </c>
      <c r="AR39" s="253">
        <f t="shared" si="1"/>
        <v>13758.004906524018</v>
      </c>
      <c r="AS39" s="253">
        <f t="shared" si="1"/>
        <v>21347.56120562871</v>
      </c>
    </row>
    <row r="40" spans="1:45" ht="15.75" thickBot="1" x14ac:dyDescent="0.3">
      <c r="A40" s="43" t="s">
        <v>172</v>
      </c>
      <c r="B40" s="28">
        <f>Projection!$AC$30</f>
        <v>0.75949460999999996</v>
      </c>
      <c r="C40" s="29">
        <f>Projection!$AC$28</f>
        <v>2.1496683599999997</v>
      </c>
      <c r="D40" s="29">
        <f>Projection!$AC$31</f>
        <v>4.0072032000000002</v>
      </c>
      <c r="E40" s="29">
        <f>Projection!$AC$26</f>
        <v>5.6378400000000006</v>
      </c>
      <c r="F40" s="29">
        <f>Projection!$AC$23</f>
        <v>0</v>
      </c>
      <c r="G40" s="29">
        <f>Projection!$AC$24</f>
        <v>7.6444999999999999E-2</v>
      </c>
      <c r="H40" s="30">
        <f>Projection!$AC$29</f>
        <v>4.6146262499999997</v>
      </c>
      <c r="I40" s="28">
        <f>Projection!$AC$30</f>
        <v>0.75949460999999996</v>
      </c>
      <c r="J40" s="29">
        <f>Projection!$AC$28</f>
        <v>2.1496683599999997</v>
      </c>
      <c r="K40" s="29">
        <f>Projection!$AC$26</f>
        <v>5.6378400000000006</v>
      </c>
      <c r="L40" s="29">
        <f>Projection!$AC$25</f>
        <v>0</v>
      </c>
      <c r="M40" s="29">
        <f>Projection!$AC$23</f>
        <v>0</v>
      </c>
      <c r="N40" s="30">
        <f>Projection!$AC$23</f>
        <v>0</v>
      </c>
      <c r="O40" s="244">
        <v>15.77</v>
      </c>
      <c r="P40" s="245">
        <v>15.77</v>
      </c>
      <c r="Q40" s="245">
        <v>15.77</v>
      </c>
      <c r="R40" s="245">
        <v>15.77</v>
      </c>
      <c r="S40" s="245">
        <f>Projection!$AC$28</f>
        <v>2.1496683599999997</v>
      </c>
      <c r="T40" s="246">
        <f>Projection!$AC$28</f>
        <v>2.1496683599999997</v>
      </c>
      <c r="U40" s="244">
        <f>Projection!$AC$27</f>
        <v>0.41249999999999998</v>
      </c>
      <c r="V40" s="245">
        <f>Projection!$AC$27</f>
        <v>0.41249999999999998</v>
      </c>
      <c r="W40" s="245">
        <f>Projection!$AC$22</f>
        <v>2.6240976000000003</v>
      </c>
      <c r="X40" s="245">
        <f>Projection!$AC$22</f>
        <v>2.6240976000000003</v>
      </c>
      <c r="Y40" s="245">
        <f>Projection!$AC$31</f>
        <v>4.0072032000000002</v>
      </c>
      <c r="Z40" s="245">
        <f>Projection!$AC$31</f>
        <v>4.0072032000000002</v>
      </c>
      <c r="AA40" s="251">
        <v>0</v>
      </c>
      <c r="AB40" s="254">
        <f>Projection!$AC$27</f>
        <v>0.41249999999999998</v>
      </c>
      <c r="AC40" s="254">
        <f>Projection!$AC$30</f>
        <v>0.75949460999999996</v>
      </c>
      <c r="AD40" s="352">
        <f>SUM(AD8:AD38)</f>
        <v>524.43928239727529</v>
      </c>
      <c r="AE40" s="352">
        <f>SUM(AE8:AE38)</f>
        <v>237.57772999634733</v>
      </c>
      <c r="AF40" s="257">
        <f>SUM(AF8:AF37)</f>
        <v>744.67646503567687</v>
      </c>
      <c r="AG40" s="257">
        <f>SUM(AG8:AG37)</f>
        <v>498.69912608811154</v>
      </c>
      <c r="AH40" s="257">
        <f>SUM(AH8:AH37)</f>
        <v>233.20102105349309</v>
      </c>
      <c r="AI40" s="257">
        <f>IF(SUM(AG40:AH40)&gt;0, AG40/(AG40+AH40),0)</f>
        <v>0.68137590631147338</v>
      </c>
      <c r="AJ40" s="286">
        <v>8.5999999999999993E-2</v>
      </c>
      <c r="AK40" s="286">
        <f t="shared" ref="AK40:AS40" si="2">$AJ$40</f>
        <v>8.5999999999999993E-2</v>
      </c>
      <c r="AL40" s="286">
        <f t="shared" si="2"/>
        <v>8.5999999999999993E-2</v>
      </c>
      <c r="AM40" s="286">
        <f t="shared" si="2"/>
        <v>8.5999999999999993E-2</v>
      </c>
      <c r="AN40" s="286">
        <f t="shared" si="2"/>
        <v>8.5999999999999993E-2</v>
      </c>
      <c r="AO40" s="286">
        <f t="shared" si="2"/>
        <v>8.5999999999999993E-2</v>
      </c>
      <c r="AP40" s="286">
        <f t="shared" si="2"/>
        <v>8.5999999999999993E-2</v>
      </c>
      <c r="AQ40" s="286">
        <f t="shared" si="2"/>
        <v>8.5999999999999993E-2</v>
      </c>
      <c r="AR40" s="286">
        <f t="shared" si="2"/>
        <v>8.5999999999999993E-2</v>
      </c>
      <c r="AS40" s="286">
        <f t="shared" si="2"/>
        <v>8.5999999999999993E-2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>C40*C39</f>
        <v>5408.3823727472263</v>
      </c>
      <c r="D41" s="32">
        <f t="shared" si="3"/>
        <v>109099.96831608866</v>
      </c>
      <c r="E41" s="32">
        <f t="shared" si="3"/>
        <v>3378.04331498481</v>
      </c>
      <c r="F41" s="32">
        <f t="shared" si="3"/>
        <v>0</v>
      </c>
      <c r="G41" s="32">
        <f t="shared" si="3"/>
        <v>3829.7234613909591</v>
      </c>
      <c r="H41" s="33">
        <f t="shared" si="3"/>
        <v>4397.1115665623483</v>
      </c>
      <c r="I41" s="31">
        <f t="shared" si="3"/>
        <v>6123.9499518247576</v>
      </c>
      <c r="J41" s="32">
        <f t="shared" si="3"/>
        <v>40285.61571144373</v>
      </c>
      <c r="K41" s="32">
        <f t="shared" si="3"/>
        <v>5788.737063950407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4343.3845700597485</v>
      </c>
      <c r="V41" s="248">
        <f t="shared" si="3"/>
        <v>2029.1748087837209</v>
      </c>
      <c r="W41" s="248">
        <f t="shared" si="3"/>
        <v>4936.019662334098</v>
      </c>
      <c r="X41" s="248">
        <f t="shared" si="3"/>
        <v>2303.9111436956268</v>
      </c>
      <c r="Y41" s="248">
        <f t="shared" si="3"/>
        <v>49000.452848145913</v>
      </c>
      <c r="Z41" s="248">
        <f t="shared" si="3"/>
        <v>22857.421918935117</v>
      </c>
      <c r="AA41" s="252">
        <f t="shared" si="3"/>
        <v>0</v>
      </c>
      <c r="AB41" s="255">
        <f t="shared" si="3"/>
        <v>1482.0523104333079</v>
      </c>
      <c r="AC41" s="255">
        <f t="shared" si="3"/>
        <v>0</v>
      </c>
      <c r="AJ41" s="258">
        <f t="shared" ref="AJ41:AK41" si="4">AJ40*AJ39</f>
        <v>497.20448766387943</v>
      </c>
      <c r="AK41" s="258">
        <f t="shared" si="4"/>
        <v>1801.939658732173</v>
      </c>
      <c r="AL41" s="258">
        <f t="shared" ref="AL41:AS41" si="5">AL40*AL39</f>
        <v>6925.6414882984418</v>
      </c>
      <c r="AM41" s="258">
        <f t="shared" si="5"/>
        <v>1495.9641991822691</v>
      </c>
      <c r="AN41" s="258">
        <f t="shared" si="5"/>
        <v>17938.909870528052</v>
      </c>
      <c r="AO41" s="258">
        <f t="shared" si="5"/>
        <v>7525.3288064829512</v>
      </c>
      <c r="AP41" s="258">
        <f t="shared" si="5"/>
        <v>1026.2454555964277</v>
      </c>
      <c r="AQ41" s="258">
        <f t="shared" si="5"/>
        <v>8840.5717801988703</v>
      </c>
      <c r="AR41" s="258">
        <f t="shared" si="5"/>
        <v>1183.1884219610654</v>
      </c>
      <c r="AS41" s="258">
        <f t="shared" si="5"/>
        <v>1835.8902636840689</v>
      </c>
    </row>
    <row r="42" spans="1:45" ht="49.5" customHeight="1" thickTop="1" thickBot="1" x14ac:dyDescent="0.3">
      <c r="A42" s="587">
        <f>AUGUST!$A$42+31</f>
        <v>44806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980.32</v>
      </c>
      <c r="AK42" s="258" t="s">
        <v>197</v>
      </c>
      <c r="AL42" s="258">
        <v>443.57</v>
      </c>
      <c r="AM42" s="258">
        <v>483.28</v>
      </c>
      <c r="AN42" s="258">
        <v>6920.85</v>
      </c>
      <c r="AO42" s="258">
        <v>2779.38</v>
      </c>
      <c r="AP42" s="258">
        <v>199.77</v>
      </c>
      <c r="AQ42" s="258" t="s">
        <v>197</v>
      </c>
      <c r="AR42" s="258">
        <v>61.195999999999998</v>
      </c>
      <c r="AS42" s="258">
        <v>527.15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61.5" customHeight="1" thickTop="1" thickBot="1" x14ac:dyDescent="0.3">
      <c r="A44" s="262" t="s">
        <v>135</v>
      </c>
      <c r="B44" s="263">
        <f>SUM(B41:AC41)</f>
        <v>265263.94902138039</v>
      </c>
      <c r="D44" s="262" t="s">
        <v>135</v>
      </c>
      <c r="E44" s="263">
        <f>SUM(B41:H41)+P41+R41+T41+V41+X41+Z41</f>
        <v>153303.73690318849</v>
      </c>
      <c r="G44" s="262" t="s">
        <v>135</v>
      </c>
      <c r="H44" s="263">
        <f>SUM(I41:N41)+O41+Q41+S41+U41+W41+Y41</f>
        <v>110478.15980775864</v>
      </c>
      <c r="J44" s="262" t="s">
        <v>198</v>
      </c>
      <c r="K44" s="263">
        <v>147841.49</v>
      </c>
      <c r="R44" s="280" t="s">
        <v>135</v>
      </c>
      <c r="S44" s="281"/>
      <c r="T44" s="277" t="s">
        <v>167</v>
      </c>
      <c r="U44" s="235" t="s">
        <v>168</v>
      </c>
    </row>
    <row r="45" spans="1:45" ht="60" customHeight="1" thickBot="1" x14ac:dyDescent="0.4">
      <c r="A45" s="264" t="s">
        <v>183</v>
      </c>
      <c r="B45" s="265">
        <f>SUM(AJ41:AS41)</f>
        <v>49070.884432328203</v>
      </c>
      <c r="C45" s="333">
        <f>B45/B49</f>
        <v>65.895575778639994</v>
      </c>
      <c r="D45" s="264" t="s">
        <v>183</v>
      </c>
      <c r="E45" s="265">
        <f>AJ41*(1-$AI$40)+AK41+AL41*0.5+AN41+AO41*(1-$AI$40)+AP41*(1-$AI$40)+AQ41*(1-$AI$40)+AR41*0.5+AS41*0.5</f>
        <v>30413.187715511191</v>
      </c>
      <c r="F45" s="20"/>
      <c r="G45" s="264" t="s">
        <v>183</v>
      </c>
      <c r="H45" s="265">
        <f>AJ41*AI40+AL41*0.5+AM41+AO41*AI40+AP41*AI40+AQ41*AI40+AR41*0.5+AS41*0.5</f>
        <v>18657.696716817012</v>
      </c>
      <c r="K45" s="268"/>
      <c r="R45" s="278" t="s">
        <v>141</v>
      </c>
      <c r="S45" s="279"/>
      <c r="T45" s="234">
        <f>$W$39+$X$39</f>
        <v>2759.0173498233162</v>
      </c>
      <c r="U45" s="236">
        <f>(T45*8.34*0.895)/27000</f>
        <v>0.76274567423282147</v>
      </c>
    </row>
    <row r="46" spans="1:45" ht="32.25" thickBot="1" x14ac:dyDescent="0.3">
      <c r="A46" s="266" t="s">
        <v>184</v>
      </c>
      <c r="B46" s="267">
        <f>SUM(AJ42:AS42)</f>
        <v>12395.516000000001</v>
      </c>
      <c r="D46" s="266" t="s">
        <v>184</v>
      </c>
      <c r="E46" s="267">
        <f>AJ42*(1-$AI$40)+AL42*0.5+AN42+AO42*(1-$AI$40)+AP42*(1-$AI$40)+AR42*0.5+AS42*0.5</f>
        <v>8698.390540236911</v>
      </c>
      <c r="F46" s="19"/>
      <c r="G46" s="266" t="s">
        <v>184</v>
      </c>
      <c r="H46" s="267">
        <f>AJ42*AI40+AL42*0.5+AM42+AO42*AI40+AP42*AI40+AR42*0.5+AS42*0.5</f>
        <v>3697.1254597630891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147841.49</v>
      </c>
      <c r="D47" s="266" t="s">
        <v>187</v>
      </c>
      <c r="E47" s="267">
        <f>K44*0.5</f>
        <v>73920.744999999995</v>
      </c>
      <c r="F47" s="20"/>
      <c r="G47" s="266" t="s">
        <v>185</v>
      </c>
      <c r="H47" s="267">
        <f>K44*0.5</f>
        <v>73920.744999999995</v>
      </c>
      <c r="J47" s="262" t="s">
        <v>198</v>
      </c>
      <c r="K47" s="263">
        <v>101192.60999999997</v>
      </c>
      <c r="R47" s="278" t="s">
        <v>148</v>
      </c>
      <c r="S47" s="279"/>
      <c r="T47" s="234">
        <f>$G$39</f>
        <v>50097.762592595449</v>
      </c>
      <c r="U47" s="236">
        <f>T47/40000</f>
        <v>1.2524440648148862</v>
      </c>
    </row>
    <row r="48" spans="1:45" ht="24" thickBot="1" x14ac:dyDescent="0.3">
      <c r="A48" s="266" t="s">
        <v>186</v>
      </c>
      <c r="B48" s="267">
        <f>K47</f>
        <v>101192.60999999997</v>
      </c>
      <c r="D48" s="266" t="s">
        <v>186</v>
      </c>
      <c r="E48" s="267">
        <f>K47*0.5</f>
        <v>50596.304999999986</v>
      </c>
      <c r="F48" s="19"/>
      <c r="G48" s="266" t="s">
        <v>186</v>
      </c>
      <c r="H48" s="267">
        <f>K47*0.5</f>
        <v>50596.304999999986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1" ht="46.5" customHeight="1" thickTop="1" thickBot="1" x14ac:dyDescent="0.3">
      <c r="A49" s="271" t="s">
        <v>194</v>
      </c>
      <c r="B49" s="272">
        <f>AF40</f>
        <v>744.67646503567687</v>
      </c>
      <c r="C49" s="333">
        <f>B44/B49</f>
        <v>356.21368671651493</v>
      </c>
      <c r="D49" s="271" t="s">
        <v>195</v>
      </c>
      <c r="E49" s="272">
        <f>AH40</f>
        <v>233.20102105349309</v>
      </c>
      <c r="F49" s="19"/>
      <c r="G49" s="271" t="s">
        <v>196</v>
      </c>
      <c r="H49" s="272">
        <f>AG40</f>
        <v>498.69912608811154</v>
      </c>
      <c r="K49" s="71"/>
      <c r="R49" s="278" t="s">
        <v>152</v>
      </c>
      <c r="S49" s="279"/>
      <c r="T49" s="234">
        <f>$E$39+$K$39</f>
        <v>1625.9383698251841</v>
      </c>
      <c r="U49" s="236">
        <f>(T49*8.34*1.04)/45000</f>
        <v>0.31339420098923815</v>
      </c>
    </row>
    <row r="50" spans="1:21" ht="47.25" customHeight="1" thickTop="1" thickBot="1" x14ac:dyDescent="0.3">
      <c r="A50" s="271" t="s">
        <v>223</v>
      </c>
      <c r="B50" s="272">
        <f>SUM(E50+H50)</f>
        <v>762.01701239362262</v>
      </c>
      <c r="C50" s="333"/>
      <c r="D50" s="271" t="s">
        <v>224</v>
      </c>
      <c r="E50" s="272">
        <f>AE40</f>
        <v>237.57772999634733</v>
      </c>
      <c r="F50" s="19"/>
      <c r="G50" s="271" t="s">
        <v>225</v>
      </c>
      <c r="H50" s="272">
        <f>AD40</f>
        <v>524.43928239727529</v>
      </c>
      <c r="K50" s="71"/>
      <c r="R50" s="278"/>
      <c r="S50" s="279"/>
      <c r="T50" s="234"/>
      <c r="U50" s="236"/>
    </row>
    <row r="51" spans="1:21" ht="48" customHeight="1" thickTop="1" thickBot="1" x14ac:dyDescent="0.3">
      <c r="A51" s="271" t="s">
        <v>190</v>
      </c>
      <c r="B51" s="273">
        <f>(SUM(B44:B48)/B50)</f>
        <v>755.57952130902743</v>
      </c>
      <c r="D51" s="271" t="s">
        <v>188</v>
      </c>
      <c r="E51" s="274">
        <f>SUM(E44:E48)/E50</f>
        <v>1334.0154616504217</v>
      </c>
      <c r="F51" s="334">
        <f>E44/E49</f>
        <v>657.38878933991771</v>
      </c>
      <c r="G51" s="271" t="s">
        <v>189</v>
      </c>
      <c r="H51" s="274">
        <f>SUM(H44:H48)/H50</f>
        <v>490.71463679829748</v>
      </c>
      <c r="I51" s="333">
        <f>H44/H49</f>
        <v>221.53269181434069</v>
      </c>
      <c r="K51" s="71"/>
      <c r="R51" s="278" t="s">
        <v>153</v>
      </c>
      <c r="S51" s="279"/>
      <c r="T51" s="234">
        <f>$U$39+$V$39+$AB$39</f>
        <v>19041.482883095217</v>
      </c>
      <c r="U51" s="236">
        <f>T51/2000/8</f>
        <v>1.190092680193451</v>
      </c>
    </row>
    <row r="52" spans="1:21" ht="48" customHeight="1" thickTop="1" thickBot="1" x14ac:dyDescent="0.3">
      <c r="A52" s="261" t="s">
        <v>191</v>
      </c>
      <c r="B52" s="274">
        <f>B51/1000</f>
        <v>0.75557952130902739</v>
      </c>
      <c r="D52" s="261" t="s">
        <v>192</v>
      </c>
      <c r="E52" s="274">
        <f>E51/1000</f>
        <v>1.3340154616504216</v>
      </c>
      <c r="G52" s="261" t="s">
        <v>193</v>
      </c>
      <c r="H52" s="274">
        <f>H51/1000</f>
        <v>0.49071463679829747</v>
      </c>
      <c r="K52" s="71"/>
      <c r="R52" s="278" t="s">
        <v>154</v>
      </c>
      <c r="S52" s="279"/>
      <c r="T52" s="234">
        <f>$C$39+$J$39+$S$39+$T$39</f>
        <v>21256.301173912689</v>
      </c>
      <c r="U52" s="236">
        <f>(T52*8.34*1.4)/45000</f>
        <v>5.5153016112578781</v>
      </c>
    </row>
    <row r="53" spans="1:21" ht="48" customHeight="1" thickTop="1" thickBot="1" x14ac:dyDescent="0.3">
      <c r="A53" s="282"/>
      <c r="K53" s="71"/>
      <c r="R53" s="278" t="s">
        <v>155</v>
      </c>
      <c r="S53" s="279"/>
      <c r="T53" s="234">
        <f>$H$39</f>
        <v>952.86407356659674</v>
      </c>
      <c r="U53" s="236">
        <f>(T53*8.34*1.135)/45000</f>
        <v>0.20043813408831218</v>
      </c>
    </row>
    <row r="54" spans="1:21" ht="47.25" customHeight="1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8063.1907997671742</v>
      </c>
      <c r="U54" s="236">
        <f>(T54*8.34*1.029*0.03)/3300</f>
        <v>0.62906522360809003</v>
      </c>
    </row>
    <row r="55" spans="1:21" ht="78.75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45158.139992294295</v>
      </c>
      <c r="U55" s="239">
        <f>(T55*1.54*8.34)/45000</f>
        <v>12.888735262334023</v>
      </c>
    </row>
    <row r="56" spans="1:21" ht="71.25" customHeight="1" thickTop="1" x14ac:dyDescent="0.25">
      <c r="A56" s="283"/>
      <c r="B56" s="283"/>
      <c r="C56" s="283"/>
      <c r="D56" s="283"/>
      <c r="E56" s="283"/>
    </row>
    <row r="57" spans="1:21" ht="94.5" customHeight="1" x14ac:dyDescent="0.25"/>
    <row r="58" spans="1:21" ht="46.5" customHeight="1" x14ac:dyDescent="0.25">
      <c r="A58" s="619"/>
      <c r="B58" s="620"/>
      <c r="C58" s="620"/>
      <c r="D58" s="620"/>
      <c r="E58" s="620"/>
    </row>
    <row r="59" spans="1:21" ht="18.75" x14ac:dyDescent="0.25">
      <c r="A59" s="619"/>
      <c r="B59" s="620"/>
      <c r="C59" s="620"/>
      <c r="D59" s="620"/>
      <c r="E59" s="620"/>
    </row>
    <row r="60" spans="1:21" ht="15" customHeight="1" x14ac:dyDescent="0.25">
      <c r="A60" s="259"/>
      <c r="B60" s="260"/>
    </row>
    <row r="61" spans="1:21" x14ac:dyDescent="0.25">
      <c r="A61" s="260"/>
      <c r="B61" s="260"/>
    </row>
    <row r="62" spans="1:21" ht="15" customHeight="1" x14ac:dyDescent="0.25">
      <c r="A62" s="259"/>
      <c r="B62" s="260"/>
    </row>
    <row r="63" spans="1:21" x14ac:dyDescent="0.25">
      <c r="A63" s="260"/>
      <c r="B63" s="260"/>
    </row>
    <row r="68" spans="1:8" x14ac:dyDescent="0.25">
      <c r="A68" s="41"/>
      <c r="B68" s="41"/>
      <c r="C68" s="41"/>
      <c r="D68" s="41"/>
      <c r="E68" s="41"/>
      <c r="F68" s="41"/>
      <c r="G68" s="41"/>
      <c r="H68" s="41"/>
    </row>
    <row r="71" spans="1:8" ht="93" customHeight="1" x14ac:dyDescent="0.25"/>
    <row r="72" spans="1:8" ht="75" customHeight="1" x14ac:dyDescent="0.25"/>
    <row r="73" spans="1:8" ht="51.75" customHeight="1" x14ac:dyDescent="0.25"/>
  </sheetData>
  <sheetProtection selectLockedCells="1" selectUnlockedCells="1"/>
  <mergeCells count="34">
    <mergeCell ref="AO4:AO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G4:AG5"/>
    <mergeCell ref="AH4:AH5"/>
    <mergeCell ref="AI4:AI5"/>
    <mergeCell ref="O4:T5"/>
    <mergeCell ref="U4:AA5"/>
    <mergeCell ref="AB4:AB5"/>
    <mergeCell ref="AC4:AC5"/>
    <mergeCell ref="AD4:AD5"/>
    <mergeCell ref="AE4:AE5"/>
    <mergeCell ref="B4:H5"/>
    <mergeCell ref="I4:N5"/>
    <mergeCell ref="J43:K43"/>
    <mergeCell ref="A42:K42"/>
    <mergeCell ref="AF4:AF5"/>
    <mergeCell ref="R43:U43"/>
    <mergeCell ref="A43:B43"/>
    <mergeCell ref="D43:E43"/>
    <mergeCell ref="G43:H43"/>
    <mergeCell ref="R55:S55"/>
    <mergeCell ref="A55:E55"/>
    <mergeCell ref="A58:E58"/>
    <mergeCell ref="A59:E59"/>
    <mergeCell ref="J46:K46"/>
    <mergeCell ref="A54:E54"/>
  </mergeCells>
  <printOptions horizontalCentered="1"/>
  <pageMargins left="0.33" right="0.19" top="0.75" bottom="0.75" header="0.3" footer="0.3"/>
  <pageSetup paperSize="17" scale="67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C63"/>
  <sheetViews>
    <sheetView topLeftCell="AE21" zoomScale="75" zoomScaleNormal="75" workbookViewId="0">
      <selection activeCell="AM43" sqref="AM43"/>
    </sheetView>
  </sheetViews>
  <sheetFormatPr defaultRowHeight="15" x14ac:dyDescent="0.25"/>
  <cols>
    <col min="1" max="1" width="38.710937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6" width="20.42578125" customWidth="1"/>
    <col min="47" max="47" width="20.285156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</row>
    <row r="2" spans="1:55" ht="15" customHeight="1" x14ac:dyDescent="0.25">
      <c r="A2" s="1" t="s">
        <v>2</v>
      </c>
      <c r="B2" s="4"/>
    </row>
    <row r="3" spans="1:55" ht="15.75" thickBot="1" x14ac:dyDescent="0.3">
      <c r="A3" s="5"/>
      <c r="BB3" t="s">
        <v>169</v>
      </c>
      <c r="BC3" s="240" t="s">
        <v>206</v>
      </c>
    </row>
    <row r="4" spans="1:55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</row>
    <row r="5" spans="1:55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55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55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55" x14ac:dyDescent="0.25">
      <c r="A8" s="9">
        <v>44835</v>
      </c>
      <c r="B8" s="45"/>
      <c r="C8" s="46">
        <v>78.25</v>
      </c>
      <c r="D8" s="46">
        <v>882.16</v>
      </c>
      <c r="E8" s="46">
        <v>18.37</v>
      </c>
      <c r="F8" s="46">
        <v>0</v>
      </c>
      <c r="G8" s="46">
        <v>1631.8</v>
      </c>
      <c r="H8" s="47">
        <v>29.69</v>
      </c>
      <c r="I8" s="45">
        <v>304.89</v>
      </c>
      <c r="J8" s="46">
        <v>530.34</v>
      </c>
      <c r="K8" s="46">
        <v>29.16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260.49</v>
      </c>
      <c r="V8" s="50">
        <v>135.87</v>
      </c>
      <c r="W8" s="50">
        <v>44.66</v>
      </c>
      <c r="X8" s="50">
        <v>23.29</v>
      </c>
      <c r="Y8" s="50">
        <v>265.48</v>
      </c>
      <c r="Z8" s="50">
        <v>138.47</v>
      </c>
      <c r="AA8" s="51">
        <v>0</v>
      </c>
      <c r="AB8" s="52">
        <v>107.55</v>
      </c>
      <c r="AC8" s="53">
        <v>0</v>
      </c>
      <c r="AD8" s="358">
        <v>14.29</v>
      </c>
      <c r="AE8" s="358">
        <v>7.41</v>
      </c>
      <c r="AF8" s="53">
        <v>20.63</v>
      </c>
      <c r="AG8" s="53">
        <v>13.25</v>
      </c>
      <c r="AH8" s="53">
        <v>6.91</v>
      </c>
      <c r="AI8" s="53">
        <v>0.66</v>
      </c>
      <c r="AJ8" s="53">
        <v>196.42</v>
      </c>
      <c r="AK8" s="53">
        <v>722.3</v>
      </c>
      <c r="AL8" s="53">
        <v>2615.91</v>
      </c>
      <c r="AM8" s="53">
        <v>559.73</v>
      </c>
      <c r="AN8" s="53">
        <v>5337.85</v>
      </c>
      <c r="AO8" s="53">
        <v>2849.64</v>
      </c>
      <c r="AP8" s="53">
        <v>361.48</v>
      </c>
      <c r="AQ8" s="53">
        <v>3041.08</v>
      </c>
      <c r="AR8" s="53">
        <v>468.6</v>
      </c>
      <c r="AS8" s="53">
        <v>631.28</v>
      </c>
    </row>
    <row r="9" spans="1:55" x14ac:dyDescent="0.25">
      <c r="A9" s="9">
        <v>44836</v>
      </c>
      <c r="B9" s="45"/>
      <c r="C9" s="46">
        <v>79.22</v>
      </c>
      <c r="D9" s="46">
        <v>890.49</v>
      </c>
      <c r="E9" s="46">
        <v>18.34</v>
      </c>
      <c r="F9" s="46">
        <v>0</v>
      </c>
      <c r="G9" s="46">
        <v>1589.49</v>
      </c>
      <c r="H9" s="47">
        <v>29.89</v>
      </c>
      <c r="I9" s="45">
        <v>306.88</v>
      </c>
      <c r="J9" s="46">
        <v>468.45</v>
      </c>
      <c r="K9" s="46">
        <v>25.74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237.3</v>
      </c>
      <c r="V9" s="54">
        <v>148.31</v>
      </c>
      <c r="W9" s="54">
        <v>39.83</v>
      </c>
      <c r="X9" s="54">
        <v>24.9</v>
      </c>
      <c r="Y9" s="54">
        <v>220.86</v>
      </c>
      <c r="Z9" s="54">
        <v>138.03</v>
      </c>
      <c r="AA9" s="57">
        <v>0</v>
      </c>
      <c r="AB9" s="58">
        <v>105.49</v>
      </c>
      <c r="AC9" s="52">
        <v>0</v>
      </c>
      <c r="AD9" s="359">
        <v>12.63</v>
      </c>
      <c r="AE9" s="359">
        <v>7.48</v>
      </c>
      <c r="AF9" s="52">
        <v>19.93</v>
      </c>
      <c r="AG9" s="58">
        <v>12</v>
      </c>
      <c r="AH9" s="58">
        <v>7.5</v>
      </c>
      <c r="AI9" s="58">
        <v>0.62</v>
      </c>
      <c r="AJ9" s="52">
        <v>197.99</v>
      </c>
      <c r="AK9" s="52">
        <v>718.61</v>
      </c>
      <c r="AL9" s="52">
        <v>2625.39</v>
      </c>
      <c r="AM9" s="52">
        <v>541.6</v>
      </c>
      <c r="AN9" s="52">
        <v>5237.33</v>
      </c>
      <c r="AO9" s="52">
        <v>2847.72</v>
      </c>
      <c r="AP9" s="52">
        <v>347.39</v>
      </c>
      <c r="AQ9" s="52">
        <v>2953.79</v>
      </c>
      <c r="AR9" s="52">
        <v>466.21</v>
      </c>
      <c r="AS9" s="52">
        <v>667.76</v>
      </c>
    </row>
    <row r="10" spans="1:55" x14ac:dyDescent="0.25">
      <c r="A10" s="9">
        <v>44837</v>
      </c>
      <c r="B10" s="45"/>
      <c r="C10" s="46">
        <v>79.22</v>
      </c>
      <c r="D10" s="46">
        <v>889.98</v>
      </c>
      <c r="E10" s="46">
        <v>18.38</v>
      </c>
      <c r="F10" s="46">
        <v>0</v>
      </c>
      <c r="G10" s="46">
        <v>1620.25</v>
      </c>
      <c r="H10" s="47">
        <v>29.92</v>
      </c>
      <c r="I10" s="45">
        <v>308.62</v>
      </c>
      <c r="J10" s="46">
        <v>468.26</v>
      </c>
      <c r="K10" s="46">
        <v>25.73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253.41</v>
      </c>
      <c r="V10" s="54">
        <v>158.38</v>
      </c>
      <c r="W10" s="54">
        <v>42.11</v>
      </c>
      <c r="X10" s="54">
        <v>26.32</v>
      </c>
      <c r="Y10" s="54">
        <v>212.61</v>
      </c>
      <c r="Z10" s="54">
        <v>132.88</v>
      </c>
      <c r="AA10" s="57">
        <v>0</v>
      </c>
      <c r="AB10" s="58">
        <v>104.32</v>
      </c>
      <c r="AC10" s="52">
        <v>0</v>
      </c>
      <c r="AD10" s="359">
        <v>12.62</v>
      </c>
      <c r="AE10" s="359">
        <v>7.48</v>
      </c>
      <c r="AF10" s="52">
        <v>19.82</v>
      </c>
      <c r="AG10" s="58">
        <v>11.93</v>
      </c>
      <c r="AH10" s="58">
        <v>7.45</v>
      </c>
      <c r="AI10" s="58">
        <v>0.62</v>
      </c>
      <c r="AJ10" s="52">
        <v>197</v>
      </c>
      <c r="AK10" s="52">
        <v>722.87</v>
      </c>
      <c r="AL10" s="52">
        <v>2624.28</v>
      </c>
      <c r="AM10" s="52">
        <v>549.29</v>
      </c>
      <c r="AN10" s="52">
        <v>5631.33</v>
      </c>
      <c r="AO10" s="52">
        <v>2881.91</v>
      </c>
      <c r="AP10" s="52">
        <v>346.94</v>
      </c>
      <c r="AQ10" s="52">
        <v>2869.6</v>
      </c>
      <c r="AR10" s="52">
        <v>459.31</v>
      </c>
      <c r="AS10" s="52">
        <v>628.6</v>
      </c>
    </row>
    <row r="11" spans="1:55" x14ac:dyDescent="0.25">
      <c r="A11" s="9">
        <v>44838</v>
      </c>
      <c r="B11" s="45"/>
      <c r="C11" s="46">
        <v>78.95</v>
      </c>
      <c r="D11" s="46">
        <v>887.37</v>
      </c>
      <c r="E11" s="46">
        <v>18.09</v>
      </c>
      <c r="F11" s="46">
        <v>0</v>
      </c>
      <c r="G11" s="46">
        <v>1624.29</v>
      </c>
      <c r="H11" s="47">
        <v>29.89</v>
      </c>
      <c r="I11" s="45">
        <v>245.45</v>
      </c>
      <c r="J11" s="46">
        <v>468.35</v>
      </c>
      <c r="K11" s="46">
        <v>25.75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247.23</v>
      </c>
      <c r="V11" s="54">
        <v>154.49</v>
      </c>
      <c r="W11" s="54">
        <v>42.04</v>
      </c>
      <c r="X11" s="54">
        <v>26.27</v>
      </c>
      <c r="Y11" s="54">
        <v>182.9</v>
      </c>
      <c r="Z11" s="54">
        <v>114.3</v>
      </c>
      <c r="AA11" s="57">
        <v>0</v>
      </c>
      <c r="AB11" s="58">
        <v>104.82</v>
      </c>
      <c r="AC11" s="52">
        <v>0</v>
      </c>
      <c r="AD11" s="359">
        <v>12.62</v>
      </c>
      <c r="AE11" s="359">
        <v>7.45</v>
      </c>
      <c r="AF11" s="52">
        <v>19.93</v>
      </c>
      <c r="AG11" s="58">
        <v>12</v>
      </c>
      <c r="AH11" s="58">
        <v>7.5</v>
      </c>
      <c r="AI11" s="58">
        <v>0.62</v>
      </c>
      <c r="AJ11" s="52">
        <v>201.03</v>
      </c>
      <c r="AK11" s="52">
        <v>719.18</v>
      </c>
      <c r="AL11" s="52">
        <v>2626.58</v>
      </c>
      <c r="AM11" s="52">
        <v>552.98</v>
      </c>
      <c r="AN11" s="52">
        <v>6364.51</v>
      </c>
      <c r="AO11" s="52">
        <v>2875.05</v>
      </c>
      <c r="AP11" s="52">
        <v>344.22</v>
      </c>
      <c r="AQ11" s="52">
        <v>2897.08</v>
      </c>
      <c r="AR11" s="52">
        <v>456.38</v>
      </c>
      <c r="AS11" s="52">
        <v>566.20000000000005</v>
      </c>
    </row>
    <row r="12" spans="1:55" x14ac:dyDescent="0.25">
      <c r="A12" s="9">
        <v>44839</v>
      </c>
      <c r="B12" s="45"/>
      <c r="C12" s="46">
        <v>78.946056115627755</v>
      </c>
      <c r="D12" s="46">
        <v>889.24345130920585</v>
      </c>
      <c r="E12" s="46">
        <v>18.146363015472922</v>
      </c>
      <c r="F12" s="46">
        <v>0</v>
      </c>
      <c r="G12" s="46">
        <v>1631.1789505004917</v>
      </c>
      <c r="H12" s="47">
        <v>29.924291125933394</v>
      </c>
      <c r="I12" s="45">
        <v>212.67320637702971</v>
      </c>
      <c r="J12" s="46">
        <v>468.92064666747984</v>
      </c>
      <c r="K12" s="46">
        <v>25.600643585125628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241.21524544736462</v>
      </c>
      <c r="V12" s="54">
        <v>150.756773684618</v>
      </c>
      <c r="W12" s="54">
        <v>41.747535372061478</v>
      </c>
      <c r="X12" s="54">
        <v>26.091732843435906</v>
      </c>
      <c r="Y12" s="54">
        <v>157.97522957086801</v>
      </c>
      <c r="Z12" s="54">
        <v>98.732714377241791</v>
      </c>
      <c r="AA12" s="57">
        <v>0</v>
      </c>
      <c r="AB12" s="58">
        <v>104.72861566013563</v>
      </c>
      <c r="AC12" s="52">
        <v>0</v>
      </c>
      <c r="AD12" s="359">
        <v>12.637265927440374</v>
      </c>
      <c r="AE12" s="359">
        <v>7.4693439259895191</v>
      </c>
      <c r="AF12" s="52">
        <v>19.482517261637632</v>
      </c>
      <c r="AG12" s="58">
        <v>11.720744046747644</v>
      </c>
      <c r="AH12" s="58">
        <v>7.3253311762852062</v>
      </c>
      <c r="AI12" s="58">
        <v>0.61538894021449009</v>
      </c>
      <c r="AJ12" s="52">
        <v>197.17407557169597</v>
      </c>
      <c r="AK12" s="52">
        <v>714.10786972045901</v>
      </c>
      <c r="AL12" s="52">
        <v>2601.8268080393473</v>
      </c>
      <c r="AM12" s="52">
        <v>565.22554718653362</v>
      </c>
      <c r="AN12" s="52">
        <v>7209.734324391683</v>
      </c>
      <c r="AO12" s="52">
        <v>2919.2593265533442</v>
      </c>
      <c r="AP12" s="52">
        <v>343.03755766550694</v>
      </c>
      <c r="AQ12" s="52">
        <v>2863.1037166595465</v>
      </c>
      <c r="AR12" s="52">
        <v>477.23577273686726</v>
      </c>
      <c r="AS12" s="52">
        <v>608.14188674290983</v>
      </c>
    </row>
    <row r="13" spans="1:55" x14ac:dyDescent="0.25">
      <c r="A13" s="9">
        <v>44840</v>
      </c>
      <c r="B13" s="45"/>
      <c r="C13" s="46">
        <v>79.129728134472956</v>
      </c>
      <c r="D13" s="46">
        <v>888.41241321563859</v>
      </c>
      <c r="E13" s="46">
        <v>18.124487640957057</v>
      </c>
      <c r="F13" s="46">
        <v>0</v>
      </c>
      <c r="G13" s="46">
        <v>1688.1147017796845</v>
      </c>
      <c r="H13" s="47">
        <v>29.929374186198</v>
      </c>
      <c r="I13" s="45">
        <v>212.8058613300326</v>
      </c>
      <c r="J13" s="46">
        <v>488.61604242324813</v>
      </c>
      <c r="K13" s="46">
        <v>26.629902106523542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235.35680208420393</v>
      </c>
      <c r="V13" s="54">
        <v>142.60513204784269</v>
      </c>
      <c r="W13" s="54">
        <v>41.026135005508216</v>
      </c>
      <c r="X13" s="54">
        <v>24.858161515042873</v>
      </c>
      <c r="Y13" s="54">
        <v>156.76498665084702</v>
      </c>
      <c r="Z13" s="54">
        <v>94.985534405010227</v>
      </c>
      <c r="AA13" s="57">
        <v>0</v>
      </c>
      <c r="AB13" s="58">
        <v>104.57101991441549</v>
      </c>
      <c r="AC13" s="52">
        <v>0</v>
      </c>
      <c r="AD13" s="359">
        <v>12.638997702819957</v>
      </c>
      <c r="AE13" s="359">
        <v>7.4629904121915409</v>
      </c>
      <c r="AF13" s="52">
        <v>18.976380699210697</v>
      </c>
      <c r="AG13" s="58">
        <v>11.554986493526421</v>
      </c>
      <c r="AH13" s="58">
        <v>7.0012863878514047</v>
      </c>
      <c r="AI13" s="58">
        <v>0.6226997505044477</v>
      </c>
      <c r="AJ13" s="52">
        <v>208.92775417963662</v>
      </c>
      <c r="AK13" s="52">
        <v>719.60708716710417</v>
      </c>
      <c r="AL13" s="52">
        <v>2594.0195629119871</v>
      </c>
      <c r="AM13" s="52">
        <v>570.63108256657904</v>
      </c>
      <c r="AN13" s="52">
        <v>6326.5461181640603</v>
      </c>
      <c r="AO13" s="52">
        <v>2959.9316758473719</v>
      </c>
      <c r="AP13" s="52">
        <v>346.21492180824276</v>
      </c>
      <c r="AQ13" s="52">
        <v>2910.4603538513184</v>
      </c>
      <c r="AR13" s="52">
        <v>449.06257616678874</v>
      </c>
      <c r="AS13" s="52">
        <v>671.83929630915327</v>
      </c>
    </row>
    <row r="14" spans="1:55" x14ac:dyDescent="0.25">
      <c r="A14" s="9">
        <v>44841</v>
      </c>
      <c r="B14" s="45"/>
      <c r="C14" s="46">
        <v>78.709999999999994</v>
      </c>
      <c r="D14" s="46">
        <v>883.23</v>
      </c>
      <c r="E14" s="46">
        <v>18.18</v>
      </c>
      <c r="F14" s="46">
        <v>0</v>
      </c>
      <c r="G14" s="46">
        <v>1781.79</v>
      </c>
      <c r="H14" s="47">
        <v>29.74</v>
      </c>
      <c r="I14" s="45">
        <v>208.8</v>
      </c>
      <c r="J14" s="46">
        <v>487.74</v>
      </c>
      <c r="K14" s="46">
        <v>26.72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236.36</v>
      </c>
      <c r="V14" s="54">
        <v>147.69999999999999</v>
      </c>
      <c r="W14" s="54">
        <v>41.79</v>
      </c>
      <c r="X14" s="54">
        <v>26.11</v>
      </c>
      <c r="Y14" s="54">
        <v>159.07</v>
      </c>
      <c r="Z14" s="54">
        <v>99.4</v>
      </c>
      <c r="AA14" s="57">
        <v>0</v>
      </c>
      <c r="AB14" s="58">
        <v>104.32</v>
      </c>
      <c r="AC14" s="52">
        <v>0</v>
      </c>
      <c r="AD14" s="359">
        <v>12.61</v>
      </c>
      <c r="AE14" s="359">
        <v>7.42</v>
      </c>
      <c r="AF14" s="52">
        <v>19.309999999999999</v>
      </c>
      <c r="AG14" s="58">
        <v>11.64</v>
      </c>
      <c r="AH14" s="58">
        <v>7.27</v>
      </c>
      <c r="AI14" s="58">
        <v>0.62</v>
      </c>
      <c r="AJ14" s="52">
        <v>202.66</v>
      </c>
      <c r="AK14" s="52">
        <v>712.97</v>
      </c>
      <c r="AL14" s="52">
        <v>2593.4499999999998</v>
      </c>
      <c r="AM14" s="52">
        <v>561.51</v>
      </c>
      <c r="AN14" s="52">
        <v>5309.46</v>
      </c>
      <c r="AO14" s="52">
        <v>2848.72</v>
      </c>
      <c r="AP14" s="52">
        <v>345.25</v>
      </c>
      <c r="AQ14" s="52">
        <v>2690.33</v>
      </c>
      <c r="AR14" s="52">
        <v>417.54</v>
      </c>
      <c r="AS14" s="52">
        <v>518.61</v>
      </c>
    </row>
    <row r="15" spans="1:55" x14ac:dyDescent="0.25">
      <c r="A15" s="9">
        <v>44842</v>
      </c>
      <c r="B15" s="45"/>
      <c r="C15" s="46">
        <v>78.008904222646109</v>
      </c>
      <c r="D15" s="46">
        <v>881.15475711822455</v>
      </c>
      <c r="E15" s="46">
        <v>18.456564010183047</v>
      </c>
      <c r="F15" s="46">
        <v>0</v>
      </c>
      <c r="G15" s="46">
        <v>1735.8558513005621</v>
      </c>
      <c r="H15" s="47">
        <v>29.44504951834681</v>
      </c>
      <c r="I15" s="45">
        <v>208.21537833213856</v>
      </c>
      <c r="J15" s="46">
        <v>473.92569389343225</v>
      </c>
      <c r="K15" s="46">
        <v>26.001935928563263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240.90453377477033</v>
      </c>
      <c r="V15" s="54">
        <v>148.57415397784902</v>
      </c>
      <c r="W15" s="54">
        <v>42.78093475167519</v>
      </c>
      <c r="X15" s="54">
        <v>26.384481385702227</v>
      </c>
      <c r="Y15" s="54">
        <v>160.41797303666897</v>
      </c>
      <c r="Z15" s="54">
        <v>98.935309573906366</v>
      </c>
      <c r="AA15" s="57">
        <v>0</v>
      </c>
      <c r="AB15" s="58">
        <v>103.85753297276173</v>
      </c>
      <c r="AC15" s="52">
        <v>0</v>
      </c>
      <c r="AD15" s="359">
        <v>12.607570209927914</v>
      </c>
      <c r="AE15" s="359">
        <v>7.363151413488346</v>
      </c>
      <c r="AF15" s="52">
        <v>19.546206588215295</v>
      </c>
      <c r="AG15" s="58">
        <v>11.845716613483372</v>
      </c>
      <c r="AH15" s="58">
        <v>7.3056629384779228</v>
      </c>
      <c r="AI15" s="58">
        <v>0.61853072157771793</v>
      </c>
      <c r="AJ15" s="52">
        <v>200.49798669815064</v>
      </c>
      <c r="AK15" s="52">
        <v>725.7398834864299</v>
      </c>
      <c r="AL15" s="52">
        <v>2593.7218162536615</v>
      </c>
      <c r="AM15" s="52">
        <v>564.95526498158779</v>
      </c>
      <c r="AN15" s="52">
        <v>6065.2361643473305</v>
      </c>
      <c r="AO15" s="52">
        <v>2918.4776643117266</v>
      </c>
      <c r="AP15" s="52">
        <v>350.14195801417031</v>
      </c>
      <c r="AQ15" s="52">
        <v>2458.1847852071132</v>
      </c>
      <c r="AR15" s="52">
        <v>409.35088094075519</v>
      </c>
      <c r="AS15" s="52">
        <v>525.7179819424947</v>
      </c>
    </row>
    <row r="16" spans="1:55" x14ac:dyDescent="0.25">
      <c r="A16" s="9">
        <v>44843</v>
      </c>
      <c r="B16" s="45"/>
      <c r="C16" s="46">
        <v>77.900000000000006</v>
      </c>
      <c r="D16" s="46">
        <v>887.93</v>
      </c>
      <c r="E16" s="46">
        <v>18.97</v>
      </c>
      <c r="F16" s="46">
        <v>0</v>
      </c>
      <c r="G16" s="46">
        <v>1630.58</v>
      </c>
      <c r="H16" s="47">
        <v>29.44</v>
      </c>
      <c r="I16" s="45">
        <v>208.34</v>
      </c>
      <c r="J16" s="46">
        <v>467.94</v>
      </c>
      <c r="K16" s="46">
        <v>25.56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243.66</v>
      </c>
      <c r="V16" s="54">
        <v>150.30000000000001</v>
      </c>
      <c r="W16" s="54">
        <v>43.71</v>
      </c>
      <c r="X16" s="54">
        <v>26.96</v>
      </c>
      <c r="Y16" s="54">
        <v>159.77000000000001</v>
      </c>
      <c r="Z16" s="54">
        <v>98.55</v>
      </c>
      <c r="AA16" s="57">
        <v>0</v>
      </c>
      <c r="AB16" s="58">
        <v>103.7</v>
      </c>
      <c r="AC16" s="52">
        <v>0</v>
      </c>
      <c r="AD16" s="359">
        <v>12.61</v>
      </c>
      <c r="AE16" s="359">
        <v>7.36</v>
      </c>
      <c r="AF16" s="52">
        <v>19.489999999999998</v>
      </c>
      <c r="AG16" s="58">
        <v>11.81</v>
      </c>
      <c r="AH16" s="58">
        <v>7.28</v>
      </c>
      <c r="AI16" s="58">
        <v>0.62</v>
      </c>
      <c r="AJ16" s="52">
        <v>201.67</v>
      </c>
      <c r="AK16" s="52">
        <v>715.84</v>
      </c>
      <c r="AL16" s="52">
        <v>2574.5300000000002</v>
      </c>
      <c r="AM16" s="52">
        <v>572.02</v>
      </c>
      <c r="AN16" s="52">
        <v>6929.5</v>
      </c>
      <c r="AO16" s="52">
        <v>3062.86</v>
      </c>
      <c r="AP16" s="52">
        <v>347.42</v>
      </c>
      <c r="AQ16" s="52">
        <v>2520.91</v>
      </c>
      <c r="AR16" s="52">
        <v>396.18</v>
      </c>
      <c r="AS16" s="52">
        <v>580.79999999999995</v>
      </c>
    </row>
    <row r="17" spans="1:45" x14ac:dyDescent="0.25">
      <c r="A17" s="9">
        <v>44844</v>
      </c>
      <c r="B17" s="45"/>
      <c r="C17" s="46">
        <v>27.4</v>
      </c>
      <c r="D17" s="46">
        <v>308.02999999999997</v>
      </c>
      <c r="E17" s="46">
        <v>6.92</v>
      </c>
      <c r="F17" s="46">
        <v>0</v>
      </c>
      <c r="G17" s="46">
        <v>538.85</v>
      </c>
      <c r="H17" s="47">
        <v>10.36</v>
      </c>
      <c r="I17" s="45">
        <v>224.69</v>
      </c>
      <c r="J17" s="46">
        <v>531.17999999999995</v>
      </c>
      <c r="K17" s="46">
        <v>29.08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283.42</v>
      </c>
      <c r="V17" s="54">
        <v>50.13</v>
      </c>
      <c r="W17" s="54">
        <v>49.52</v>
      </c>
      <c r="X17" s="54">
        <v>8.76</v>
      </c>
      <c r="Y17" s="54">
        <v>193.76</v>
      </c>
      <c r="Z17" s="54">
        <v>34.270000000000003</v>
      </c>
      <c r="AA17" s="57">
        <v>0</v>
      </c>
      <c r="AB17" s="58">
        <v>88.83</v>
      </c>
      <c r="AC17" s="52">
        <v>0</v>
      </c>
      <c r="AD17" s="359">
        <v>14.31</v>
      </c>
      <c r="AE17" s="359">
        <v>2.5499999999999998</v>
      </c>
      <c r="AF17" s="52">
        <v>16.170000000000002</v>
      </c>
      <c r="AG17" s="58">
        <v>13.42</v>
      </c>
      <c r="AH17" s="58">
        <v>2.37</v>
      </c>
      <c r="AI17" s="58">
        <v>0.85</v>
      </c>
      <c r="AJ17" s="52">
        <v>214.98</v>
      </c>
      <c r="AK17" s="52">
        <v>518.48</v>
      </c>
      <c r="AL17" s="52">
        <v>1329.69</v>
      </c>
      <c r="AM17" s="52">
        <v>575.55999999999995</v>
      </c>
      <c r="AN17" s="52">
        <v>3018.7</v>
      </c>
      <c r="AO17" s="52">
        <v>2414.39</v>
      </c>
      <c r="AP17" s="52">
        <v>331.52</v>
      </c>
      <c r="AQ17" s="52">
        <v>2145.58</v>
      </c>
      <c r="AR17" s="52">
        <v>403.56</v>
      </c>
      <c r="AS17" s="52">
        <v>667.35</v>
      </c>
    </row>
    <row r="18" spans="1:45" x14ac:dyDescent="0.25">
      <c r="A18" s="9">
        <v>44845</v>
      </c>
      <c r="B18" s="45"/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7">
        <v>0</v>
      </c>
      <c r="I18" s="45">
        <v>235.56</v>
      </c>
      <c r="J18" s="46">
        <v>574.67999999999995</v>
      </c>
      <c r="K18" s="46">
        <v>31.5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316.25</v>
      </c>
      <c r="V18" s="54">
        <v>0</v>
      </c>
      <c r="W18" s="54">
        <v>55.13</v>
      </c>
      <c r="X18" s="54">
        <v>0</v>
      </c>
      <c r="Y18" s="54">
        <v>215.62</v>
      </c>
      <c r="Z18" s="54">
        <v>0</v>
      </c>
      <c r="AA18" s="57">
        <v>0</v>
      </c>
      <c r="AB18" s="58">
        <v>82.85</v>
      </c>
      <c r="AC18" s="52">
        <v>0</v>
      </c>
      <c r="AD18" s="359">
        <v>15.5</v>
      </c>
      <c r="AE18" s="359">
        <v>0</v>
      </c>
      <c r="AF18" s="52">
        <v>15.2</v>
      </c>
      <c r="AG18" s="58">
        <v>14.87</v>
      </c>
      <c r="AH18" s="58">
        <v>0</v>
      </c>
      <c r="AI18" s="58">
        <v>1</v>
      </c>
      <c r="AJ18" s="52">
        <v>197.52</v>
      </c>
      <c r="AK18" s="52">
        <v>392.1</v>
      </c>
      <c r="AL18" s="52">
        <v>738.62</v>
      </c>
      <c r="AM18" s="52">
        <v>583.27</v>
      </c>
      <c r="AN18" s="52">
        <v>1115.8699999999999</v>
      </c>
      <c r="AO18" s="52">
        <v>2054.38</v>
      </c>
      <c r="AP18" s="52">
        <v>333.49</v>
      </c>
      <c r="AQ18" s="52">
        <v>2004.63</v>
      </c>
      <c r="AR18" s="52">
        <v>404.8</v>
      </c>
      <c r="AS18" s="52">
        <v>633.94000000000005</v>
      </c>
    </row>
    <row r="19" spans="1:45" x14ac:dyDescent="0.25">
      <c r="A19" s="9">
        <v>44846</v>
      </c>
      <c r="B19" s="45"/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7">
        <v>0</v>
      </c>
      <c r="I19" s="45">
        <v>235.75</v>
      </c>
      <c r="J19" s="46">
        <v>574.79</v>
      </c>
      <c r="K19" s="46">
        <v>31.57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337.85</v>
      </c>
      <c r="V19" s="54">
        <v>0</v>
      </c>
      <c r="W19" s="54">
        <v>58.8</v>
      </c>
      <c r="X19" s="54">
        <v>0</v>
      </c>
      <c r="Y19" s="54">
        <v>210.96</v>
      </c>
      <c r="Z19" s="54">
        <v>0</v>
      </c>
      <c r="AA19" s="57">
        <v>0</v>
      </c>
      <c r="AB19" s="58">
        <v>83.03</v>
      </c>
      <c r="AC19" s="52">
        <v>0</v>
      </c>
      <c r="AD19" s="359">
        <v>15.5</v>
      </c>
      <c r="AE19" s="359">
        <v>0</v>
      </c>
      <c r="AF19" s="52">
        <v>15.05</v>
      </c>
      <c r="AG19" s="58">
        <v>14.74</v>
      </c>
      <c r="AH19" s="58">
        <v>0</v>
      </c>
      <c r="AI19" s="58">
        <v>1</v>
      </c>
      <c r="AJ19" s="52">
        <v>197.52</v>
      </c>
      <c r="AK19" s="52">
        <v>339.5</v>
      </c>
      <c r="AL19" s="52">
        <v>770.61</v>
      </c>
      <c r="AM19" s="52">
        <v>570.82000000000005</v>
      </c>
      <c r="AN19" s="52">
        <v>1174.8800000000001</v>
      </c>
      <c r="AO19" s="52">
        <v>2006.15</v>
      </c>
      <c r="AP19" s="52">
        <v>318.70999999999998</v>
      </c>
      <c r="AQ19" s="52">
        <v>2022.09</v>
      </c>
      <c r="AR19" s="52">
        <v>390.69</v>
      </c>
      <c r="AS19" s="52">
        <v>602.99</v>
      </c>
    </row>
    <row r="20" spans="1:45" x14ac:dyDescent="0.25">
      <c r="A20" s="9">
        <v>44847</v>
      </c>
      <c r="B20" s="45"/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7">
        <v>0</v>
      </c>
      <c r="I20" s="45">
        <v>235.81734151840158</v>
      </c>
      <c r="J20" s="46">
        <v>574.48875675201487</v>
      </c>
      <c r="K20" s="46">
        <v>31.594068727890626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347.58003809186994</v>
      </c>
      <c r="V20" s="54">
        <v>0</v>
      </c>
      <c r="W20" s="54">
        <v>61.840734795729333</v>
      </c>
      <c r="X20" s="54">
        <v>0</v>
      </c>
      <c r="Y20" s="54">
        <v>209.82309381961826</v>
      </c>
      <c r="Z20" s="54">
        <v>0</v>
      </c>
      <c r="AA20" s="57">
        <v>0</v>
      </c>
      <c r="AB20" s="58">
        <v>83.06764500406112</v>
      </c>
      <c r="AC20" s="52">
        <v>0</v>
      </c>
      <c r="AD20" s="359">
        <v>15.491015836947849</v>
      </c>
      <c r="AE20" s="359">
        <v>0</v>
      </c>
      <c r="AF20" s="52">
        <v>15.038544871409712</v>
      </c>
      <c r="AG20" s="58">
        <v>14.752651667127484</v>
      </c>
      <c r="AH20" s="58">
        <v>0</v>
      </c>
      <c r="AI20" s="58">
        <v>1</v>
      </c>
      <c r="AJ20" s="52">
        <v>197.52381134033203</v>
      </c>
      <c r="AK20" s="52">
        <v>339.14597729047136</v>
      </c>
      <c r="AL20" s="52">
        <v>797.81496133804319</v>
      </c>
      <c r="AM20" s="52">
        <v>573.45296945571886</v>
      </c>
      <c r="AN20" s="52">
        <v>1198.1736831665041</v>
      </c>
      <c r="AO20" s="52">
        <v>2021.4145885467528</v>
      </c>
      <c r="AP20" s="52">
        <v>315.71527943611142</v>
      </c>
      <c r="AQ20" s="52">
        <v>2012.4139079411825</v>
      </c>
      <c r="AR20" s="52">
        <v>401.10487848917643</v>
      </c>
      <c r="AS20" s="52">
        <v>538.22156384785967</v>
      </c>
    </row>
    <row r="21" spans="1:45" x14ac:dyDescent="0.25">
      <c r="A21" s="9">
        <v>44848</v>
      </c>
      <c r="B21" s="45"/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7">
        <v>0</v>
      </c>
      <c r="I21" s="45">
        <v>233.75498305956464</v>
      </c>
      <c r="J21" s="46">
        <v>570.06183287302747</v>
      </c>
      <c r="K21" s="46">
        <v>31.290306362509689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328.13792477713838</v>
      </c>
      <c r="V21" s="54">
        <v>0</v>
      </c>
      <c r="W21" s="54">
        <v>58.658678130308793</v>
      </c>
      <c r="X21" s="54">
        <v>0</v>
      </c>
      <c r="Y21" s="54">
        <v>203.39676389694253</v>
      </c>
      <c r="Z21" s="54">
        <v>0</v>
      </c>
      <c r="AA21" s="57">
        <v>0</v>
      </c>
      <c r="AB21" s="58">
        <v>82.876578293905567</v>
      </c>
      <c r="AC21" s="52">
        <v>0</v>
      </c>
      <c r="AD21" s="359">
        <v>15.370500317271363</v>
      </c>
      <c r="AE21" s="359">
        <v>0</v>
      </c>
      <c r="AF21" s="52">
        <v>14.597598326206171</v>
      </c>
      <c r="AG21" s="58">
        <v>14.302016360814722</v>
      </c>
      <c r="AH21" s="58">
        <v>0</v>
      </c>
      <c r="AI21" s="58">
        <v>1</v>
      </c>
      <c r="AJ21" s="52">
        <v>197.24406090577443</v>
      </c>
      <c r="AK21" s="52">
        <v>338.84867877960204</v>
      </c>
      <c r="AL21" s="52">
        <v>796.69270826975503</v>
      </c>
      <c r="AM21" s="52">
        <v>569.90056632359824</v>
      </c>
      <c r="AN21" s="52">
        <v>1148.6331151326497</v>
      </c>
      <c r="AO21" s="52">
        <v>2020.4250506083172</v>
      </c>
      <c r="AP21" s="52">
        <v>314.48683083852126</v>
      </c>
      <c r="AQ21" s="52">
        <v>2026.5190944671633</v>
      </c>
      <c r="AR21" s="52">
        <v>384.33871424992873</v>
      </c>
      <c r="AS21" s="52">
        <v>659.14432322184246</v>
      </c>
    </row>
    <row r="22" spans="1:45" x14ac:dyDescent="0.25">
      <c r="A22" s="9">
        <v>44849</v>
      </c>
      <c r="B22" s="45"/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7">
        <v>0</v>
      </c>
      <c r="I22" s="45">
        <v>232.86608777046177</v>
      </c>
      <c r="J22" s="46">
        <v>567.88801072438594</v>
      </c>
      <c r="K22" s="46">
        <v>31.169882600506092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338.56956612269289</v>
      </c>
      <c r="V22" s="54">
        <v>0</v>
      </c>
      <c r="W22" s="54">
        <v>59.685328535238966</v>
      </c>
      <c r="X22" s="54">
        <v>0</v>
      </c>
      <c r="Y22" s="54">
        <v>208.18382316430447</v>
      </c>
      <c r="Z22" s="54">
        <v>0</v>
      </c>
      <c r="AA22" s="57">
        <v>0</v>
      </c>
      <c r="AB22" s="58">
        <v>82.42978676689944</v>
      </c>
      <c r="AC22" s="52">
        <v>0</v>
      </c>
      <c r="AD22" s="359">
        <v>15.313893198190504</v>
      </c>
      <c r="AE22" s="359">
        <v>0</v>
      </c>
      <c r="AF22" s="52">
        <v>14.948894541793393</v>
      </c>
      <c r="AG22" s="58">
        <v>14.665558019266145</v>
      </c>
      <c r="AH22" s="58">
        <v>0</v>
      </c>
      <c r="AI22" s="58">
        <v>1</v>
      </c>
      <c r="AJ22" s="52">
        <v>183.90226043860119</v>
      </c>
      <c r="AK22" s="52">
        <v>337.97270952860509</v>
      </c>
      <c r="AL22" s="52">
        <v>753.5421996116637</v>
      </c>
      <c r="AM22" s="52">
        <v>572.05050493876149</v>
      </c>
      <c r="AN22" s="52">
        <v>1153.1414066314696</v>
      </c>
      <c r="AO22" s="52">
        <v>2005.1609649658201</v>
      </c>
      <c r="AP22" s="52">
        <v>312.60332042376211</v>
      </c>
      <c r="AQ22" s="52">
        <v>2007.7578130086263</v>
      </c>
      <c r="AR22" s="52">
        <v>382.57228849728898</v>
      </c>
      <c r="AS22" s="52">
        <v>521.15890747706089</v>
      </c>
    </row>
    <row r="23" spans="1:45" x14ac:dyDescent="0.25">
      <c r="A23" s="9">
        <v>44850</v>
      </c>
      <c r="B23" s="45"/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7">
        <v>0</v>
      </c>
      <c r="I23" s="45">
        <v>231.76740468343075</v>
      </c>
      <c r="J23" s="46">
        <v>565.2527922948201</v>
      </c>
      <c r="K23" s="46">
        <v>31.141722038388188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340.94628859625914</v>
      </c>
      <c r="V23" s="54">
        <v>0</v>
      </c>
      <c r="W23" s="54">
        <v>60.988752722740195</v>
      </c>
      <c r="X23" s="54">
        <v>0</v>
      </c>
      <c r="Y23" s="54">
        <v>208.3561569213868</v>
      </c>
      <c r="Z23" s="54">
        <v>0</v>
      </c>
      <c r="AA23" s="57">
        <v>0</v>
      </c>
      <c r="AB23" s="58">
        <v>81.695465633604925</v>
      </c>
      <c r="AC23" s="52">
        <v>0</v>
      </c>
      <c r="AD23" s="359">
        <v>15.246495833236324</v>
      </c>
      <c r="AE23" s="359">
        <v>0</v>
      </c>
      <c r="AF23" s="52">
        <v>14.764087557130361</v>
      </c>
      <c r="AG23" s="58">
        <v>14.478051022117141</v>
      </c>
      <c r="AH23" s="58">
        <v>0</v>
      </c>
      <c r="AI23" s="58">
        <v>1</v>
      </c>
      <c r="AJ23" s="52">
        <v>179.816038052241</v>
      </c>
      <c r="AK23" s="52">
        <v>329.09236440658572</v>
      </c>
      <c r="AL23" s="52">
        <v>766.34350598653168</v>
      </c>
      <c r="AM23" s="52">
        <v>564.41477613449092</v>
      </c>
      <c r="AN23" s="52">
        <v>1159.6078989664713</v>
      </c>
      <c r="AO23" s="52">
        <v>2029.2444978078206</v>
      </c>
      <c r="AP23" s="52">
        <v>313.50237197875981</v>
      </c>
      <c r="AQ23" s="52">
        <v>2127.0702130635582</v>
      </c>
      <c r="AR23" s="52">
        <v>388.99089210828146</v>
      </c>
      <c r="AS23" s="52">
        <v>469.68045689264937</v>
      </c>
    </row>
    <row r="24" spans="1:45" x14ac:dyDescent="0.25">
      <c r="A24" s="9">
        <v>44851</v>
      </c>
      <c r="B24" s="45"/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7">
        <v>0</v>
      </c>
      <c r="I24" s="45">
        <v>102.39713792800924</v>
      </c>
      <c r="J24" s="46">
        <v>252.48818074862166</v>
      </c>
      <c r="K24" s="46">
        <v>13.707026344537738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182.49935877720438</v>
      </c>
      <c r="V24" s="54">
        <v>0</v>
      </c>
      <c r="W24" s="54">
        <v>27.914188694953921</v>
      </c>
      <c r="X24" s="54">
        <v>0</v>
      </c>
      <c r="Y24" s="54">
        <v>94.159660140673324</v>
      </c>
      <c r="Z24" s="54">
        <v>0</v>
      </c>
      <c r="AA24" s="57">
        <v>0</v>
      </c>
      <c r="AB24" s="58">
        <v>39.489731433656381</v>
      </c>
      <c r="AC24" s="52">
        <v>0</v>
      </c>
      <c r="AD24" s="359">
        <v>6.7348158709658543</v>
      </c>
      <c r="AE24" s="359">
        <v>0</v>
      </c>
      <c r="AF24" s="52">
        <v>6.5280052211549622</v>
      </c>
      <c r="AG24" s="58">
        <v>6.3970585572740735</v>
      </c>
      <c r="AH24" s="58">
        <v>0</v>
      </c>
      <c r="AI24" s="58">
        <v>1</v>
      </c>
      <c r="AJ24" s="52">
        <v>177.95969341595969</v>
      </c>
      <c r="AK24" s="52">
        <v>320.90810896555581</v>
      </c>
      <c r="AL24" s="52">
        <v>671.10024255116775</v>
      </c>
      <c r="AM24" s="52">
        <v>488.1766166528065</v>
      </c>
      <c r="AN24" s="52">
        <v>1182.5534838994342</v>
      </c>
      <c r="AO24" s="52">
        <v>1785.3400996526086</v>
      </c>
      <c r="AP24" s="52">
        <v>310.58412152926132</v>
      </c>
      <c r="AQ24" s="52">
        <v>1215.1967364629108</v>
      </c>
      <c r="AR24" s="52">
        <v>198.88305471738175</v>
      </c>
      <c r="AS24" s="52">
        <v>439.85078032811481</v>
      </c>
    </row>
    <row r="25" spans="1:45" x14ac:dyDescent="0.25">
      <c r="A25" s="9">
        <v>44852</v>
      </c>
      <c r="B25" s="45"/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7">
        <v>0</v>
      </c>
      <c r="AB25" s="58">
        <v>0</v>
      </c>
      <c r="AC25" s="52">
        <v>0</v>
      </c>
      <c r="AD25" s="359">
        <v>0</v>
      </c>
      <c r="AE25" s="359">
        <v>0</v>
      </c>
      <c r="AF25" s="52">
        <v>0</v>
      </c>
      <c r="AG25" s="58">
        <v>0</v>
      </c>
      <c r="AH25" s="58">
        <v>0</v>
      </c>
      <c r="AI25" s="58">
        <v>0</v>
      </c>
      <c r="AJ25" s="52">
        <v>186.97285479704539</v>
      </c>
      <c r="AK25" s="52">
        <v>327.14883785247798</v>
      </c>
      <c r="AL25" s="52">
        <v>693.78449691136677</v>
      </c>
      <c r="AM25" s="52">
        <v>423.13952086766551</v>
      </c>
      <c r="AN25" s="52">
        <v>1180.511902999878</v>
      </c>
      <c r="AO25" s="52">
        <v>1816.4306137084961</v>
      </c>
      <c r="AP25" s="52">
        <v>267.76132841110228</v>
      </c>
      <c r="AQ25" s="52">
        <v>390.29311736424768</v>
      </c>
      <c r="AR25" s="52">
        <v>50.539725387096404</v>
      </c>
      <c r="AS25" s="52">
        <v>569.85465663274113</v>
      </c>
    </row>
    <row r="26" spans="1:45" x14ac:dyDescent="0.25">
      <c r="A26" s="9">
        <v>44853</v>
      </c>
      <c r="B26" s="45"/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0</v>
      </c>
      <c r="V26" s="54">
        <v>744.97484446631643</v>
      </c>
      <c r="W26" s="54">
        <v>0</v>
      </c>
      <c r="X26" s="54">
        <v>0</v>
      </c>
      <c r="Y26" s="54">
        <v>0</v>
      </c>
      <c r="Z26" s="54">
        <v>0</v>
      </c>
      <c r="AA26" s="57">
        <v>0</v>
      </c>
      <c r="AB26" s="58">
        <v>90.986681884527357</v>
      </c>
      <c r="AC26" s="52">
        <v>0</v>
      </c>
      <c r="AD26" s="359">
        <v>0</v>
      </c>
      <c r="AE26" s="359">
        <v>0</v>
      </c>
      <c r="AF26" s="52">
        <v>0</v>
      </c>
      <c r="AG26" s="58">
        <v>0</v>
      </c>
      <c r="AH26" s="58">
        <v>0</v>
      </c>
      <c r="AI26" s="58">
        <v>0</v>
      </c>
      <c r="AJ26" s="52">
        <v>191.3459377527237</v>
      </c>
      <c r="AK26" s="52">
        <v>338.58962883949278</v>
      </c>
      <c r="AL26" s="52">
        <v>797.15865290959675</v>
      </c>
      <c r="AM26" s="52">
        <v>312.26513765652982</v>
      </c>
      <c r="AN26" s="52">
        <v>1162.8198130289713</v>
      </c>
      <c r="AO26" s="52">
        <v>1960.1973850250242</v>
      </c>
      <c r="AP26" s="52">
        <v>434.52762721379588</v>
      </c>
      <c r="AQ26" s="52">
        <v>356.81842562357582</v>
      </c>
      <c r="AR26" s="52">
        <v>41.791051145394647</v>
      </c>
      <c r="AS26" s="52">
        <v>661.32294155756631</v>
      </c>
    </row>
    <row r="27" spans="1:45" x14ac:dyDescent="0.25">
      <c r="A27" s="9">
        <v>44854</v>
      </c>
      <c r="B27" s="45"/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7">
        <v>0</v>
      </c>
      <c r="I27" s="45">
        <v>0</v>
      </c>
      <c r="J27" s="46">
        <v>0</v>
      </c>
      <c r="K27" s="46">
        <v>0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7">
        <v>0</v>
      </c>
      <c r="AB27" s="52">
        <v>0</v>
      </c>
      <c r="AC27" s="52">
        <v>0</v>
      </c>
      <c r="AD27" s="359">
        <v>0</v>
      </c>
      <c r="AE27" s="359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199.70821426709495</v>
      </c>
      <c r="AK27" s="52">
        <v>381.23466649055484</v>
      </c>
      <c r="AL27" s="52">
        <v>827.64508676528908</v>
      </c>
      <c r="AM27" s="52">
        <v>283.68822704950963</v>
      </c>
      <c r="AN27" s="52">
        <v>1136.3465700149534</v>
      </c>
      <c r="AO27" s="52">
        <v>1856.8682380676266</v>
      </c>
      <c r="AP27" s="52">
        <v>407.9508578141531</v>
      </c>
      <c r="AQ27" s="52">
        <v>342.01264004707343</v>
      </c>
      <c r="AR27" s="52">
        <v>38.101966114838916</v>
      </c>
      <c r="AS27" s="52">
        <v>604.31377840042114</v>
      </c>
    </row>
    <row r="28" spans="1:45" x14ac:dyDescent="0.25">
      <c r="A28" s="9">
        <v>44855</v>
      </c>
      <c r="B28" s="45"/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7">
        <v>0</v>
      </c>
      <c r="I28" s="45">
        <v>0</v>
      </c>
      <c r="J28" s="46">
        <v>0</v>
      </c>
      <c r="K28" s="46">
        <v>0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7">
        <v>0</v>
      </c>
      <c r="AB28" s="58">
        <v>0</v>
      </c>
      <c r="AC28" s="52">
        <v>0</v>
      </c>
      <c r="AD28" s="359">
        <v>0</v>
      </c>
      <c r="AE28" s="359">
        <v>0</v>
      </c>
      <c r="AF28" s="52">
        <v>0</v>
      </c>
      <c r="AG28" s="58">
        <v>0</v>
      </c>
      <c r="AH28" s="58">
        <v>0</v>
      </c>
      <c r="AI28" s="58">
        <v>0</v>
      </c>
      <c r="AJ28" s="52">
        <v>218.51829363505047</v>
      </c>
      <c r="AK28" s="52">
        <v>394.08248693148295</v>
      </c>
      <c r="AL28" s="52">
        <v>796.34840958913185</v>
      </c>
      <c r="AM28" s="52">
        <v>283.14949843088789</v>
      </c>
      <c r="AN28" s="52">
        <v>1165.1119584401449</v>
      </c>
      <c r="AO28" s="52">
        <v>1866.4218035380045</v>
      </c>
      <c r="AP28" s="52">
        <v>421.163317712148</v>
      </c>
      <c r="AQ28" s="52">
        <v>411.75185473759967</v>
      </c>
      <c r="AR28" s="52">
        <v>47.665300440788272</v>
      </c>
      <c r="AS28" s="52">
        <v>662.21579984029131</v>
      </c>
    </row>
    <row r="29" spans="1:45" ht="14.25" customHeight="1" x14ac:dyDescent="0.25">
      <c r="A29" s="9">
        <v>44856</v>
      </c>
      <c r="B29" s="45"/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7">
        <v>0</v>
      </c>
      <c r="I29" s="45">
        <v>0</v>
      </c>
      <c r="J29" s="46">
        <v>0</v>
      </c>
      <c r="K29" s="46">
        <v>0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7">
        <v>0</v>
      </c>
      <c r="AB29" s="58">
        <v>0</v>
      </c>
      <c r="AC29" s="52">
        <v>0</v>
      </c>
      <c r="AD29" s="359">
        <v>0</v>
      </c>
      <c r="AE29" s="359">
        <v>0</v>
      </c>
      <c r="AF29" s="52">
        <v>0</v>
      </c>
      <c r="AG29" s="58">
        <v>0</v>
      </c>
      <c r="AH29" s="58">
        <v>0</v>
      </c>
      <c r="AI29" s="58">
        <v>0</v>
      </c>
      <c r="AJ29" s="52">
        <v>200.54154591560365</v>
      </c>
      <c r="AK29" s="52">
        <v>386.14476372400929</v>
      </c>
      <c r="AL29" s="52">
        <v>794.43301897048934</v>
      </c>
      <c r="AM29" s="52">
        <v>285.79223001797993</v>
      </c>
      <c r="AN29" s="52">
        <v>1176.5996023813884</v>
      </c>
      <c r="AO29" s="52">
        <v>1833.5507615407307</v>
      </c>
      <c r="AP29" s="52">
        <v>406.75121447245272</v>
      </c>
      <c r="AQ29" s="52">
        <v>376.02192816734322</v>
      </c>
      <c r="AR29" s="52">
        <v>54.845226438840236</v>
      </c>
      <c r="AS29" s="52">
        <v>614.97617794672647</v>
      </c>
    </row>
    <row r="30" spans="1:45" x14ac:dyDescent="0.25">
      <c r="A30" s="9">
        <v>44857</v>
      </c>
      <c r="B30" s="45"/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7">
        <v>0</v>
      </c>
      <c r="I30" s="45">
        <v>0</v>
      </c>
      <c r="J30" s="46">
        <v>0</v>
      </c>
      <c r="K30" s="46">
        <v>0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7">
        <v>0</v>
      </c>
      <c r="AB30" s="58">
        <v>0</v>
      </c>
      <c r="AC30" s="52">
        <v>0</v>
      </c>
      <c r="AD30" s="359">
        <v>0</v>
      </c>
      <c r="AE30" s="359">
        <v>0</v>
      </c>
      <c r="AF30" s="52">
        <v>0</v>
      </c>
      <c r="AG30" s="58">
        <v>0</v>
      </c>
      <c r="AH30" s="58">
        <v>0</v>
      </c>
      <c r="AI30" s="58">
        <v>0</v>
      </c>
      <c r="AJ30" s="52">
        <v>196.06134023666382</v>
      </c>
      <c r="AK30" s="52">
        <v>381.29963747660315</v>
      </c>
      <c r="AL30" s="52">
        <v>763.65097223917644</v>
      </c>
      <c r="AM30" s="52">
        <v>277.7798509120941</v>
      </c>
      <c r="AN30" s="52">
        <v>1178.594064013163</v>
      </c>
      <c r="AO30" s="52">
        <v>1825.3523969014484</v>
      </c>
      <c r="AP30" s="52">
        <v>401.55984250704461</v>
      </c>
      <c r="AQ30" s="52">
        <v>363.6552004019419</v>
      </c>
      <c r="AR30" s="52">
        <v>53.703952050209047</v>
      </c>
      <c r="AS30" s="52">
        <v>586.08250926335631</v>
      </c>
    </row>
    <row r="31" spans="1:45" x14ac:dyDescent="0.25">
      <c r="A31" s="9">
        <v>44858</v>
      </c>
      <c r="B31" s="45"/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7">
        <v>0</v>
      </c>
      <c r="I31" s="45">
        <v>0</v>
      </c>
      <c r="J31" s="46">
        <v>0</v>
      </c>
      <c r="K31" s="46">
        <v>0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0</v>
      </c>
      <c r="V31" s="54">
        <v>1966.6263065775104</v>
      </c>
      <c r="W31" s="54">
        <v>0</v>
      </c>
      <c r="X31" s="54">
        <v>0</v>
      </c>
      <c r="Y31" s="54">
        <v>0</v>
      </c>
      <c r="Z31" s="54">
        <v>0</v>
      </c>
      <c r="AA31" s="57">
        <v>0</v>
      </c>
      <c r="AB31" s="58">
        <v>270.45811583201191</v>
      </c>
      <c r="AC31" s="52">
        <v>0</v>
      </c>
      <c r="AD31" s="359">
        <v>0</v>
      </c>
      <c r="AE31" s="359">
        <v>0.1004369909751463</v>
      </c>
      <c r="AF31" s="52">
        <v>0</v>
      </c>
      <c r="AG31" s="58">
        <v>0</v>
      </c>
      <c r="AH31" s="58">
        <v>0</v>
      </c>
      <c r="AI31" s="58">
        <v>0</v>
      </c>
      <c r="AJ31" s="52">
        <v>187.87675094604492</v>
      </c>
      <c r="AK31" s="52">
        <v>363.97101775805157</v>
      </c>
      <c r="AL31" s="52">
        <v>658.24826103846215</v>
      </c>
      <c r="AM31" s="52">
        <v>257.33920777638752</v>
      </c>
      <c r="AN31" s="52">
        <v>1218.5412780761717</v>
      </c>
      <c r="AO31" s="52">
        <v>1979.8688729604085</v>
      </c>
      <c r="AP31" s="52">
        <v>493.22991830507908</v>
      </c>
      <c r="AQ31" s="52">
        <v>398.67844939231878</v>
      </c>
      <c r="AR31" s="52">
        <v>76.639420624574029</v>
      </c>
      <c r="AS31" s="52">
        <v>495.48998133341479</v>
      </c>
    </row>
    <row r="32" spans="1:45" x14ac:dyDescent="0.25">
      <c r="A32" s="9">
        <v>44859</v>
      </c>
      <c r="B32" s="45"/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7">
        <v>0</v>
      </c>
      <c r="I32" s="45">
        <v>0</v>
      </c>
      <c r="J32" s="46">
        <v>0</v>
      </c>
      <c r="K32" s="46">
        <v>0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0</v>
      </c>
      <c r="V32" s="54">
        <v>2462.9864700740991</v>
      </c>
      <c r="W32" s="54">
        <v>0</v>
      </c>
      <c r="X32" s="54">
        <v>0</v>
      </c>
      <c r="Y32" s="54">
        <v>0</v>
      </c>
      <c r="Z32" s="54">
        <v>0</v>
      </c>
      <c r="AA32" s="57">
        <v>0</v>
      </c>
      <c r="AB32" s="58">
        <v>486.25653873019149</v>
      </c>
      <c r="AC32" s="52">
        <v>0</v>
      </c>
      <c r="AD32" s="359">
        <v>0</v>
      </c>
      <c r="AE32" s="359">
        <v>0</v>
      </c>
      <c r="AF32" s="52">
        <v>0</v>
      </c>
      <c r="AG32" s="58">
        <v>0</v>
      </c>
      <c r="AH32" s="58">
        <v>0</v>
      </c>
      <c r="AI32" s="58">
        <v>0</v>
      </c>
      <c r="AJ32" s="52">
        <v>184.04926153024039</v>
      </c>
      <c r="AK32" s="52">
        <v>370.68800748189295</v>
      </c>
      <c r="AL32" s="52">
        <v>695.54953610102325</v>
      </c>
      <c r="AM32" s="52">
        <v>281.47002556324009</v>
      </c>
      <c r="AN32" s="52">
        <v>1228.7230937957768</v>
      </c>
      <c r="AO32" s="52">
        <v>2018.6026676177983</v>
      </c>
      <c r="AP32" s="52">
        <v>483.28489734331777</v>
      </c>
      <c r="AQ32" s="52">
        <v>444.1001729170481</v>
      </c>
      <c r="AR32" s="52">
        <v>84.898236831029266</v>
      </c>
      <c r="AS32" s="52">
        <v>487.90512800216669</v>
      </c>
    </row>
    <row r="33" spans="1:45" x14ac:dyDescent="0.25">
      <c r="A33" s="9">
        <v>44860</v>
      </c>
      <c r="B33" s="45"/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7">
        <v>0</v>
      </c>
      <c r="I33" s="45">
        <v>0</v>
      </c>
      <c r="J33" s="46">
        <v>0</v>
      </c>
      <c r="K33" s="46">
        <v>0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0</v>
      </c>
      <c r="V33" s="54">
        <v>1787.5372524764646</v>
      </c>
      <c r="W33" s="54">
        <v>0</v>
      </c>
      <c r="X33" s="54">
        <v>0</v>
      </c>
      <c r="Y33" s="54">
        <v>0</v>
      </c>
      <c r="Z33" s="54">
        <v>0</v>
      </c>
      <c r="AA33" s="57">
        <v>0</v>
      </c>
      <c r="AB33" s="58">
        <v>486.26207436455354</v>
      </c>
      <c r="AC33" s="52">
        <v>0</v>
      </c>
      <c r="AD33" s="359">
        <v>0</v>
      </c>
      <c r="AE33" s="359">
        <v>0</v>
      </c>
      <c r="AF33" s="52">
        <v>0</v>
      </c>
      <c r="AG33" s="58">
        <v>0</v>
      </c>
      <c r="AH33" s="58">
        <v>0</v>
      </c>
      <c r="AI33" s="58">
        <v>0</v>
      </c>
      <c r="AJ33" s="52">
        <v>176.19885388215386</v>
      </c>
      <c r="AK33" s="52">
        <v>362.02238448460889</v>
      </c>
      <c r="AL33" s="52">
        <v>844.12129484812419</v>
      </c>
      <c r="AM33" s="52">
        <v>316.37972838083903</v>
      </c>
      <c r="AN33" s="52">
        <v>1224.2655819574993</v>
      </c>
      <c r="AO33" s="52">
        <v>1941.5325705210369</v>
      </c>
      <c r="AP33" s="52">
        <v>496.63440588315331</v>
      </c>
      <c r="AQ33" s="52">
        <v>448.75955891609192</v>
      </c>
      <c r="AR33" s="52">
        <v>72.393387039502457</v>
      </c>
      <c r="AS33" s="52">
        <v>489.22167345682789</v>
      </c>
    </row>
    <row r="34" spans="1:45" x14ac:dyDescent="0.25">
      <c r="A34" s="9">
        <v>44861</v>
      </c>
      <c r="B34" s="45"/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7">
        <v>0</v>
      </c>
      <c r="I34" s="45">
        <v>0</v>
      </c>
      <c r="J34" s="46">
        <v>0</v>
      </c>
      <c r="K34" s="46">
        <v>0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0</v>
      </c>
      <c r="V34" s="54">
        <v>1740.0943328645708</v>
      </c>
      <c r="W34" s="54">
        <v>0</v>
      </c>
      <c r="X34" s="54">
        <v>0</v>
      </c>
      <c r="Y34" s="54">
        <v>0</v>
      </c>
      <c r="Z34" s="54">
        <v>0</v>
      </c>
      <c r="AA34" s="57">
        <v>0</v>
      </c>
      <c r="AB34" s="58">
        <v>486.42465239630428</v>
      </c>
      <c r="AC34" s="52">
        <v>0</v>
      </c>
      <c r="AD34" s="359">
        <v>0</v>
      </c>
      <c r="AE34" s="359">
        <v>0</v>
      </c>
      <c r="AF34" s="52">
        <v>0</v>
      </c>
      <c r="AG34" s="58">
        <v>0</v>
      </c>
      <c r="AH34" s="58">
        <v>0</v>
      </c>
      <c r="AI34" s="58">
        <v>0</v>
      </c>
      <c r="AJ34" s="52">
        <v>192.24031507174175</v>
      </c>
      <c r="AK34" s="52">
        <v>420.94350466728218</v>
      </c>
      <c r="AL34" s="52">
        <v>836.05140892664599</v>
      </c>
      <c r="AM34" s="52">
        <v>224.02749517758687</v>
      </c>
      <c r="AN34" s="52">
        <v>1263.2272701899212</v>
      </c>
      <c r="AO34" s="52">
        <v>1994.5027479807541</v>
      </c>
      <c r="AP34" s="52">
        <v>489.67839360237127</v>
      </c>
      <c r="AQ34" s="52">
        <v>525.98309852282205</v>
      </c>
      <c r="AR34" s="52">
        <v>93.415395253896705</v>
      </c>
      <c r="AS34" s="52">
        <v>489.31967280705777</v>
      </c>
    </row>
    <row r="35" spans="1:45" x14ac:dyDescent="0.25">
      <c r="A35" s="9">
        <v>44862</v>
      </c>
      <c r="B35" s="45"/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7">
        <v>0</v>
      </c>
      <c r="I35" s="45">
        <v>0</v>
      </c>
      <c r="J35" s="46">
        <v>0</v>
      </c>
      <c r="K35" s="46">
        <v>0</v>
      </c>
      <c r="L35" s="46">
        <v>0</v>
      </c>
      <c r="M35" s="46">
        <v>0</v>
      </c>
      <c r="N35" s="47">
        <v>0</v>
      </c>
      <c r="O35" s="45">
        <v>0</v>
      </c>
      <c r="P35" s="46">
        <v>0</v>
      </c>
      <c r="Q35" s="46">
        <v>0</v>
      </c>
      <c r="R35" s="55">
        <v>0</v>
      </c>
      <c r="S35" s="46">
        <v>0</v>
      </c>
      <c r="T35" s="48">
        <v>0</v>
      </c>
      <c r="U35" s="56">
        <v>0</v>
      </c>
      <c r="V35" s="54">
        <v>1018.4255247222072</v>
      </c>
      <c r="W35" s="54">
        <v>0</v>
      </c>
      <c r="X35" s="54">
        <v>0</v>
      </c>
      <c r="Y35" s="54">
        <v>0</v>
      </c>
      <c r="Z35" s="54">
        <v>0</v>
      </c>
      <c r="AA35" s="57">
        <v>0</v>
      </c>
      <c r="AB35" s="58">
        <v>289.14131645626492</v>
      </c>
      <c r="AC35" s="52">
        <v>0</v>
      </c>
      <c r="AD35" s="359">
        <v>0</v>
      </c>
      <c r="AE35" s="359">
        <v>0</v>
      </c>
      <c r="AF35" s="52">
        <v>0</v>
      </c>
      <c r="AG35" s="58">
        <v>0</v>
      </c>
      <c r="AH35" s="58">
        <v>0</v>
      </c>
      <c r="AI35" s="58">
        <v>0</v>
      </c>
      <c r="AJ35" s="52">
        <v>189.02308522860207</v>
      </c>
      <c r="AK35" s="52">
        <v>417.29658921559655</v>
      </c>
      <c r="AL35" s="52">
        <v>884.62074063618991</v>
      </c>
      <c r="AM35" s="52">
        <v>241.99665530522665</v>
      </c>
      <c r="AN35" s="52">
        <v>1367.5752756118773</v>
      </c>
      <c r="AO35" s="52">
        <v>1962.6117270151774</v>
      </c>
      <c r="AP35" s="52">
        <v>450.48257263501495</v>
      </c>
      <c r="AQ35" s="52">
        <v>472.78474144935609</v>
      </c>
      <c r="AR35" s="52">
        <v>87.771451771259322</v>
      </c>
      <c r="AS35" s="52">
        <v>494.11708799997967</v>
      </c>
    </row>
    <row r="36" spans="1:45" x14ac:dyDescent="0.25">
      <c r="A36" s="9">
        <v>44863</v>
      </c>
      <c r="B36" s="45"/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7">
        <v>0</v>
      </c>
      <c r="I36" s="45">
        <v>0.30932813882827759</v>
      </c>
      <c r="J36" s="46">
        <v>4.4661839683850602</v>
      </c>
      <c r="K36" s="46">
        <v>0</v>
      </c>
      <c r="L36" s="46">
        <v>0</v>
      </c>
      <c r="M36" s="46">
        <v>0</v>
      </c>
      <c r="N36" s="47">
        <v>0</v>
      </c>
      <c r="O36" s="45">
        <v>0</v>
      </c>
      <c r="P36" s="46">
        <v>0</v>
      </c>
      <c r="Q36" s="46">
        <v>0</v>
      </c>
      <c r="R36" s="55">
        <v>0</v>
      </c>
      <c r="S36" s="46">
        <v>0</v>
      </c>
      <c r="T36" s="48">
        <v>0</v>
      </c>
      <c r="U36" s="56">
        <v>0</v>
      </c>
      <c r="V36" s="54">
        <v>12.255665710237293</v>
      </c>
      <c r="W36" s="54">
        <v>0</v>
      </c>
      <c r="X36" s="54">
        <v>0</v>
      </c>
      <c r="Y36" s="54">
        <v>0</v>
      </c>
      <c r="Z36" s="54">
        <v>0</v>
      </c>
      <c r="AA36" s="57">
        <v>0</v>
      </c>
      <c r="AB36" s="58">
        <v>0</v>
      </c>
      <c r="AC36" s="52">
        <v>0</v>
      </c>
      <c r="AD36" s="359">
        <v>0</v>
      </c>
      <c r="AE36" s="359">
        <v>0</v>
      </c>
      <c r="AF36" s="52">
        <v>0</v>
      </c>
      <c r="AG36" s="58">
        <v>0</v>
      </c>
      <c r="AH36" s="58">
        <v>0</v>
      </c>
      <c r="AI36" s="58">
        <v>0</v>
      </c>
      <c r="AJ36" s="52">
        <v>181.6089084148407</v>
      </c>
      <c r="AK36" s="52">
        <v>381.38570494651793</v>
      </c>
      <c r="AL36" s="52">
        <v>856.7170728047688</v>
      </c>
      <c r="AM36" s="52">
        <v>315.00742823282877</v>
      </c>
      <c r="AN36" s="52">
        <v>1399.9847119013468</v>
      </c>
      <c r="AO36" s="52">
        <v>1912.6611883799237</v>
      </c>
      <c r="AP36" s="52">
        <v>424.71356356938679</v>
      </c>
      <c r="AQ36" s="52">
        <v>467.40025690396635</v>
      </c>
      <c r="AR36" s="52">
        <v>67.744254432121906</v>
      </c>
      <c r="AS36" s="52">
        <v>460.54553724924722</v>
      </c>
    </row>
    <row r="37" spans="1:45" x14ac:dyDescent="0.25">
      <c r="A37" s="9">
        <v>44864</v>
      </c>
      <c r="B37" s="45"/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7">
        <v>0</v>
      </c>
      <c r="I37" s="45">
        <v>0</v>
      </c>
      <c r="J37" s="46">
        <v>0</v>
      </c>
      <c r="K37" s="46">
        <v>0</v>
      </c>
      <c r="L37" s="46">
        <v>0</v>
      </c>
      <c r="M37" s="46">
        <v>0</v>
      </c>
      <c r="N37" s="47">
        <v>0</v>
      </c>
      <c r="O37" s="45">
        <v>0</v>
      </c>
      <c r="P37" s="46">
        <v>0</v>
      </c>
      <c r="Q37" s="46">
        <v>0</v>
      </c>
      <c r="R37" s="55">
        <v>0</v>
      </c>
      <c r="S37" s="46">
        <v>0</v>
      </c>
      <c r="T37" s="48">
        <v>0</v>
      </c>
      <c r="U37" s="56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7">
        <v>0</v>
      </c>
      <c r="AB37" s="58">
        <v>0</v>
      </c>
      <c r="AC37" s="52">
        <v>0</v>
      </c>
      <c r="AD37" s="359">
        <v>0</v>
      </c>
      <c r="AE37" s="359">
        <v>0</v>
      </c>
      <c r="AF37" s="52">
        <v>0</v>
      </c>
      <c r="AG37" s="58">
        <v>0</v>
      </c>
      <c r="AH37" s="58">
        <v>0</v>
      </c>
      <c r="AI37" s="58">
        <v>0</v>
      </c>
      <c r="AJ37" s="52">
        <v>182.84821148713431</v>
      </c>
      <c r="AK37" s="52">
        <v>380.1433856964112</v>
      </c>
      <c r="AL37" s="52">
        <v>873.48285697301219</v>
      </c>
      <c r="AM37" s="52">
        <v>307.67100275357569</v>
      </c>
      <c r="AN37" s="52">
        <v>1387.1150750478107</v>
      </c>
      <c r="AO37" s="52">
        <v>1934.4591629028325</v>
      </c>
      <c r="AP37" s="52">
        <v>437.68857378959655</v>
      </c>
      <c r="AQ37" s="52">
        <v>497.3409412701925</v>
      </c>
      <c r="AR37" s="52">
        <v>63.854945904016489</v>
      </c>
      <c r="AS37" s="52">
        <v>466.63634630839033</v>
      </c>
    </row>
    <row r="38" spans="1:45" ht="15.75" thickBot="1" x14ac:dyDescent="0.3">
      <c r="A38" s="9">
        <v>44865</v>
      </c>
      <c r="B38" s="59"/>
      <c r="C38" s="60">
        <v>0</v>
      </c>
      <c r="D38" s="60">
        <v>0</v>
      </c>
      <c r="E38" s="46">
        <v>0</v>
      </c>
      <c r="F38" s="60">
        <v>0</v>
      </c>
      <c r="G38" s="60">
        <v>0</v>
      </c>
      <c r="H38" s="61">
        <v>0</v>
      </c>
      <c r="I38" s="62">
        <v>149.20448318322485</v>
      </c>
      <c r="J38" s="60">
        <v>332.18684291839577</v>
      </c>
      <c r="K38" s="60">
        <v>18.42865851869184</v>
      </c>
      <c r="L38" s="60">
        <v>0</v>
      </c>
      <c r="M38" s="60">
        <v>0</v>
      </c>
      <c r="N38" s="61">
        <v>0</v>
      </c>
      <c r="O38" s="62">
        <v>0</v>
      </c>
      <c r="P38" s="60">
        <v>0</v>
      </c>
      <c r="Q38" s="60">
        <v>0</v>
      </c>
      <c r="R38" s="63">
        <v>0</v>
      </c>
      <c r="S38" s="60">
        <v>0</v>
      </c>
      <c r="T38" s="64">
        <v>0</v>
      </c>
      <c r="U38" s="65">
        <v>0</v>
      </c>
      <c r="V38" s="66">
        <v>19.989338827133171</v>
      </c>
      <c r="W38" s="66">
        <v>0</v>
      </c>
      <c r="X38" s="66">
        <v>0</v>
      </c>
      <c r="Y38" s="66">
        <v>0</v>
      </c>
      <c r="Z38" s="66">
        <v>0</v>
      </c>
      <c r="AA38" s="67">
        <v>0</v>
      </c>
      <c r="AB38" s="68">
        <v>51.492891534169637</v>
      </c>
      <c r="AC38" s="69">
        <v>0</v>
      </c>
      <c r="AD38" s="359">
        <v>9.7916081886284925</v>
      </c>
      <c r="AE38" s="359">
        <v>0</v>
      </c>
      <c r="AF38" s="70">
        <v>0</v>
      </c>
      <c r="AG38" s="68">
        <v>0</v>
      </c>
      <c r="AH38" s="68">
        <v>0</v>
      </c>
      <c r="AI38" s="68">
        <v>0</v>
      </c>
      <c r="AJ38" s="69">
        <v>179.18854691187542</v>
      </c>
      <c r="AK38" s="69">
        <v>369.13407055536908</v>
      </c>
      <c r="AL38" s="69">
        <v>893.48559153874703</v>
      </c>
      <c r="AM38" s="69">
        <v>534.16680792172758</v>
      </c>
      <c r="AN38" s="69">
        <v>1365.8604014078776</v>
      </c>
      <c r="AO38" s="69">
        <v>1933.7765368143716</v>
      </c>
      <c r="AP38" s="69">
        <v>429.31319136619567</v>
      </c>
      <c r="AQ38" s="69">
        <v>407.75734070142119</v>
      </c>
      <c r="AR38" s="69">
        <v>287.49618071715042</v>
      </c>
      <c r="AS38" s="69">
        <v>554.37529392242425</v>
      </c>
    </row>
    <row r="39" spans="1:45" ht="15.75" thickTop="1" x14ac:dyDescent="0.25">
      <c r="A39" s="42" t="s">
        <v>171</v>
      </c>
      <c r="B39" s="25">
        <f>SUM(B8:B38)</f>
        <v>0</v>
      </c>
      <c r="C39" s="26">
        <f t="shared" ref="C39:AC39" si="0">SUM(C8:C38)</f>
        <v>735.73468847274683</v>
      </c>
      <c r="D39" s="26">
        <f t="shared" si="0"/>
        <v>8288.0006216430684</v>
      </c>
      <c r="E39" s="26">
        <f t="shared" si="0"/>
        <v>171.97741466661304</v>
      </c>
      <c r="F39" s="26">
        <f t="shared" si="0"/>
        <v>0</v>
      </c>
      <c r="G39" s="26">
        <f t="shared" si="0"/>
        <v>15472.199503580738</v>
      </c>
      <c r="H39" s="27">
        <f t="shared" si="0"/>
        <v>278.22871483047822</v>
      </c>
      <c r="I39" s="25">
        <f t="shared" si="0"/>
        <v>4098.7912123211217</v>
      </c>
      <c r="J39" s="26">
        <f t="shared" si="0"/>
        <v>8870.024983263811</v>
      </c>
      <c r="K39" s="26">
        <f t="shared" si="0"/>
        <v>486.37414621273655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4671.1797576715035</v>
      </c>
      <c r="V39" s="242">
        <f t="shared" si="0"/>
        <v>11140.005795428848</v>
      </c>
      <c r="W39" s="242">
        <f t="shared" si="0"/>
        <v>812.23228800821607</v>
      </c>
      <c r="X39" s="242">
        <f t="shared" si="0"/>
        <v>239.944375744181</v>
      </c>
      <c r="Y39" s="242">
        <f t="shared" si="0"/>
        <v>3220.1076872013095</v>
      </c>
      <c r="Z39" s="242">
        <f t="shared" si="0"/>
        <v>1048.5535583561582</v>
      </c>
      <c r="AA39" s="250">
        <f t="shared" si="0"/>
        <v>0</v>
      </c>
      <c r="AB39" s="253">
        <f t="shared" si="0"/>
        <v>3728.6486468774638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SUM(AJ8:AJ38)</f>
        <v>6016.0178006792066</v>
      </c>
      <c r="AK39" s="253">
        <f t="shared" si="1"/>
        <v>14661.357365465165</v>
      </c>
      <c r="AL39" s="253">
        <f t="shared" si="1"/>
        <v>41289.419205214188</v>
      </c>
      <c r="AM39" s="253">
        <f t="shared" si="1"/>
        <v>13879.460144286157</v>
      </c>
      <c r="AN39" s="253">
        <f t="shared" si="1"/>
        <v>83018.332793566369</v>
      </c>
      <c r="AO39" s="253">
        <f t="shared" si="1"/>
        <v>69336.910541267411</v>
      </c>
      <c r="AP39" s="253">
        <f t="shared" si="1"/>
        <v>11727.446066319149</v>
      </c>
      <c r="AQ39" s="253">
        <f t="shared" si="1"/>
        <v>46669.15434707643</v>
      </c>
      <c r="AR39" s="253">
        <f t="shared" si="1"/>
        <v>8075.6695520571875</v>
      </c>
      <c r="AS39" s="253">
        <f t="shared" si="1"/>
        <v>17567.661781482697</v>
      </c>
    </row>
    <row r="40" spans="1:45" ht="15.75" thickBot="1" x14ac:dyDescent="0.3">
      <c r="A40" s="43" t="s">
        <v>172</v>
      </c>
      <c r="B40" s="28">
        <f>Projection!$AD$30</f>
        <v>0.75949460999999996</v>
      </c>
      <c r="C40" s="29">
        <f>Projection!$AD$28</f>
        <v>2.3715123600000001</v>
      </c>
      <c r="D40" s="29">
        <f>Projection!$AD$31</f>
        <v>4.4888382</v>
      </c>
      <c r="E40" s="29">
        <f>Projection!$AD$26</f>
        <v>5.6378400000000006</v>
      </c>
      <c r="F40" s="29">
        <f>Projection!$AD$23</f>
        <v>0</v>
      </c>
      <c r="G40" s="29">
        <f>Projection!$AD$24</f>
        <v>7.6444999999999999E-2</v>
      </c>
      <c r="H40" s="30">
        <f>Projection!$AD$29</f>
        <v>4.6146262499999997</v>
      </c>
      <c r="I40" s="28">
        <f>Projection!$AD$30</f>
        <v>0.75949460999999996</v>
      </c>
      <c r="J40" s="29">
        <f>Projection!$AD$28</f>
        <v>2.3715123600000001</v>
      </c>
      <c r="K40" s="29">
        <f>Projection!$AD$26</f>
        <v>5.6378400000000006</v>
      </c>
      <c r="L40" s="29">
        <f>Projection!$AD$25</f>
        <v>0</v>
      </c>
      <c r="M40" s="29">
        <f>Projection!$AD$23</f>
        <v>0</v>
      </c>
      <c r="N40" s="30">
        <f>Projection!$AD$23</f>
        <v>0</v>
      </c>
      <c r="O40" s="244">
        <v>15.77</v>
      </c>
      <c r="P40" s="245">
        <v>15.77</v>
      </c>
      <c r="Q40" s="245">
        <v>15.77</v>
      </c>
      <c r="R40" s="245">
        <v>15.77</v>
      </c>
      <c r="S40" s="245">
        <f>Projection!$AD$28</f>
        <v>2.3715123600000001</v>
      </c>
      <c r="T40" s="246">
        <f>Projection!$AD$28</f>
        <v>2.3715123600000001</v>
      </c>
      <c r="U40" s="244">
        <f>Projection!$AD$27</f>
        <v>0.48749999999999999</v>
      </c>
      <c r="V40" s="245">
        <f>Projection!$AD$27</f>
        <v>0.48749999999999999</v>
      </c>
      <c r="W40" s="245">
        <f>Projection!$AD$22</f>
        <v>2.6240976000000003</v>
      </c>
      <c r="X40" s="245">
        <f>Projection!$AD$22</f>
        <v>2.6240976000000003</v>
      </c>
      <c r="Y40" s="245">
        <f>Projection!$AD$31</f>
        <v>4.4888382</v>
      </c>
      <c r="Z40" s="245">
        <f>Projection!$AD$31</f>
        <v>4.4888382</v>
      </c>
      <c r="AA40" s="251">
        <v>0</v>
      </c>
      <c r="AB40" s="254">
        <f>Projection!$AD$27</f>
        <v>0.48749999999999999</v>
      </c>
      <c r="AC40" s="254">
        <f>Projection!$AD$30</f>
        <v>0.75949460999999996</v>
      </c>
      <c r="AD40" s="352">
        <f>SUM(AD8:AD38)</f>
        <v>238.52216308542862</v>
      </c>
      <c r="AE40" s="352">
        <f>SUM(AE8:AE38)</f>
        <v>69.545922742644549</v>
      </c>
      <c r="AF40" s="257">
        <f>SUM(AF8:AF38)</f>
        <v>289.41223506675829</v>
      </c>
      <c r="AG40" s="257">
        <f>SUM(AG8:AG38)</f>
        <v>215.37678278035702</v>
      </c>
      <c r="AH40" s="257">
        <f>SUM(AH8:AH38)</f>
        <v>67.912280502614536</v>
      </c>
      <c r="AI40" s="257">
        <f>IF(SUM(AG40:AH40)&gt;0, AG40/(AG40+AH40),0)</f>
        <v>0.76027214141063271</v>
      </c>
      <c r="AJ40" s="286">
        <v>9.9000000000000005E-2</v>
      </c>
      <c r="AK40" s="286">
        <f t="shared" ref="AK40:AS40" si="2">$AJ$40</f>
        <v>9.9000000000000005E-2</v>
      </c>
      <c r="AL40" s="286">
        <f t="shared" si="2"/>
        <v>9.9000000000000005E-2</v>
      </c>
      <c r="AM40" s="286">
        <f t="shared" si="2"/>
        <v>9.9000000000000005E-2</v>
      </c>
      <c r="AN40" s="286">
        <f t="shared" si="2"/>
        <v>9.9000000000000005E-2</v>
      </c>
      <c r="AO40" s="286">
        <f t="shared" si="2"/>
        <v>9.9000000000000005E-2</v>
      </c>
      <c r="AP40" s="286">
        <f t="shared" si="2"/>
        <v>9.9000000000000005E-2</v>
      </c>
      <c r="AQ40" s="286">
        <f t="shared" si="2"/>
        <v>9.9000000000000005E-2</v>
      </c>
      <c r="AR40" s="286">
        <f t="shared" si="2"/>
        <v>9.9000000000000005E-2</v>
      </c>
      <c r="AS40" s="286">
        <f t="shared" si="2"/>
        <v>9.9000000000000005E-2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 t="shared" si="3"/>
        <v>1744.8039073938687</v>
      </c>
      <c r="D41" s="32">
        <f t="shared" si="3"/>
        <v>37203.493792055153</v>
      </c>
      <c r="E41" s="32">
        <f t="shared" si="3"/>
        <v>969.58114750401774</v>
      </c>
      <c r="F41" s="32">
        <f t="shared" si="3"/>
        <v>0</v>
      </c>
      <c r="G41" s="32">
        <f t="shared" si="3"/>
        <v>1182.7722910512296</v>
      </c>
      <c r="H41" s="33">
        <f t="shared" si="3"/>
        <v>1283.921530960489</v>
      </c>
      <c r="I41" s="31">
        <f t="shared" si="3"/>
        <v>3113.0098332732573</v>
      </c>
      <c r="J41" s="32">
        <f t="shared" si="3"/>
        <v>21035.373881318923</v>
      </c>
      <c r="K41" s="32">
        <f t="shared" si="3"/>
        <v>2742.0996164840149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2277.2001318648577</v>
      </c>
      <c r="V41" s="248">
        <f t="shared" si="3"/>
        <v>5430.7528252715629</v>
      </c>
      <c r="W41" s="248">
        <f t="shared" si="3"/>
        <v>2131.3767976048689</v>
      </c>
      <c r="X41" s="248">
        <f t="shared" si="3"/>
        <v>629.63746052380361</v>
      </c>
      <c r="Y41" s="248">
        <f t="shared" si="3"/>
        <v>14454.54239442289</v>
      </c>
      <c r="Z41" s="248">
        <f t="shared" si="3"/>
        <v>4706.7872674950522</v>
      </c>
      <c r="AA41" s="252">
        <f t="shared" si="3"/>
        <v>0</v>
      </c>
      <c r="AB41" s="255">
        <f t="shared" si="3"/>
        <v>1817.7162153527636</v>
      </c>
      <c r="AC41" s="255">
        <f t="shared" si="3"/>
        <v>0</v>
      </c>
      <c r="AJ41" s="258">
        <f t="shared" ref="AJ41:AS41" si="4">AJ40*AJ39</f>
        <v>595.58576226724153</v>
      </c>
      <c r="AK41" s="258">
        <f t="shared" si="4"/>
        <v>1451.4743791810513</v>
      </c>
      <c r="AL41" s="258">
        <f t="shared" si="4"/>
        <v>4087.652501316205</v>
      </c>
      <c r="AM41" s="258">
        <f t="shared" si="4"/>
        <v>1374.0665542843296</v>
      </c>
      <c r="AN41" s="258">
        <f t="shared" si="4"/>
        <v>8218.8149465630704</v>
      </c>
      <c r="AO41" s="258">
        <f t="shared" si="4"/>
        <v>6864.354143585474</v>
      </c>
      <c r="AP41" s="258">
        <f t="shared" si="4"/>
        <v>1161.0171605655958</v>
      </c>
      <c r="AQ41" s="258">
        <f t="shared" si="4"/>
        <v>4620.2462803605667</v>
      </c>
      <c r="AR41" s="258">
        <f t="shared" si="4"/>
        <v>799.49128565366163</v>
      </c>
      <c r="AS41" s="258">
        <f t="shared" si="4"/>
        <v>1739.1985163667871</v>
      </c>
    </row>
    <row r="42" spans="1:45" ht="49.5" customHeight="1" thickTop="1" thickBot="1" x14ac:dyDescent="0.3">
      <c r="A42" s="587">
        <f>SEPTEMBER!$A$42+30</f>
        <v>44836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1495.86</v>
      </c>
      <c r="AK42" s="258" t="s">
        <v>197</v>
      </c>
      <c r="AL42" s="258">
        <v>1505.63</v>
      </c>
      <c r="AM42" s="258">
        <v>116.66</v>
      </c>
      <c r="AN42" s="258">
        <v>1682.96</v>
      </c>
      <c r="AO42" s="258">
        <v>3766.69</v>
      </c>
      <c r="AP42" s="258">
        <v>754.73</v>
      </c>
      <c r="AQ42" s="258" t="s">
        <v>197</v>
      </c>
      <c r="AR42" s="258">
        <v>115.4</v>
      </c>
      <c r="AS42" s="258">
        <v>738.83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100723.06909257676</v>
      </c>
      <c r="D44" s="262" t="s">
        <v>135</v>
      </c>
      <c r="E44" s="263">
        <f>SUM(B41:H41)+P41+R41+T41+V41+X41+Z41</f>
        <v>53151.750222255185</v>
      </c>
      <c r="G44" s="262" t="s">
        <v>135</v>
      </c>
      <c r="H44" s="263">
        <f>SUM(I41:N41)+O41+Q41+S41+U41+W41+Y41</f>
        <v>45753.60265496881</v>
      </c>
      <c r="J44" s="262" t="s">
        <v>198</v>
      </c>
      <c r="K44" s="263">
        <v>181339.89</v>
      </c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30911.901530143987</v>
      </c>
      <c r="D45" s="264" t="s">
        <v>183</v>
      </c>
      <c r="E45" s="265">
        <f>AJ41*(1-$AI$40)+AK41+AL41*0.5+AN41+AO41*(1-$AI$40)+AP41*(1-$AI$40)+AQ41*(1-$AI$40)+AR41*0.5+AS41*0.5</f>
        <v>16157.745800882114</v>
      </c>
      <c r="F45" s="20"/>
      <c r="G45" s="264" t="s">
        <v>183</v>
      </c>
      <c r="H45" s="265">
        <f>AJ41*AI40+AL41*0.5+AM41+AO41*AI40+AP41*AI40+AQ41*AI40+AR41*0.5+AS41*0.5</f>
        <v>14754.155729261871</v>
      </c>
      <c r="K45" s="268"/>
      <c r="R45" s="278" t="s">
        <v>141</v>
      </c>
      <c r="S45" s="279"/>
      <c r="T45" s="234">
        <f>$W$39+$X$39</f>
        <v>1052.176663752397</v>
      </c>
      <c r="U45" s="236">
        <f>(T45*8.34*0.895)/27000</f>
        <v>0.2908800841202599</v>
      </c>
    </row>
    <row r="46" spans="1:45" ht="32.25" thickBot="1" x14ac:dyDescent="0.3">
      <c r="A46" s="266" t="s">
        <v>184</v>
      </c>
      <c r="B46" s="267">
        <f>SUM(AJ42:AS42)</f>
        <v>10176.759999999998</v>
      </c>
      <c r="D46" s="266" t="s">
        <v>184</v>
      </c>
      <c r="E46" s="267">
        <f>AJ42*(1-$AI$40)+AL42*0.5+AN42+AO42*(1-$AI$40)+AP42*(1-$AI$40)+AR42*0.5+AS42*0.5</f>
        <v>4305.3996489326282</v>
      </c>
      <c r="F46" s="19"/>
      <c r="G46" s="266" t="s">
        <v>184</v>
      </c>
      <c r="H46" s="267">
        <f>AJ42*AI40+AL42*0.5+AM42+AO42*AI40+AP42*AI40+AR42*0.5+AS42*0.5</f>
        <v>5871.3603510673711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181339.89</v>
      </c>
      <c r="D47" s="266" t="s">
        <v>187</v>
      </c>
      <c r="E47" s="267">
        <f>K44*0.5</f>
        <v>90669.945000000007</v>
      </c>
      <c r="F47" s="20"/>
      <c r="G47" s="266" t="s">
        <v>185</v>
      </c>
      <c r="H47" s="267">
        <f>K44*0.5</f>
        <v>90669.945000000007</v>
      </c>
      <c r="J47" s="262" t="s">
        <v>198</v>
      </c>
      <c r="K47" s="263">
        <v>40028.549999999988</v>
      </c>
      <c r="R47" s="278" t="s">
        <v>148</v>
      </c>
      <c r="S47" s="279"/>
      <c r="T47" s="234">
        <f>$G$39</f>
        <v>15472.199503580738</v>
      </c>
      <c r="U47" s="236">
        <f>T47/40000</f>
        <v>0.38680498758951842</v>
      </c>
    </row>
    <row r="48" spans="1:45" ht="24" thickBot="1" x14ac:dyDescent="0.3">
      <c r="A48" s="266" t="s">
        <v>186</v>
      </c>
      <c r="B48" s="267">
        <f>K47</f>
        <v>40028.549999999988</v>
      </c>
      <c r="D48" s="266" t="s">
        <v>186</v>
      </c>
      <c r="E48" s="267">
        <f>K47*0.5</f>
        <v>20014.274999999994</v>
      </c>
      <c r="F48" s="19"/>
      <c r="G48" s="266" t="s">
        <v>186</v>
      </c>
      <c r="H48" s="267">
        <f>K47*0.5</f>
        <v>20014.274999999994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3" ht="48" thickTop="1" thickBot="1" x14ac:dyDescent="0.3">
      <c r="A49" s="271" t="s">
        <v>194</v>
      </c>
      <c r="B49" s="272">
        <f>AF40</f>
        <v>289.41223506675829</v>
      </c>
      <c r="D49" s="271" t="s">
        <v>195</v>
      </c>
      <c r="E49" s="272">
        <f>AH40</f>
        <v>67.912280502614536</v>
      </c>
      <c r="F49" s="19"/>
      <c r="G49" s="271" t="s">
        <v>196</v>
      </c>
      <c r="H49" s="272">
        <f>AG40</f>
        <v>215.37678278035702</v>
      </c>
      <c r="K49" s="71"/>
      <c r="R49" s="278" t="s">
        <v>152</v>
      </c>
      <c r="S49" s="279"/>
      <c r="T49" s="234">
        <f>$E$39+$K$39</f>
        <v>658.35156087934956</v>
      </c>
      <c r="U49" s="236">
        <f>(T49*8.34*1.04)/45000</f>
        <v>0.12689506885429169</v>
      </c>
    </row>
    <row r="50" spans="1:23" ht="48" customHeight="1" thickTop="1" thickBot="1" x14ac:dyDescent="0.3">
      <c r="A50" s="271" t="s">
        <v>223</v>
      </c>
      <c r="B50" s="272">
        <f>SUM(E50+H50)</f>
        <v>308.06808582807315</v>
      </c>
      <c r="D50" s="271" t="s">
        <v>224</v>
      </c>
      <c r="E50" s="272">
        <f>AE40</f>
        <v>69.545922742644549</v>
      </c>
      <c r="F50" s="19"/>
      <c r="G50" s="271" t="s">
        <v>225</v>
      </c>
      <c r="H50" s="272">
        <f>AD40</f>
        <v>238.52216308542862</v>
      </c>
      <c r="K50" s="71"/>
      <c r="R50" s="278"/>
      <c r="S50" s="279"/>
      <c r="T50" s="234"/>
      <c r="U50" s="236"/>
    </row>
    <row r="51" spans="1:23" ht="48" thickTop="1" thickBot="1" x14ac:dyDescent="0.3">
      <c r="A51" s="271" t="s">
        <v>190</v>
      </c>
      <c r="B51" s="273">
        <f>(SUM(B44:B48)/B50)</f>
        <v>1178.8957939168183</v>
      </c>
      <c r="D51" s="271" t="s">
        <v>188</v>
      </c>
      <c r="E51" s="351">
        <f>SUM(E44:E48)/E50</f>
        <v>2650.0348029613588</v>
      </c>
      <c r="F51" s="19"/>
      <c r="G51" s="271" t="s">
        <v>189</v>
      </c>
      <c r="H51" s="351">
        <f>SUM(H44:H48)/H50</f>
        <v>742.33495304954704</v>
      </c>
      <c r="K51" s="71"/>
      <c r="R51" s="278" t="s">
        <v>153</v>
      </c>
      <c r="S51" s="279"/>
      <c r="T51" s="234">
        <f>$U$39+$V$39+$AB$39</f>
        <v>19539.834199977813</v>
      </c>
      <c r="U51" s="236">
        <f>T51/2000/8</f>
        <v>1.2212396374986134</v>
      </c>
    </row>
    <row r="52" spans="1:23" ht="48" thickTop="1" thickBot="1" x14ac:dyDescent="0.3">
      <c r="A52" s="261" t="s">
        <v>191</v>
      </c>
      <c r="B52" s="274">
        <f>B51/1000</f>
        <v>1.1788957939168183</v>
      </c>
      <c r="D52" s="261" t="s">
        <v>192</v>
      </c>
      <c r="E52" s="274">
        <f>E51/1000</f>
        <v>2.650034802961359</v>
      </c>
      <c r="F52" s="333">
        <f>E44/E49</f>
        <v>782.65300220935615</v>
      </c>
      <c r="G52" s="261" t="s">
        <v>193</v>
      </c>
      <c r="H52" s="274">
        <f>H51/1000</f>
        <v>0.742334953049547</v>
      </c>
      <c r="I52" s="333">
        <f>H44/H49</f>
        <v>212.43516624365543</v>
      </c>
      <c r="K52" s="71"/>
      <c r="R52" s="278" t="s">
        <v>154</v>
      </c>
      <c r="S52" s="279"/>
      <c r="T52" s="234">
        <f>$C$39+$J$39+$S$39+$T$39</f>
        <v>9605.7596717365577</v>
      </c>
      <c r="U52" s="236">
        <f>(T52*8.34*1.4)/45000</f>
        <v>2.4923744428265784</v>
      </c>
    </row>
    <row r="53" spans="1:23" ht="16.5" thickTop="1" thickBot="1" x14ac:dyDescent="0.3">
      <c r="A53" s="282"/>
      <c r="K53" s="71"/>
      <c r="R53" s="278" t="s">
        <v>155</v>
      </c>
      <c r="S53" s="279"/>
      <c r="T53" s="234">
        <f>$H$39</f>
        <v>278.22871483047822</v>
      </c>
      <c r="U53" s="236">
        <f>(T53*8.34*1.135)/45000</f>
        <v>5.852633759364053E-2</v>
      </c>
    </row>
    <row r="54" spans="1:23" ht="33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4098.7912123211217</v>
      </c>
      <c r="U54" s="236">
        <f>(T54*8.34*1.029*0.03)/3300</f>
        <v>0.31977502139427399</v>
      </c>
    </row>
    <row r="55" spans="1:23" ht="59.25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12556.661867200535</v>
      </c>
      <c r="U55" s="239">
        <f>(T55*1.54*8.34)/45000</f>
        <v>3.5838387190572618</v>
      </c>
      <c r="V55" s="292"/>
    </row>
    <row r="56" spans="1:23" ht="15.75" thickTop="1" x14ac:dyDescent="0.25">
      <c r="T56" s="622"/>
      <c r="U56" s="622"/>
      <c r="V56" s="290"/>
      <c r="W56" s="291"/>
    </row>
    <row r="57" spans="1:23" x14ac:dyDescent="0.25">
      <c r="T57" s="621"/>
      <c r="U57" s="621"/>
      <c r="V57" s="290"/>
      <c r="W57" s="291"/>
    </row>
    <row r="58" spans="1:23" x14ac:dyDescent="0.25">
      <c r="T58" s="621"/>
      <c r="U58" s="621"/>
      <c r="V58" s="290"/>
      <c r="W58" s="291"/>
    </row>
    <row r="59" spans="1:23" x14ac:dyDescent="0.25">
      <c r="T59" s="621"/>
      <c r="U59" s="621"/>
      <c r="V59" s="290"/>
      <c r="W59" s="291"/>
    </row>
    <row r="60" spans="1:23" x14ac:dyDescent="0.25">
      <c r="T60" s="621"/>
      <c r="U60" s="621"/>
      <c r="V60" s="290"/>
      <c r="W60" s="291"/>
    </row>
    <row r="61" spans="1:23" x14ac:dyDescent="0.25">
      <c r="T61" s="621"/>
      <c r="U61" s="621"/>
      <c r="V61" s="290"/>
      <c r="W61" s="291"/>
    </row>
    <row r="62" spans="1:23" x14ac:dyDescent="0.25">
      <c r="T62" s="621"/>
      <c r="U62" s="621"/>
      <c r="V62" s="290"/>
      <c r="W62" s="291"/>
    </row>
    <row r="63" spans="1:23" x14ac:dyDescent="0.25">
      <c r="T63" s="621"/>
      <c r="U63" s="621"/>
      <c r="V63" s="290"/>
      <c r="W63" s="291"/>
    </row>
  </sheetData>
  <sheetProtection algorithmName="SHA-512" hashValue="tYFIH6MVoZ2Mi/ZXEtFsMhtgMvr3Te/maZhK90n1N2SPxkIA7vHjGBhomIYxSA1f546sERJykp8gdJjTVbOUPA==" saltValue="/M+MGmlplfh+Zm9NzJYY+w==" spinCount="100000" sheet="1" selectLockedCells="1" selectUnlockedCells="1"/>
  <mergeCells count="40">
    <mergeCell ref="AR4:AR5"/>
    <mergeCell ref="AS4:AS5"/>
    <mergeCell ref="AJ4:AJ5"/>
    <mergeCell ref="AK4:AK5"/>
    <mergeCell ref="AL4:AL5"/>
    <mergeCell ref="AM4:AM5"/>
    <mergeCell ref="AN4:AN5"/>
    <mergeCell ref="AO4:AO5"/>
    <mergeCell ref="O4:T5"/>
    <mergeCell ref="U4:AA5"/>
    <mergeCell ref="R43:U43"/>
    <mergeCell ref="AP4:AP5"/>
    <mergeCell ref="AQ4:AQ5"/>
    <mergeCell ref="AI4:AI5"/>
    <mergeCell ref="AB4:AB5"/>
    <mergeCell ref="AC4:AC5"/>
    <mergeCell ref="AF4:AF5"/>
    <mergeCell ref="AG4:AG5"/>
    <mergeCell ref="AH4:AH5"/>
    <mergeCell ref="AD4:AD5"/>
    <mergeCell ref="AE4:AE5"/>
    <mergeCell ref="B4:H5"/>
    <mergeCell ref="I4:N5"/>
    <mergeCell ref="G43:H43"/>
    <mergeCell ref="D43:E43"/>
    <mergeCell ref="A43:B43"/>
    <mergeCell ref="A42:K42"/>
    <mergeCell ref="J43:K43"/>
    <mergeCell ref="J46:K46"/>
    <mergeCell ref="A54:E54"/>
    <mergeCell ref="A55:E55"/>
    <mergeCell ref="R55:S55"/>
    <mergeCell ref="T62:U62"/>
    <mergeCell ref="T56:U56"/>
    <mergeCell ref="T63:U63"/>
    <mergeCell ref="T57:U57"/>
    <mergeCell ref="T58:U58"/>
    <mergeCell ref="T59:U59"/>
    <mergeCell ref="T60:U60"/>
    <mergeCell ref="T61:U61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C63"/>
  <sheetViews>
    <sheetView topLeftCell="AF1" zoomScale="80" zoomScaleNormal="80" workbookViewId="0">
      <pane ySplit="7" topLeftCell="A20" activePane="bottomLeft" state="frozen"/>
      <selection activeCell="AG1" sqref="AG1"/>
      <selection pane="bottomLeft" activeCell="AJ41" sqref="AJ41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</row>
    <row r="2" spans="1:55" ht="15" customHeight="1" x14ac:dyDescent="0.25">
      <c r="A2" s="1" t="s">
        <v>2</v>
      </c>
      <c r="B2" s="4"/>
    </row>
    <row r="3" spans="1:55" ht="15.75" thickBot="1" x14ac:dyDescent="0.3">
      <c r="A3" s="5"/>
      <c r="BB3" t="s">
        <v>169</v>
      </c>
      <c r="BC3" s="240" t="s">
        <v>206</v>
      </c>
    </row>
    <row r="4" spans="1:55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</row>
    <row r="5" spans="1:55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55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55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55" x14ac:dyDescent="0.25">
      <c r="A8" s="9">
        <v>44866</v>
      </c>
      <c r="B8" s="45"/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7">
        <v>0</v>
      </c>
      <c r="I8" s="45">
        <v>234.37762811978595</v>
      </c>
      <c r="J8" s="46">
        <v>488.7523336092633</v>
      </c>
      <c r="K8" s="46">
        <v>26.785328103105257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226.32159332434156</v>
      </c>
      <c r="V8" s="50">
        <v>0</v>
      </c>
      <c r="W8" s="50">
        <v>36.583904743194587</v>
      </c>
      <c r="X8" s="50">
        <v>0</v>
      </c>
      <c r="Y8" s="50">
        <v>109.96476551691707</v>
      </c>
      <c r="Z8" s="50">
        <v>0</v>
      </c>
      <c r="AA8" s="51">
        <v>0</v>
      </c>
      <c r="AB8" s="52">
        <v>82.464275508456737</v>
      </c>
      <c r="AC8" s="53">
        <v>0</v>
      </c>
      <c r="AD8" s="389">
        <v>15.365605696591039</v>
      </c>
      <c r="AE8" s="358">
        <v>0</v>
      </c>
      <c r="AF8" s="53">
        <v>7.4924293908807895</v>
      </c>
      <c r="AG8" s="53">
        <v>8.7078759993881061</v>
      </c>
      <c r="AH8" s="53">
        <v>0</v>
      </c>
      <c r="AI8" s="53">
        <v>1</v>
      </c>
      <c r="AJ8" s="53">
        <v>176.66297214031221</v>
      </c>
      <c r="AK8" s="53">
        <v>349.52326013247171</v>
      </c>
      <c r="AL8" s="53">
        <v>902.89618899027516</v>
      </c>
      <c r="AM8" s="53">
        <v>662.32166980107615</v>
      </c>
      <c r="AN8" s="53">
        <v>1341.535354677836</v>
      </c>
      <c r="AO8" s="53">
        <v>1912.0495665232343</v>
      </c>
      <c r="AP8" s="53">
        <v>408.67600622177133</v>
      </c>
      <c r="AQ8" s="53">
        <v>1468.4404535770416</v>
      </c>
      <c r="AR8" s="53">
        <v>400.00329030354817</v>
      </c>
      <c r="AS8" s="53">
        <v>636.57315127054846</v>
      </c>
    </row>
    <row r="9" spans="1:55" x14ac:dyDescent="0.25">
      <c r="A9" s="9">
        <v>44867</v>
      </c>
      <c r="B9" s="45"/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7">
        <v>0</v>
      </c>
      <c r="I9" s="45">
        <v>234.70311867395972</v>
      </c>
      <c r="J9" s="46">
        <v>488.6206199645992</v>
      </c>
      <c r="K9" s="46">
        <v>26.813615242640225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337.72476115756638</v>
      </c>
      <c r="V9" s="54">
        <v>0</v>
      </c>
      <c r="W9" s="54">
        <v>59.750889591375966</v>
      </c>
      <c r="X9" s="54">
        <v>0</v>
      </c>
      <c r="Y9" s="54">
        <v>197.2303654273351</v>
      </c>
      <c r="Z9" s="54">
        <v>0</v>
      </c>
      <c r="AA9" s="57">
        <v>0</v>
      </c>
      <c r="AB9" s="58">
        <v>82.41253711912357</v>
      </c>
      <c r="AC9" s="52">
        <v>0</v>
      </c>
      <c r="AD9" s="357">
        <v>15.362790716253302</v>
      </c>
      <c r="AE9" s="359">
        <v>0</v>
      </c>
      <c r="AF9" s="52">
        <v>14.619192436668595</v>
      </c>
      <c r="AG9" s="58">
        <v>14.325620618761251</v>
      </c>
      <c r="AH9" s="58">
        <v>0</v>
      </c>
      <c r="AI9" s="58">
        <v>1</v>
      </c>
      <c r="AJ9" s="52">
        <v>185.46509114901224</v>
      </c>
      <c r="AK9" s="52">
        <v>360.95105069478359</v>
      </c>
      <c r="AL9" s="52">
        <v>864.7086754163106</v>
      </c>
      <c r="AM9" s="52">
        <v>602.56817886034651</v>
      </c>
      <c r="AN9" s="52">
        <v>1297.1078482945759</v>
      </c>
      <c r="AO9" s="52">
        <v>1923.9060902913413</v>
      </c>
      <c r="AP9" s="52">
        <v>408.88056200345363</v>
      </c>
      <c r="AQ9" s="52">
        <v>2045.5550186157229</v>
      </c>
      <c r="AR9" s="52">
        <v>406.36066830952961</v>
      </c>
      <c r="AS9" s="52">
        <v>661.96508299509685</v>
      </c>
    </row>
    <row r="10" spans="1:55" s="366" customFormat="1" x14ac:dyDescent="0.25">
      <c r="A10" s="9">
        <v>44868</v>
      </c>
      <c r="B10" s="361"/>
      <c r="C10" s="362">
        <v>0</v>
      </c>
      <c r="D10" s="362">
        <v>0</v>
      </c>
      <c r="E10" s="46">
        <v>0</v>
      </c>
      <c r="F10" s="362">
        <v>0</v>
      </c>
      <c r="G10" s="362">
        <v>0</v>
      </c>
      <c r="H10" s="363">
        <v>0</v>
      </c>
      <c r="I10" s="361">
        <v>240.08802584012329</v>
      </c>
      <c r="J10" s="362">
        <v>488.48163204193145</v>
      </c>
      <c r="K10" s="362">
        <v>26.840598636865657</v>
      </c>
      <c r="L10" s="46">
        <v>0</v>
      </c>
      <c r="M10" s="362">
        <v>0</v>
      </c>
      <c r="N10" s="363">
        <v>0</v>
      </c>
      <c r="O10" s="361">
        <v>0</v>
      </c>
      <c r="P10" s="362">
        <v>0</v>
      </c>
      <c r="Q10" s="362">
        <v>0</v>
      </c>
      <c r="R10" s="362">
        <v>0</v>
      </c>
      <c r="S10" s="362">
        <v>0</v>
      </c>
      <c r="T10" s="363">
        <v>0</v>
      </c>
      <c r="U10" s="361">
        <v>357.2219593260038</v>
      </c>
      <c r="V10" s="362">
        <v>0</v>
      </c>
      <c r="W10" s="362">
        <v>61.855805238088053</v>
      </c>
      <c r="X10" s="362">
        <v>0</v>
      </c>
      <c r="Y10" s="362">
        <v>204.18214571475974</v>
      </c>
      <c r="Z10" s="362">
        <v>0</v>
      </c>
      <c r="AA10" s="363">
        <v>0</v>
      </c>
      <c r="AB10" s="364">
        <v>82.407550859450424</v>
      </c>
      <c r="AC10" s="52">
        <v>0</v>
      </c>
      <c r="AD10" s="365">
        <v>15.360641467884713</v>
      </c>
      <c r="AE10" s="364">
        <v>0</v>
      </c>
      <c r="AF10" s="52">
        <v>15.01210314499005</v>
      </c>
      <c r="AG10" s="52">
        <v>14.724741147039541</v>
      </c>
      <c r="AH10" s="52">
        <v>0</v>
      </c>
      <c r="AI10" s="52">
        <v>1</v>
      </c>
      <c r="AJ10" s="52">
        <v>181.30216049353282</v>
      </c>
      <c r="AK10" s="52">
        <v>393.40820414225266</v>
      </c>
      <c r="AL10" s="52">
        <v>813.31185057957964</v>
      </c>
      <c r="AM10" s="52">
        <v>510.98035763104753</v>
      </c>
      <c r="AN10" s="52">
        <v>1398.6442478815716</v>
      </c>
      <c r="AO10" s="52">
        <v>1908.1970729827881</v>
      </c>
      <c r="AP10" s="52">
        <v>438.01677754720043</v>
      </c>
      <c r="AQ10" s="52">
        <v>2071.684326744079</v>
      </c>
      <c r="AR10" s="52">
        <v>424.66896667480461</v>
      </c>
      <c r="AS10" s="52">
        <v>527.73618917465217</v>
      </c>
    </row>
    <row r="11" spans="1:55" x14ac:dyDescent="0.25">
      <c r="A11" s="9">
        <v>44869</v>
      </c>
      <c r="B11" s="45"/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7">
        <v>0</v>
      </c>
      <c r="I11" s="45">
        <v>259.5776576995849</v>
      </c>
      <c r="J11" s="46">
        <v>488.50046672821014</v>
      </c>
      <c r="K11" s="46">
        <v>26.814416036009845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350.30343331230813</v>
      </c>
      <c r="V11" s="54">
        <v>0</v>
      </c>
      <c r="W11" s="54">
        <v>62.057623434066677</v>
      </c>
      <c r="X11" s="54">
        <v>0</v>
      </c>
      <c r="Y11" s="54">
        <v>210.61171569029466</v>
      </c>
      <c r="Z11" s="54">
        <v>0</v>
      </c>
      <c r="AA11" s="57">
        <v>0</v>
      </c>
      <c r="AB11" s="58">
        <v>81.853703731961659</v>
      </c>
      <c r="AC11" s="52">
        <v>0</v>
      </c>
      <c r="AD11" s="357">
        <v>15.362187465125926</v>
      </c>
      <c r="AE11" s="359">
        <v>0</v>
      </c>
      <c r="AF11" s="52">
        <v>15.156553661160984</v>
      </c>
      <c r="AG11" s="58">
        <v>14.860878585109011</v>
      </c>
      <c r="AH11" s="58">
        <v>0</v>
      </c>
      <c r="AI11" s="58">
        <v>1</v>
      </c>
      <c r="AJ11" s="52">
        <v>204.02894866466519</v>
      </c>
      <c r="AK11" s="52">
        <v>448.81700676282242</v>
      </c>
      <c r="AL11" s="52">
        <v>881.76966304779046</v>
      </c>
      <c r="AM11" s="52">
        <v>521.72136290868127</v>
      </c>
      <c r="AN11" s="52">
        <v>1462.4602155049643</v>
      </c>
      <c r="AO11" s="52">
        <v>1951.2021073659259</v>
      </c>
      <c r="AP11" s="52">
        <v>504.01817269325267</v>
      </c>
      <c r="AQ11" s="52">
        <v>2163.6213443120323</v>
      </c>
      <c r="AR11" s="52">
        <v>450.51663265228262</v>
      </c>
      <c r="AS11" s="52">
        <v>506.53300622304278</v>
      </c>
    </row>
    <row r="12" spans="1:55" x14ac:dyDescent="0.25">
      <c r="A12" s="9">
        <v>44870</v>
      </c>
      <c r="B12" s="45"/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7">
        <v>0</v>
      </c>
      <c r="I12" s="45">
        <v>264.04028116861957</v>
      </c>
      <c r="J12" s="46">
        <v>488.45162432988508</v>
      </c>
      <c r="K12" s="46">
        <v>26.798437288403544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359.55087288750758</v>
      </c>
      <c r="V12" s="54">
        <v>0</v>
      </c>
      <c r="W12" s="54">
        <v>60.515571733315653</v>
      </c>
      <c r="X12" s="54">
        <v>0</v>
      </c>
      <c r="Y12" s="54">
        <v>214.14864328702288</v>
      </c>
      <c r="Z12" s="54">
        <v>0</v>
      </c>
      <c r="AA12" s="57">
        <v>0</v>
      </c>
      <c r="AB12" s="58">
        <v>81.741162665686247</v>
      </c>
      <c r="AC12" s="52">
        <v>0</v>
      </c>
      <c r="AD12" s="357">
        <v>15.361129121285265</v>
      </c>
      <c r="AE12" s="359">
        <v>0</v>
      </c>
      <c r="AF12" s="52">
        <v>15.122977203461835</v>
      </c>
      <c r="AG12" s="58">
        <v>14.869711403890632</v>
      </c>
      <c r="AH12" s="58">
        <v>0</v>
      </c>
      <c r="AI12" s="58">
        <v>1</v>
      </c>
      <c r="AJ12" s="52">
        <v>190.72718588511148</v>
      </c>
      <c r="AK12" s="52">
        <v>423.29038724899289</v>
      </c>
      <c r="AL12" s="52">
        <v>882.18116245269789</v>
      </c>
      <c r="AM12" s="52">
        <v>503.74175408681225</v>
      </c>
      <c r="AN12" s="52">
        <v>1443.0027343114218</v>
      </c>
      <c r="AO12" s="52">
        <v>1911.7365556081136</v>
      </c>
      <c r="AP12" s="52">
        <v>484.04814513524377</v>
      </c>
      <c r="AQ12" s="52">
        <v>2067.9272610982262</v>
      </c>
      <c r="AR12" s="52">
        <v>450.98367862701417</v>
      </c>
      <c r="AS12" s="52">
        <v>508.84805208841954</v>
      </c>
    </row>
    <row r="13" spans="1:55" x14ac:dyDescent="0.25">
      <c r="A13" s="9">
        <v>44871</v>
      </c>
      <c r="B13" s="45"/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7">
        <v>0</v>
      </c>
      <c r="I13" s="45">
        <v>264.01519788106248</v>
      </c>
      <c r="J13" s="46">
        <v>488.36961059570342</v>
      </c>
      <c r="K13" s="46">
        <v>26.777846063176817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353.61354319255008</v>
      </c>
      <c r="V13" s="54">
        <v>0</v>
      </c>
      <c r="W13" s="54">
        <v>59.403162157535498</v>
      </c>
      <c r="X13" s="54">
        <v>0</v>
      </c>
      <c r="Y13" s="54">
        <v>212.91112525463095</v>
      </c>
      <c r="Z13" s="54">
        <v>0</v>
      </c>
      <c r="AA13" s="57">
        <v>0</v>
      </c>
      <c r="AB13" s="58">
        <v>81.743584807715266</v>
      </c>
      <c r="AC13" s="52">
        <v>0</v>
      </c>
      <c r="AD13" s="357">
        <v>15.358826754339685</v>
      </c>
      <c r="AE13" s="359">
        <v>0</v>
      </c>
      <c r="AF13" s="52">
        <v>15.008369798130458</v>
      </c>
      <c r="AG13" s="58">
        <v>14.737026581853106</v>
      </c>
      <c r="AH13" s="58">
        <v>0</v>
      </c>
      <c r="AI13" s="58">
        <v>1</v>
      </c>
      <c r="AJ13" s="52">
        <v>191.57494385242464</v>
      </c>
      <c r="AK13" s="52">
        <v>428.52070881525668</v>
      </c>
      <c r="AL13" s="52">
        <v>858.51258592605586</v>
      </c>
      <c r="AM13" s="52">
        <v>504.48048264185587</v>
      </c>
      <c r="AN13" s="52">
        <v>1458.8392661412556</v>
      </c>
      <c r="AO13" s="52">
        <v>1938.6651697794598</v>
      </c>
      <c r="AP13" s="52">
        <v>500.12406333287561</v>
      </c>
      <c r="AQ13" s="52">
        <v>2048.9070542017625</v>
      </c>
      <c r="AR13" s="52">
        <v>426.88978322347009</v>
      </c>
      <c r="AS13" s="52">
        <v>475.4517720540365</v>
      </c>
    </row>
    <row r="14" spans="1:55" x14ac:dyDescent="0.25">
      <c r="A14" s="9">
        <v>44872</v>
      </c>
      <c r="B14" s="45"/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7">
        <v>0</v>
      </c>
      <c r="I14" s="45">
        <v>263.32774542172717</v>
      </c>
      <c r="J14" s="46">
        <v>488.16007811228468</v>
      </c>
      <c r="K14" s="46">
        <v>26.823681629697511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351.1066001680199</v>
      </c>
      <c r="V14" s="54">
        <v>0</v>
      </c>
      <c r="W14" s="54">
        <v>59.118840936819666</v>
      </c>
      <c r="X14" s="54">
        <v>0</v>
      </c>
      <c r="Y14" s="54">
        <v>210.00296771526328</v>
      </c>
      <c r="Z14" s="54">
        <v>0</v>
      </c>
      <c r="AA14" s="57">
        <v>0</v>
      </c>
      <c r="AB14" s="58">
        <v>81.744275818932309</v>
      </c>
      <c r="AC14" s="52">
        <v>0</v>
      </c>
      <c r="AD14" s="357">
        <v>15.35572044230228</v>
      </c>
      <c r="AE14" s="359">
        <v>0</v>
      </c>
      <c r="AF14" s="52">
        <v>14.904308532343988</v>
      </c>
      <c r="AG14" s="58">
        <v>14.623780192879135</v>
      </c>
      <c r="AH14" s="58">
        <v>0</v>
      </c>
      <c r="AI14" s="58">
        <v>1</v>
      </c>
      <c r="AJ14" s="52">
        <v>188.44594106674194</v>
      </c>
      <c r="AK14" s="52">
        <v>416.56357553799944</v>
      </c>
      <c r="AL14" s="52">
        <v>891.8391319910686</v>
      </c>
      <c r="AM14" s="52">
        <v>501.53598483403528</v>
      </c>
      <c r="AN14" s="52">
        <v>1455.057622083028</v>
      </c>
      <c r="AO14" s="52">
        <v>1954.2231231689448</v>
      </c>
      <c r="AP14" s="52">
        <v>499.42256464958194</v>
      </c>
      <c r="AQ14" s="52">
        <v>2096.102285130818</v>
      </c>
      <c r="AR14" s="52">
        <v>415.52316967646277</v>
      </c>
      <c r="AS14" s="52">
        <v>506.09340677261355</v>
      </c>
    </row>
    <row r="15" spans="1:55" x14ac:dyDescent="0.25">
      <c r="A15" s="9">
        <v>44873</v>
      </c>
      <c r="B15" s="45"/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7">
        <v>0</v>
      </c>
      <c r="I15" s="45">
        <v>263.44002380371074</v>
      </c>
      <c r="J15" s="46">
        <v>487.5848178863526</v>
      </c>
      <c r="K15" s="46">
        <v>26.694955386718114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342.81663148668184</v>
      </c>
      <c r="V15" s="54">
        <v>0</v>
      </c>
      <c r="W15" s="54">
        <v>58.468511370817929</v>
      </c>
      <c r="X15" s="54">
        <v>0</v>
      </c>
      <c r="Y15" s="54">
        <v>205.22473313013703</v>
      </c>
      <c r="Z15" s="54">
        <v>0</v>
      </c>
      <c r="AA15" s="57">
        <v>0</v>
      </c>
      <c r="AB15" s="58">
        <v>81.715671073066844</v>
      </c>
      <c r="AC15" s="52">
        <v>0</v>
      </c>
      <c r="AD15" s="357">
        <v>15.343601786863951</v>
      </c>
      <c r="AE15" s="359">
        <v>0</v>
      </c>
      <c r="AF15" s="52">
        <v>14.596301873193845</v>
      </c>
      <c r="AG15" s="58">
        <v>14.299727892571225</v>
      </c>
      <c r="AH15" s="58">
        <v>0</v>
      </c>
      <c r="AI15" s="58">
        <v>1</v>
      </c>
      <c r="AJ15" s="52">
        <v>176.64530225594839</v>
      </c>
      <c r="AK15" s="52">
        <v>379.06312282880145</v>
      </c>
      <c r="AL15" s="52">
        <v>911.27596747080474</v>
      </c>
      <c r="AM15" s="52">
        <v>578.66293360392262</v>
      </c>
      <c r="AN15" s="52">
        <v>1364.7033304214481</v>
      </c>
      <c r="AO15" s="52">
        <v>1943.3804054260254</v>
      </c>
      <c r="AP15" s="52">
        <v>434.13682378133143</v>
      </c>
      <c r="AQ15" s="52">
        <v>2036.0190480550132</v>
      </c>
      <c r="AR15" s="52">
        <v>380.50472548802696</v>
      </c>
      <c r="AS15" s="52">
        <v>635.67391866048183</v>
      </c>
    </row>
    <row r="16" spans="1:55" x14ac:dyDescent="0.25">
      <c r="A16" s="9">
        <v>44874</v>
      </c>
      <c r="B16" s="45"/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7">
        <v>0</v>
      </c>
      <c r="I16" s="45">
        <v>264.63125068346631</v>
      </c>
      <c r="J16" s="46">
        <v>490.30081510543801</v>
      </c>
      <c r="K16" s="46">
        <v>26.905894530812944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397.19476723087706</v>
      </c>
      <c r="V16" s="54">
        <v>-3.3198703124745848</v>
      </c>
      <c r="W16" s="54">
        <v>60.724797335832342</v>
      </c>
      <c r="X16" s="54">
        <v>-0.50755565918390499</v>
      </c>
      <c r="Y16" s="54">
        <v>239.9641247704098</v>
      </c>
      <c r="Z16" s="54">
        <v>-2.0056905065447719</v>
      </c>
      <c r="AA16" s="57">
        <v>0</v>
      </c>
      <c r="AB16" s="58">
        <v>82.321409400305299</v>
      </c>
      <c r="AC16" s="52">
        <v>0</v>
      </c>
      <c r="AD16" s="357">
        <v>15.401140229716978</v>
      </c>
      <c r="AE16" s="359">
        <v>0</v>
      </c>
      <c r="AF16" s="52">
        <v>14.866306332747117</v>
      </c>
      <c r="AG16" s="58">
        <v>14.706705268462656</v>
      </c>
      <c r="AH16" s="58">
        <v>-0.12292295428631123</v>
      </c>
      <c r="AI16" s="58">
        <v>1.0084287430817465</v>
      </c>
      <c r="AJ16" s="52">
        <v>181.49714775085451</v>
      </c>
      <c r="AK16" s="52">
        <v>389.78788701693213</v>
      </c>
      <c r="AL16" s="52">
        <v>1642.8689234097799</v>
      </c>
      <c r="AM16" s="52">
        <v>598.53270096778863</v>
      </c>
      <c r="AN16" s="52">
        <v>1364.9082039515176</v>
      </c>
      <c r="AO16" s="52">
        <v>2260.4417865753176</v>
      </c>
      <c r="AP16" s="52">
        <v>447.91531383196519</v>
      </c>
      <c r="AQ16" s="52">
        <v>2016.9754946390792</v>
      </c>
      <c r="AR16" s="52">
        <v>408.77657578786221</v>
      </c>
      <c r="AS16" s="52">
        <v>579.98205391565966</v>
      </c>
    </row>
    <row r="17" spans="1:45" x14ac:dyDescent="0.25">
      <c r="A17" s="9">
        <v>44875</v>
      </c>
      <c r="B17" s="45"/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7">
        <v>0</v>
      </c>
      <c r="I17" s="45">
        <v>265.99408340454096</v>
      </c>
      <c r="J17" s="46">
        <v>492.20620813369771</v>
      </c>
      <c r="K17" s="46">
        <v>26.989316649238297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342.78280715942532</v>
      </c>
      <c r="V17" s="54">
        <v>0</v>
      </c>
      <c r="W17" s="54">
        <v>62.777009379863799</v>
      </c>
      <c r="X17" s="54">
        <v>0</v>
      </c>
      <c r="Y17" s="54">
        <v>241.98649160861973</v>
      </c>
      <c r="Z17" s="54">
        <v>0</v>
      </c>
      <c r="AA17" s="57">
        <v>0</v>
      </c>
      <c r="AB17" s="58">
        <v>82.21178543832491</v>
      </c>
      <c r="AC17" s="52">
        <v>0</v>
      </c>
      <c r="AD17" s="357">
        <v>15.461054204911607</v>
      </c>
      <c r="AE17" s="359">
        <v>0</v>
      </c>
      <c r="AF17" s="52">
        <v>15.110549328393402</v>
      </c>
      <c r="AG17" s="58">
        <v>14.733015348900574</v>
      </c>
      <c r="AH17" s="58">
        <v>0</v>
      </c>
      <c r="AI17" s="58">
        <v>1</v>
      </c>
      <c r="AJ17" s="52">
        <v>204.2348659594854</v>
      </c>
      <c r="AK17" s="52">
        <v>433.24225069681802</v>
      </c>
      <c r="AL17" s="52">
        <v>2704.7051123301185</v>
      </c>
      <c r="AM17" s="52">
        <v>539.73362973531084</v>
      </c>
      <c r="AN17" s="52">
        <v>1436.7077980677291</v>
      </c>
      <c r="AO17" s="52">
        <v>2500.7085943857828</v>
      </c>
      <c r="AP17" s="52">
        <v>493.57641461690264</v>
      </c>
      <c r="AQ17" s="52">
        <v>2110.237669626872</v>
      </c>
      <c r="AR17" s="52">
        <v>454.44169111251819</v>
      </c>
      <c r="AS17" s="52">
        <v>485.64144716262814</v>
      </c>
    </row>
    <row r="18" spans="1:45" x14ac:dyDescent="0.25">
      <c r="A18" s="9">
        <v>44876</v>
      </c>
      <c r="B18" s="45"/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7">
        <v>0</v>
      </c>
      <c r="I18" s="45">
        <v>265.00793754259729</v>
      </c>
      <c r="J18" s="46">
        <v>491.24278720219957</v>
      </c>
      <c r="K18" s="46">
        <v>26.948259246349373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330.38777081171497</v>
      </c>
      <c r="V18" s="54">
        <v>0</v>
      </c>
      <c r="W18" s="54">
        <v>60.799847213427327</v>
      </c>
      <c r="X18" s="54">
        <v>0</v>
      </c>
      <c r="Y18" s="54">
        <v>221.60848667621582</v>
      </c>
      <c r="Z18" s="54">
        <v>0</v>
      </c>
      <c r="AA18" s="57">
        <v>0</v>
      </c>
      <c r="AB18" s="58">
        <v>82.404504087235409</v>
      </c>
      <c r="AC18" s="52">
        <v>0</v>
      </c>
      <c r="AD18" s="357">
        <v>15.431119231183569</v>
      </c>
      <c r="AE18" s="359">
        <v>0</v>
      </c>
      <c r="AF18" s="52">
        <v>15.235347198115422</v>
      </c>
      <c r="AG18" s="58">
        <v>14.881833074671087</v>
      </c>
      <c r="AH18" s="58">
        <v>0</v>
      </c>
      <c r="AI18" s="58">
        <v>1</v>
      </c>
      <c r="AJ18" s="52">
        <v>218.73600066502891</v>
      </c>
      <c r="AK18" s="52">
        <v>484.97637112935382</v>
      </c>
      <c r="AL18" s="52">
        <v>2630.9894713083909</v>
      </c>
      <c r="AM18" s="52">
        <v>520.42655706405628</v>
      </c>
      <c r="AN18" s="52">
        <v>1503.4337472279867</v>
      </c>
      <c r="AO18" s="52">
        <v>2548.2540022532144</v>
      </c>
      <c r="AP18" s="52">
        <v>548.96832281748448</v>
      </c>
      <c r="AQ18" s="52">
        <v>2102.423560841878</v>
      </c>
      <c r="AR18" s="52">
        <v>483.53744249343873</v>
      </c>
      <c r="AS18" s="52">
        <v>496.82122805913281</v>
      </c>
    </row>
    <row r="19" spans="1:45" x14ac:dyDescent="0.25">
      <c r="A19" s="9">
        <v>44877</v>
      </c>
      <c r="B19" s="45"/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7">
        <v>0</v>
      </c>
      <c r="I19" s="45">
        <v>265.39292861620567</v>
      </c>
      <c r="J19" s="46">
        <v>491.05110635757455</v>
      </c>
      <c r="K19" s="46">
        <v>26.911081115404805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329.07375850677425</v>
      </c>
      <c r="V19" s="54">
        <v>0</v>
      </c>
      <c r="W19" s="54">
        <v>61.422270361582562</v>
      </c>
      <c r="X19" s="54">
        <v>0</v>
      </c>
      <c r="Y19" s="54">
        <v>214.51635807355277</v>
      </c>
      <c r="Z19" s="54">
        <v>0</v>
      </c>
      <c r="AA19" s="57">
        <v>0</v>
      </c>
      <c r="AB19" s="58">
        <v>82.20797353850385</v>
      </c>
      <c r="AC19" s="52">
        <v>0</v>
      </c>
      <c r="AD19" s="357">
        <v>15.426340415393799</v>
      </c>
      <c r="AE19" s="359">
        <v>5.0653338763046269E-3</v>
      </c>
      <c r="AF19" s="52">
        <v>15.204474120007614</v>
      </c>
      <c r="AG19" s="58">
        <v>14.859639037594938</v>
      </c>
      <c r="AH19" s="58">
        <v>0</v>
      </c>
      <c r="AI19" s="58">
        <v>1</v>
      </c>
      <c r="AJ19" s="52">
        <v>220.45624225934341</v>
      </c>
      <c r="AK19" s="52">
        <v>478.01323022842394</v>
      </c>
      <c r="AL19" s="52">
        <v>2723.4530752817795</v>
      </c>
      <c r="AM19" s="52">
        <v>517.97729406356814</v>
      </c>
      <c r="AN19" s="52">
        <v>1479.4183635075885</v>
      </c>
      <c r="AO19" s="52">
        <v>2549.350402450561</v>
      </c>
      <c r="AP19" s="52">
        <v>563.5002764701843</v>
      </c>
      <c r="AQ19" s="52">
        <v>2124.8242610931393</v>
      </c>
      <c r="AR19" s="52">
        <v>482.30711930592855</v>
      </c>
      <c r="AS19" s="52">
        <v>506.98324721654268</v>
      </c>
    </row>
    <row r="20" spans="1:45" x14ac:dyDescent="0.25">
      <c r="A20" s="9">
        <v>44878</v>
      </c>
      <c r="B20" s="45"/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7">
        <v>0</v>
      </c>
      <c r="I20" s="45">
        <v>265.11957345008841</v>
      </c>
      <c r="J20" s="46">
        <v>491.00149351755749</v>
      </c>
      <c r="K20" s="46">
        <v>26.958554003636074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334.22470385233828</v>
      </c>
      <c r="V20" s="54">
        <v>0</v>
      </c>
      <c r="W20" s="54">
        <v>60.626605411370626</v>
      </c>
      <c r="X20" s="54">
        <v>0</v>
      </c>
      <c r="Y20" s="54">
        <v>209.56828269163745</v>
      </c>
      <c r="Z20" s="54">
        <v>0</v>
      </c>
      <c r="AA20" s="57">
        <v>0</v>
      </c>
      <c r="AB20" s="58">
        <v>82.361773761112644</v>
      </c>
      <c r="AC20" s="52">
        <v>0</v>
      </c>
      <c r="AD20" s="357">
        <v>15.427239200333972</v>
      </c>
      <c r="AE20" s="359">
        <v>0</v>
      </c>
      <c r="AF20" s="52">
        <v>15.147218234671481</v>
      </c>
      <c r="AG20" s="58">
        <v>14.786676990968999</v>
      </c>
      <c r="AH20" s="58">
        <v>0</v>
      </c>
      <c r="AI20" s="58">
        <v>1</v>
      </c>
      <c r="AJ20" s="52">
        <v>219.70096332232151</v>
      </c>
      <c r="AK20" s="52">
        <v>475.66906191507974</v>
      </c>
      <c r="AL20" s="52">
        <v>2722.4338403065999</v>
      </c>
      <c r="AM20" s="52">
        <v>510.23760248819997</v>
      </c>
      <c r="AN20" s="52">
        <v>1477.0341663360598</v>
      </c>
      <c r="AO20" s="52">
        <v>2575.6234247843431</v>
      </c>
      <c r="AP20" s="52">
        <v>548.98462859789515</v>
      </c>
      <c r="AQ20" s="52">
        <v>2132.0008429209392</v>
      </c>
      <c r="AR20" s="52">
        <v>476.48546571731566</v>
      </c>
      <c r="AS20" s="52">
        <v>519.63273671468096</v>
      </c>
    </row>
    <row r="21" spans="1:45" x14ac:dyDescent="0.25">
      <c r="A21" s="9">
        <v>44879</v>
      </c>
      <c r="B21" s="45"/>
      <c r="C21" s="46">
        <v>75.047132041057139</v>
      </c>
      <c r="D21" s="46">
        <v>413.63844431837424</v>
      </c>
      <c r="E21" s="46">
        <v>11.750324643651647</v>
      </c>
      <c r="F21" s="46">
        <v>0</v>
      </c>
      <c r="G21" s="46">
        <v>1253.8835547765102</v>
      </c>
      <c r="H21" s="47">
        <v>0</v>
      </c>
      <c r="I21" s="45">
        <v>265.03567457199085</v>
      </c>
      <c r="J21" s="46">
        <v>491.28165639241553</v>
      </c>
      <c r="K21" s="46">
        <v>26.85581056574982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346.25594668917796</v>
      </c>
      <c r="V21" s="54">
        <v>0</v>
      </c>
      <c r="W21" s="54">
        <v>61.490196633338925</v>
      </c>
      <c r="X21" s="54">
        <v>0</v>
      </c>
      <c r="Y21" s="54">
        <v>212.77212756474847</v>
      </c>
      <c r="Z21" s="54">
        <v>0</v>
      </c>
      <c r="AA21" s="57">
        <v>0</v>
      </c>
      <c r="AB21" s="58">
        <v>100.15257724656129</v>
      </c>
      <c r="AC21" s="52">
        <v>0</v>
      </c>
      <c r="AD21" s="357">
        <v>15.441203767429359</v>
      </c>
      <c r="AE21" s="359">
        <v>3.5283343921766805</v>
      </c>
      <c r="AF21" s="52">
        <v>15.356872786415941</v>
      </c>
      <c r="AG21" s="58">
        <v>15.000679639550178</v>
      </c>
      <c r="AH21" s="58">
        <v>0</v>
      </c>
      <c r="AI21" s="58">
        <v>1</v>
      </c>
      <c r="AJ21" s="52">
        <v>228.75951385498044</v>
      </c>
      <c r="AK21" s="52">
        <v>739.35268123944604</v>
      </c>
      <c r="AL21" s="52">
        <v>2627.1353413899742</v>
      </c>
      <c r="AM21" s="52">
        <v>530.66779015858981</v>
      </c>
      <c r="AN21" s="52">
        <v>1528.4757612228395</v>
      </c>
      <c r="AO21" s="52">
        <v>2614.5495997111007</v>
      </c>
      <c r="AP21" s="52">
        <v>601.39741789499931</v>
      </c>
      <c r="AQ21" s="52">
        <v>2130.2390167236326</v>
      </c>
      <c r="AR21" s="52">
        <v>516.22114963531499</v>
      </c>
      <c r="AS21" s="52">
        <v>548.85116825103762</v>
      </c>
    </row>
    <row r="22" spans="1:45" x14ac:dyDescent="0.25">
      <c r="A22" s="9">
        <v>44880</v>
      </c>
      <c r="B22" s="45"/>
      <c r="C22" s="46">
        <v>62.832146378358409</v>
      </c>
      <c r="D22" s="46">
        <v>732.04084447224886</v>
      </c>
      <c r="E22" s="46">
        <v>14.517357406020212</v>
      </c>
      <c r="F22" s="46">
        <v>0</v>
      </c>
      <c r="G22" s="46">
        <v>2475.5479545593298</v>
      </c>
      <c r="H22" s="47">
        <v>0</v>
      </c>
      <c r="I22" s="45">
        <v>265.2477747599284</v>
      </c>
      <c r="J22" s="46">
        <v>491.32672885258978</v>
      </c>
      <c r="K22" s="46">
        <v>26.976599909861918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344.88128111097598</v>
      </c>
      <c r="V22" s="54">
        <v>0</v>
      </c>
      <c r="W22" s="54">
        <v>61.929924090703388</v>
      </c>
      <c r="X22" s="54">
        <v>0</v>
      </c>
      <c r="Y22" s="54">
        <v>213.43559824625646</v>
      </c>
      <c r="Z22" s="54">
        <v>0</v>
      </c>
      <c r="AA22" s="57">
        <v>0</v>
      </c>
      <c r="AB22" s="58">
        <v>112.177130100464</v>
      </c>
      <c r="AC22" s="52">
        <v>0</v>
      </c>
      <c r="AD22" s="357">
        <v>15.448427671484392</v>
      </c>
      <c r="AE22" s="359">
        <v>5.9650222679549074</v>
      </c>
      <c r="AF22" s="52">
        <v>15.22028874754904</v>
      </c>
      <c r="AG22" s="58">
        <v>14.864627132432503</v>
      </c>
      <c r="AH22" s="58">
        <v>0</v>
      </c>
      <c r="AI22" s="58">
        <v>1</v>
      </c>
      <c r="AJ22" s="52">
        <v>224.27424974441533</v>
      </c>
      <c r="AK22" s="52">
        <v>875.03892927169773</v>
      </c>
      <c r="AL22" s="52">
        <v>2655.0843981424969</v>
      </c>
      <c r="AM22" s="52">
        <v>531.62033007939647</v>
      </c>
      <c r="AN22" s="52">
        <v>1505.2710216522221</v>
      </c>
      <c r="AO22" s="52">
        <v>2608.299925740559</v>
      </c>
      <c r="AP22" s="52">
        <v>593.61947142283111</v>
      </c>
      <c r="AQ22" s="52">
        <v>2146.29406636556</v>
      </c>
      <c r="AR22" s="52">
        <v>533.98139397303271</v>
      </c>
      <c r="AS22" s="52">
        <v>528.45907491048172</v>
      </c>
    </row>
    <row r="23" spans="1:45" x14ac:dyDescent="0.25">
      <c r="A23" s="9">
        <v>44881</v>
      </c>
      <c r="B23" s="45"/>
      <c r="C23" s="46">
        <v>64.204341955979785</v>
      </c>
      <c r="D23" s="46">
        <v>836.08935098648169</v>
      </c>
      <c r="E23" s="46">
        <v>14.955819161236285</v>
      </c>
      <c r="F23" s="46">
        <v>0</v>
      </c>
      <c r="G23" s="46">
        <v>2151.3254979451467</v>
      </c>
      <c r="H23" s="47">
        <v>16.124624026815095</v>
      </c>
      <c r="I23" s="45">
        <v>203.25903925895679</v>
      </c>
      <c r="J23" s="46">
        <v>376.35613385836274</v>
      </c>
      <c r="K23" s="46">
        <v>20.629274939000624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292.89954669574269</v>
      </c>
      <c r="V23" s="54">
        <v>86.627861088188425</v>
      </c>
      <c r="W23" s="54">
        <v>48.648837781841657</v>
      </c>
      <c r="X23" s="54">
        <v>14.38836218427117</v>
      </c>
      <c r="Y23" s="54">
        <v>183.16785605294089</v>
      </c>
      <c r="Z23" s="54">
        <v>54.173657040371552</v>
      </c>
      <c r="AA23" s="57">
        <v>0</v>
      </c>
      <c r="AB23" s="58">
        <v>90.739352740181317</v>
      </c>
      <c r="AC23" s="52">
        <v>0</v>
      </c>
      <c r="AD23" s="357">
        <v>11.828148668254167</v>
      </c>
      <c r="AE23" s="359">
        <v>6.0533967846352947</v>
      </c>
      <c r="AF23" s="52">
        <v>14.801020540131454</v>
      </c>
      <c r="AG23" s="58">
        <v>11.152706431372975</v>
      </c>
      <c r="AH23" s="58">
        <v>3.2985203097563081</v>
      </c>
      <c r="AI23" s="58">
        <v>0.77174807586621896</v>
      </c>
      <c r="AJ23" s="52">
        <v>235.01275181770325</v>
      </c>
      <c r="AK23" s="52">
        <v>909.21201194127389</v>
      </c>
      <c r="AL23" s="52">
        <v>2652.5700630187989</v>
      </c>
      <c r="AM23" s="52">
        <v>532.30132665634164</v>
      </c>
      <c r="AN23" s="52">
        <v>3924.2232955296831</v>
      </c>
      <c r="AO23" s="52">
        <v>2882.2682459513339</v>
      </c>
      <c r="AP23" s="52">
        <v>577.1137320836383</v>
      </c>
      <c r="AQ23" s="52">
        <v>2113.6410528818765</v>
      </c>
      <c r="AR23" s="52">
        <v>486.83844509124748</v>
      </c>
      <c r="AS23" s="52">
        <v>549.83245773315423</v>
      </c>
    </row>
    <row r="24" spans="1:45" x14ac:dyDescent="0.25">
      <c r="A24" s="9">
        <v>44882</v>
      </c>
      <c r="B24" s="45"/>
      <c r="C24" s="46">
        <v>63.208512918154121</v>
      </c>
      <c r="D24" s="46">
        <v>857.22170785268167</v>
      </c>
      <c r="E24" s="46">
        <v>14.980437684059183</v>
      </c>
      <c r="F24" s="46">
        <v>0</v>
      </c>
      <c r="G24" s="46">
        <v>1930.6877834320085</v>
      </c>
      <c r="H24" s="47">
        <v>23.794199505448361</v>
      </c>
      <c r="I24" s="45">
        <v>163.0736520846684</v>
      </c>
      <c r="J24" s="46">
        <v>299.57380394935581</v>
      </c>
      <c r="K24" s="46">
        <v>16.474374242126945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214.92247604720083</v>
      </c>
      <c r="V24" s="54">
        <v>143.3048418688218</v>
      </c>
      <c r="W24" s="54">
        <v>38.483303524578467</v>
      </c>
      <c r="X24" s="54">
        <v>25.659688216919811</v>
      </c>
      <c r="Y24" s="54">
        <v>115.44253101896985</v>
      </c>
      <c r="Z24" s="54">
        <v>76.974144151292876</v>
      </c>
      <c r="AA24" s="57">
        <v>0</v>
      </c>
      <c r="AB24" s="58">
        <v>71.747050730387869</v>
      </c>
      <c r="AC24" s="52">
        <v>0</v>
      </c>
      <c r="AD24" s="357">
        <v>9.4192748090251115</v>
      </c>
      <c r="AE24" s="359">
        <v>5.9573166152182466</v>
      </c>
      <c r="AF24" s="52">
        <v>15.081708439853456</v>
      </c>
      <c r="AG24" s="58">
        <v>8.8332943357146725</v>
      </c>
      <c r="AH24" s="58">
        <v>5.8898160454951496</v>
      </c>
      <c r="AI24" s="58">
        <v>0.59996115678029893</v>
      </c>
      <c r="AJ24" s="52">
        <v>253.76727003256482</v>
      </c>
      <c r="AK24" s="52">
        <v>971.3432927131654</v>
      </c>
      <c r="AL24" s="52">
        <v>2619.1550944010419</v>
      </c>
      <c r="AM24" s="52">
        <v>541.61243651707969</v>
      </c>
      <c r="AN24" s="52">
        <v>5053.9730372110998</v>
      </c>
      <c r="AO24" s="52">
        <v>3061.9206820170084</v>
      </c>
      <c r="AP24" s="52">
        <v>790.72794521649678</v>
      </c>
      <c r="AQ24" s="52">
        <v>2096.9203922271727</v>
      </c>
      <c r="AR24" s="52">
        <v>542.9436873753865</v>
      </c>
      <c r="AS24" s="52">
        <v>549.67364692687988</v>
      </c>
    </row>
    <row r="25" spans="1:45" x14ac:dyDescent="0.25">
      <c r="A25" s="9">
        <v>44883</v>
      </c>
      <c r="B25" s="45"/>
      <c r="C25" s="46">
        <v>62.994276154041302</v>
      </c>
      <c r="D25" s="46">
        <v>858.77338364919297</v>
      </c>
      <c r="E25" s="46">
        <v>14.922971575458851</v>
      </c>
      <c r="F25" s="46">
        <v>0</v>
      </c>
      <c r="G25" s="46">
        <v>1836.9198081970228</v>
      </c>
      <c r="H25" s="47">
        <v>23.889779674013482</v>
      </c>
      <c r="I25" s="45">
        <v>162.26240654786423</v>
      </c>
      <c r="J25" s="46">
        <v>299.52971574465414</v>
      </c>
      <c r="K25" s="46">
        <v>16.460061214864272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195.90277982106957</v>
      </c>
      <c r="V25" s="54">
        <v>130.6230313107238</v>
      </c>
      <c r="W25" s="54">
        <v>35.350655005093095</v>
      </c>
      <c r="X25" s="54">
        <v>23.570924924099732</v>
      </c>
      <c r="Y25" s="54">
        <v>89.658183474445224</v>
      </c>
      <c r="Z25" s="54">
        <v>59.781814826424949</v>
      </c>
      <c r="AA25" s="57">
        <v>0</v>
      </c>
      <c r="AB25" s="58">
        <v>71.739076964061979</v>
      </c>
      <c r="AC25" s="52">
        <v>0</v>
      </c>
      <c r="AD25" s="357">
        <v>9.4167059258743215</v>
      </c>
      <c r="AE25" s="359">
        <v>5.9677615020770673</v>
      </c>
      <c r="AF25" s="52">
        <v>14.782248334752172</v>
      </c>
      <c r="AG25" s="58">
        <v>8.656863258719202</v>
      </c>
      <c r="AH25" s="58">
        <v>5.7721780238603619</v>
      </c>
      <c r="AI25" s="58">
        <v>0.59996108467516729</v>
      </c>
      <c r="AJ25" s="52">
        <v>270.50610164006548</v>
      </c>
      <c r="AK25" s="52">
        <v>1015.9519495964049</v>
      </c>
      <c r="AL25" s="52">
        <v>2680.1646204630529</v>
      </c>
      <c r="AM25" s="52">
        <v>557.33849318822217</v>
      </c>
      <c r="AN25" s="52">
        <v>5089.7837468465168</v>
      </c>
      <c r="AO25" s="52">
        <v>3122.4371611277261</v>
      </c>
      <c r="AP25" s="52">
        <v>1102.7917121887208</v>
      </c>
      <c r="AQ25" s="52">
        <v>2106.6993602752686</v>
      </c>
      <c r="AR25" s="52">
        <v>582.10975119272882</v>
      </c>
      <c r="AS25" s="52">
        <v>550.42826296488454</v>
      </c>
    </row>
    <row r="26" spans="1:45" x14ac:dyDescent="0.25">
      <c r="A26" s="9">
        <v>44884</v>
      </c>
      <c r="B26" s="45"/>
      <c r="C26" s="46">
        <v>63.39082343975717</v>
      </c>
      <c r="D26" s="46">
        <v>860.41778761545925</v>
      </c>
      <c r="E26" s="46">
        <v>14.994980702300893</v>
      </c>
      <c r="F26" s="46">
        <v>0</v>
      </c>
      <c r="G26" s="46">
        <v>1856.1025801340725</v>
      </c>
      <c r="H26" s="47">
        <v>24.064443410436269</v>
      </c>
      <c r="I26" s="45">
        <v>161.9882800738016</v>
      </c>
      <c r="J26" s="46">
        <v>299.63959557215361</v>
      </c>
      <c r="K26" s="46">
        <v>16.48059702416262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208.07896168595011</v>
      </c>
      <c r="V26" s="54">
        <v>138.72509708836321</v>
      </c>
      <c r="W26" s="54">
        <v>37.064559445061242</v>
      </c>
      <c r="X26" s="54">
        <v>24.710737529120962</v>
      </c>
      <c r="Y26" s="54">
        <v>86.114081596328901</v>
      </c>
      <c r="Z26" s="54">
        <v>57.411783648536861</v>
      </c>
      <c r="AA26" s="57">
        <v>0</v>
      </c>
      <c r="AB26" s="58">
        <v>71.742034753163679</v>
      </c>
      <c r="AC26" s="52">
        <v>0</v>
      </c>
      <c r="AD26" s="357">
        <v>9.4217509684725798</v>
      </c>
      <c r="AE26" s="359">
        <v>5.9784605130370316</v>
      </c>
      <c r="AF26" s="52">
        <v>15.058105866114309</v>
      </c>
      <c r="AG26" s="58">
        <v>8.8280576999170286</v>
      </c>
      <c r="AH26" s="58">
        <v>5.8856174194632889</v>
      </c>
      <c r="AI26" s="58">
        <v>0.5999899840311842</v>
      </c>
      <c r="AJ26" s="52">
        <v>245.58849433263146</v>
      </c>
      <c r="AK26" s="52">
        <v>961.33363113403311</v>
      </c>
      <c r="AL26" s="52">
        <v>2653.2445861816409</v>
      </c>
      <c r="AM26" s="52">
        <v>537.12874342600503</v>
      </c>
      <c r="AN26" s="52">
        <v>5278.9634305318195</v>
      </c>
      <c r="AO26" s="52">
        <v>3025.9329270680746</v>
      </c>
      <c r="AP26" s="52">
        <v>860.75732194582611</v>
      </c>
      <c r="AQ26" s="52">
        <v>2117.9527788798014</v>
      </c>
      <c r="AR26" s="52">
        <v>560.19951124191289</v>
      </c>
      <c r="AS26" s="52">
        <v>522.85544277826932</v>
      </c>
    </row>
    <row r="27" spans="1:45" x14ac:dyDescent="0.25">
      <c r="A27" s="9">
        <v>44885</v>
      </c>
      <c r="B27" s="45"/>
      <c r="C27" s="46">
        <v>63.770369303227213</v>
      </c>
      <c r="D27" s="46">
        <v>861.16133804321316</v>
      </c>
      <c r="E27" s="46">
        <v>15.013529732823404</v>
      </c>
      <c r="F27" s="46">
        <v>0</v>
      </c>
      <c r="G27" s="46">
        <v>1916.1543243408184</v>
      </c>
      <c r="H27" s="47">
        <v>23.99451023340227</v>
      </c>
      <c r="I27" s="45">
        <v>160.65570856730145</v>
      </c>
      <c r="J27" s="46">
        <v>297.70552676518747</v>
      </c>
      <c r="K27" s="46">
        <v>16.394743916889034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199.19800702485705</v>
      </c>
      <c r="V27" s="54">
        <v>133.80866935233612</v>
      </c>
      <c r="W27" s="54">
        <v>36.102735697882338</v>
      </c>
      <c r="X27" s="54">
        <v>24.251542953990992</v>
      </c>
      <c r="Y27" s="54">
        <v>85.591077469403089</v>
      </c>
      <c r="Z27" s="54">
        <v>57.494692621018018</v>
      </c>
      <c r="AA27" s="57">
        <v>0</v>
      </c>
      <c r="AB27" s="52">
        <v>71.606492074330433</v>
      </c>
      <c r="AC27" s="52">
        <v>0</v>
      </c>
      <c r="AD27" s="357">
        <v>9.3595329890138039</v>
      </c>
      <c r="AE27" s="359">
        <v>5.9842116976078445</v>
      </c>
      <c r="AF27" s="52">
        <v>14.877072337269789</v>
      </c>
      <c r="AG27" s="52">
        <v>8.7326876277059124</v>
      </c>
      <c r="AH27" s="52">
        <v>5.8660692884699586</v>
      </c>
      <c r="AI27" s="52">
        <v>0.59818022026449569</v>
      </c>
      <c r="AJ27" s="52">
        <v>221.28967337608336</v>
      </c>
      <c r="AK27" s="52">
        <v>912.36629991531379</v>
      </c>
      <c r="AL27" s="52">
        <v>2718.2392144521077</v>
      </c>
      <c r="AM27" s="52">
        <v>514.77019902865095</v>
      </c>
      <c r="AN27" s="52">
        <v>5062.6718294779457</v>
      </c>
      <c r="AO27" s="52">
        <v>2951.3410769144693</v>
      </c>
      <c r="AP27" s="52">
        <v>554.55268305142727</v>
      </c>
      <c r="AQ27" s="52">
        <v>2111.6290477752682</v>
      </c>
      <c r="AR27" s="52">
        <v>518.75800177256269</v>
      </c>
      <c r="AS27" s="52">
        <v>508.98759040832516</v>
      </c>
    </row>
    <row r="28" spans="1:45" x14ac:dyDescent="0.25">
      <c r="A28" s="9">
        <v>44886</v>
      </c>
      <c r="B28" s="45"/>
      <c r="C28" s="46">
        <v>66.890191268921228</v>
      </c>
      <c r="D28" s="46">
        <v>915.31368344624502</v>
      </c>
      <c r="E28" s="46">
        <v>15.728228130936595</v>
      </c>
      <c r="F28" s="46">
        <v>0</v>
      </c>
      <c r="G28" s="46">
        <v>2088.7413538614869</v>
      </c>
      <c r="H28" s="47">
        <v>25.399861096342448</v>
      </c>
      <c r="I28" s="45">
        <v>159.75024894873297</v>
      </c>
      <c r="J28" s="46">
        <v>296.65106161435443</v>
      </c>
      <c r="K28" s="46">
        <v>16.143220057090137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200.48323272276303</v>
      </c>
      <c r="V28" s="54">
        <v>142.65753780793915</v>
      </c>
      <c r="W28" s="54">
        <v>35.966092545937371</v>
      </c>
      <c r="X28" s="54">
        <v>25.592335765410571</v>
      </c>
      <c r="Y28" s="54">
        <v>85.332222339184227</v>
      </c>
      <c r="Z28" s="54">
        <v>60.719714907138361</v>
      </c>
      <c r="AA28" s="57">
        <v>0</v>
      </c>
      <c r="AB28" s="58">
        <v>73.144975280761201</v>
      </c>
      <c r="AC28" s="52">
        <v>0</v>
      </c>
      <c r="AD28" s="357">
        <v>9.3267538360039808</v>
      </c>
      <c r="AE28" s="359">
        <v>6.3349527476063905</v>
      </c>
      <c r="AF28" s="52">
        <v>15.374522560172606</v>
      </c>
      <c r="AG28" s="58">
        <v>8.8149414753678084</v>
      </c>
      <c r="AH28" s="58">
        <v>6.2724340071670968</v>
      </c>
      <c r="AI28" s="58">
        <v>0.58425943502048816</v>
      </c>
      <c r="AJ28" s="52">
        <v>208.08479295571644</v>
      </c>
      <c r="AK28" s="52">
        <v>875.59646908442187</v>
      </c>
      <c r="AL28" s="52">
        <v>2794.8848307291669</v>
      </c>
      <c r="AM28" s="52">
        <v>502.16456801096604</v>
      </c>
      <c r="AN28" s="52">
        <v>5149.3671615600597</v>
      </c>
      <c r="AO28" s="52">
        <v>2927.1848172505706</v>
      </c>
      <c r="AP28" s="52">
        <v>526.12909097671502</v>
      </c>
      <c r="AQ28" s="52">
        <v>2150.7936263402294</v>
      </c>
      <c r="AR28" s="52">
        <v>479.67168493270862</v>
      </c>
      <c r="AS28" s="52">
        <v>527.26784919102988</v>
      </c>
    </row>
    <row r="29" spans="1:45" x14ac:dyDescent="0.25">
      <c r="A29" s="9">
        <v>44887</v>
      </c>
      <c r="B29" s="45"/>
      <c r="C29" s="46">
        <v>68.728142770131882</v>
      </c>
      <c r="D29" s="46">
        <v>948.67061691284039</v>
      </c>
      <c r="E29" s="46">
        <v>16.250896681845163</v>
      </c>
      <c r="F29" s="46">
        <v>0</v>
      </c>
      <c r="G29" s="46">
        <v>2151.5149040222109</v>
      </c>
      <c r="H29" s="47">
        <v>26.006322938203809</v>
      </c>
      <c r="I29" s="45">
        <v>159.86929076512661</v>
      </c>
      <c r="J29" s="46">
        <v>296.74767503738423</v>
      </c>
      <c r="K29" s="46">
        <v>16.319622422258075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207.7389142851506</v>
      </c>
      <c r="V29" s="54">
        <v>150.02265389027093</v>
      </c>
      <c r="W29" s="54">
        <v>36.835431520667669</v>
      </c>
      <c r="X29" s="54">
        <v>26.601415593895386</v>
      </c>
      <c r="Y29" s="54">
        <v>82.367480336554635</v>
      </c>
      <c r="Z29" s="54">
        <v>59.483260692230957</v>
      </c>
      <c r="AA29" s="57">
        <v>0</v>
      </c>
      <c r="AB29" s="58">
        <v>73.726994811164005</v>
      </c>
      <c r="AC29" s="52">
        <v>0</v>
      </c>
      <c r="AD29" s="357">
        <v>9.3290543257930203</v>
      </c>
      <c r="AE29" s="359">
        <v>6.4819723565814948</v>
      </c>
      <c r="AF29" s="52">
        <v>15.786248830291948</v>
      </c>
      <c r="AG29" s="58">
        <v>9.0000238932667216</v>
      </c>
      <c r="AH29" s="58">
        <v>6.4995404168251998</v>
      </c>
      <c r="AI29" s="58">
        <v>0.58066302466364916</v>
      </c>
      <c r="AJ29" s="52">
        <v>201.38230514526367</v>
      </c>
      <c r="AK29" s="52">
        <v>862.73847045898447</v>
      </c>
      <c r="AL29" s="52">
        <v>2791.9258266448974</v>
      </c>
      <c r="AM29" s="52">
        <v>503.85909980138143</v>
      </c>
      <c r="AN29" s="52">
        <v>5271.0728586832684</v>
      </c>
      <c r="AO29" s="52">
        <v>2877.4100568135582</v>
      </c>
      <c r="AP29" s="52">
        <v>514.35484744707742</v>
      </c>
      <c r="AQ29" s="52">
        <v>2148.8179575602212</v>
      </c>
      <c r="AR29" s="52">
        <v>462.33153192202246</v>
      </c>
      <c r="AS29" s="52">
        <v>513.9539126396179</v>
      </c>
    </row>
    <row r="30" spans="1:45" x14ac:dyDescent="0.25">
      <c r="A30" s="9">
        <v>44888</v>
      </c>
      <c r="B30" s="45"/>
      <c r="C30" s="46">
        <v>68.71754939158761</v>
      </c>
      <c r="D30" s="46">
        <v>965.83802344004107</v>
      </c>
      <c r="E30" s="46">
        <v>16.256712798774227</v>
      </c>
      <c r="F30" s="46">
        <v>0</v>
      </c>
      <c r="G30" s="46">
        <v>2231.7459172566696</v>
      </c>
      <c r="H30" s="47">
        <v>26.06127403179811</v>
      </c>
      <c r="I30" s="45">
        <v>159.34492673079168</v>
      </c>
      <c r="J30" s="46">
        <v>296.60787367820723</v>
      </c>
      <c r="K30" s="46">
        <v>16.308141651252917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216.09880770986501</v>
      </c>
      <c r="V30" s="54">
        <v>156.03978708705768</v>
      </c>
      <c r="W30" s="54">
        <v>36.439756294746516</v>
      </c>
      <c r="X30" s="54">
        <v>26.312277582626127</v>
      </c>
      <c r="Y30" s="54">
        <v>79.722399751618667</v>
      </c>
      <c r="Z30" s="54">
        <v>57.565640528723698</v>
      </c>
      <c r="AA30" s="57">
        <v>0</v>
      </c>
      <c r="AB30" s="58">
        <v>73.871387407513893</v>
      </c>
      <c r="AC30" s="52">
        <v>0</v>
      </c>
      <c r="AD30" s="357">
        <v>9.3253929812663046</v>
      </c>
      <c r="AE30" s="359">
        <v>6.4979978677626224</v>
      </c>
      <c r="AF30" s="52">
        <v>15.653810924291607</v>
      </c>
      <c r="AG30" s="58">
        <v>8.9235983857122623</v>
      </c>
      <c r="AH30" s="58">
        <v>6.4435172359971675</v>
      </c>
      <c r="AI30" s="58">
        <v>0.5806944260317608</v>
      </c>
      <c r="AJ30" s="52">
        <v>204.10434204737348</v>
      </c>
      <c r="AK30" s="52">
        <v>870.23446709314987</v>
      </c>
      <c r="AL30" s="52">
        <v>2802.135920333862</v>
      </c>
      <c r="AM30" s="52">
        <v>497.95130885442103</v>
      </c>
      <c r="AN30" s="52">
        <v>5217.4707043329881</v>
      </c>
      <c r="AO30" s="52">
        <v>2869.0663693745933</v>
      </c>
      <c r="AP30" s="52">
        <v>524.55419427553807</v>
      </c>
      <c r="AQ30" s="52">
        <v>2139.3168184916176</v>
      </c>
      <c r="AR30" s="52">
        <v>462.53311762809744</v>
      </c>
      <c r="AS30" s="52">
        <v>528.30572773615529</v>
      </c>
    </row>
    <row r="31" spans="1:45" x14ac:dyDescent="0.25">
      <c r="A31" s="9">
        <v>44889</v>
      </c>
      <c r="B31" s="45"/>
      <c r="C31" s="46">
        <v>68.89540373881627</v>
      </c>
      <c r="D31" s="46">
        <v>975.25951264699336</v>
      </c>
      <c r="E31" s="46">
        <v>16.164494247734513</v>
      </c>
      <c r="F31" s="46">
        <v>0</v>
      </c>
      <c r="G31" s="46">
        <v>2463.4100692748998</v>
      </c>
      <c r="H31" s="47">
        <v>26.194594609737436</v>
      </c>
      <c r="I31" s="45">
        <v>160.14529846509302</v>
      </c>
      <c r="J31" s="46">
        <v>296.82361464500451</v>
      </c>
      <c r="K31" s="46">
        <v>16.410465938349564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200.37490089052793</v>
      </c>
      <c r="V31" s="54">
        <v>139.18095871759115</v>
      </c>
      <c r="W31" s="54">
        <v>35.787227694613854</v>
      </c>
      <c r="X31" s="54">
        <v>24.857907044467272</v>
      </c>
      <c r="Y31" s="54">
        <v>74.312228393871322</v>
      </c>
      <c r="Z31" s="54">
        <v>51.617478767713934</v>
      </c>
      <c r="AA31" s="57">
        <v>0</v>
      </c>
      <c r="AB31" s="58">
        <v>73.729431729846766</v>
      </c>
      <c r="AC31" s="52">
        <v>0</v>
      </c>
      <c r="AD31" s="357">
        <v>9.3317822476882561</v>
      </c>
      <c r="AE31" s="359">
        <v>6.510361510892948</v>
      </c>
      <c r="AF31" s="52">
        <v>14.953203388055169</v>
      </c>
      <c r="AG31" s="58">
        <v>8.6551004740803741</v>
      </c>
      <c r="AH31" s="58">
        <v>6.0118566568260698</v>
      </c>
      <c r="AI31" s="58">
        <v>0.59010880013020628</v>
      </c>
      <c r="AJ31" s="52">
        <v>224.62332320213315</v>
      </c>
      <c r="AK31" s="52">
        <v>902.81852820714312</v>
      </c>
      <c r="AL31" s="52">
        <v>2802.6602134704585</v>
      </c>
      <c r="AM31" s="52">
        <v>521.87816333770752</v>
      </c>
      <c r="AN31" s="52">
        <v>5185.4907381693529</v>
      </c>
      <c r="AO31" s="52">
        <v>2951.0089828491214</v>
      </c>
      <c r="AP31" s="52">
        <v>578.54270068804419</v>
      </c>
      <c r="AQ31" s="52">
        <v>2126.9956396102907</v>
      </c>
      <c r="AR31" s="52">
        <v>481.59052306811014</v>
      </c>
      <c r="AS31" s="52">
        <v>507.81557941436768</v>
      </c>
    </row>
    <row r="32" spans="1:45" x14ac:dyDescent="0.25">
      <c r="A32" s="9">
        <v>44890</v>
      </c>
      <c r="B32" s="45"/>
      <c r="C32" s="46">
        <v>68.697037001450994</v>
      </c>
      <c r="D32" s="46">
        <v>971.78746293385893</v>
      </c>
      <c r="E32" s="46">
        <v>16.201215804616581</v>
      </c>
      <c r="F32" s="46">
        <v>0</v>
      </c>
      <c r="G32" s="46">
        <v>2218.3328890482535</v>
      </c>
      <c r="H32" s="47">
        <v>26.011049548784918</v>
      </c>
      <c r="I32" s="45">
        <v>159.6642096678417</v>
      </c>
      <c r="J32" s="46">
        <v>296.66411960919692</v>
      </c>
      <c r="K32" s="46">
        <v>16.095524176955237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202.14277757765782</v>
      </c>
      <c r="V32" s="54">
        <v>145.98907368220935</v>
      </c>
      <c r="W32" s="54">
        <v>37.094203001410598</v>
      </c>
      <c r="X32" s="54">
        <v>26.78971962317739</v>
      </c>
      <c r="Y32" s="54">
        <v>74.123466515294226</v>
      </c>
      <c r="Z32" s="54">
        <v>53.532539447395507</v>
      </c>
      <c r="AA32" s="57">
        <v>0</v>
      </c>
      <c r="AB32" s="58">
        <v>73.732143206066524</v>
      </c>
      <c r="AC32" s="52">
        <v>0</v>
      </c>
      <c r="AD32" s="357">
        <v>9.3274761707992049</v>
      </c>
      <c r="AE32" s="359">
        <v>6.4874415441108493</v>
      </c>
      <c r="AF32" s="52">
        <v>15.385622076193474</v>
      </c>
      <c r="AG32" s="58">
        <v>8.7738923290082447</v>
      </c>
      <c r="AH32" s="58">
        <v>6.3365727385796475</v>
      </c>
      <c r="AI32" s="58">
        <v>0.58065005211708121</v>
      </c>
      <c r="AJ32" s="52">
        <v>209.8146777788798</v>
      </c>
      <c r="AK32" s="52">
        <v>867.72749137878429</v>
      </c>
      <c r="AL32" s="52">
        <v>2808.9584075927733</v>
      </c>
      <c r="AM32" s="52">
        <v>541.85169366200762</v>
      </c>
      <c r="AN32" s="52">
        <v>5349.3085247039789</v>
      </c>
      <c r="AO32" s="52">
        <v>2910.489387385051</v>
      </c>
      <c r="AP32" s="52">
        <v>601.81291815439852</v>
      </c>
      <c r="AQ32" s="52">
        <v>2164.0871720631917</v>
      </c>
      <c r="AR32" s="52">
        <v>451.37227581342063</v>
      </c>
      <c r="AS32" s="52">
        <v>493.42344066301973</v>
      </c>
    </row>
    <row r="33" spans="1:45" x14ac:dyDescent="0.25">
      <c r="A33" s="9">
        <v>44891</v>
      </c>
      <c r="B33" s="45"/>
      <c r="C33" s="46">
        <v>68.329557889700141</v>
      </c>
      <c r="D33" s="46">
        <v>980.64683386484649</v>
      </c>
      <c r="E33" s="46">
        <v>16.26645640383159</v>
      </c>
      <c r="F33" s="46">
        <v>0</v>
      </c>
      <c r="G33" s="46">
        <v>2119.270323308308</v>
      </c>
      <c r="H33" s="47">
        <v>25.960521481434483</v>
      </c>
      <c r="I33" s="45">
        <v>161.37886245250701</v>
      </c>
      <c r="J33" s="46">
        <v>296.58775451978056</v>
      </c>
      <c r="K33" s="46">
        <v>16.089799039065859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192.81675724794297</v>
      </c>
      <c r="V33" s="54">
        <v>139.25280004796571</v>
      </c>
      <c r="W33" s="54">
        <v>36.767272415437745</v>
      </c>
      <c r="X33" s="54">
        <v>26.55342672002466</v>
      </c>
      <c r="Y33" s="54">
        <v>75.145380438678004</v>
      </c>
      <c r="Z33" s="54">
        <v>54.270203410275307</v>
      </c>
      <c r="AA33" s="57">
        <v>0</v>
      </c>
      <c r="AB33" s="58">
        <v>71.083311049143532</v>
      </c>
      <c r="AC33" s="52">
        <v>0</v>
      </c>
      <c r="AD33" s="357">
        <v>9.3266848722156812</v>
      </c>
      <c r="AE33" s="359">
        <v>6.4807223833237098</v>
      </c>
      <c r="AF33" s="52">
        <v>15.783446466922754</v>
      </c>
      <c r="AG33" s="58">
        <v>8.9984191438440533</v>
      </c>
      <c r="AH33" s="58">
        <v>6.4986834114951941</v>
      </c>
      <c r="AI33" s="58">
        <v>0.58065171290641104</v>
      </c>
      <c r="AJ33" s="52">
        <v>198.46587243080137</v>
      </c>
      <c r="AK33" s="52">
        <v>839.00533014933251</v>
      </c>
      <c r="AL33" s="52">
        <v>2779.0152614593512</v>
      </c>
      <c r="AM33" s="52">
        <v>535.42053759892781</v>
      </c>
      <c r="AN33" s="52">
        <v>5266.4526006062833</v>
      </c>
      <c r="AO33" s="52">
        <v>2838.1856934865314</v>
      </c>
      <c r="AP33" s="52">
        <v>589.90707562764487</v>
      </c>
      <c r="AQ33" s="52">
        <v>2137.0759424845378</v>
      </c>
      <c r="AR33" s="52">
        <v>417.15995720227562</v>
      </c>
      <c r="AS33" s="52">
        <v>509.50793234507239</v>
      </c>
    </row>
    <row r="34" spans="1:45" x14ac:dyDescent="0.25">
      <c r="A34" s="9">
        <v>44892</v>
      </c>
      <c r="B34" s="45"/>
      <c r="C34" s="46">
        <v>69.180909939607631</v>
      </c>
      <c r="D34" s="46">
        <v>996.434695053101</v>
      </c>
      <c r="E34" s="46">
        <v>16.288579618434067</v>
      </c>
      <c r="F34" s="46">
        <v>0</v>
      </c>
      <c r="G34" s="46">
        <v>2352.2173350016255</v>
      </c>
      <c r="H34" s="47">
        <v>26.002452856302298</v>
      </c>
      <c r="I34" s="45">
        <v>163.47589071591696</v>
      </c>
      <c r="J34" s="46">
        <v>296.76128722826661</v>
      </c>
      <c r="K34" s="46">
        <v>16.431310328344516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195.76899929522335</v>
      </c>
      <c r="V34" s="54">
        <v>141.38218256156853</v>
      </c>
      <c r="W34" s="54">
        <v>36.043412171036408</v>
      </c>
      <c r="X34" s="54">
        <v>26.030149298677383</v>
      </c>
      <c r="Y34" s="54">
        <v>74.663839390572591</v>
      </c>
      <c r="Z34" s="54">
        <v>53.921390053931432</v>
      </c>
      <c r="AA34" s="57">
        <v>0</v>
      </c>
      <c r="AB34" s="58">
        <v>71.018950356377175</v>
      </c>
      <c r="AC34" s="52">
        <v>0</v>
      </c>
      <c r="AD34" s="357">
        <v>9.3319582143746</v>
      </c>
      <c r="AE34" s="359">
        <v>6.4848212112222186</v>
      </c>
      <c r="AF34" s="52">
        <v>15.65398256315123</v>
      </c>
      <c r="AG34" s="58">
        <v>8.9210234076044248</v>
      </c>
      <c r="AH34" s="58">
        <v>6.4426633664706561</v>
      </c>
      <c r="AI34" s="58">
        <v>0.58065642308315579</v>
      </c>
      <c r="AJ34" s="52">
        <v>201.66741521358486</v>
      </c>
      <c r="AK34" s="52">
        <v>852.15580479303969</v>
      </c>
      <c r="AL34" s="52">
        <v>2794.6640958150233</v>
      </c>
      <c r="AM34" s="52">
        <v>506.70123354593915</v>
      </c>
      <c r="AN34" s="52">
        <v>5221.1352849324549</v>
      </c>
      <c r="AO34" s="52">
        <v>2848.4219557444253</v>
      </c>
      <c r="AP34" s="52">
        <v>597.5769293785097</v>
      </c>
      <c r="AQ34" s="52">
        <v>2158.9324310938514</v>
      </c>
      <c r="AR34" s="52">
        <v>306.70389308929447</v>
      </c>
      <c r="AS34" s="52">
        <v>510.05217170715338</v>
      </c>
    </row>
    <row r="35" spans="1:45" x14ac:dyDescent="0.25">
      <c r="A35" s="9">
        <v>44893</v>
      </c>
      <c r="B35" s="45"/>
      <c r="C35" s="46">
        <v>68.851718993981706</v>
      </c>
      <c r="D35" s="46">
        <v>998.29888973236405</v>
      </c>
      <c r="E35" s="46">
        <v>16.293528973559514</v>
      </c>
      <c r="F35" s="46">
        <v>0</v>
      </c>
      <c r="G35" s="46">
        <v>2344.6960389455157</v>
      </c>
      <c r="H35" s="47">
        <v>25.946752029657361</v>
      </c>
      <c r="I35" s="45">
        <v>164.41482497851041</v>
      </c>
      <c r="J35" s="46">
        <v>296.71321686108934</v>
      </c>
      <c r="K35" s="46">
        <v>16.280334323644652</v>
      </c>
      <c r="L35" s="46">
        <v>0</v>
      </c>
      <c r="M35" s="46">
        <v>0</v>
      </c>
      <c r="N35" s="47">
        <v>0</v>
      </c>
      <c r="O35" s="45">
        <v>0</v>
      </c>
      <c r="P35" s="46">
        <v>0</v>
      </c>
      <c r="Q35" s="46">
        <v>0</v>
      </c>
      <c r="R35" s="55">
        <v>0</v>
      </c>
      <c r="S35" s="46">
        <v>0</v>
      </c>
      <c r="T35" s="48">
        <v>0</v>
      </c>
      <c r="U35" s="56">
        <v>197.26627285082444</v>
      </c>
      <c r="V35" s="54">
        <v>142.49466384385263</v>
      </c>
      <c r="W35" s="54">
        <v>37.227932984609403</v>
      </c>
      <c r="X35" s="54">
        <v>26.891478809735212</v>
      </c>
      <c r="Y35" s="54">
        <v>75.691052336259418</v>
      </c>
      <c r="Z35" s="54">
        <v>54.675190557277595</v>
      </c>
      <c r="AA35" s="57">
        <v>0</v>
      </c>
      <c r="AB35" s="58">
        <v>70.82675569322349</v>
      </c>
      <c r="AC35" s="52">
        <v>0</v>
      </c>
      <c r="AD35" s="357">
        <v>9.3303078471601282</v>
      </c>
      <c r="AE35" s="359">
        <v>6.4665410240756538</v>
      </c>
      <c r="AF35" s="52">
        <v>15.786157174905135</v>
      </c>
      <c r="AG35" s="58">
        <v>8.9988400903441459</v>
      </c>
      <c r="AH35" s="58">
        <v>6.5002834753605176</v>
      </c>
      <c r="AI35" s="58">
        <v>0.58060315812025176</v>
      </c>
      <c r="AJ35" s="52">
        <v>201.05498955249789</v>
      </c>
      <c r="AK35" s="52">
        <v>858.05956865946439</v>
      </c>
      <c r="AL35" s="52">
        <v>2792.6956782023112</v>
      </c>
      <c r="AM35" s="52">
        <v>522.38954706192021</v>
      </c>
      <c r="AN35" s="52">
        <v>5191.9504957834888</v>
      </c>
      <c r="AO35" s="52">
        <v>2877.7651303609214</v>
      </c>
      <c r="AP35" s="52">
        <v>593.36535488764446</v>
      </c>
      <c r="AQ35" s="52">
        <v>2151.3856450398766</v>
      </c>
      <c r="AR35" s="52">
        <v>418.84431251684822</v>
      </c>
      <c r="AS35" s="52">
        <v>550.53034664789834</v>
      </c>
    </row>
    <row r="36" spans="1:45" x14ac:dyDescent="0.25">
      <c r="A36" s="9">
        <v>44894</v>
      </c>
      <c r="B36" s="45"/>
      <c r="C36" s="46">
        <v>68.594417524337899</v>
      </c>
      <c r="D36" s="46">
        <v>979.15313790638845</v>
      </c>
      <c r="E36" s="46">
        <v>16.132811121642554</v>
      </c>
      <c r="F36" s="46">
        <v>0</v>
      </c>
      <c r="G36" s="46">
        <v>2412.6813037872244</v>
      </c>
      <c r="H36" s="47">
        <v>25.923494986693093</v>
      </c>
      <c r="I36" s="45">
        <v>163.73974348704007</v>
      </c>
      <c r="J36" s="46">
        <v>296.87883164087953</v>
      </c>
      <c r="K36" s="46">
        <v>16.333181088169425</v>
      </c>
      <c r="L36" s="46">
        <v>0</v>
      </c>
      <c r="M36" s="46">
        <v>0</v>
      </c>
      <c r="N36" s="47">
        <v>0</v>
      </c>
      <c r="O36" s="45">
        <v>0</v>
      </c>
      <c r="P36" s="46">
        <v>0</v>
      </c>
      <c r="Q36" s="46">
        <v>0</v>
      </c>
      <c r="R36" s="55">
        <v>0</v>
      </c>
      <c r="S36" s="46">
        <v>0</v>
      </c>
      <c r="T36" s="48">
        <v>0</v>
      </c>
      <c r="U36" s="56">
        <v>190.59478116861661</v>
      </c>
      <c r="V36" s="54">
        <v>137.60492082934778</v>
      </c>
      <c r="W36" s="54">
        <v>35.489485939139712</v>
      </c>
      <c r="X36" s="54">
        <v>25.622568849926594</v>
      </c>
      <c r="Y36" s="54">
        <v>73.877635448739241</v>
      </c>
      <c r="Z36" s="54">
        <v>53.337904189462172</v>
      </c>
      <c r="AA36" s="57">
        <v>0</v>
      </c>
      <c r="AB36" s="58">
        <v>69.95432358317936</v>
      </c>
      <c r="AC36" s="52">
        <v>0</v>
      </c>
      <c r="AD36" s="357">
        <v>9.3348995804612542</v>
      </c>
      <c r="AE36" s="359">
        <v>6.4602633169665626</v>
      </c>
      <c r="AF36" s="52">
        <v>15.520492626561056</v>
      </c>
      <c r="AG36" s="58">
        <v>8.845558863084019</v>
      </c>
      <c r="AH36" s="58">
        <v>6.3862841342396388</v>
      </c>
      <c r="AI36" s="58">
        <v>0.58072807503584734</v>
      </c>
      <c r="AJ36" s="52">
        <v>246.13818840980528</v>
      </c>
      <c r="AK36" s="52">
        <v>955.20811157226547</v>
      </c>
      <c r="AL36" s="52">
        <v>2700.8744180043536</v>
      </c>
      <c r="AM36" s="52">
        <v>540.20946267445868</v>
      </c>
      <c r="AN36" s="52">
        <v>5081.2378260294599</v>
      </c>
      <c r="AO36" s="52">
        <v>2987.0732435862219</v>
      </c>
      <c r="AP36" s="52">
        <v>660.81775744756067</v>
      </c>
      <c r="AQ36" s="52">
        <v>2151.5801086425781</v>
      </c>
      <c r="AR36" s="52">
        <v>461.48900200525929</v>
      </c>
      <c r="AS36" s="52">
        <v>595.88806603749595</v>
      </c>
    </row>
    <row r="37" spans="1:45" x14ac:dyDescent="0.25">
      <c r="A37" s="9">
        <v>44895</v>
      </c>
      <c r="B37" s="45"/>
      <c r="C37" s="46">
        <v>68.516581495603418</v>
      </c>
      <c r="D37" s="46">
        <v>946.49090379078996</v>
      </c>
      <c r="E37" s="46">
        <v>16.092178157965304</v>
      </c>
      <c r="F37" s="46">
        <v>0</v>
      </c>
      <c r="G37" s="46">
        <v>1944.6947274526019</v>
      </c>
      <c r="H37" s="47">
        <v>25.861195363601009</v>
      </c>
      <c r="I37" s="45">
        <v>164.10277593135825</v>
      </c>
      <c r="J37" s="46">
        <v>297.11930918693548</v>
      </c>
      <c r="K37" s="46">
        <v>16.377946461240469</v>
      </c>
      <c r="L37" s="46">
        <v>0</v>
      </c>
      <c r="M37" s="46">
        <v>0</v>
      </c>
      <c r="N37" s="47">
        <v>0</v>
      </c>
      <c r="O37" s="45">
        <v>0</v>
      </c>
      <c r="P37" s="46">
        <v>0</v>
      </c>
      <c r="Q37" s="46">
        <v>0</v>
      </c>
      <c r="R37" s="55">
        <v>0</v>
      </c>
      <c r="S37" s="46">
        <v>0</v>
      </c>
      <c r="T37" s="48">
        <v>0</v>
      </c>
      <c r="U37" s="56">
        <v>185.64941919691807</v>
      </c>
      <c r="V37" s="54">
        <v>135.10300366566219</v>
      </c>
      <c r="W37" s="54">
        <v>33.169931052846337</v>
      </c>
      <c r="X37" s="54">
        <v>24.138816787081304</v>
      </c>
      <c r="Y37" s="54">
        <v>75.125066420760433</v>
      </c>
      <c r="Z37" s="54">
        <v>54.670906959646452</v>
      </c>
      <c r="AA37" s="57">
        <v>0</v>
      </c>
      <c r="AB37" s="58">
        <v>69.85801733864713</v>
      </c>
      <c r="AC37" s="52">
        <v>0</v>
      </c>
      <c r="AD37" s="357">
        <v>9.3424374091162505</v>
      </c>
      <c r="AE37" s="390">
        <v>6.4595439398673218</v>
      </c>
      <c r="AF37" s="52">
        <v>15.516720915502983</v>
      </c>
      <c r="AG37" s="58">
        <v>8.8171245837359908</v>
      </c>
      <c r="AH37" s="58">
        <v>6.4165027830954759</v>
      </c>
      <c r="AI37" s="58">
        <v>0.57879350540854912</v>
      </c>
      <c r="AJ37" s="52">
        <v>258.90359238783515</v>
      </c>
      <c r="AK37" s="52">
        <v>980.26857604980478</v>
      </c>
      <c r="AL37" s="52">
        <v>2639.8085467020674</v>
      </c>
      <c r="AM37" s="52">
        <v>544.24121713638294</v>
      </c>
      <c r="AN37" s="52">
        <v>5579.5159166971844</v>
      </c>
      <c r="AO37" s="52">
        <v>3043.5964641571045</v>
      </c>
      <c r="AP37" s="52">
        <v>675.02768081029274</v>
      </c>
      <c r="AQ37" s="52">
        <v>2159.6661393483482</v>
      </c>
      <c r="AR37" s="52">
        <v>404.10746459960927</v>
      </c>
      <c r="AS37" s="52">
        <v>595.86763270695985</v>
      </c>
    </row>
    <row r="38" spans="1:45" ht="15.75" thickBot="1" x14ac:dyDescent="0.3">
      <c r="A38" s="9"/>
      <c r="B38" s="59"/>
      <c r="C38" s="60"/>
      <c r="D38" s="60"/>
      <c r="E38" s="60"/>
      <c r="F38" s="60"/>
      <c r="G38" s="60"/>
      <c r="H38" s="61"/>
      <c r="I38" s="62"/>
      <c r="J38" s="60"/>
      <c r="K38" s="60"/>
      <c r="L38" s="60"/>
      <c r="M38" s="60"/>
      <c r="N38" s="61"/>
      <c r="O38" s="62"/>
      <c r="P38" s="60"/>
      <c r="Q38" s="60"/>
      <c r="R38" s="63"/>
      <c r="S38" s="60"/>
      <c r="T38" s="64"/>
      <c r="U38" s="65"/>
      <c r="V38" s="66"/>
      <c r="W38" s="66"/>
      <c r="X38" s="66"/>
      <c r="Y38" s="66"/>
      <c r="Z38" s="66"/>
      <c r="AA38" s="67"/>
      <c r="AB38" s="68"/>
      <c r="AC38" s="69"/>
      <c r="AD38" s="357"/>
      <c r="AE38" s="390"/>
      <c r="AF38" s="70"/>
      <c r="AG38" s="68"/>
      <c r="AH38" s="68"/>
      <c r="AI38" s="68"/>
      <c r="AJ38" s="69"/>
      <c r="AK38" s="69"/>
      <c r="AL38" s="69"/>
      <c r="AM38" s="69"/>
      <c r="AN38" s="69"/>
      <c r="AO38" s="69"/>
      <c r="AP38" s="69"/>
      <c r="AQ38" s="69"/>
      <c r="AR38" s="69"/>
      <c r="AS38" s="69"/>
    </row>
    <row r="39" spans="1:45" ht="15.75" thickTop="1" x14ac:dyDescent="0.25">
      <c r="A39" s="42" t="s">
        <v>171</v>
      </c>
      <c r="B39" s="25">
        <f>SUM(B8:B38)</f>
        <v>0</v>
      </c>
      <c r="C39" s="26">
        <f t="shared" ref="C39:AC39" si="0">SUM(C8:C38)</f>
        <v>1140.8491122047139</v>
      </c>
      <c r="D39" s="26">
        <f t="shared" si="0"/>
        <v>15097.236616665121</v>
      </c>
      <c r="E39" s="26">
        <f t="shared" si="0"/>
        <v>262.81052284489061</v>
      </c>
      <c r="F39" s="26">
        <f t="shared" si="0"/>
        <v>0</v>
      </c>
      <c r="G39" s="26">
        <f t="shared" si="0"/>
        <v>35747.926365343701</v>
      </c>
      <c r="H39" s="27">
        <f t="shared" si="0"/>
        <v>371.23507579267039</v>
      </c>
      <c r="I39" s="25">
        <f t="shared" si="0"/>
        <v>6347.1240603129017</v>
      </c>
      <c r="J39" s="26">
        <f t="shared" si="0"/>
        <v>11885.691498740514</v>
      </c>
      <c r="K39" s="26">
        <f t="shared" si="0"/>
        <v>652.12299123108437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8203.3970644365727</v>
      </c>
      <c r="V39" s="242">
        <f t="shared" si="0"/>
        <v>2059.4972125294239</v>
      </c>
      <c r="W39" s="242">
        <f t="shared" si="0"/>
        <v>1443.9957967062351</v>
      </c>
      <c r="X39" s="242">
        <f t="shared" si="0"/>
        <v>371.46379622424064</v>
      </c>
      <c r="Y39" s="242">
        <f t="shared" si="0"/>
        <v>4448.4624323514217</v>
      </c>
      <c r="Z39" s="242">
        <f t="shared" si="0"/>
        <v>857.62463129489481</v>
      </c>
      <c r="AA39" s="250">
        <f t="shared" si="0"/>
        <v>0</v>
      </c>
      <c r="AB39" s="253">
        <f t="shared" si="0"/>
        <v>2378.4402128749484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SUM(AJ8:AJ38)</f>
        <v>6372.9153193871189</v>
      </c>
      <c r="AK39" s="253">
        <f t="shared" si="1"/>
        <v>20710.237730407713</v>
      </c>
      <c r="AL39" s="253">
        <f t="shared" si="1"/>
        <v>65744.16216551463</v>
      </c>
      <c r="AM39" s="253">
        <f t="shared" si="1"/>
        <v>16035.026659425099</v>
      </c>
      <c r="AN39" s="253">
        <f t="shared" si="1"/>
        <v>98439.217132377657</v>
      </c>
      <c r="AO39" s="253">
        <f t="shared" si="1"/>
        <v>77274.6900211334</v>
      </c>
      <c r="AP39" s="253">
        <f t="shared" si="1"/>
        <v>17223.316905196509</v>
      </c>
      <c r="AQ39" s="253">
        <f t="shared" si="1"/>
        <v>62796.745816659939</v>
      </c>
      <c r="AR39" s="253">
        <f t="shared" si="1"/>
        <v>13747.854912432036</v>
      </c>
      <c r="AS39" s="253">
        <f t="shared" si="1"/>
        <v>16139.63559536934</v>
      </c>
    </row>
    <row r="40" spans="1:45" ht="15.75" thickBot="1" x14ac:dyDescent="0.3">
      <c r="A40" s="43" t="s">
        <v>172</v>
      </c>
      <c r="B40" s="28">
        <f>Projection!$AD$30</f>
        <v>0.75949460999999996</v>
      </c>
      <c r="C40" s="29">
        <f>Projection!$AD$28</f>
        <v>2.3715123600000001</v>
      </c>
      <c r="D40" s="29">
        <f>Projection!$AD$31</f>
        <v>4.4888382</v>
      </c>
      <c r="E40" s="29">
        <f>Projection!$AD$26</f>
        <v>5.6378400000000006</v>
      </c>
      <c r="F40" s="29">
        <f>Projection!$AD$23</f>
        <v>0</v>
      </c>
      <c r="G40" s="29">
        <f>Projection!$AD$24</f>
        <v>7.6444999999999999E-2</v>
      </c>
      <c r="H40" s="30">
        <f>Projection!$AD$29</f>
        <v>4.6146262499999997</v>
      </c>
      <c r="I40" s="28">
        <f>Projection!$AD$30</f>
        <v>0.75949460999999996</v>
      </c>
      <c r="J40" s="29">
        <f>Projection!$AD$28</f>
        <v>2.3715123600000001</v>
      </c>
      <c r="K40" s="29">
        <f>Projection!$AD$26</f>
        <v>5.6378400000000006</v>
      </c>
      <c r="L40" s="29">
        <f>Projection!$AD$25</f>
        <v>0</v>
      </c>
      <c r="M40" s="29">
        <f>Projection!$AD$23</f>
        <v>0</v>
      </c>
      <c r="N40" s="30">
        <f>Projection!$AD$23</f>
        <v>0</v>
      </c>
      <c r="O40" s="244">
        <v>15.77</v>
      </c>
      <c r="P40" s="245">
        <v>15.77</v>
      </c>
      <c r="Q40" s="245">
        <v>15.77</v>
      </c>
      <c r="R40" s="245">
        <v>15.77</v>
      </c>
      <c r="S40" s="245">
        <f>Projection!$AD$28</f>
        <v>2.3715123600000001</v>
      </c>
      <c r="T40" s="246">
        <f>Projection!$AD$28</f>
        <v>2.3715123600000001</v>
      </c>
      <c r="U40" s="244">
        <f>Projection!$AD$27</f>
        <v>0.48749999999999999</v>
      </c>
      <c r="V40" s="245">
        <f>Projection!$AD$27</f>
        <v>0.48749999999999999</v>
      </c>
      <c r="W40" s="245">
        <f>Projection!$AD$22</f>
        <v>2.6240976000000003</v>
      </c>
      <c r="X40" s="245">
        <f>Projection!$AD$22</f>
        <v>2.6240976000000003</v>
      </c>
      <c r="Y40" s="245">
        <f>Projection!$AD$31</f>
        <v>4.4888382</v>
      </c>
      <c r="Z40" s="245">
        <f>Projection!$AD$31</f>
        <v>4.4888382</v>
      </c>
      <c r="AA40" s="251">
        <v>0</v>
      </c>
      <c r="AB40" s="254">
        <f>Projection!$AD$27</f>
        <v>0.48749999999999999</v>
      </c>
      <c r="AC40" s="254">
        <f>Projection!$AD$30</f>
        <v>0.75949460999999996</v>
      </c>
      <c r="AD40" s="352">
        <f>SUM(AD8:AD38)</f>
        <v>373.6591890166186</v>
      </c>
      <c r="AE40" s="352">
        <f>SUM(AE8:AE38)</f>
        <v>104.10418700899315</v>
      </c>
      <c r="AF40" s="257">
        <f>SUM(AF8:AF38)</f>
        <v>448.06765583289962</v>
      </c>
      <c r="AG40" s="257">
        <f>SUM(AG8:AG38)</f>
        <v>349.93467091355063</v>
      </c>
      <c r="AH40" s="257">
        <f>SUM(AH8:AH38)</f>
        <v>90.397616358815441</v>
      </c>
      <c r="AI40" s="257">
        <f>IF(SUM(AG40:AH40)&gt;0, AG40/(AG40+AH40),0)</f>
        <v>0.79470590966930321</v>
      </c>
      <c r="AJ40" s="286">
        <v>8.6999999999999994E-2</v>
      </c>
      <c r="AK40" s="286">
        <f t="shared" ref="AK40:AS40" si="2">$AJ$40</f>
        <v>8.6999999999999994E-2</v>
      </c>
      <c r="AL40" s="286">
        <f t="shared" si="2"/>
        <v>8.6999999999999994E-2</v>
      </c>
      <c r="AM40" s="286">
        <f t="shared" si="2"/>
        <v>8.6999999999999994E-2</v>
      </c>
      <c r="AN40" s="286">
        <f t="shared" si="2"/>
        <v>8.6999999999999994E-2</v>
      </c>
      <c r="AO40" s="286">
        <f t="shared" si="2"/>
        <v>8.6999999999999994E-2</v>
      </c>
      <c r="AP40" s="286">
        <f t="shared" si="2"/>
        <v>8.6999999999999994E-2</v>
      </c>
      <c r="AQ40" s="286">
        <f t="shared" si="2"/>
        <v>8.6999999999999994E-2</v>
      </c>
      <c r="AR40" s="286">
        <f t="shared" si="2"/>
        <v>8.6999999999999994E-2</v>
      </c>
      <c r="AS40" s="286">
        <f t="shared" si="2"/>
        <v>8.6999999999999994E-2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 t="shared" si="3"/>
        <v>2705.5377704885059</v>
      </c>
      <c r="D41" s="32">
        <f t="shared" si="3"/>
        <v>67769.052439325154</v>
      </c>
      <c r="E41" s="32">
        <f t="shared" si="3"/>
        <v>1481.6836781158383</v>
      </c>
      <c r="F41" s="32">
        <f t="shared" si="3"/>
        <v>0</v>
      </c>
      <c r="G41" s="32">
        <f t="shared" si="3"/>
        <v>2732.7502309986994</v>
      </c>
      <c r="H41" s="33">
        <f t="shared" si="3"/>
        <v>1713.1111256735962</v>
      </c>
      <c r="I41" s="31">
        <f t="shared" si="3"/>
        <v>4820.6065128089631</v>
      </c>
      <c r="J41" s="32">
        <f t="shared" si="3"/>
        <v>28187.064296410055</v>
      </c>
      <c r="K41" s="32">
        <f t="shared" si="3"/>
        <v>3676.565084882257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3999.1560689128291</v>
      </c>
      <c r="V41" s="248">
        <f t="shared" si="3"/>
        <v>1004.0048911080942</v>
      </c>
      <c r="W41" s="248">
        <f t="shared" si="3"/>
        <v>3789.1859045469196</v>
      </c>
      <c r="X41" s="248">
        <f t="shared" si="3"/>
        <v>974.75725615891906</v>
      </c>
      <c r="Y41" s="248">
        <f t="shared" si="3"/>
        <v>19968.428097603977</v>
      </c>
      <c r="Z41" s="248">
        <f t="shared" si="3"/>
        <v>3849.7382062174393</v>
      </c>
      <c r="AA41" s="252">
        <f t="shared" si="3"/>
        <v>0</v>
      </c>
      <c r="AB41" s="255">
        <f t="shared" si="3"/>
        <v>1159.4896037765373</v>
      </c>
      <c r="AC41" s="255">
        <f t="shared" si="3"/>
        <v>0</v>
      </c>
      <c r="AJ41" s="258">
        <f t="shared" ref="AJ41:AS41" si="4">AJ40*AJ39</f>
        <v>554.44363278667936</v>
      </c>
      <c r="AK41" s="258">
        <f t="shared" si="4"/>
        <v>1801.7906825454709</v>
      </c>
      <c r="AL41" s="258">
        <f t="shared" si="4"/>
        <v>5719.7421083997724</v>
      </c>
      <c r="AM41" s="258">
        <f t="shared" si="4"/>
        <v>1395.0473193699836</v>
      </c>
      <c r="AN41" s="258">
        <f t="shared" si="4"/>
        <v>8564.2118905168554</v>
      </c>
      <c r="AO41" s="258">
        <f t="shared" si="4"/>
        <v>6722.8980318386057</v>
      </c>
      <c r="AP41" s="258">
        <f t="shared" si="4"/>
        <v>1498.4285707520962</v>
      </c>
      <c r="AQ41" s="258">
        <f t="shared" si="4"/>
        <v>5463.3168860494143</v>
      </c>
      <c r="AR41" s="258">
        <f t="shared" si="4"/>
        <v>1196.0633773815871</v>
      </c>
      <c r="AS41" s="258">
        <f t="shared" si="4"/>
        <v>1404.1482967971324</v>
      </c>
    </row>
    <row r="42" spans="1:45" ht="49.5" customHeight="1" thickTop="1" thickBot="1" x14ac:dyDescent="0.3">
      <c r="A42" s="587">
        <f>OCTOBER!$A$42+31</f>
        <v>44867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3487.61</v>
      </c>
      <c r="AK42" s="258" t="s">
        <v>197</v>
      </c>
      <c r="AL42" s="258">
        <v>7074.74</v>
      </c>
      <c r="AM42" s="258">
        <v>2152.37</v>
      </c>
      <c r="AN42" s="258">
        <v>3364.64</v>
      </c>
      <c r="AO42" s="258">
        <v>12203.79</v>
      </c>
      <c r="AP42" s="258">
        <v>3884.18</v>
      </c>
      <c r="AQ42" s="258" t="s">
        <v>197</v>
      </c>
      <c r="AR42" s="258">
        <v>499.67</v>
      </c>
      <c r="AS42" s="258">
        <v>1461.55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147831.13116702778</v>
      </c>
      <c r="D44" s="262" t="s">
        <v>135</v>
      </c>
      <c r="E44" s="263">
        <f>SUM(B41:H41)+P41+R41+T41+V41+X41+Z41</f>
        <v>82230.635598086243</v>
      </c>
      <c r="G44" s="262" t="s">
        <v>135</v>
      </c>
      <c r="H44" s="263">
        <f>SUM(I41:N41)+O41+Q41+S41+U41+W41+Y41</f>
        <v>64441.005965164994</v>
      </c>
      <c r="J44" s="262" t="s">
        <v>198</v>
      </c>
      <c r="K44" s="263">
        <v>149325.01999999999</v>
      </c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34320.090796437602</v>
      </c>
      <c r="D45" s="264" t="s">
        <v>183</v>
      </c>
      <c r="E45" s="265">
        <f>AJ41*(1-$AI$40)+AK41+AL41*0.5+AN41+AO41*(1-$AI$40)+AP41*(1-$AI$40)+AQ41*(1-$AI$40)+AR41*0.5+AS41*0.5</f>
        <v>17449.179902084423</v>
      </c>
      <c r="F45" s="20"/>
      <c r="G45" s="264" t="s">
        <v>183</v>
      </c>
      <c r="H45" s="265">
        <f>AJ41*AI40+AL41*0.5+AM41+AO41*AI40+AP41*AI40+AQ41*AI40+AR41*0.5+AS41*0.5</f>
        <v>16870.910894353172</v>
      </c>
      <c r="K45" s="268"/>
      <c r="R45" s="278" t="s">
        <v>141</v>
      </c>
      <c r="S45" s="279"/>
      <c r="T45" s="234">
        <f>$W$39+$X$39</f>
        <v>1815.4595929304758</v>
      </c>
      <c r="U45" s="236">
        <f>(T45*8.34*0.895)/27000</f>
        <v>0.5018938903522574</v>
      </c>
    </row>
    <row r="46" spans="1:45" ht="32.25" thickBot="1" x14ac:dyDescent="0.3">
      <c r="A46" s="266" t="s">
        <v>184</v>
      </c>
      <c r="B46" s="267">
        <f>SUM(AJ42:AS42)</f>
        <v>34128.550000000003</v>
      </c>
      <c r="D46" s="266" t="s">
        <v>184</v>
      </c>
      <c r="E46" s="267">
        <f>AJ42*(1-$AI$40)+AL42*0.5+AN42+AO42*(1-$AI$40)+AP42*(1-$AI$40)+AR42*0.5+AS42*0.5</f>
        <v>11901.37088879578</v>
      </c>
      <c r="F46" s="19"/>
      <c r="G46" s="266" t="s">
        <v>184</v>
      </c>
      <c r="H46" s="267">
        <f>AJ42*AI40+AL42*0.5+AM42+AO42*AI40+AP42*AI40+AR42*0.5+AS42*0.5</f>
        <v>22227.179111204219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149325.01999999999</v>
      </c>
      <c r="D47" s="266" t="s">
        <v>187</v>
      </c>
      <c r="E47" s="267">
        <f>K44*0.5</f>
        <v>74662.509999999995</v>
      </c>
      <c r="F47" s="20"/>
      <c r="G47" s="266" t="s">
        <v>185</v>
      </c>
      <c r="H47" s="267">
        <f>K44*0.5</f>
        <v>74662.509999999995</v>
      </c>
      <c r="J47" s="262" t="s">
        <v>198</v>
      </c>
      <c r="K47" s="263">
        <v>122764.56000000001</v>
      </c>
      <c r="R47" s="278" t="s">
        <v>148</v>
      </c>
      <c r="S47" s="279"/>
      <c r="T47" s="234">
        <f>$G$39</f>
        <v>35747.926365343701</v>
      </c>
      <c r="U47" s="236">
        <f>T47/40000</f>
        <v>0.89369815913359252</v>
      </c>
    </row>
    <row r="48" spans="1:45" ht="24" thickBot="1" x14ac:dyDescent="0.3">
      <c r="A48" s="266" t="s">
        <v>186</v>
      </c>
      <c r="B48" s="267">
        <f>K47</f>
        <v>122764.56000000001</v>
      </c>
      <c r="D48" s="266" t="s">
        <v>186</v>
      </c>
      <c r="E48" s="267">
        <f>K47*0.5</f>
        <v>61382.280000000006</v>
      </c>
      <c r="F48" s="19"/>
      <c r="G48" s="266" t="s">
        <v>186</v>
      </c>
      <c r="H48" s="267">
        <f>K47*0.5</f>
        <v>61382.280000000006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3" ht="48" thickTop="1" thickBot="1" x14ac:dyDescent="0.3">
      <c r="A49" s="271" t="s">
        <v>194</v>
      </c>
      <c r="B49" s="272">
        <f>AF40</f>
        <v>448.06765583289962</v>
      </c>
      <c r="D49" s="271" t="s">
        <v>195</v>
      </c>
      <c r="E49" s="272">
        <f>AH40</f>
        <v>90.397616358815441</v>
      </c>
      <c r="F49" s="19"/>
      <c r="G49" s="271" t="s">
        <v>196</v>
      </c>
      <c r="H49" s="272">
        <f>AG40</f>
        <v>349.93467091355063</v>
      </c>
      <c r="K49" s="71"/>
      <c r="R49" s="278" t="s">
        <v>152</v>
      </c>
      <c r="S49" s="279"/>
      <c r="T49" s="234">
        <f>$E$39+$K$39</f>
        <v>914.93351407597493</v>
      </c>
      <c r="U49" s="236">
        <f>(T49*8.34*1.04)/45000</f>
        <v>0.17635038505976391</v>
      </c>
    </row>
    <row r="50" spans="1:23" ht="48" customHeight="1" thickTop="1" thickBot="1" x14ac:dyDescent="0.3">
      <c r="A50" s="271" t="s">
        <v>223</v>
      </c>
      <c r="B50" s="272">
        <f>SUM(E50+H50)</f>
        <v>477.76337602561176</v>
      </c>
      <c r="D50" s="271" t="s">
        <v>224</v>
      </c>
      <c r="E50" s="272">
        <f>AE40</f>
        <v>104.10418700899315</v>
      </c>
      <c r="F50" s="19"/>
      <c r="G50" s="271" t="s">
        <v>225</v>
      </c>
      <c r="H50" s="272">
        <f>AD40</f>
        <v>373.6591890166186</v>
      </c>
      <c r="K50" s="71"/>
      <c r="R50" s="278"/>
      <c r="S50" s="279"/>
      <c r="T50" s="234"/>
      <c r="U50" s="236"/>
    </row>
    <row r="51" spans="1:23" ht="48" thickTop="1" thickBot="1" x14ac:dyDescent="0.3">
      <c r="A51" s="271" t="s">
        <v>190</v>
      </c>
      <c r="B51" s="273">
        <f>(SUM(B44:B48)/B50)</f>
        <v>1022.199223444212</v>
      </c>
      <c r="D51" s="271" t="s">
        <v>188</v>
      </c>
      <c r="E51" s="351">
        <f>SUM(E44:E48)/E50</f>
        <v>2378.6360904732392</v>
      </c>
      <c r="F51" s="19"/>
      <c r="G51" s="271" t="s">
        <v>189</v>
      </c>
      <c r="H51" s="351">
        <f>SUM(H44:H48)/H50</f>
        <v>641.18290948832203</v>
      </c>
      <c r="K51" s="71"/>
      <c r="R51" s="278" t="s">
        <v>153</v>
      </c>
      <c r="S51" s="279"/>
      <c r="T51" s="234">
        <f>$U$39+$V$39+$AB$39</f>
        <v>12641.334489840945</v>
      </c>
      <c r="U51" s="236">
        <f>T51/2000/8</f>
        <v>0.79008340561505908</v>
      </c>
    </row>
    <row r="52" spans="1:23" ht="48" thickTop="1" thickBot="1" x14ac:dyDescent="0.3">
      <c r="A52" s="261" t="s">
        <v>191</v>
      </c>
      <c r="B52" s="274">
        <f>B51/1000</f>
        <v>1.0221992234442119</v>
      </c>
      <c r="D52" s="261" t="s">
        <v>192</v>
      </c>
      <c r="E52" s="274">
        <f>E51/1000</f>
        <v>2.3786360904732393</v>
      </c>
      <c r="G52" s="261" t="s">
        <v>193</v>
      </c>
      <c r="H52" s="274">
        <f>H51/1000</f>
        <v>0.64118290948832202</v>
      </c>
      <c r="K52" s="71"/>
      <c r="R52" s="278" t="s">
        <v>154</v>
      </c>
      <c r="S52" s="279"/>
      <c r="T52" s="234">
        <f>$C$39+$J$39+$S$39+$T$39</f>
        <v>13026.540610945229</v>
      </c>
      <c r="U52" s="236">
        <f>(T52*8.34*1.4)/45000</f>
        <v>3.3799530705199214</v>
      </c>
    </row>
    <row r="53" spans="1:23" ht="16.5" thickTop="1" thickBot="1" x14ac:dyDescent="0.3">
      <c r="A53" s="282"/>
      <c r="K53" s="71"/>
      <c r="R53" s="278" t="s">
        <v>155</v>
      </c>
      <c r="S53" s="279"/>
      <c r="T53" s="234">
        <f>$H$39</f>
        <v>371.23507579267039</v>
      </c>
      <c r="U53" s="236">
        <f>(T53*8.34*1.135)/45000</f>
        <v>7.8090535643240852E-2</v>
      </c>
    </row>
    <row r="54" spans="1:23" ht="33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6347.1240603129017</v>
      </c>
      <c r="U54" s="236">
        <f>(T54*8.34*1.029*0.03)/3300</f>
        <v>0.49518300080215338</v>
      </c>
    </row>
    <row r="55" spans="1:23" ht="66.75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20403.323680311434</v>
      </c>
      <c r="U55" s="239">
        <f>(T55*1.54*8.34)/45000</f>
        <v>5.8233806226766207</v>
      </c>
      <c r="V55" s="292"/>
    </row>
    <row r="56" spans="1:23" ht="15.75" thickTop="1" x14ac:dyDescent="0.25">
      <c r="T56" s="621"/>
      <c r="U56" s="621"/>
      <c r="V56" s="290"/>
      <c r="W56" s="291"/>
    </row>
    <row r="57" spans="1:23" x14ac:dyDescent="0.25">
      <c r="T57" s="621"/>
      <c r="U57" s="621"/>
      <c r="V57" s="290"/>
      <c r="W57" s="291"/>
    </row>
    <row r="58" spans="1:23" x14ac:dyDescent="0.25">
      <c r="T58" s="621"/>
      <c r="U58" s="621"/>
      <c r="V58" s="290"/>
      <c r="W58" s="291"/>
    </row>
    <row r="59" spans="1:23" x14ac:dyDescent="0.25">
      <c r="T59" s="621"/>
      <c r="U59" s="621"/>
      <c r="V59" s="290"/>
      <c r="W59" s="291"/>
    </row>
    <row r="60" spans="1:23" x14ac:dyDescent="0.25">
      <c r="T60" s="621"/>
      <c r="U60" s="621"/>
      <c r="V60" s="290"/>
      <c r="W60" s="291"/>
    </row>
    <row r="61" spans="1:23" x14ac:dyDescent="0.25">
      <c r="T61" s="621"/>
      <c r="U61" s="621"/>
      <c r="V61" s="290"/>
      <c r="W61" s="291"/>
    </row>
    <row r="62" spans="1:23" x14ac:dyDescent="0.25">
      <c r="T62" s="621"/>
      <c r="U62" s="621"/>
      <c r="V62" s="290"/>
      <c r="W62" s="291"/>
    </row>
    <row r="63" spans="1:23" x14ac:dyDescent="0.25">
      <c r="T63" s="621"/>
      <c r="U63" s="621"/>
      <c r="V63" s="290"/>
      <c r="W63" s="291"/>
    </row>
  </sheetData>
  <sheetProtection algorithmName="SHA-512" hashValue="k9tdiqfo5dhY0UWMePqDTDf6EVr7gricyMRdT1pMs8v8D15ciXRQGqockIFrwMd1b5bzSDI4pbaK98ayo8VFdw==" saltValue="t0R4NUdcOz/aqwldI2uibQ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C63"/>
  <sheetViews>
    <sheetView topLeftCell="AF1" zoomScale="80" zoomScaleNormal="80" workbookViewId="0">
      <pane ySplit="7" topLeftCell="A20" activePane="bottomLeft" state="frozen"/>
      <selection activeCell="AH1" sqref="AH1"/>
      <selection pane="bottomLeft" activeCell="AJ41" sqref="AJ41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</row>
    <row r="2" spans="1:55" ht="15" customHeight="1" x14ac:dyDescent="0.25">
      <c r="A2" s="1" t="s">
        <v>2</v>
      </c>
      <c r="B2" s="4"/>
    </row>
    <row r="3" spans="1:55" ht="15.75" thickBot="1" x14ac:dyDescent="0.3">
      <c r="A3" s="5"/>
      <c r="BB3" t="s">
        <v>169</v>
      </c>
      <c r="BC3" s="240" t="s">
        <v>206</v>
      </c>
    </row>
    <row r="4" spans="1:55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</row>
    <row r="5" spans="1:55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55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55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18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55" s="19" customFormat="1" ht="15" customHeight="1" x14ac:dyDescent="0.25">
      <c r="A8" s="391">
        <v>44896</v>
      </c>
      <c r="B8" s="326"/>
      <c r="C8" s="327">
        <v>68.584962411721364</v>
      </c>
      <c r="D8" s="327">
        <v>952.78239358265989</v>
      </c>
      <c r="E8" s="327">
        <v>16.006687036653339</v>
      </c>
      <c r="F8" s="327">
        <v>0</v>
      </c>
      <c r="G8" s="327">
        <v>1942.5065376281732</v>
      </c>
      <c r="H8" s="328">
        <v>25.854096733530387</v>
      </c>
      <c r="I8" s="326">
        <v>162.94326553344729</v>
      </c>
      <c r="J8" s="327">
        <v>297.18056387901333</v>
      </c>
      <c r="K8" s="327">
        <v>16.397435359656829</v>
      </c>
      <c r="L8" s="329">
        <v>0</v>
      </c>
      <c r="M8" s="327">
        <v>0</v>
      </c>
      <c r="N8" s="328">
        <v>0</v>
      </c>
      <c r="O8" s="326">
        <v>0</v>
      </c>
      <c r="P8" s="327">
        <v>0</v>
      </c>
      <c r="Q8" s="327">
        <v>0</v>
      </c>
      <c r="R8" s="327">
        <v>0</v>
      </c>
      <c r="S8" s="327">
        <v>0</v>
      </c>
      <c r="T8" s="328">
        <v>0</v>
      </c>
      <c r="U8" s="326">
        <v>176.04775809806583</v>
      </c>
      <c r="V8" s="327">
        <v>128.05550171969483</v>
      </c>
      <c r="W8" s="327">
        <v>32.34944968930693</v>
      </c>
      <c r="X8" s="327">
        <v>23.530688803277283</v>
      </c>
      <c r="Y8" s="327">
        <v>75.451859828032411</v>
      </c>
      <c r="Z8" s="327">
        <v>54.882981018029398</v>
      </c>
      <c r="AA8" s="328">
        <v>0</v>
      </c>
      <c r="AB8" s="330">
        <v>69.700849151611465</v>
      </c>
      <c r="AC8" s="331">
        <v>0</v>
      </c>
      <c r="AD8" s="359">
        <v>9.3430236289667157</v>
      </c>
      <c r="AE8" s="359">
        <v>6.4522997840667351</v>
      </c>
      <c r="AF8" s="331">
        <v>15.190802028444077</v>
      </c>
      <c r="AG8" s="331">
        <v>8.5851763664094776</v>
      </c>
      <c r="AH8" s="331">
        <v>6.2447774332930317</v>
      </c>
      <c r="AI8" s="331">
        <v>0.57890782954304931</v>
      </c>
      <c r="AJ8" s="331">
        <v>204.63010951677961</v>
      </c>
      <c r="AK8" s="331">
        <v>887.15741062164307</v>
      </c>
      <c r="AL8" s="331">
        <v>2689.3012908935548</v>
      </c>
      <c r="AM8" s="331">
        <v>507.62064218521118</v>
      </c>
      <c r="AN8" s="331">
        <v>5040.6847215016678</v>
      </c>
      <c r="AO8" s="331">
        <v>2974.6564914703372</v>
      </c>
      <c r="AP8" s="331">
        <v>613.40581661860142</v>
      </c>
      <c r="AQ8" s="331">
        <v>2198.9691402435305</v>
      </c>
      <c r="AR8" s="331">
        <v>267.51270862420392</v>
      </c>
      <c r="AS8" s="331">
        <v>579.04099496205652</v>
      </c>
    </row>
    <row r="9" spans="1:55" x14ac:dyDescent="0.25">
      <c r="A9" s="392">
        <v>44897</v>
      </c>
      <c r="B9" s="45"/>
      <c r="C9" s="46">
        <v>68.307725397745585</v>
      </c>
      <c r="D9" s="46">
        <v>956.78867734272887</v>
      </c>
      <c r="E9" s="46">
        <v>16.095698842902948</v>
      </c>
      <c r="F9" s="46">
        <v>0</v>
      </c>
      <c r="G9" s="46">
        <v>2313.1121592203767</v>
      </c>
      <c r="H9" s="47">
        <v>25.755359454949716</v>
      </c>
      <c r="I9" s="45">
        <v>163.47991647720329</v>
      </c>
      <c r="J9" s="46">
        <v>296.78936724662771</v>
      </c>
      <c r="K9" s="46">
        <v>16.317751484612621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46">
        <v>0</v>
      </c>
      <c r="R9" s="55">
        <v>0</v>
      </c>
      <c r="S9" s="46">
        <v>0</v>
      </c>
      <c r="T9" s="48">
        <v>0</v>
      </c>
      <c r="U9" s="56">
        <v>190.66693136849321</v>
      </c>
      <c r="V9" s="54">
        <v>137.69171118843937</v>
      </c>
      <c r="W9" s="54">
        <v>35.263549634252236</v>
      </c>
      <c r="X9" s="54">
        <v>25.465865826175474</v>
      </c>
      <c r="Y9" s="54">
        <v>75.647401746940332</v>
      </c>
      <c r="Z9" s="54">
        <v>54.629400697517852</v>
      </c>
      <c r="AA9" s="57">
        <v>0</v>
      </c>
      <c r="AB9" s="58">
        <v>69.706274212730804</v>
      </c>
      <c r="AC9" s="52">
        <v>0</v>
      </c>
      <c r="AD9" s="359">
        <v>9.3310932164440104</v>
      </c>
      <c r="AE9" s="359">
        <v>6.4331096428051229</v>
      </c>
      <c r="AF9" s="52">
        <v>15.558104916413606</v>
      </c>
      <c r="AG9" s="58">
        <v>8.9202400627649059</v>
      </c>
      <c r="AH9" s="58">
        <v>6.4418255941823643</v>
      </c>
      <c r="AI9" s="58">
        <v>0.58066670602536175</v>
      </c>
      <c r="AJ9" s="52">
        <v>199.04641602834064</v>
      </c>
      <c r="AK9" s="52">
        <v>870.01052843729656</v>
      </c>
      <c r="AL9" s="52">
        <v>2783.5567906697584</v>
      </c>
      <c r="AM9" s="52">
        <v>500.22308441797884</v>
      </c>
      <c r="AN9" s="52">
        <v>5165.7772796630879</v>
      </c>
      <c r="AO9" s="52">
        <v>2918.2086683909097</v>
      </c>
      <c r="AP9" s="52">
        <v>597.46178414026895</v>
      </c>
      <c r="AQ9" s="52">
        <v>2152.9001489003504</v>
      </c>
      <c r="AR9" s="52">
        <v>248.43716070652007</v>
      </c>
      <c r="AS9" s="52">
        <v>578.24987913767484</v>
      </c>
    </row>
    <row r="10" spans="1:55" x14ac:dyDescent="0.25">
      <c r="A10" s="392">
        <v>44898</v>
      </c>
      <c r="B10" s="45"/>
      <c r="C10" s="46">
        <v>68.087207865715669</v>
      </c>
      <c r="D10" s="46">
        <v>961.35260181426929</v>
      </c>
      <c r="E10" s="46">
        <v>16.035181193053692</v>
      </c>
      <c r="F10" s="46">
        <v>0</v>
      </c>
      <c r="G10" s="46">
        <v>2429.8306082407562</v>
      </c>
      <c r="H10" s="47">
        <v>25.900415613253905</v>
      </c>
      <c r="I10" s="45">
        <v>163.75703539053583</v>
      </c>
      <c r="J10" s="46">
        <v>296.55282699267036</v>
      </c>
      <c r="K10" s="46">
        <v>16.30112162977457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177.86089424403673</v>
      </c>
      <c r="V10" s="54">
        <v>128.46425628815695</v>
      </c>
      <c r="W10" s="54">
        <v>32.568349556237074</v>
      </c>
      <c r="X10" s="54">
        <v>23.523264189452359</v>
      </c>
      <c r="Y10" s="54">
        <v>72.827195408777627</v>
      </c>
      <c r="Z10" s="54">
        <v>52.601172031128314</v>
      </c>
      <c r="AA10" s="57">
        <v>0</v>
      </c>
      <c r="AB10" s="58">
        <v>69.916397767596706</v>
      </c>
      <c r="AC10" s="52">
        <v>0</v>
      </c>
      <c r="AD10" s="359">
        <v>9.3242423126848415</v>
      </c>
      <c r="AE10" s="359">
        <v>6.4462606668632096</v>
      </c>
      <c r="AF10" s="52">
        <v>15.276900403367124</v>
      </c>
      <c r="AG10" s="58">
        <v>8.7044864893149452</v>
      </c>
      <c r="AH10" s="58">
        <v>6.2870221583722072</v>
      </c>
      <c r="AI10" s="58">
        <v>0.58062778696111073</v>
      </c>
      <c r="AJ10" s="52">
        <v>219.56577126185101</v>
      </c>
      <c r="AK10" s="52">
        <v>916.05669984817496</v>
      </c>
      <c r="AL10" s="52">
        <v>2808.1224674224864</v>
      </c>
      <c r="AM10" s="52">
        <v>517.91787265141795</v>
      </c>
      <c r="AN10" s="52">
        <v>5119.5824050903329</v>
      </c>
      <c r="AO10" s="52">
        <v>2996.5479629516599</v>
      </c>
      <c r="AP10" s="52">
        <v>633.07701228459678</v>
      </c>
      <c r="AQ10" s="52">
        <v>2201.0308798472088</v>
      </c>
      <c r="AR10" s="52">
        <v>277.51495136419936</v>
      </c>
      <c r="AS10" s="52">
        <v>554.14100809097272</v>
      </c>
    </row>
    <row r="11" spans="1:55" x14ac:dyDescent="0.25">
      <c r="A11" s="392">
        <v>44899</v>
      </c>
      <c r="B11" s="45"/>
      <c r="C11" s="46">
        <v>68.273053860664788</v>
      </c>
      <c r="D11" s="46">
        <v>962.34216060638221</v>
      </c>
      <c r="E11" s="46">
        <v>16.093134185671797</v>
      </c>
      <c r="F11" s="46">
        <v>0</v>
      </c>
      <c r="G11" s="46">
        <v>2163.815233484896</v>
      </c>
      <c r="H11" s="47">
        <v>25.812450732787433</v>
      </c>
      <c r="I11" s="45">
        <v>150.19991610844937</v>
      </c>
      <c r="J11" s="46">
        <v>296.54649028778095</v>
      </c>
      <c r="K11" s="46">
        <v>16.283469781279578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181.0859210539974</v>
      </c>
      <c r="V11" s="54">
        <v>120.24485290357356</v>
      </c>
      <c r="W11" s="54">
        <v>33.210376462332114</v>
      </c>
      <c r="X11" s="54">
        <v>22.052387117354392</v>
      </c>
      <c r="Y11" s="54">
        <v>70.306495145537696</v>
      </c>
      <c r="Z11" s="54">
        <v>46.684988638184194</v>
      </c>
      <c r="AA11" s="57">
        <v>0</v>
      </c>
      <c r="AB11" s="58">
        <v>69.765999354256607</v>
      </c>
      <c r="AC11" s="52">
        <v>0</v>
      </c>
      <c r="AD11" s="359">
        <v>9.3241156854142559</v>
      </c>
      <c r="AE11" s="359">
        <v>6.4526278922908489</v>
      </c>
      <c r="AF11" s="52">
        <v>14.71613036824596</v>
      </c>
      <c r="AG11" s="58">
        <v>8.6766951237967938</v>
      </c>
      <c r="AH11" s="58">
        <v>5.7615077018549279</v>
      </c>
      <c r="AI11" s="58">
        <v>0.60095395725992229</v>
      </c>
      <c r="AJ11" s="52">
        <v>206.37954297065733</v>
      </c>
      <c r="AK11" s="52">
        <v>875.1912747701009</v>
      </c>
      <c r="AL11" s="52">
        <v>2800.9495966593422</v>
      </c>
      <c r="AM11" s="52">
        <v>498.01504896481833</v>
      </c>
      <c r="AN11" s="52">
        <v>5239.8190058390301</v>
      </c>
      <c r="AO11" s="52">
        <v>2931.7748447418212</v>
      </c>
      <c r="AP11" s="52">
        <v>605.76262041727705</v>
      </c>
      <c r="AQ11" s="52">
        <v>2158.5423597971603</v>
      </c>
      <c r="AR11" s="52">
        <v>280.08436873753874</v>
      </c>
      <c r="AS11" s="52">
        <v>550.27809816996262</v>
      </c>
    </row>
    <row r="12" spans="1:55" x14ac:dyDescent="0.25">
      <c r="A12" s="392">
        <v>44900</v>
      </c>
      <c r="B12" s="45"/>
      <c r="C12" s="46">
        <v>68.344141252835584</v>
      </c>
      <c r="D12" s="46">
        <v>958.43623650868801</v>
      </c>
      <c r="E12" s="46">
        <v>16.124419507384257</v>
      </c>
      <c r="F12" s="46">
        <v>0</v>
      </c>
      <c r="G12" s="46">
        <v>2171.2427932739238</v>
      </c>
      <c r="H12" s="47">
        <v>25.827343529462837</v>
      </c>
      <c r="I12" s="45">
        <v>121.6250755548477</v>
      </c>
      <c r="J12" s="46">
        <v>296.41375219027225</v>
      </c>
      <c r="K12" s="46">
        <v>16.290409609675422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181.7664084872282</v>
      </c>
      <c r="V12" s="54">
        <v>131.27468622915745</v>
      </c>
      <c r="W12" s="54">
        <v>34.400811005871894</v>
      </c>
      <c r="X12" s="54">
        <v>24.844830837606018</v>
      </c>
      <c r="Y12" s="54">
        <v>72.773202082026913</v>
      </c>
      <c r="Z12" s="54">
        <v>52.558002046238443</v>
      </c>
      <c r="AA12" s="57">
        <v>0</v>
      </c>
      <c r="AB12" s="58">
        <v>69.710792345470423</v>
      </c>
      <c r="AC12" s="52">
        <v>0</v>
      </c>
      <c r="AD12" s="359">
        <v>9.3198693627925788</v>
      </c>
      <c r="AE12" s="359">
        <v>6.4488148244496282</v>
      </c>
      <c r="AF12" s="52">
        <v>15.781590088870743</v>
      </c>
      <c r="AG12" s="58">
        <v>8.9993296529410109</v>
      </c>
      <c r="AH12" s="58">
        <v>6.4994637144167031</v>
      </c>
      <c r="AI12" s="58">
        <v>0.58064711488409548</v>
      </c>
      <c r="AJ12" s="52">
        <v>195.38579104741416</v>
      </c>
      <c r="AK12" s="52">
        <v>858.76065673828134</v>
      </c>
      <c r="AL12" s="52">
        <v>2804.9126462300619</v>
      </c>
      <c r="AM12" s="52">
        <v>496.06097555160522</v>
      </c>
      <c r="AN12" s="52">
        <v>5035.8944012959801</v>
      </c>
      <c r="AO12" s="52">
        <v>2903.3823167165124</v>
      </c>
      <c r="AP12" s="52">
        <v>594.04366623560588</v>
      </c>
      <c r="AQ12" s="52">
        <v>2175.1959331512458</v>
      </c>
      <c r="AR12" s="52">
        <v>286.28514089584354</v>
      </c>
      <c r="AS12" s="52">
        <v>569.13760391871131</v>
      </c>
    </row>
    <row r="13" spans="1:55" x14ac:dyDescent="0.25">
      <c r="A13" s="392">
        <v>44901</v>
      </c>
      <c r="B13" s="45"/>
      <c r="C13" s="46">
        <v>68.619804116090421</v>
      </c>
      <c r="D13" s="46">
        <v>947.49438425699748</v>
      </c>
      <c r="E13" s="46">
        <v>16.091503978768991</v>
      </c>
      <c r="F13" s="46">
        <v>0</v>
      </c>
      <c r="G13" s="46">
        <v>2261.460065841673</v>
      </c>
      <c r="H13" s="47">
        <v>25.82172550360367</v>
      </c>
      <c r="I13" s="45">
        <v>124.67452459335315</v>
      </c>
      <c r="J13" s="46">
        <v>296.42813323338845</v>
      </c>
      <c r="K13" s="46">
        <v>16.115496419370171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191.47245718221888</v>
      </c>
      <c r="V13" s="54">
        <v>138.28194261543456</v>
      </c>
      <c r="W13" s="54">
        <v>34.406563024433758</v>
      </c>
      <c r="X13" s="54">
        <v>24.848515780059234</v>
      </c>
      <c r="Y13" s="54">
        <v>71.362241666192176</v>
      </c>
      <c r="Z13" s="54">
        <v>51.538009968723394</v>
      </c>
      <c r="AA13" s="57">
        <v>0</v>
      </c>
      <c r="AB13" s="58">
        <v>69.711527787314168</v>
      </c>
      <c r="AC13" s="52">
        <v>0</v>
      </c>
      <c r="AD13" s="359">
        <v>9.3199525965038053</v>
      </c>
      <c r="AE13" s="359">
        <v>6.4668642970694679</v>
      </c>
      <c r="AF13" s="52">
        <v>15.524203150802169</v>
      </c>
      <c r="AG13" s="58">
        <v>8.8517346144488744</v>
      </c>
      <c r="AH13" s="58">
        <v>6.3927474270484534</v>
      </c>
      <c r="AI13" s="58">
        <v>0.58065171321356668</v>
      </c>
      <c r="AJ13" s="52">
        <v>206.30770753224695</v>
      </c>
      <c r="AK13" s="52">
        <v>889.96163981755581</v>
      </c>
      <c r="AL13" s="52">
        <v>2833.5397118886312</v>
      </c>
      <c r="AM13" s="52">
        <v>507.58042758305851</v>
      </c>
      <c r="AN13" s="52">
        <v>5134.411007436117</v>
      </c>
      <c r="AO13" s="52">
        <v>3025.4896794637048</v>
      </c>
      <c r="AP13" s="52">
        <v>612.37737480799353</v>
      </c>
      <c r="AQ13" s="52">
        <v>2160.4119033813477</v>
      </c>
      <c r="AR13" s="52">
        <v>302.57165637016294</v>
      </c>
      <c r="AS13" s="52">
        <v>585.83505188624054</v>
      </c>
    </row>
    <row r="14" spans="1:55" x14ac:dyDescent="0.25">
      <c r="A14" s="392">
        <v>44902</v>
      </c>
      <c r="B14" s="45"/>
      <c r="C14" s="46">
        <v>68.194570664564552</v>
      </c>
      <c r="D14" s="46">
        <v>945.28126386006591</v>
      </c>
      <c r="E14" s="46">
        <v>16.01814818282919</v>
      </c>
      <c r="F14" s="46">
        <v>0</v>
      </c>
      <c r="G14" s="46">
        <v>2242.9707434336342</v>
      </c>
      <c r="H14" s="47">
        <v>25.752149470647172</v>
      </c>
      <c r="I14" s="45">
        <v>137.87494620482121</v>
      </c>
      <c r="J14" s="46">
        <v>296.31174766222659</v>
      </c>
      <c r="K14" s="46">
        <v>16.437682981292408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186.3195853322602</v>
      </c>
      <c r="V14" s="54">
        <v>134.58490986461311</v>
      </c>
      <c r="W14" s="54">
        <v>35.451979254615473</v>
      </c>
      <c r="X14" s="54">
        <v>25.608158283499751</v>
      </c>
      <c r="Y14" s="54">
        <v>71.546430927285712</v>
      </c>
      <c r="Z14" s="54">
        <v>51.680396026602239</v>
      </c>
      <c r="AA14" s="57">
        <v>0</v>
      </c>
      <c r="AB14" s="58">
        <v>68.223642047246074</v>
      </c>
      <c r="AC14" s="52">
        <v>0</v>
      </c>
      <c r="AD14" s="359">
        <v>9.3154744079997229</v>
      </c>
      <c r="AE14" s="359">
        <v>6.4515511071673401</v>
      </c>
      <c r="AF14" s="52">
        <v>15.654634914133274</v>
      </c>
      <c r="AG14" s="58">
        <v>8.9205561867576151</v>
      </c>
      <c r="AH14" s="58">
        <v>6.4436180887587993</v>
      </c>
      <c r="AI14" s="58">
        <v>0.58060758923914124</v>
      </c>
      <c r="AJ14" s="52">
        <v>211.33060813744865</v>
      </c>
      <c r="AK14" s="52">
        <v>894.3026261647542</v>
      </c>
      <c r="AL14" s="52">
        <v>2806.1166302998859</v>
      </c>
      <c r="AM14" s="52">
        <v>502.01435429255167</v>
      </c>
      <c r="AN14" s="52">
        <v>5125.5994033813477</v>
      </c>
      <c r="AO14" s="52">
        <v>3102.3866821289071</v>
      </c>
      <c r="AP14" s="52">
        <v>619.62907673517861</v>
      </c>
      <c r="AQ14" s="52">
        <v>2161.0429222106936</v>
      </c>
      <c r="AR14" s="52">
        <v>304.00011520385743</v>
      </c>
      <c r="AS14" s="52">
        <v>574.49912602106735</v>
      </c>
    </row>
    <row r="15" spans="1:55" x14ac:dyDescent="0.25">
      <c r="A15" s="392">
        <v>44903</v>
      </c>
      <c r="B15" s="45"/>
      <c r="C15" s="46">
        <v>67.850810746352394</v>
      </c>
      <c r="D15" s="46">
        <v>945.29250253041471</v>
      </c>
      <c r="E15" s="46">
        <v>15.772875787317744</v>
      </c>
      <c r="F15" s="46">
        <v>0</v>
      </c>
      <c r="G15" s="46">
        <v>2343.7579477945974</v>
      </c>
      <c r="H15" s="47">
        <v>25.794080454111072</v>
      </c>
      <c r="I15" s="45">
        <v>146.8943614880246</v>
      </c>
      <c r="J15" s="46">
        <v>296.42911976178482</v>
      </c>
      <c r="K15" s="46">
        <v>16.08082420627278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195.81011592895979</v>
      </c>
      <c r="V15" s="54">
        <v>141.40482581637045</v>
      </c>
      <c r="W15" s="54">
        <v>34.657516729610379</v>
      </c>
      <c r="X15" s="54">
        <v>25.028023159725294</v>
      </c>
      <c r="Y15" s="54">
        <v>70.880054006467077</v>
      </c>
      <c r="Z15" s="54">
        <v>51.186230308324255</v>
      </c>
      <c r="AA15" s="57">
        <v>0</v>
      </c>
      <c r="AB15" s="58">
        <v>66.849488131203898</v>
      </c>
      <c r="AC15" s="52">
        <v>0</v>
      </c>
      <c r="AD15" s="359">
        <v>9.3204585456371962</v>
      </c>
      <c r="AE15" s="359">
        <v>6.4516759588931496</v>
      </c>
      <c r="AF15" s="52">
        <v>15.783791518873612</v>
      </c>
      <c r="AG15" s="58">
        <v>8.9994090150242094</v>
      </c>
      <c r="AH15" s="58">
        <v>6.4989485256290802</v>
      </c>
      <c r="AI15" s="58">
        <v>0.58066856384091814</v>
      </c>
      <c r="AJ15" s="52">
        <v>228.1417227983475</v>
      </c>
      <c r="AK15" s="52">
        <v>922.56145674387597</v>
      </c>
      <c r="AL15" s="52">
        <v>2813.4047100067146</v>
      </c>
      <c r="AM15" s="52">
        <v>516.41642227172849</v>
      </c>
      <c r="AN15" s="52">
        <v>5242.867369588218</v>
      </c>
      <c r="AO15" s="52">
        <v>3133.8215447743733</v>
      </c>
      <c r="AP15" s="52">
        <v>612.6941823323566</v>
      </c>
      <c r="AQ15" s="52">
        <v>2159.2791381835941</v>
      </c>
      <c r="AR15" s="52">
        <v>370.25658575693762</v>
      </c>
      <c r="AS15" s="52">
        <v>567.90700724919634</v>
      </c>
    </row>
    <row r="16" spans="1:55" x14ac:dyDescent="0.25">
      <c r="A16" s="392">
        <v>44904</v>
      </c>
      <c r="B16" s="45"/>
      <c r="C16" s="46">
        <v>67.370962134996574</v>
      </c>
      <c r="D16" s="46">
        <v>928.17589448293108</v>
      </c>
      <c r="E16" s="46">
        <v>15.762991366783782</v>
      </c>
      <c r="F16" s="46">
        <v>0</v>
      </c>
      <c r="G16" s="46">
        <v>2337.1939796447737</v>
      </c>
      <c r="H16" s="47">
        <v>25.74196454286572</v>
      </c>
      <c r="I16" s="45">
        <v>132.52158681551626</v>
      </c>
      <c r="J16" s="46">
        <v>296.27698906262725</v>
      </c>
      <c r="K16" s="46">
        <v>16.119891037543624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194.02478936060368</v>
      </c>
      <c r="V16" s="54">
        <v>140.128865246533</v>
      </c>
      <c r="W16" s="54">
        <v>34.996858476912635</v>
      </c>
      <c r="X16" s="54">
        <v>25.275481971784775</v>
      </c>
      <c r="Y16" s="54">
        <v>60.762031934669054</v>
      </c>
      <c r="Z16" s="54">
        <v>43.883642977465996</v>
      </c>
      <c r="AA16" s="57">
        <v>0</v>
      </c>
      <c r="AB16" s="58">
        <v>66.510461494657662</v>
      </c>
      <c r="AC16" s="52">
        <v>0</v>
      </c>
      <c r="AD16" s="359">
        <v>9.3143270216263545</v>
      </c>
      <c r="AE16" s="359">
        <v>6.4473958048916247</v>
      </c>
      <c r="AF16" s="52">
        <v>15.776618222395568</v>
      </c>
      <c r="AG16" s="58">
        <v>8.9999097633544913</v>
      </c>
      <c r="AH16" s="58">
        <v>6.4999279041409501</v>
      </c>
      <c r="AI16" s="58">
        <v>0.58064542070838032</v>
      </c>
      <c r="AJ16" s="52">
        <v>223.43573772907254</v>
      </c>
      <c r="AK16" s="52">
        <v>914.45566755930588</v>
      </c>
      <c r="AL16" s="52">
        <v>2827.4636110941565</v>
      </c>
      <c r="AM16" s="52">
        <v>514.51368697484338</v>
      </c>
      <c r="AN16" s="52">
        <v>5065.3108664194742</v>
      </c>
      <c r="AO16" s="52">
        <v>3132.0693143208823</v>
      </c>
      <c r="AP16" s="52">
        <v>632.77044251759844</v>
      </c>
      <c r="AQ16" s="52">
        <v>2165.6994299570724</v>
      </c>
      <c r="AR16" s="52">
        <v>451.00668991406752</v>
      </c>
      <c r="AS16" s="52">
        <v>567.22084178924558</v>
      </c>
    </row>
    <row r="17" spans="1:45" x14ac:dyDescent="0.25">
      <c r="A17" s="392">
        <v>44905</v>
      </c>
      <c r="B17" s="45"/>
      <c r="C17" s="46">
        <v>67.433949732781031</v>
      </c>
      <c r="D17" s="46">
        <v>894.09623305002845</v>
      </c>
      <c r="E17" s="46">
        <v>15.770068443318214</v>
      </c>
      <c r="F17" s="46">
        <v>0</v>
      </c>
      <c r="G17" s="46">
        <v>1943.6102785746261</v>
      </c>
      <c r="H17" s="47">
        <v>25.827129850784971</v>
      </c>
      <c r="I17" s="45">
        <v>135.55485753218341</v>
      </c>
      <c r="J17" s="46">
        <v>296.24569667180384</v>
      </c>
      <c r="K17" s="46">
        <v>16.388387342294092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198.08362764912974</v>
      </c>
      <c r="V17" s="54">
        <v>143.05813892022198</v>
      </c>
      <c r="W17" s="54">
        <v>34.419318698642194</v>
      </c>
      <c r="X17" s="54">
        <v>24.858004340730691</v>
      </c>
      <c r="Y17" s="54">
        <v>57.749882860133468</v>
      </c>
      <c r="Z17" s="54">
        <v>41.7075901874408</v>
      </c>
      <c r="AA17" s="57">
        <v>0</v>
      </c>
      <c r="AB17" s="58">
        <v>66.426464366912214</v>
      </c>
      <c r="AC17" s="52">
        <v>0</v>
      </c>
      <c r="AD17" s="359">
        <v>9.3144007285894581</v>
      </c>
      <c r="AE17" s="359">
        <v>6.4470662386810167</v>
      </c>
      <c r="AF17" s="52">
        <v>15.453297273317943</v>
      </c>
      <c r="AG17" s="58">
        <v>8.8116926242781872</v>
      </c>
      <c r="AH17" s="58">
        <v>6.3638997454104977</v>
      </c>
      <c r="AI17" s="58">
        <v>0.58064900595764701</v>
      </c>
      <c r="AJ17" s="52">
        <v>218.32474215030669</v>
      </c>
      <c r="AK17" s="52">
        <v>917.38864173889158</v>
      </c>
      <c r="AL17" s="52">
        <v>2804.7666974385575</v>
      </c>
      <c r="AM17" s="52">
        <v>516.72341508865372</v>
      </c>
      <c r="AN17" s="52">
        <v>5389.2768213907866</v>
      </c>
      <c r="AO17" s="52">
        <v>3121.0641719818113</v>
      </c>
      <c r="AP17" s="52">
        <v>1020.1050103187561</v>
      </c>
      <c r="AQ17" s="52">
        <v>2178.9956723531081</v>
      </c>
      <c r="AR17" s="52">
        <v>438.75960688591005</v>
      </c>
      <c r="AS17" s="52">
        <v>527.38908160527546</v>
      </c>
    </row>
    <row r="18" spans="1:45" x14ac:dyDescent="0.25">
      <c r="A18" s="392">
        <v>44906</v>
      </c>
      <c r="B18" s="45"/>
      <c r="C18" s="46">
        <v>68.871374964714491</v>
      </c>
      <c r="D18" s="46">
        <v>912.73484465281149</v>
      </c>
      <c r="E18" s="46">
        <v>15.825959591567488</v>
      </c>
      <c r="F18" s="46">
        <v>0</v>
      </c>
      <c r="G18" s="46">
        <v>1837.3313686370864</v>
      </c>
      <c r="H18" s="47">
        <v>25.833585637807854</v>
      </c>
      <c r="I18" s="45">
        <v>143.27868708769478</v>
      </c>
      <c r="J18" s="46">
        <v>296.24197332064318</v>
      </c>
      <c r="K18" s="46">
        <v>16.379869170486934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193.16356584722885</v>
      </c>
      <c r="V18" s="54">
        <v>140.54156340530974</v>
      </c>
      <c r="W18" s="54">
        <v>34.669819581145532</v>
      </c>
      <c r="X18" s="54">
        <v>25.224998438721439</v>
      </c>
      <c r="Y18" s="54">
        <v>55.798450286511816</v>
      </c>
      <c r="Z18" s="54">
        <v>40.597725582794347</v>
      </c>
      <c r="AA18" s="57">
        <v>0</v>
      </c>
      <c r="AB18" s="58">
        <v>66.409685081904883</v>
      </c>
      <c r="AC18" s="52">
        <v>0</v>
      </c>
      <c r="AD18" s="359">
        <v>9.3146126734025536</v>
      </c>
      <c r="AE18" s="359">
        <v>6.4533223667288553</v>
      </c>
      <c r="AF18" s="52">
        <v>15.083535473876509</v>
      </c>
      <c r="AG18" s="58">
        <v>8.5645971628446009</v>
      </c>
      <c r="AH18" s="58">
        <v>6.2314125850981688</v>
      </c>
      <c r="AI18" s="58">
        <v>0.57884506084726117</v>
      </c>
      <c r="AJ18" s="52">
        <v>204.52791225115459</v>
      </c>
      <c r="AK18" s="52">
        <v>888.46431303024292</v>
      </c>
      <c r="AL18" s="52">
        <v>2798.9246181488038</v>
      </c>
      <c r="AM18" s="52">
        <v>498.29037081400554</v>
      </c>
      <c r="AN18" s="52">
        <v>4793.8879433949796</v>
      </c>
      <c r="AO18" s="52">
        <v>3008.820613733928</v>
      </c>
      <c r="AP18" s="52">
        <v>931.71033099492388</v>
      </c>
      <c r="AQ18" s="52">
        <v>2179.1088923772181</v>
      </c>
      <c r="AR18" s="52">
        <v>298.50993941624967</v>
      </c>
      <c r="AS18" s="52">
        <v>562.39351215362535</v>
      </c>
    </row>
    <row r="19" spans="1:45" x14ac:dyDescent="0.25">
      <c r="A19" s="392">
        <v>44907</v>
      </c>
      <c r="B19" s="45"/>
      <c r="C19" s="46">
        <v>68.509128503004703</v>
      </c>
      <c r="D19" s="46">
        <v>927.86996924082496</v>
      </c>
      <c r="E19" s="46">
        <v>15.86597182104985</v>
      </c>
      <c r="F19" s="46">
        <v>0</v>
      </c>
      <c r="G19" s="46">
        <v>2087.970252863568</v>
      </c>
      <c r="H19" s="47">
        <v>25.935248307387038</v>
      </c>
      <c r="I19" s="45">
        <v>147.64289984703072</v>
      </c>
      <c r="J19" s="46">
        <v>295.80912741025287</v>
      </c>
      <c r="K19" s="46">
        <v>16.127385715643584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187.4853688529262</v>
      </c>
      <c r="V19" s="54">
        <v>130.07480884415176</v>
      </c>
      <c r="W19" s="54">
        <v>34.65738458389513</v>
      </c>
      <c r="X19" s="54">
        <v>24.044823883429405</v>
      </c>
      <c r="Y19" s="54">
        <v>54.956470313143782</v>
      </c>
      <c r="Z19" s="54">
        <v>38.128054548827848</v>
      </c>
      <c r="AA19" s="57">
        <v>0</v>
      </c>
      <c r="AB19" s="58">
        <v>64.599247278107413</v>
      </c>
      <c r="AC19" s="52">
        <v>0</v>
      </c>
      <c r="AD19" s="359">
        <v>9.3013820425526497</v>
      </c>
      <c r="AE19" s="359">
        <v>6.4476577871526146</v>
      </c>
      <c r="AF19" s="52">
        <v>14.33101497623656</v>
      </c>
      <c r="AG19" s="58">
        <v>8.2919307779346259</v>
      </c>
      <c r="AH19" s="58">
        <v>5.7528292340234595</v>
      </c>
      <c r="AI19" s="58">
        <v>0.59039319795245015</v>
      </c>
      <c r="AJ19" s="52">
        <v>204.62868051528929</v>
      </c>
      <c r="AK19" s="52">
        <v>888.24608221054098</v>
      </c>
      <c r="AL19" s="52">
        <v>2772.5988596598309</v>
      </c>
      <c r="AM19" s="52">
        <v>501.47912329037979</v>
      </c>
      <c r="AN19" s="52">
        <v>4981.9456845601399</v>
      </c>
      <c r="AO19" s="52">
        <v>3086.4393115997314</v>
      </c>
      <c r="AP19" s="52">
        <v>594.82382609049489</v>
      </c>
      <c r="AQ19" s="52">
        <v>2143.3622895558678</v>
      </c>
      <c r="AR19" s="52">
        <v>283.3389089107514</v>
      </c>
      <c r="AS19" s="52">
        <v>550.7521031061807</v>
      </c>
    </row>
    <row r="20" spans="1:45" x14ac:dyDescent="0.25">
      <c r="A20" s="392">
        <v>44908</v>
      </c>
      <c r="B20" s="45"/>
      <c r="C20" s="46">
        <v>68.37706051270176</v>
      </c>
      <c r="D20" s="46">
        <v>926.50422217051153</v>
      </c>
      <c r="E20" s="46">
        <v>15.808405885100326</v>
      </c>
      <c r="F20" s="46">
        <v>0</v>
      </c>
      <c r="G20" s="46">
        <v>2162.0861298878945</v>
      </c>
      <c r="H20" s="47">
        <v>25.848763654629373</v>
      </c>
      <c r="I20" s="45">
        <v>146.79672513008126</v>
      </c>
      <c r="J20" s="46">
        <v>295.86618561744694</v>
      </c>
      <c r="K20" s="46">
        <v>16.048226115604269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204.50290243876228</v>
      </c>
      <c r="V20" s="54">
        <v>147.70408896884604</v>
      </c>
      <c r="W20" s="54">
        <v>36.170738155938011</v>
      </c>
      <c r="X20" s="54">
        <v>26.124645972950514</v>
      </c>
      <c r="Y20" s="54">
        <v>57.416254578284992</v>
      </c>
      <c r="Z20" s="54">
        <v>41.469414239870815</v>
      </c>
      <c r="AA20" s="57">
        <v>0</v>
      </c>
      <c r="AB20" s="58">
        <v>63.777653005387982</v>
      </c>
      <c r="AC20" s="52">
        <v>0</v>
      </c>
      <c r="AD20" s="359">
        <v>9.302526496727431</v>
      </c>
      <c r="AE20" s="359">
        <v>6.4381332788633596</v>
      </c>
      <c r="AF20" s="52">
        <v>15.772203979889541</v>
      </c>
      <c r="AG20" s="58">
        <v>9.0004365882188466</v>
      </c>
      <c r="AH20" s="58">
        <v>6.500647524955391</v>
      </c>
      <c r="AI20" s="58">
        <v>0.58063271720262799</v>
      </c>
      <c r="AJ20" s="52">
        <v>263.59431815147406</v>
      </c>
      <c r="AK20" s="52">
        <v>1009.1773666063945</v>
      </c>
      <c r="AL20" s="52">
        <v>2675.7663990020751</v>
      </c>
      <c r="AM20" s="52">
        <v>555.80886068344125</v>
      </c>
      <c r="AN20" s="52">
        <v>4919.4015436808268</v>
      </c>
      <c r="AO20" s="52">
        <v>3130.1957589467365</v>
      </c>
      <c r="AP20" s="52">
        <v>676.19012346267709</v>
      </c>
      <c r="AQ20" s="52">
        <v>2146.0601351420082</v>
      </c>
      <c r="AR20" s="52">
        <v>427.37721320788069</v>
      </c>
      <c r="AS20" s="52">
        <v>509.88092756271362</v>
      </c>
    </row>
    <row r="21" spans="1:45" x14ac:dyDescent="0.25">
      <c r="A21" s="392">
        <v>44909</v>
      </c>
      <c r="B21" s="45"/>
      <c r="C21" s="46">
        <v>67.286667545636789</v>
      </c>
      <c r="D21" s="46">
        <v>926.36698487599767</v>
      </c>
      <c r="E21" s="46">
        <v>15.953726233541955</v>
      </c>
      <c r="F21" s="46">
        <v>0</v>
      </c>
      <c r="G21" s="46">
        <v>2118.596799977624</v>
      </c>
      <c r="H21" s="47">
        <v>26.033344521125162</v>
      </c>
      <c r="I21" s="45">
        <v>147.65090432961779</v>
      </c>
      <c r="J21" s="46">
        <v>295.94854296048476</v>
      </c>
      <c r="K21" s="46">
        <v>16.009799574812288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204.21592427387381</v>
      </c>
      <c r="V21" s="54">
        <v>147.47865116303373</v>
      </c>
      <c r="W21" s="54">
        <v>36.738107190942628</v>
      </c>
      <c r="X21" s="54">
        <v>26.531165549739296</v>
      </c>
      <c r="Y21" s="54">
        <v>55.92403049763535</v>
      </c>
      <c r="Z21" s="54">
        <v>40.386667272483486</v>
      </c>
      <c r="AA21" s="57">
        <v>0</v>
      </c>
      <c r="AB21" s="58">
        <v>63.777340952555242</v>
      </c>
      <c r="AC21" s="52">
        <v>0</v>
      </c>
      <c r="AD21" s="359">
        <v>9.3049470526821896</v>
      </c>
      <c r="AE21" s="359">
        <v>6.4370676185444475</v>
      </c>
      <c r="AF21" s="52">
        <v>15.763551125923785</v>
      </c>
      <c r="AG21" s="58">
        <v>9.0003048204116887</v>
      </c>
      <c r="AH21" s="58">
        <v>6.4997517685758668</v>
      </c>
      <c r="AI21" s="58">
        <v>0.58066270718045021</v>
      </c>
      <c r="AJ21" s="52">
        <v>265.88730777899417</v>
      </c>
      <c r="AK21" s="52">
        <v>1014.833791033427</v>
      </c>
      <c r="AL21" s="52">
        <v>2638.9461378733317</v>
      </c>
      <c r="AM21" s="52">
        <v>553.48302602767944</v>
      </c>
      <c r="AN21" s="52">
        <v>4939.6587587992362</v>
      </c>
      <c r="AO21" s="52">
        <v>3239.0759136199949</v>
      </c>
      <c r="AP21" s="52">
        <v>690.30216484069831</v>
      </c>
      <c r="AQ21" s="52">
        <v>2150.1799738566083</v>
      </c>
      <c r="AR21" s="52">
        <v>318.89162014325456</v>
      </c>
      <c r="AS21" s="52">
        <v>515.09479935963941</v>
      </c>
    </row>
    <row r="22" spans="1:45" x14ac:dyDescent="0.25">
      <c r="A22" s="392">
        <v>44910</v>
      </c>
      <c r="B22" s="45"/>
      <c r="C22" s="46">
        <v>67.791810866196784</v>
      </c>
      <c r="D22" s="46">
        <v>926.67995630899975</v>
      </c>
      <c r="E22" s="46">
        <v>15.955051453411556</v>
      </c>
      <c r="F22" s="46">
        <v>0</v>
      </c>
      <c r="G22" s="46">
        <v>2097.6264770507833</v>
      </c>
      <c r="H22" s="47">
        <v>26.062666265169838</v>
      </c>
      <c r="I22" s="45">
        <v>146.77682234446218</v>
      </c>
      <c r="J22" s="46">
        <v>295.88505983352684</v>
      </c>
      <c r="K22" s="46">
        <v>16.049551328023298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200.66824101798579</v>
      </c>
      <c r="V22" s="54">
        <v>144.92834599356445</v>
      </c>
      <c r="W22" s="54">
        <v>36.684934523460043</v>
      </c>
      <c r="X22" s="54">
        <v>26.494909490389876</v>
      </c>
      <c r="Y22" s="54">
        <v>55.219092869001564</v>
      </c>
      <c r="Z22" s="54">
        <v>39.880809021753173</v>
      </c>
      <c r="AA22" s="57">
        <v>0</v>
      </c>
      <c r="AB22" s="58">
        <v>63.774436293708284</v>
      </c>
      <c r="AC22" s="52">
        <v>0</v>
      </c>
      <c r="AD22" s="359">
        <v>9.3024257122097467</v>
      </c>
      <c r="AE22" s="359">
        <v>6.4393267956251838</v>
      </c>
      <c r="AF22" s="52">
        <v>15.761554920011092</v>
      </c>
      <c r="AG22" s="58">
        <v>8.9988416331011667</v>
      </c>
      <c r="AH22" s="58">
        <v>6.4992209386361468</v>
      </c>
      <c r="AI22" s="58">
        <v>0.58064300563037452</v>
      </c>
      <c r="AJ22" s="52">
        <v>276.9776241699854</v>
      </c>
      <c r="AK22" s="52">
        <v>1032.8783455530804</v>
      </c>
      <c r="AL22" s="52">
        <v>2661.7949845631915</v>
      </c>
      <c r="AM22" s="52">
        <v>564.04642569224029</v>
      </c>
      <c r="AN22" s="52">
        <v>4911.3086720784522</v>
      </c>
      <c r="AO22" s="52">
        <v>3305.5408579508462</v>
      </c>
      <c r="AP22" s="52">
        <v>1101.1113011042276</v>
      </c>
      <c r="AQ22" s="52">
        <v>2140.0671263376871</v>
      </c>
      <c r="AR22" s="52">
        <v>329.67246112823483</v>
      </c>
      <c r="AS22" s="52">
        <v>517.05776023864746</v>
      </c>
    </row>
    <row r="23" spans="1:45" x14ac:dyDescent="0.25">
      <c r="A23" s="392">
        <v>44911</v>
      </c>
      <c r="B23" s="45"/>
      <c r="C23" s="46">
        <v>68.457323543230856</v>
      </c>
      <c r="D23" s="46">
        <v>928.16946468353137</v>
      </c>
      <c r="E23" s="46">
        <v>15.894116244713409</v>
      </c>
      <c r="F23" s="46">
        <v>0</v>
      </c>
      <c r="G23" s="46">
        <v>2097.7632258097301</v>
      </c>
      <c r="H23" s="47">
        <v>26.034093781312311</v>
      </c>
      <c r="I23" s="45">
        <v>147.00587213834163</v>
      </c>
      <c r="J23" s="46">
        <v>295.77980508804336</v>
      </c>
      <c r="K23" s="46">
        <v>16.334268967310592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190.23216833535588</v>
      </c>
      <c r="V23" s="54">
        <v>137.41574363711584</v>
      </c>
      <c r="W23" s="54">
        <v>35.805311710431027</v>
      </c>
      <c r="X23" s="54">
        <v>25.864256176557276</v>
      </c>
      <c r="Y23" s="54">
        <v>53.737500724868305</v>
      </c>
      <c r="Z23" s="54">
        <v>38.817717780991067</v>
      </c>
      <c r="AA23" s="57">
        <v>0</v>
      </c>
      <c r="AB23" s="58">
        <v>63.771813774109376</v>
      </c>
      <c r="AC23" s="52">
        <v>0</v>
      </c>
      <c r="AD23" s="359">
        <v>9.2994825844859541</v>
      </c>
      <c r="AE23" s="359">
        <v>6.4498790251263394</v>
      </c>
      <c r="AF23" s="52">
        <v>15.504329052898608</v>
      </c>
      <c r="AG23" s="58">
        <v>8.8490440703517148</v>
      </c>
      <c r="AH23" s="58">
        <v>6.3921784735236606</v>
      </c>
      <c r="AI23" s="58">
        <v>0.5805993610340443</v>
      </c>
      <c r="AJ23" s="52">
        <v>292.95065448284157</v>
      </c>
      <c r="AK23" s="52">
        <v>1068.9014406840006</v>
      </c>
      <c r="AL23" s="52">
        <v>2681.492260996501</v>
      </c>
      <c r="AM23" s="52">
        <v>590.02538426717115</v>
      </c>
      <c r="AN23" s="52">
        <v>5120.3689852396647</v>
      </c>
      <c r="AO23" s="52">
        <v>3274.5167310078941</v>
      </c>
      <c r="AP23" s="52">
        <v>969.08035434087105</v>
      </c>
      <c r="AQ23" s="52">
        <v>2154.1704446156818</v>
      </c>
      <c r="AR23" s="52">
        <v>341.00025825500489</v>
      </c>
      <c r="AS23" s="52">
        <v>571.40184764862045</v>
      </c>
    </row>
    <row r="24" spans="1:45" x14ac:dyDescent="0.25">
      <c r="A24" s="392">
        <v>44912</v>
      </c>
      <c r="B24" s="45"/>
      <c r="C24" s="46">
        <v>68.1843130071953</v>
      </c>
      <c r="D24" s="46">
        <v>942.376734415687</v>
      </c>
      <c r="E24" s="46">
        <v>15.886464807887858</v>
      </c>
      <c r="F24" s="46">
        <v>0</v>
      </c>
      <c r="G24" s="46">
        <v>2272.6791136423749</v>
      </c>
      <c r="H24" s="47">
        <v>26.10495468576752</v>
      </c>
      <c r="I24" s="45">
        <v>146.88379081090284</v>
      </c>
      <c r="J24" s="46">
        <v>295.69295228322375</v>
      </c>
      <c r="K24" s="46">
        <v>16.066803686320803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186.99092553015589</v>
      </c>
      <c r="V24" s="54">
        <v>135.03174829923648</v>
      </c>
      <c r="W24" s="54">
        <v>34.847875019431051</v>
      </c>
      <c r="X24" s="54">
        <v>25.164694356401807</v>
      </c>
      <c r="Y24" s="54">
        <v>53.184811738232312</v>
      </c>
      <c r="Z24" s="54">
        <v>38.406345610718347</v>
      </c>
      <c r="AA24" s="57">
        <v>0</v>
      </c>
      <c r="AB24" s="58">
        <v>63.77211834854608</v>
      </c>
      <c r="AC24" s="52">
        <v>0</v>
      </c>
      <c r="AD24" s="359">
        <v>9.2971392862527278</v>
      </c>
      <c r="AE24" s="359">
        <v>6.434044143942601</v>
      </c>
      <c r="AF24" s="52">
        <v>15.504104997052096</v>
      </c>
      <c r="AG24" s="58">
        <v>8.851448163392579</v>
      </c>
      <c r="AH24" s="58">
        <v>6.3918958478560635</v>
      </c>
      <c r="AI24" s="58">
        <v>0.58067627135232003</v>
      </c>
      <c r="AJ24" s="52">
        <v>269.31738787492117</v>
      </c>
      <c r="AK24" s="52">
        <v>1036.3228058815002</v>
      </c>
      <c r="AL24" s="52">
        <v>2655.3115982055665</v>
      </c>
      <c r="AM24" s="52">
        <v>581.15938301086419</v>
      </c>
      <c r="AN24" s="52">
        <v>4918.504693857828</v>
      </c>
      <c r="AO24" s="52">
        <v>3275.4853993733723</v>
      </c>
      <c r="AP24" s="52">
        <v>688.70578562418621</v>
      </c>
      <c r="AQ24" s="52">
        <v>2159.0182299296062</v>
      </c>
      <c r="AR24" s="52">
        <v>330.71676375071212</v>
      </c>
      <c r="AS24" s="52">
        <v>538.99349149068189</v>
      </c>
    </row>
    <row r="25" spans="1:45" x14ac:dyDescent="0.25">
      <c r="A25" s="392">
        <v>44913</v>
      </c>
      <c r="B25" s="45"/>
      <c r="C25" s="46">
        <v>68.107568804423238</v>
      </c>
      <c r="D25" s="46">
        <v>944.11193555196076</v>
      </c>
      <c r="E25" s="46">
        <v>15.911744974056859</v>
      </c>
      <c r="F25" s="46">
        <v>0</v>
      </c>
      <c r="G25" s="46">
        <v>2283.3234672546414</v>
      </c>
      <c r="H25" s="47">
        <v>26.086833326021818</v>
      </c>
      <c r="I25" s="45">
        <v>146.92775361537937</v>
      </c>
      <c r="J25" s="46">
        <v>295.85719606081676</v>
      </c>
      <c r="K25" s="46">
        <v>16.020199408133845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193.68963786023596</v>
      </c>
      <c r="V25" s="54">
        <v>139.90001087396365</v>
      </c>
      <c r="W25" s="54">
        <v>35.224938112934375</v>
      </c>
      <c r="X25" s="54">
        <v>25.442606426835166</v>
      </c>
      <c r="Y25" s="54">
        <v>53.286461125714702</v>
      </c>
      <c r="Z25" s="54">
        <v>38.488256642318696</v>
      </c>
      <c r="AA25" s="57">
        <v>0</v>
      </c>
      <c r="AB25" s="58">
        <v>63.775075165430856</v>
      </c>
      <c r="AC25" s="52">
        <v>0</v>
      </c>
      <c r="AD25" s="359">
        <v>9.3005387498457015</v>
      </c>
      <c r="AE25" s="359">
        <v>6.4435901637416171</v>
      </c>
      <c r="AF25" s="52">
        <v>15.641368365287773</v>
      </c>
      <c r="AG25" s="58">
        <v>8.926287022183141</v>
      </c>
      <c r="AH25" s="58">
        <v>6.4473642744308908</v>
      </c>
      <c r="AI25" s="58">
        <v>0.58062244615559289</v>
      </c>
      <c r="AJ25" s="52">
        <v>245.27329205671944</v>
      </c>
      <c r="AK25" s="52">
        <v>977.85172821680715</v>
      </c>
      <c r="AL25" s="52">
        <v>2635.4915281931558</v>
      </c>
      <c r="AM25" s="52">
        <v>558.59127909342442</v>
      </c>
      <c r="AN25" s="52">
        <v>4993.1741643269861</v>
      </c>
      <c r="AO25" s="52">
        <v>3227.3372704823805</v>
      </c>
      <c r="AP25" s="52">
        <v>660.36277990341182</v>
      </c>
      <c r="AQ25" s="52">
        <v>2159.5611311594639</v>
      </c>
      <c r="AR25" s="52">
        <v>316.42652273178095</v>
      </c>
      <c r="AS25" s="52">
        <v>523.18023951848363</v>
      </c>
    </row>
    <row r="26" spans="1:45" x14ac:dyDescent="0.25">
      <c r="A26" s="392">
        <v>44914</v>
      </c>
      <c r="B26" s="45"/>
      <c r="C26" s="46">
        <v>67.945490562916248</v>
      </c>
      <c r="D26" s="46">
        <v>935.64869028726866</v>
      </c>
      <c r="E26" s="46">
        <v>15.923395139972353</v>
      </c>
      <c r="F26" s="46">
        <v>0</v>
      </c>
      <c r="G26" s="46">
        <v>2206.4043036142989</v>
      </c>
      <c r="H26" s="47">
        <v>25.883186644315703</v>
      </c>
      <c r="I26" s="45">
        <v>135.22409931023918</v>
      </c>
      <c r="J26" s="46">
        <v>295.78130145072936</v>
      </c>
      <c r="K26" s="46">
        <v>16.263620622456063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195.85239187527586</v>
      </c>
      <c r="V26" s="54">
        <v>141.45269343406957</v>
      </c>
      <c r="W26" s="54">
        <v>35.836203641001859</v>
      </c>
      <c r="X26" s="54">
        <v>25.882387643750008</v>
      </c>
      <c r="Y26" s="54">
        <v>52.746293695923313</v>
      </c>
      <c r="Z26" s="54">
        <v>38.095553699973564</v>
      </c>
      <c r="AA26" s="57">
        <v>0</v>
      </c>
      <c r="AB26" s="52">
        <v>63.773596647050717</v>
      </c>
      <c r="AC26" s="52">
        <v>0</v>
      </c>
      <c r="AD26" s="359">
        <v>9.3001234634326746</v>
      </c>
      <c r="AE26" s="359">
        <v>6.4415428122654461</v>
      </c>
      <c r="AF26" s="52">
        <v>15.760076959265586</v>
      </c>
      <c r="AG26" s="52">
        <v>8.9994841442112978</v>
      </c>
      <c r="AH26" s="52">
        <v>6.4997994639073529</v>
      </c>
      <c r="AI26" s="52">
        <v>0.58063871671444833</v>
      </c>
      <c r="AJ26" s="52">
        <v>247.95057987372078</v>
      </c>
      <c r="AK26" s="52">
        <v>974.7988245964051</v>
      </c>
      <c r="AL26" s="52">
        <v>2645.9808554331457</v>
      </c>
      <c r="AM26" s="52">
        <v>554.21951780319205</v>
      </c>
      <c r="AN26" s="52">
        <v>4896.887075042725</v>
      </c>
      <c r="AO26" s="52">
        <v>3186.2806181589763</v>
      </c>
      <c r="AP26" s="52">
        <v>654.31504678726196</v>
      </c>
      <c r="AQ26" s="52">
        <v>2153.9144186655681</v>
      </c>
      <c r="AR26" s="52">
        <v>320.69790262381224</v>
      </c>
      <c r="AS26" s="52">
        <v>538.46580877304086</v>
      </c>
    </row>
    <row r="27" spans="1:45" x14ac:dyDescent="0.25">
      <c r="A27" s="392">
        <v>44915</v>
      </c>
      <c r="B27" s="45"/>
      <c r="C27" s="46">
        <v>68.391548550128647</v>
      </c>
      <c r="D27" s="46">
        <v>934.91397768656236</v>
      </c>
      <c r="E27" s="46">
        <v>15.955122781793214</v>
      </c>
      <c r="F27" s="46">
        <v>0</v>
      </c>
      <c r="G27" s="46">
        <v>2216.9767995198526</v>
      </c>
      <c r="H27" s="47">
        <v>25.802998411655455</v>
      </c>
      <c r="I27" s="45">
        <v>135.60617980162328</v>
      </c>
      <c r="J27" s="46">
        <v>295.66431460380534</v>
      </c>
      <c r="K27" s="46">
        <v>16.434206858277342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196.51347825771745</v>
      </c>
      <c r="V27" s="54">
        <v>136.40039860428232</v>
      </c>
      <c r="W27" s="54">
        <v>35.604139276534639</v>
      </c>
      <c r="X27" s="54">
        <v>24.712904337852905</v>
      </c>
      <c r="Y27" s="54">
        <v>51.007818374260026</v>
      </c>
      <c r="Z27" s="54">
        <v>35.404628831919155</v>
      </c>
      <c r="AA27" s="57">
        <v>0</v>
      </c>
      <c r="AB27" s="58">
        <v>63.775127135382775</v>
      </c>
      <c r="AC27" s="52">
        <v>0</v>
      </c>
      <c r="AD27" s="359">
        <v>9.295952651796501</v>
      </c>
      <c r="AE27" s="359">
        <v>6.4382678030365526</v>
      </c>
      <c r="AF27" s="52">
        <v>15.090589309732099</v>
      </c>
      <c r="AG27" s="58">
        <v>8.7489479100859562</v>
      </c>
      <c r="AH27" s="58">
        <v>6.0726622564727881</v>
      </c>
      <c r="AI27" s="58">
        <v>0.59028322913429254</v>
      </c>
      <c r="AJ27" s="52">
        <v>232.175309530894</v>
      </c>
      <c r="AK27" s="52">
        <v>948.29506457646687</v>
      </c>
      <c r="AL27" s="52">
        <v>2717.3734163920085</v>
      </c>
      <c r="AM27" s="52">
        <v>540.11840845743814</v>
      </c>
      <c r="AN27" s="52">
        <v>4781.8169548034657</v>
      </c>
      <c r="AO27" s="52">
        <v>3179.2682949066157</v>
      </c>
      <c r="AP27" s="52">
        <v>643.17016340891519</v>
      </c>
      <c r="AQ27" s="52">
        <v>2130.5050781250002</v>
      </c>
      <c r="AR27" s="52">
        <v>287.7795485417048</v>
      </c>
      <c r="AS27" s="52">
        <v>547.16977475484214</v>
      </c>
    </row>
    <row r="28" spans="1:45" x14ac:dyDescent="0.25">
      <c r="A28" s="392">
        <v>44916</v>
      </c>
      <c r="B28" s="45"/>
      <c r="C28" s="46">
        <v>68.093628708521351</v>
      </c>
      <c r="D28" s="46">
        <v>934.23980032602958</v>
      </c>
      <c r="E28" s="46">
        <v>15.928722631434596</v>
      </c>
      <c r="F28" s="46">
        <v>0</v>
      </c>
      <c r="G28" s="46">
        <v>2186.0485033671034</v>
      </c>
      <c r="H28" s="47">
        <v>25.758123091856618</v>
      </c>
      <c r="I28" s="45">
        <v>140.69029531478913</v>
      </c>
      <c r="J28" s="46">
        <v>297.4620506604515</v>
      </c>
      <c r="K28" s="46">
        <v>16.359980704883746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195.6163649237248</v>
      </c>
      <c r="V28" s="54">
        <v>142.24633158616632</v>
      </c>
      <c r="W28" s="54">
        <v>35.561903165569113</v>
      </c>
      <c r="X28" s="54">
        <v>25.859545398960481</v>
      </c>
      <c r="Y28" s="54">
        <v>50.802671291949018</v>
      </c>
      <c r="Z28" s="54">
        <v>36.942173160590961</v>
      </c>
      <c r="AA28" s="57">
        <v>0</v>
      </c>
      <c r="AB28" s="58">
        <v>64.111059294806935</v>
      </c>
      <c r="AC28" s="52">
        <v>0</v>
      </c>
      <c r="AD28" s="359">
        <v>9.3513247878980899</v>
      </c>
      <c r="AE28" s="359">
        <v>6.4392606170116471</v>
      </c>
      <c r="AF28" s="52">
        <v>15.380722193916634</v>
      </c>
      <c r="AG28" s="58">
        <v>8.7290328635733729</v>
      </c>
      <c r="AH28" s="58">
        <v>6.3474899128329936</v>
      </c>
      <c r="AI28" s="58">
        <v>0.57898183772412415</v>
      </c>
      <c r="AJ28" s="52">
        <v>235.16848096847536</v>
      </c>
      <c r="AK28" s="52">
        <v>953.88525307973225</v>
      </c>
      <c r="AL28" s="52">
        <v>2780.1578796386721</v>
      </c>
      <c r="AM28" s="52">
        <v>560.55926132202148</v>
      </c>
      <c r="AN28" s="52">
        <v>4885.6829627990719</v>
      </c>
      <c r="AO28" s="52">
        <v>3264.9240060170487</v>
      </c>
      <c r="AP28" s="52">
        <v>646.53772211074829</v>
      </c>
      <c r="AQ28" s="52">
        <v>2150.6230763753256</v>
      </c>
      <c r="AR28" s="52">
        <v>367.28942280610403</v>
      </c>
      <c r="AS28" s="52">
        <v>541.75064306259151</v>
      </c>
    </row>
    <row r="29" spans="1:45" x14ac:dyDescent="0.25">
      <c r="A29" s="392">
        <v>44917</v>
      </c>
      <c r="B29" s="45"/>
      <c r="C29" s="46">
        <v>67.594028540452697</v>
      </c>
      <c r="D29" s="46">
        <v>921.6565451939905</v>
      </c>
      <c r="E29" s="46">
        <v>15.769299669067056</v>
      </c>
      <c r="F29" s="46">
        <v>0</v>
      </c>
      <c r="G29" s="46">
        <v>2235.3101092020688</v>
      </c>
      <c r="H29" s="47">
        <v>25.708933629592266</v>
      </c>
      <c r="I29" s="45">
        <v>142.08108241558094</v>
      </c>
      <c r="J29" s="46">
        <v>298.91798642476414</v>
      </c>
      <c r="K29" s="46">
        <v>16.368218836685021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193.92253530184229</v>
      </c>
      <c r="V29" s="54">
        <v>141.0932430172</v>
      </c>
      <c r="W29" s="54">
        <v>34.617258149894269</v>
      </c>
      <c r="X29" s="54">
        <v>25.186661308495061</v>
      </c>
      <c r="Y29" s="54">
        <v>52.097154851940175</v>
      </c>
      <c r="Z29" s="54">
        <v>37.904602054569281</v>
      </c>
      <c r="AA29" s="57">
        <v>0</v>
      </c>
      <c r="AB29" s="58">
        <v>63.773299588098119</v>
      </c>
      <c r="AC29" s="52">
        <v>0</v>
      </c>
      <c r="AD29" s="359">
        <v>9.3978987704820565</v>
      </c>
      <c r="AE29" s="359">
        <v>6.4285634451743343</v>
      </c>
      <c r="AF29" s="52">
        <v>15.299355230066501</v>
      </c>
      <c r="AG29" s="58">
        <v>8.6421168740898526</v>
      </c>
      <c r="AH29" s="58">
        <v>6.2877906087659339</v>
      </c>
      <c r="AI29" s="58">
        <v>0.57884597637418123</v>
      </c>
      <c r="AJ29" s="52">
        <v>327.70747365951536</v>
      </c>
      <c r="AK29" s="52">
        <v>1188.657556406657</v>
      </c>
      <c r="AL29" s="52">
        <v>2737.5249334971109</v>
      </c>
      <c r="AM29" s="52">
        <v>654.45409755706783</v>
      </c>
      <c r="AN29" s="52">
        <v>4740.7596455891926</v>
      </c>
      <c r="AO29" s="52">
        <v>3377.7654703776047</v>
      </c>
      <c r="AP29" s="52">
        <v>766.09986095428462</v>
      </c>
      <c r="AQ29" s="52">
        <v>2136.253180885315</v>
      </c>
      <c r="AR29" s="52">
        <v>550.72995222409565</v>
      </c>
      <c r="AS29" s="52">
        <v>454.52737483978268</v>
      </c>
    </row>
    <row r="30" spans="1:45" x14ac:dyDescent="0.25">
      <c r="A30" s="392">
        <v>44918</v>
      </c>
      <c r="B30" s="45"/>
      <c r="C30" s="46">
        <v>69.065227671464172</v>
      </c>
      <c r="D30" s="46">
        <v>902.67138849894127</v>
      </c>
      <c r="E30" s="46">
        <v>15.871217398842141</v>
      </c>
      <c r="F30" s="46">
        <v>0</v>
      </c>
      <c r="G30" s="46">
        <v>2154.8774878183976</v>
      </c>
      <c r="H30" s="47">
        <v>26.089097366730414</v>
      </c>
      <c r="I30" s="45">
        <v>142.7140009880068</v>
      </c>
      <c r="J30" s="46">
        <v>298.37709706624338</v>
      </c>
      <c r="K30" s="46">
        <v>16.449868251880019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199.01723613286234</v>
      </c>
      <c r="V30" s="54">
        <v>145.47926340555804</v>
      </c>
      <c r="W30" s="54">
        <v>35.653112111611215</v>
      </c>
      <c r="X30" s="54">
        <v>26.062006431695796</v>
      </c>
      <c r="Y30" s="54">
        <v>53.606200269893307</v>
      </c>
      <c r="Z30" s="54">
        <v>39.185503129129117</v>
      </c>
      <c r="AA30" s="57">
        <v>0</v>
      </c>
      <c r="AB30" s="58">
        <v>64.18413282235494</v>
      </c>
      <c r="AC30" s="52">
        <v>0</v>
      </c>
      <c r="AD30" s="359">
        <v>9.3796454059162286</v>
      </c>
      <c r="AE30" s="359">
        <v>6.5098078634478274</v>
      </c>
      <c r="AF30" s="52">
        <v>15.667173032628169</v>
      </c>
      <c r="AG30" s="58">
        <v>8.8496953792624424</v>
      </c>
      <c r="AH30" s="58">
        <v>6.4690234381467393</v>
      </c>
      <c r="AI30" s="58">
        <v>0.57770466869625392</v>
      </c>
      <c r="AJ30" s="52">
        <v>342.7231183846792</v>
      </c>
      <c r="AK30" s="52">
        <v>1225.6309926350912</v>
      </c>
      <c r="AL30" s="52">
        <v>2752.6267228444417</v>
      </c>
      <c r="AM30" s="52">
        <v>647.5145012537638</v>
      </c>
      <c r="AN30" s="52">
        <v>4992.5600275675442</v>
      </c>
      <c r="AO30" s="52">
        <v>3429.3592318216956</v>
      </c>
      <c r="AP30" s="52">
        <v>768.27021430333446</v>
      </c>
      <c r="AQ30" s="52">
        <v>2146.3459574381513</v>
      </c>
      <c r="AR30" s="52">
        <v>541.01976439158113</v>
      </c>
      <c r="AS30" s="52">
        <v>541.19479198455815</v>
      </c>
    </row>
    <row r="31" spans="1:45" x14ac:dyDescent="0.25">
      <c r="A31" s="392">
        <v>44919</v>
      </c>
      <c r="B31" s="45"/>
      <c r="C31" s="46">
        <v>71.047910797595947</v>
      </c>
      <c r="D31" s="46">
        <v>927.52193234761512</v>
      </c>
      <c r="E31" s="46">
        <v>16.338816731174745</v>
      </c>
      <c r="F31" s="46">
        <v>0</v>
      </c>
      <c r="G31" s="46">
        <v>2163.4293151855422</v>
      </c>
      <c r="H31" s="47">
        <v>26.770877532164299</v>
      </c>
      <c r="I31" s="45">
        <v>142.84258725643173</v>
      </c>
      <c r="J31" s="46">
        <v>298.29940670331297</v>
      </c>
      <c r="K31" s="46">
        <v>16.273533580203868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198.84161593043103</v>
      </c>
      <c r="V31" s="54">
        <v>149.13783372319926</v>
      </c>
      <c r="W31" s="54">
        <v>35.240977303839607</v>
      </c>
      <c r="X31" s="54">
        <v>26.431906564377904</v>
      </c>
      <c r="Y31" s="54">
        <v>53.7218407844829</v>
      </c>
      <c r="Z31" s="54">
        <v>40.293169620103818</v>
      </c>
      <c r="AA31" s="57">
        <v>0</v>
      </c>
      <c r="AB31" s="58">
        <v>65.742910597059534</v>
      </c>
      <c r="AC31" s="52">
        <v>0</v>
      </c>
      <c r="AD31" s="359">
        <v>9.3783799653521385</v>
      </c>
      <c r="AE31" s="359">
        <v>6.6881657364082665</v>
      </c>
      <c r="AF31" s="52">
        <v>15.975831123193094</v>
      </c>
      <c r="AG31" s="58">
        <v>8.9310788343462004</v>
      </c>
      <c r="AH31" s="58">
        <v>6.6986065463857569</v>
      </c>
      <c r="AI31" s="58">
        <v>0.57141769759206418</v>
      </c>
      <c r="AJ31" s="52">
        <v>254.58283850351964</v>
      </c>
      <c r="AK31" s="52">
        <v>1022.1093574523926</v>
      </c>
      <c r="AL31" s="52">
        <v>2632.6092885335293</v>
      </c>
      <c r="AM31" s="52">
        <v>562.13105767567959</v>
      </c>
      <c r="AN31" s="52">
        <v>5476.0340633392316</v>
      </c>
      <c r="AO31" s="52">
        <v>3334.283090845744</v>
      </c>
      <c r="AP31" s="52">
        <v>642.08099451065061</v>
      </c>
      <c r="AQ31" s="52">
        <v>2173.9717872619626</v>
      </c>
      <c r="AR31" s="52">
        <v>472.27018367449438</v>
      </c>
      <c r="AS31" s="52">
        <v>538.40756365458162</v>
      </c>
    </row>
    <row r="32" spans="1:45" x14ac:dyDescent="0.25">
      <c r="A32" s="392">
        <v>44920</v>
      </c>
      <c r="B32" s="45"/>
      <c r="C32" s="46">
        <v>71.461222660541551</v>
      </c>
      <c r="D32" s="46">
        <v>948.65863583882538</v>
      </c>
      <c r="E32" s="46">
        <v>16.508611304064566</v>
      </c>
      <c r="F32" s="46">
        <v>0</v>
      </c>
      <c r="G32" s="46">
        <v>2106.1879484812389</v>
      </c>
      <c r="H32" s="47">
        <v>26.917166000604691</v>
      </c>
      <c r="I32" s="45">
        <v>142.91051961580933</v>
      </c>
      <c r="J32" s="46">
        <v>298.09163150787333</v>
      </c>
      <c r="K32" s="46">
        <v>16.163101253410218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203.59163409289323</v>
      </c>
      <c r="V32" s="54">
        <v>139.86008411033265</v>
      </c>
      <c r="W32" s="54">
        <v>35.515057411899825</v>
      </c>
      <c r="X32" s="54">
        <v>24.397559059549739</v>
      </c>
      <c r="Y32" s="54">
        <v>52.514690233949217</v>
      </c>
      <c r="Z32" s="54">
        <v>36.075691547310903</v>
      </c>
      <c r="AA32" s="57">
        <v>0</v>
      </c>
      <c r="AB32" s="58">
        <v>65.653413285149199</v>
      </c>
      <c r="AC32" s="52">
        <v>0</v>
      </c>
      <c r="AD32" s="359">
        <v>9.3722573677419607</v>
      </c>
      <c r="AE32" s="359">
        <v>6.7221225494590611</v>
      </c>
      <c r="AF32" s="52">
        <v>15.09315603739684</v>
      </c>
      <c r="AG32" s="58">
        <v>8.733400078697434</v>
      </c>
      <c r="AH32" s="58">
        <v>5.9995297695704579</v>
      </c>
      <c r="AI32" s="58">
        <v>0.59278094504225132</v>
      </c>
      <c r="AJ32" s="52">
        <v>224.44488623936971</v>
      </c>
      <c r="AK32" s="52">
        <v>955.78319199879945</v>
      </c>
      <c r="AL32" s="52">
        <v>2695.082426198323</v>
      </c>
      <c r="AM32" s="52">
        <v>534.54158512751258</v>
      </c>
      <c r="AN32" s="52">
        <v>5548.2623405456543</v>
      </c>
      <c r="AO32" s="52">
        <v>3208.5386250813799</v>
      </c>
      <c r="AP32" s="52">
        <v>602.2175952593484</v>
      </c>
      <c r="AQ32" s="52">
        <v>2159.4469741821285</v>
      </c>
      <c r="AR32" s="52">
        <v>443.54890480041502</v>
      </c>
      <c r="AS32" s="52">
        <v>539.962501335144</v>
      </c>
    </row>
    <row r="33" spans="1:45" x14ac:dyDescent="0.25">
      <c r="A33" s="392">
        <v>44921</v>
      </c>
      <c r="B33" s="45"/>
      <c r="C33" s="46">
        <v>71.27380673487977</v>
      </c>
      <c r="D33" s="46">
        <v>968.61282463073644</v>
      </c>
      <c r="E33" s="46">
        <v>16.245442236463198</v>
      </c>
      <c r="F33" s="46">
        <v>0</v>
      </c>
      <c r="G33" s="46">
        <v>2280.7635723114049</v>
      </c>
      <c r="H33" s="47">
        <v>26.749225638310168</v>
      </c>
      <c r="I33" s="45">
        <v>142.63652297655747</v>
      </c>
      <c r="J33" s="46">
        <v>298.15519647598279</v>
      </c>
      <c r="K33" s="46">
        <v>16.447048452993229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217.10908014419095</v>
      </c>
      <c r="V33" s="54">
        <v>162.86479623673006</v>
      </c>
      <c r="W33" s="54">
        <v>37.661297804823974</v>
      </c>
      <c r="X33" s="54">
        <v>28.251695364007009</v>
      </c>
      <c r="Y33" s="54">
        <v>54.892873892182514</v>
      </c>
      <c r="Z33" s="54">
        <v>41.177995482092832</v>
      </c>
      <c r="AA33" s="57">
        <v>0</v>
      </c>
      <c r="AB33" s="58">
        <v>65.049838929706368</v>
      </c>
      <c r="AC33" s="52">
        <v>0</v>
      </c>
      <c r="AD33" s="359">
        <v>9.3747358918229882</v>
      </c>
      <c r="AE33" s="359">
        <v>6.6832011718174593</v>
      </c>
      <c r="AF33" s="52">
        <v>16.106567002667312</v>
      </c>
      <c r="AG33" s="58">
        <v>8.9979639275416403</v>
      </c>
      <c r="AH33" s="58">
        <v>6.7498400372349758</v>
      </c>
      <c r="AI33" s="58">
        <v>0.57137896481741468</v>
      </c>
      <c r="AJ33" s="52">
        <v>219.95699997742969</v>
      </c>
      <c r="AK33" s="52">
        <v>943.82145884831743</v>
      </c>
      <c r="AL33" s="52">
        <v>2775.7337814331054</v>
      </c>
      <c r="AM33" s="52">
        <v>534.22829432487481</v>
      </c>
      <c r="AN33" s="52">
        <v>5182.6270643870039</v>
      </c>
      <c r="AO33" s="52">
        <v>3166.9205712636317</v>
      </c>
      <c r="AP33" s="52">
        <v>599.91874415079758</v>
      </c>
      <c r="AQ33" s="52">
        <v>2216.1516292572023</v>
      </c>
      <c r="AR33" s="52">
        <v>449.64280074437448</v>
      </c>
      <c r="AS33" s="52">
        <v>523.49637877146404</v>
      </c>
    </row>
    <row r="34" spans="1:45" x14ac:dyDescent="0.25">
      <c r="A34" s="392">
        <v>44922</v>
      </c>
      <c r="B34" s="45"/>
      <c r="C34" s="46">
        <v>71.302560846011417</v>
      </c>
      <c r="D34" s="46">
        <v>983.44754524230927</v>
      </c>
      <c r="E34" s="46">
        <v>16.272682776550415</v>
      </c>
      <c r="F34" s="46">
        <v>0</v>
      </c>
      <c r="G34" s="46">
        <v>2500.1549711863213</v>
      </c>
      <c r="H34" s="47">
        <v>26.824759268760708</v>
      </c>
      <c r="I34" s="45">
        <v>143.02656586170215</v>
      </c>
      <c r="J34" s="46">
        <v>298.19902927080756</v>
      </c>
      <c r="K34" s="46">
        <v>16.592697029312472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229.69474358721669</v>
      </c>
      <c r="V34" s="54">
        <v>172.28062370455251</v>
      </c>
      <c r="W34" s="54">
        <v>38.274024256457082</v>
      </c>
      <c r="X34" s="54">
        <v>28.707112176826367</v>
      </c>
      <c r="Y34" s="54">
        <v>55.355040907447126</v>
      </c>
      <c r="Z34" s="54">
        <v>41.518586032008592</v>
      </c>
      <c r="AA34" s="57">
        <v>0</v>
      </c>
      <c r="AB34" s="58">
        <v>64.508786371019426</v>
      </c>
      <c r="AC34" s="52">
        <v>0</v>
      </c>
      <c r="AD34" s="359">
        <v>9.3760054695852482</v>
      </c>
      <c r="AE34" s="359">
        <v>6.6838402699212462</v>
      </c>
      <c r="AF34" s="52">
        <v>15.977584601110916</v>
      </c>
      <c r="AG34" s="58">
        <v>8.9234234172847149</v>
      </c>
      <c r="AH34" s="58">
        <v>6.6929391935601021</v>
      </c>
      <c r="AI34" s="58">
        <v>0.57141497284955622</v>
      </c>
      <c r="AJ34" s="52">
        <v>200.27300426165263</v>
      </c>
      <c r="AK34" s="52">
        <v>902.1367047309875</v>
      </c>
      <c r="AL34" s="52">
        <v>2788.8977244059256</v>
      </c>
      <c r="AM34" s="52">
        <v>513.02717669804895</v>
      </c>
      <c r="AN34" s="52">
        <v>5199.9195696512843</v>
      </c>
      <c r="AO34" s="52">
        <v>3050.5619965871174</v>
      </c>
      <c r="AP34" s="52">
        <v>587.7846627871196</v>
      </c>
      <c r="AQ34" s="52">
        <v>2192.5454274495441</v>
      </c>
      <c r="AR34" s="52">
        <v>451.36581853230797</v>
      </c>
      <c r="AS34" s="52">
        <v>563.41358394622807</v>
      </c>
    </row>
    <row r="35" spans="1:45" x14ac:dyDescent="0.25">
      <c r="A35" s="392">
        <v>44923</v>
      </c>
      <c r="B35" s="45"/>
      <c r="C35" s="46">
        <v>70.377434035141974</v>
      </c>
      <c r="D35" s="46">
        <v>984.55934569040892</v>
      </c>
      <c r="E35" s="46">
        <v>16.327231049537641</v>
      </c>
      <c r="F35" s="46">
        <v>0</v>
      </c>
      <c r="G35" s="46">
        <v>2477.1550674438463</v>
      </c>
      <c r="H35" s="47">
        <v>26.962984482447329</v>
      </c>
      <c r="I35" s="45">
        <v>142.18856627941139</v>
      </c>
      <c r="J35" s="46">
        <v>297.86596177419</v>
      </c>
      <c r="K35" s="46">
        <v>16.462645587821811</v>
      </c>
      <c r="L35" s="46">
        <v>0</v>
      </c>
      <c r="M35" s="46">
        <v>0</v>
      </c>
      <c r="N35" s="47">
        <v>0</v>
      </c>
      <c r="O35" s="45">
        <v>0</v>
      </c>
      <c r="P35" s="46">
        <v>0</v>
      </c>
      <c r="Q35" s="46">
        <v>0</v>
      </c>
      <c r="R35" s="55">
        <v>0</v>
      </c>
      <c r="S35" s="46">
        <v>0</v>
      </c>
      <c r="T35" s="48">
        <v>0</v>
      </c>
      <c r="U35" s="56">
        <v>193.11222995457939</v>
      </c>
      <c r="V35" s="54">
        <v>144.79320486580656</v>
      </c>
      <c r="W35" s="54">
        <v>38.286966683369691</v>
      </c>
      <c r="X35" s="54">
        <v>28.707102662422525</v>
      </c>
      <c r="Y35" s="54">
        <v>56.601222932680614</v>
      </c>
      <c r="Z35" s="54">
        <v>42.438909589902266</v>
      </c>
      <c r="AA35" s="57">
        <v>0</v>
      </c>
      <c r="AB35" s="58">
        <v>64.925421211454591</v>
      </c>
      <c r="AC35" s="52">
        <v>0</v>
      </c>
      <c r="AD35" s="359">
        <v>9.364659488122836</v>
      </c>
      <c r="AE35" s="359">
        <v>6.6895342489692382</v>
      </c>
      <c r="AF35" s="52">
        <v>16.102716734674246</v>
      </c>
      <c r="AG35" s="58">
        <v>9.0017265175256682</v>
      </c>
      <c r="AH35" s="58">
        <v>6.749385225910439</v>
      </c>
      <c r="AI35" s="58">
        <v>0.57149785133591724</v>
      </c>
      <c r="AJ35" s="52">
        <v>206.93480803966523</v>
      </c>
      <c r="AK35" s="52">
        <v>910.46304286321026</v>
      </c>
      <c r="AL35" s="52">
        <v>2778.3801213582356</v>
      </c>
      <c r="AM35" s="52">
        <v>518.17592824300129</v>
      </c>
      <c r="AN35" s="52">
        <v>5347.1133883158373</v>
      </c>
      <c r="AO35" s="52">
        <v>2980.5655731201164</v>
      </c>
      <c r="AP35" s="52">
        <v>604.96917193730678</v>
      </c>
      <c r="AQ35" s="52">
        <v>2174.0975889205934</v>
      </c>
      <c r="AR35" s="52">
        <v>456.38178540865567</v>
      </c>
      <c r="AS35" s="52">
        <v>498.328723526001</v>
      </c>
    </row>
    <row r="36" spans="1:45" x14ac:dyDescent="0.25">
      <c r="A36" s="392">
        <v>44924</v>
      </c>
      <c r="B36" s="45"/>
      <c r="C36" s="46">
        <v>70.95240959723786</v>
      </c>
      <c r="D36" s="46">
        <v>975.62147026061928</v>
      </c>
      <c r="E36" s="46">
        <v>16.211808325350265</v>
      </c>
      <c r="F36" s="46">
        <v>0</v>
      </c>
      <c r="G36" s="46">
        <v>2602.9390717824303</v>
      </c>
      <c r="H36" s="47">
        <v>26.738934596379604</v>
      </c>
      <c r="I36" s="45">
        <v>142.68116985162104</v>
      </c>
      <c r="J36" s="46">
        <v>297.79169580141706</v>
      </c>
      <c r="K36" s="46">
        <v>16.249502035478763</v>
      </c>
      <c r="L36" s="46">
        <v>0</v>
      </c>
      <c r="M36" s="46">
        <v>0</v>
      </c>
      <c r="N36" s="47">
        <v>0</v>
      </c>
      <c r="O36" s="45">
        <v>0</v>
      </c>
      <c r="P36" s="46">
        <v>0</v>
      </c>
      <c r="Q36" s="46">
        <v>0</v>
      </c>
      <c r="R36" s="55">
        <v>0</v>
      </c>
      <c r="S36" s="46">
        <v>0</v>
      </c>
      <c r="T36" s="48">
        <v>0</v>
      </c>
      <c r="U36" s="56">
        <v>206.89624982940234</v>
      </c>
      <c r="V36" s="54">
        <v>155.16375230682922</v>
      </c>
      <c r="W36" s="54">
        <v>37.823722201416956</v>
      </c>
      <c r="X36" s="54">
        <v>28.366249595254597</v>
      </c>
      <c r="Y36" s="54">
        <v>55.039459665304456</v>
      </c>
      <c r="Z36" s="54">
        <v>41.27735081544899</v>
      </c>
      <c r="AA36" s="57">
        <v>0</v>
      </c>
      <c r="AB36" s="58">
        <v>64.995625291930821</v>
      </c>
      <c r="AC36" s="52">
        <v>0</v>
      </c>
      <c r="AD36" s="359">
        <v>9.3627329329646329</v>
      </c>
      <c r="AE36" s="359">
        <v>6.6818007385244158</v>
      </c>
      <c r="AF36" s="52">
        <v>15.844470683733602</v>
      </c>
      <c r="AG36" s="58">
        <v>8.8539695741006312</v>
      </c>
      <c r="AH36" s="58">
        <v>6.6401162082963827</v>
      </c>
      <c r="AI36" s="58">
        <v>0.57144188424203213</v>
      </c>
      <c r="AJ36" s="52">
        <v>224.14682021935781</v>
      </c>
      <c r="AK36" s="52">
        <v>955.95588499704991</v>
      </c>
      <c r="AL36" s="52">
        <v>2787.5331806182862</v>
      </c>
      <c r="AM36" s="52">
        <v>553.60122550328572</v>
      </c>
      <c r="AN36" s="52">
        <v>5230.761925506592</v>
      </c>
      <c r="AO36" s="52">
        <v>3097.2275787353524</v>
      </c>
      <c r="AP36" s="52">
        <v>645.90939737955716</v>
      </c>
      <c r="AQ36" s="52">
        <v>2172.1040903727212</v>
      </c>
      <c r="AR36" s="52">
        <v>520.70013723373427</v>
      </c>
      <c r="AS36" s="52">
        <v>512.38895810445149</v>
      </c>
    </row>
    <row r="37" spans="1:45" x14ac:dyDescent="0.25">
      <c r="A37" s="392">
        <v>44925</v>
      </c>
      <c r="B37" s="56"/>
      <c r="C37" s="343">
        <v>71.109007493655355</v>
      </c>
      <c r="D37" s="343">
        <v>974.4051028569545</v>
      </c>
      <c r="E37" s="343">
        <v>16.211585403978784</v>
      </c>
      <c r="F37" s="343">
        <v>0</v>
      </c>
      <c r="G37" s="343">
        <v>2640.148849105834</v>
      </c>
      <c r="H37" s="344">
        <v>26.72136666973433</v>
      </c>
      <c r="I37" s="342">
        <v>143.2646055301031</v>
      </c>
      <c r="J37" s="343">
        <v>298.50230363210073</v>
      </c>
      <c r="K37" s="343">
        <v>16.400690317153945</v>
      </c>
      <c r="L37" s="343">
        <v>0</v>
      </c>
      <c r="M37" s="343">
        <v>0</v>
      </c>
      <c r="N37" s="344">
        <v>0</v>
      </c>
      <c r="O37" s="342">
        <v>0</v>
      </c>
      <c r="P37" s="343">
        <v>0</v>
      </c>
      <c r="Q37" s="343">
        <v>0</v>
      </c>
      <c r="R37" s="345">
        <v>0</v>
      </c>
      <c r="S37" s="343">
        <v>0</v>
      </c>
      <c r="T37" s="346">
        <v>0</v>
      </c>
      <c r="U37" s="65">
        <v>240.03302740590183</v>
      </c>
      <c r="V37" s="66">
        <v>180.03235584825646</v>
      </c>
      <c r="W37" s="66">
        <v>38.899700277887007</v>
      </c>
      <c r="X37" s="66">
        <v>29.176004479485567</v>
      </c>
      <c r="Y37" s="66">
        <v>57.995850877675778</v>
      </c>
      <c r="Z37" s="66">
        <v>43.498720887588235</v>
      </c>
      <c r="AA37" s="67">
        <v>0</v>
      </c>
      <c r="AB37" s="349">
        <v>65.155800890923118</v>
      </c>
      <c r="AC37" s="58">
        <v>0</v>
      </c>
      <c r="AD37" s="359">
        <v>9.3866728329993485</v>
      </c>
      <c r="AE37" s="359">
        <v>6.679666432706453</v>
      </c>
      <c r="AF37" s="70">
        <v>15.980184998777181</v>
      </c>
      <c r="AG37" s="349">
        <v>8.9222659177502344</v>
      </c>
      <c r="AH37" s="349">
        <v>6.6919813912145241</v>
      </c>
      <c r="AI37" s="349">
        <v>0.57141825290724124</v>
      </c>
      <c r="AJ37" s="58">
        <v>236.81993734041848</v>
      </c>
      <c r="AK37" s="58">
        <v>982.79174429575585</v>
      </c>
      <c r="AL37" s="58">
        <v>2720.3145773569745</v>
      </c>
      <c r="AM37" s="58">
        <v>552.61447436014805</v>
      </c>
      <c r="AN37" s="58">
        <v>5262.1117822647093</v>
      </c>
      <c r="AO37" s="58">
        <v>3116.0426425933838</v>
      </c>
      <c r="AP37" s="58">
        <v>655.63247575759908</v>
      </c>
      <c r="AQ37" s="58">
        <v>2166.8737778981526</v>
      </c>
      <c r="AR37" s="58">
        <v>488.69947781562814</v>
      </c>
      <c r="AS37" s="58">
        <v>507.07278563181558</v>
      </c>
    </row>
    <row r="38" spans="1:45" ht="15.75" thickBot="1" x14ac:dyDescent="0.3">
      <c r="A38" s="392">
        <v>44926</v>
      </c>
      <c r="B38" s="45"/>
      <c r="C38" s="60">
        <v>70.469534782568928</v>
      </c>
      <c r="D38" s="60">
        <v>977.8473285675035</v>
      </c>
      <c r="E38" s="60">
        <v>16.282904453575554</v>
      </c>
      <c r="F38" s="60">
        <v>0</v>
      </c>
      <c r="G38" s="60">
        <v>2747.2251619974827</v>
      </c>
      <c r="H38" s="61">
        <v>26.664204080899566</v>
      </c>
      <c r="I38" s="62">
        <v>143.26798652013144</v>
      </c>
      <c r="J38" s="60">
        <v>297.55160005887342</v>
      </c>
      <c r="K38" s="60">
        <v>16.259056540826979</v>
      </c>
      <c r="L38" s="60">
        <v>0</v>
      </c>
      <c r="M38" s="60">
        <v>0</v>
      </c>
      <c r="N38" s="61">
        <v>0</v>
      </c>
      <c r="O38" s="62">
        <v>0</v>
      </c>
      <c r="P38" s="60">
        <v>0</v>
      </c>
      <c r="Q38" s="60">
        <v>0</v>
      </c>
      <c r="R38" s="63">
        <v>0</v>
      </c>
      <c r="S38" s="60">
        <v>0</v>
      </c>
      <c r="T38" s="64">
        <v>0</v>
      </c>
      <c r="U38" s="65">
        <v>242.59289426871962</v>
      </c>
      <c r="V38" s="66">
        <v>181.90987534984154</v>
      </c>
      <c r="W38" s="66">
        <v>38.391813313797918</v>
      </c>
      <c r="X38" s="66">
        <v>28.788353407546104</v>
      </c>
      <c r="Y38" s="66">
        <v>59.395007557309725</v>
      </c>
      <c r="Z38" s="66">
        <v>44.537736580136368</v>
      </c>
      <c r="AA38" s="67">
        <v>0</v>
      </c>
      <c r="AB38" s="68">
        <v>65.760891448126543</v>
      </c>
      <c r="AC38" s="69">
        <v>0</v>
      </c>
      <c r="AD38" s="359">
        <v>9.356505730534618</v>
      </c>
      <c r="AE38" s="359">
        <v>6.6819801791459135</v>
      </c>
      <c r="AF38" s="70">
        <v>15.919168778922822</v>
      </c>
      <c r="AG38" s="68">
        <v>8.8935098305606513</v>
      </c>
      <c r="AH38" s="68">
        <v>6.668856767535102</v>
      </c>
      <c r="AI38" s="68">
        <v>0.57147540989356216</v>
      </c>
      <c r="AJ38" s="69">
        <v>217.81620043118795</v>
      </c>
      <c r="AK38" s="69">
        <v>941.23373072942093</v>
      </c>
      <c r="AL38" s="69">
        <v>2804.7956331888831</v>
      </c>
      <c r="AM38" s="69">
        <v>531.28292655944824</v>
      </c>
      <c r="AN38" s="69">
        <v>5233.6752232869476</v>
      </c>
      <c r="AO38" s="69">
        <v>3032.3009229024251</v>
      </c>
      <c r="AP38" s="69">
        <v>626.69928108851104</v>
      </c>
      <c r="AQ38" s="69">
        <v>2200.095581181844</v>
      </c>
      <c r="AR38" s="69">
        <v>474.11843872070313</v>
      </c>
      <c r="AS38" s="69">
        <v>463.74232190450033</v>
      </c>
    </row>
    <row r="39" spans="1:45" ht="15.75" thickTop="1" x14ac:dyDescent="0.25">
      <c r="A39" s="42" t="s">
        <v>171</v>
      </c>
      <c r="B39" s="25">
        <f t="shared" ref="B39:AC39" si="0">SUM(B8:B38)</f>
        <v>0</v>
      </c>
      <c r="C39" s="26">
        <f>SUM(C8:C38)</f>
        <v>2135.7362469116879</v>
      </c>
      <c r="D39" s="26">
        <f t="shared" si="0"/>
        <v>29256.661047363261</v>
      </c>
      <c r="E39" s="26">
        <f t="shared" si="0"/>
        <v>496.71898943781775</v>
      </c>
      <c r="F39" s="26">
        <f t="shared" si="0"/>
        <v>0</v>
      </c>
      <c r="G39" s="26">
        <f t="shared" si="0"/>
        <v>69624.498343276951</v>
      </c>
      <c r="H39" s="27">
        <f t="shared" si="0"/>
        <v>809.618063478669</v>
      </c>
      <c r="I39" s="25">
        <f t="shared" si="0"/>
        <v>4451.6231227239005</v>
      </c>
      <c r="J39" s="26">
        <f t="shared" si="0"/>
        <v>9202.9151049931861</v>
      </c>
      <c r="K39" s="26">
        <f t="shared" si="0"/>
        <v>504.49274388949118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6146.8807045662752</v>
      </c>
      <c r="V39" s="242">
        <f t="shared" si="0"/>
        <v>4458.9791081702415</v>
      </c>
      <c r="W39" s="242">
        <f t="shared" si="0"/>
        <v>1103.8900570084957</v>
      </c>
      <c r="X39" s="242">
        <f t="shared" si="0"/>
        <v>800.45680903491393</v>
      </c>
      <c r="Y39" s="242">
        <f t="shared" si="0"/>
        <v>1844.6059930744539</v>
      </c>
      <c r="Z39" s="242">
        <f t="shared" si="0"/>
        <v>1335.8780260301869</v>
      </c>
      <c r="AA39" s="250">
        <f t="shared" si="0"/>
        <v>0</v>
      </c>
      <c r="AB39" s="253">
        <f t="shared" si="0"/>
        <v>2041.589170071813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SUM(AJ8:AJ38)</f>
        <v>7306.4057838837298</v>
      </c>
      <c r="AK39" s="253">
        <f t="shared" si="1"/>
        <v>29768.085282866159</v>
      </c>
      <c r="AL39" s="253">
        <f t="shared" si="1"/>
        <v>85109.471080144227</v>
      </c>
      <c r="AM39" s="253">
        <f t="shared" si="1"/>
        <v>16736.438237746559</v>
      </c>
      <c r="AN39" s="253">
        <f t="shared" si="1"/>
        <v>157915.68575064337</v>
      </c>
      <c r="AO39" s="253">
        <f t="shared" si="1"/>
        <v>97210.852156066889</v>
      </c>
      <c r="AP39" s="253">
        <f t="shared" si="1"/>
        <v>21297.218983205155</v>
      </c>
      <c r="AQ39" s="253">
        <f t="shared" si="1"/>
        <v>67116.524319012969</v>
      </c>
      <c r="AR39" s="253">
        <f t="shared" si="1"/>
        <v>11696.606809520719</v>
      </c>
      <c r="AS39" s="253">
        <f t="shared" si="1"/>
        <v>16712.374584197998</v>
      </c>
    </row>
    <row r="40" spans="1:45" ht="15.75" thickBot="1" x14ac:dyDescent="0.3">
      <c r="A40" s="43" t="s">
        <v>172</v>
      </c>
      <c r="B40" s="28">
        <f>Projection!$AD$30</f>
        <v>0.75949460999999996</v>
      </c>
      <c r="C40" s="29">
        <f>Projection!$AD$28</f>
        <v>2.3715123600000001</v>
      </c>
      <c r="D40" s="29">
        <f>Projection!$AD$31</f>
        <v>4.4888382</v>
      </c>
      <c r="E40" s="29">
        <f>Projection!$AD$26</f>
        <v>5.6378400000000006</v>
      </c>
      <c r="F40" s="29">
        <f>Projection!$AC$23</f>
        <v>0</v>
      </c>
      <c r="G40" s="29">
        <f>Projection!$AD$24</f>
        <v>7.6444999999999999E-2</v>
      </c>
      <c r="H40" s="30">
        <f>Projection!$AD$29</f>
        <v>4.6146262499999997</v>
      </c>
      <c r="I40" s="28">
        <f>Projection!$AD$30</f>
        <v>0.75949460999999996</v>
      </c>
      <c r="J40" s="29">
        <f>Projection!$AD$28</f>
        <v>2.3715123600000001</v>
      </c>
      <c r="K40" s="29">
        <f>Projection!$AD$26</f>
        <v>5.6378400000000006</v>
      </c>
      <c r="L40" s="29">
        <f>Projection!$AD$25</f>
        <v>0</v>
      </c>
      <c r="M40" s="29">
        <f>Projection!$AC$23</f>
        <v>0</v>
      </c>
      <c r="N40" s="30">
        <f>Projection!$AC$23</f>
        <v>0</v>
      </c>
      <c r="O40" s="244">
        <v>15.77</v>
      </c>
      <c r="P40" s="245">
        <v>15.77</v>
      </c>
      <c r="Q40" s="245">
        <v>15.77</v>
      </c>
      <c r="R40" s="245">
        <v>15.77</v>
      </c>
      <c r="S40" s="245">
        <f>Projection!$AD$28</f>
        <v>2.3715123600000001</v>
      </c>
      <c r="T40" s="246">
        <f>Projection!$AD$28</f>
        <v>2.3715123600000001</v>
      </c>
      <c r="U40" s="244">
        <f>Projection!$AD$27</f>
        <v>0.48749999999999999</v>
      </c>
      <c r="V40" s="245">
        <f>Projection!$AD$27</f>
        <v>0.48749999999999999</v>
      </c>
      <c r="W40" s="245">
        <f>Projection!$AD$22</f>
        <v>2.6240976000000003</v>
      </c>
      <c r="X40" s="245">
        <f>Projection!$AD$22</f>
        <v>2.6240976000000003</v>
      </c>
      <c r="Y40" s="245">
        <f>Projection!$AD$31</f>
        <v>4.4888382</v>
      </c>
      <c r="Z40" s="245">
        <f>Projection!$AD$31</f>
        <v>4.4888382</v>
      </c>
      <c r="AA40" s="251">
        <v>0</v>
      </c>
      <c r="AB40" s="254">
        <f>Projection!$AD$27</f>
        <v>0.48749999999999999</v>
      </c>
      <c r="AC40" s="254">
        <f>Projection!$AD$30</f>
        <v>0.75949460999999996</v>
      </c>
      <c r="AD40" s="352">
        <f>SUM(AD8:AD38)</f>
        <v>289.34690686346715</v>
      </c>
      <c r="AE40" s="352">
        <f>SUM(AE8:AE38)</f>
        <v>201.80844126479107</v>
      </c>
      <c r="AF40" s="257">
        <f>SUM(AF8:AF38)</f>
        <v>482.27533246212499</v>
      </c>
      <c r="AG40" s="257">
        <f>SUM(AG8:AG38)</f>
        <v>274.17873540655899</v>
      </c>
      <c r="AH40" s="257">
        <f>SUM(AH8:AH38)</f>
        <v>198.71705976004017</v>
      </c>
      <c r="AI40" s="257">
        <f>IF(SUM(AG40:AH40)&gt;0, AG40/(AG40+AH40),0)</f>
        <v>0.57978679068179706</v>
      </c>
      <c r="AJ40" s="286">
        <v>7.8700000000000006E-2</v>
      </c>
      <c r="AK40" s="286">
        <f t="shared" ref="AK40:AS40" si="2">$AJ$40</f>
        <v>7.8700000000000006E-2</v>
      </c>
      <c r="AL40" s="286">
        <f t="shared" si="2"/>
        <v>7.8700000000000006E-2</v>
      </c>
      <c r="AM40" s="286">
        <f t="shared" si="2"/>
        <v>7.8700000000000006E-2</v>
      </c>
      <c r="AN40" s="286">
        <f t="shared" si="2"/>
        <v>7.8700000000000006E-2</v>
      </c>
      <c r="AO40" s="286">
        <f t="shared" si="2"/>
        <v>7.8700000000000006E-2</v>
      </c>
      <c r="AP40" s="286">
        <f t="shared" si="2"/>
        <v>7.8700000000000006E-2</v>
      </c>
      <c r="AQ40" s="286">
        <f t="shared" si="2"/>
        <v>7.8700000000000006E-2</v>
      </c>
      <c r="AR40" s="286">
        <f t="shared" si="2"/>
        <v>7.8700000000000006E-2</v>
      </c>
      <c r="AS40" s="286">
        <f t="shared" si="2"/>
        <v>7.8700000000000006E-2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 t="shared" si="3"/>
        <v>5064.9249072510802</v>
      </c>
      <c r="D41" s="32">
        <f t="shared" si="3"/>
        <v>131328.41771385621</v>
      </c>
      <c r="E41" s="32">
        <f t="shared" si="3"/>
        <v>2800.4221874121067</v>
      </c>
      <c r="F41" s="32">
        <f t="shared" si="3"/>
        <v>0</v>
      </c>
      <c r="G41" s="32">
        <f t="shared" si="3"/>
        <v>5322.4447758518063</v>
      </c>
      <c r="H41" s="33">
        <f t="shared" si="3"/>
        <v>3736.084768202832</v>
      </c>
      <c r="I41" s="31">
        <f t="shared" si="3"/>
        <v>3380.9837674601708</v>
      </c>
      <c r="J41" s="32">
        <f t="shared" si="3"/>
        <v>21824.826919522038</v>
      </c>
      <c r="K41" s="32">
        <f t="shared" si="3"/>
        <v>2844.2493712099294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2996.6043434760591</v>
      </c>
      <c r="V41" s="248">
        <f t="shared" si="3"/>
        <v>2173.7523152329927</v>
      </c>
      <c r="W41" s="248">
        <f t="shared" si="3"/>
        <v>2896.715249259857</v>
      </c>
      <c r="X41" s="248">
        <f t="shared" si="3"/>
        <v>2100.4767914921763</v>
      </c>
      <c r="Y41" s="248">
        <f t="shared" si="3"/>
        <v>8280.1378456615439</v>
      </c>
      <c r="Z41" s="248">
        <f t="shared" si="3"/>
        <v>5996.5403137848971</v>
      </c>
      <c r="AA41" s="252">
        <f t="shared" si="3"/>
        <v>0</v>
      </c>
      <c r="AB41" s="255">
        <f t="shared" si="3"/>
        <v>995.27472041000885</v>
      </c>
      <c r="AC41" s="255">
        <f t="shared" si="3"/>
        <v>0</v>
      </c>
      <c r="AJ41" s="258">
        <f t="shared" ref="AJ41:AS41" si="4">AJ40*AJ39</f>
        <v>575.01413519164953</v>
      </c>
      <c r="AK41" s="258">
        <f t="shared" si="4"/>
        <v>2342.748311761567</v>
      </c>
      <c r="AL41" s="258">
        <f t="shared" si="4"/>
        <v>6698.1153740073514</v>
      </c>
      <c r="AM41" s="258">
        <f t="shared" si="4"/>
        <v>1317.1576893106544</v>
      </c>
      <c r="AN41" s="258">
        <f t="shared" si="4"/>
        <v>12427.964468575634</v>
      </c>
      <c r="AO41" s="258">
        <f t="shared" si="4"/>
        <v>7650.4940646824643</v>
      </c>
      <c r="AP41" s="258">
        <f t="shared" si="4"/>
        <v>1676.0911339782458</v>
      </c>
      <c r="AQ41" s="258">
        <f t="shared" si="4"/>
        <v>5282.0704639063215</v>
      </c>
      <c r="AR41" s="258">
        <f t="shared" si="4"/>
        <v>920.52295590928065</v>
      </c>
      <c r="AS41" s="258">
        <f t="shared" si="4"/>
        <v>1315.2638797763825</v>
      </c>
    </row>
    <row r="42" spans="1:45" ht="49.5" customHeight="1" thickTop="1" thickBot="1" x14ac:dyDescent="0.3">
      <c r="A42" s="587">
        <f>NOVEMBER!$A$42+30</f>
        <v>44897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2331.4</v>
      </c>
      <c r="AK42" s="258" t="s">
        <v>197</v>
      </c>
      <c r="AL42" s="258">
        <v>6125.1</v>
      </c>
      <c r="AM42" s="258">
        <v>1852.46</v>
      </c>
      <c r="AN42" s="258">
        <v>3645.83</v>
      </c>
      <c r="AO42" s="258">
        <v>18796.02</v>
      </c>
      <c r="AP42" s="258">
        <v>2032.55</v>
      </c>
      <c r="AQ42" s="258" t="s">
        <v>197</v>
      </c>
      <c r="AR42" s="258">
        <v>269.5</v>
      </c>
      <c r="AS42" s="258">
        <v>1047.33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201741.85599008371</v>
      </c>
      <c r="D44" s="262" t="s">
        <v>135</v>
      </c>
      <c r="E44" s="263">
        <f>SUM(B41:H41)+P41+R41+T41+V41+X41+Z41</f>
        <v>158523.06377308408</v>
      </c>
      <c r="G44" s="262" t="s">
        <v>135</v>
      </c>
      <c r="H44" s="263">
        <f>SUM(I41:N41)+O41+Q41+S41+U41+W41+Y41</f>
        <v>42223.517496589593</v>
      </c>
      <c r="J44" s="262" t="s">
        <v>198</v>
      </c>
      <c r="K44" s="263">
        <v>234464.48</v>
      </c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40205.442477099554</v>
      </c>
      <c r="D45" s="264" t="s">
        <v>183</v>
      </c>
      <c r="E45" s="265">
        <f>AJ41*(1-$AI$40)+AK41+AL41*0.5+AN41+AO41*(1-$AI$40)+AP41*(1-$AI$40)+AQ41*(1-$AI$40)+AR41*0.5+AS41*0.5</f>
        <v>25618.042500127751</v>
      </c>
      <c r="F45" s="20"/>
      <c r="G45" s="264" t="s">
        <v>183</v>
      </c>
      <c r="H45" s="265">
        <f>AJ41*AI40+AL41*0.5+AM41+AO41*AI40+AP41*AI40+AQ41*AI40+AR41*0.5+AS41*0.5</f>
        <v>14587.399976971799</v>
      </c>
      <c r="K45" s="268"/>
      <c r="R45" s="278" t="s">
        <v>141</v>
      </c>
      <c r="S45" s="279"/>
      <c r="T45" s="234">
        <f>$W$39+$X$39</f>
        <v>1904.3468660434096</v>
      </c>
      <c r="U45" s="236">
        <f>(T45*8.34*0.895)/27000</f>
        <v>0.52646727082251188</v>
      </c>
    </row>
    <row r="46" spans="1:45" ht="32.25" thickBot="1" x14ac:dyDescent="0.3">
      <c r="A46" s="266" t="s">
        <v>184</v>
      </c>
      <c r="B46" s="267">
        <f>SUM(AJ42:AS42)</f>
        <v>36100.19</v>
      </c>
      <c r="D46" s="266" t="s">
        <v>184</v>
      </c>
      <c r="E46" s="267">
        <f>AJ42*(1-$AI$40)+AL42*0.5+AN42+AO42*(1-$AI$40)+AP42*(1-$AI$40)+AR42*0.5+AS42*0.5</f>
        <v>17098.920321413301</v>
      </c>
      <c r="F46" s="19"/>
      <c r="G46" s="266" t="s">
        <v>184</v>
      </c>
      <c r="H46" s="267">
        <f>AJ42*AI40+AL42*0.5+AM42+AO42*AI40+AP42*AI40+AR42*0.5+AS42*0.5</f>
        <v>19001.269678586701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234464.48</v>
      </c>
      <c r="D47" s="266" t="s">
        <v>187</v>
      </c>
      <c r="E47" s="267">
        <f>K44*0.5</f>
        <v>117232.24</v>
      </c>
      <c r="F47" s="20"/>
      <c r="G47" s="266" t="s">
        <v>185</v>
      </c>
      <c r="H47" s="267">
        <f>K44*0.5</f>
        <v>117232.24</v>
      </c>
      <c r="J47" s="262" t="s">
        <v>198</v>
      </c>
      <c r="K47" s="263">
        <v>143380.03</v>
      </c>
      <c r="R47" s="278" t="s">
        <v>148</v>
      </c>
      <c r="S47" s="279"/>
      <c r="T47" s="234">
        <f>$G$39</f>
        <v>69624.498343276951</v>
      </c>
      <c r="U47" s="236">
        <f>T47/40000</f>
        <v>1.7406124585819238</v>
      </c>
    </row>
    <row r="48" spans="1:45" ht="24" thickBot="1" x14ac:dyDescent="0.3">
      <c r="A48" s="266" t="s">
        <v>186</v>
      </c>
      <c r="B48" s="267">
        <f>K47</f>
        <v>143380.03</v>
      </c>
      <c r="D48" s="266" t="s">
        <v>186</v>
      </c>
      <c r="E48" s="267">
        <f>K47*0.5</f>
        <v>71690.014999999999</v>
      </c>
      <c r="F48" s="19"/>
      <c r="G48" s="266" t="s">
        <v>186</v>
      </c>
      <c r="H48" s="267">
        <f>K47*0.5</f>
        <v>71690.014999999999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3" ht="48" thickTop="1" thickBot="1" x14ac:dyDescent="0.3">
      <c r="A49" s="271" t="s">
        <v>194</v>
      </c>
      <c r="B49" s="272">
        <f>AF40</f>
        <v>482.27533246212499</v>
      </c>
      <c r="D49" s="271" t="s">
        <v>195</v>
      </c>
      <c r="E49" s="272">
        <f>AH40</f>
        <v>198.71705976004017</v>
      </c>
      <c r="F49" s="19"/>
      <c r="G49" s="271" t="s">
        <v>196</v>
      </c>
      <c r="H49" s="272">
        <f>AG40</f>
        <v>274.17873540655899</v>
      </c>
      <c r="K49" s="71"/>
      <c r="R49" s="278" t="s">
        <v>152</v>
      </c>
      <c r="S49" s="279"/>
      <c r="T49" s="234">
        <f>$E$39+$K$39</f>
        <v>1001.2117333273089</v>
      </c>
      <c r="U49" s="236">
        <f>(T49*8.34*1.04)/45000</f>
        <v>0.19298022422639438</v>
      </c>
    </row>
    <row r="50" spans="1:23" ht="48" customHeight="1" thickTop="1" thickBot="1" x14ac:dyDescent="0.3">
      <c r="A50" s="271" t="s">
        <v>223</v>
      </c>
      <c r="B50" s="272">
        <f>SUM(E50+H50)</f>
        <v>491.1553481282582</v>
      </c>
      <c r="D50" s="271" t="s">
        <v>224</v>
      </c>
      <c r="E50" s="272">
        <f>AE40</f>
        <v>201.80844126479107</v>
      </c>
      <c r="F50" s="19"/>
      <c r="G50" s="271" t="s">
        <v>228</v>
      </c>
      <c r="H50" s="272">
        <f>AD40</f>
        <v>289.34690686346715</v>
      </c>
      <c r="K50" s="71"/>
      <c r="R50" s="278"/>
      <c r="S50" s="279"/>
      <c r="T50" s="234"/>
      <c r="U50" s="236"/>
    </row>
    <row r="51" spans="1:23" ht="48" thickTop="1" thickBot="1" x14ac:dyDescent="0.3">
      <c r="A51" s="271" t="s">
        <v>190</v>
      </c>
      <c r="B51" s="273">
        <f>(SUM(B44:B48)/B50)</f>
        <v>1335.4064064795778</v>
      </c>
      <c r="D51" s="271" t="s">
        <v>188</v>
      </c>
      <c r="E51" s="351">
        <f>SUM(E44:E48)/E50</f>
        <v>1933.3298406616038</v>
      </c>
      <c r="F51" s="19"/>
      <c r="G51" s="271" t="s">
        <v>189</v>
      </c>
      <c r="H51" s="351">
        <f>SUM(H44:H48)/H50</f>
        <v>914.93786825606946</v>
      </c>
      <c r="K51" s="71"/>
      <c r="R51" s="278" t="s">
        <v>153</v>
      </c>
      <c r="S51" s="279"/>
      <c r="T51" s="234">
        <f>$U$39+$V$39+$AB$39</f>
        <v>12647.44898280833</v>
      </c>
      <c r="U51" s="236">
        <f>T51/2000/8</f>
        <v>0.7904655614255206</v>
      </c>
    </row>
    <row r="52" spans="1:23" ht="48" thickTop="1" thickBot="1" x14ac:dyDescent="0.3">
      <c r="A52" s="261" t="s">
        <v>191</v>
      </c>
      <c r="B52" s="274">
        <f>B51/1000</f>
        <v>1.3354064064795776</v>
      </c>
      <c r="D52" s="261" t="s">
        <v>192</v>
      </c>
      <c r="E52" s="274">
        <f>E51/1000</f>
        <v>1.9333298406616037</v>
      </c>
      <c r="G52" s="261" t="s">
        <v>193</v>
      </c>
      <c r="H52" s="274">
        <f>H51/1000</f>
        <v>0.91493786825606949</v>
      </c>
      <c r="K52" s="71"/>
      <c r="R52" s="278" t="s">
        <v>154</v>
      </c>
      <c r="S52" s="279"/>
      <c r="T52" s="234">
        <f>$C$39+$J$39+$S$39+$T$39</f>
        <v>11338.651351904875</v>
      </c>
      <c r="U52" s="236">
        <f>(T52*8.34*1.4)/45000</f>
        <v>2.9420020707742514</v>
      </c>
    </row>
    <row r="53" spans="1:23" ht="16.5" thickTop="1" thickBot="1" x14ac:dyDescent="0.3">
      <c r="A53" s="282"/>
      <c r="K53" s="71"/>
      <c r="R53" s="278" t="s">
        <v>155</v>
      </c>
      <c r="S53" s="279"/>
      <c r="T53" s="234">
        <f>$H$39</f>
        <v>809.618063478669</v>
      </c>
      <c r="U53" s="236">
        <f>(T53*8.34*1.135)/45000</f>
        <v>0.17030585837961629</v>
      </c>
    </row>
    <row r="54" spans="1:23" ht="33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4451.6231227239005</v>
      </c>
      <c r="U54" s="236">
        <f>(T54*8.34*1.029*0.03)/3300</f>
        <v>0.34730187647253929</v>
      </c>
    </row>
    <row r="55" spans="1:23" ht="54.75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623"/>
      <c r="T55" s="293">
        <f>$D$39+$Y$39+$Z$39</f>
        <v>32437.1450664679</v>
      </c>
      <c r="U55" s="294">
        <f>(T55*1.54*8.34)/45000</f>
        <v>9.2579936972374917</v>
      </c>
      <c r="V55" s="292"/>
    </row>
    <row r="56" spans="1:23" ht="15.75" thickTop="1" x14ac:dyDescent="0.25">
      <c r="S56" s="295"/>
      <c r="T56" s="568"/>
      <c r="U56" s="568"/>
      <c r="V56" s="290"/>
      <c r="W56" s="291"/>
    </row>
    <row r="57" spans="1:23" x14ac:dyDescent="0.25">
      <c r="T57" s="621"/>
      <c r="U57" s="621"/>
      <c r="V57" s="290"/>
      <c r="W57" s="291"/>
    </row>
    <row r="58" spans="1:23" x14ac:dyDescent="0.25">
      <c r="T58" s="621"/>
      <c r="U58" s="621"/>
      <c r="V58" s="290"/>
      <c r="W58" s="291"/>
    </row>
    <row r="59" spans="1:23" x14ac:dyDescent="0.25">
      <c r="T59" s="621"/>
      <c r="U59" s="621"/>
      <c r="V59" s="290"/>
      <c r="W59" s="291"/>
    </row>
    <row r="60" spans="1:23" x14ac:dyDescent="0.25">
      <c r="T60" s="621"/>
      <c r="U60" s="621"/>
      <c r="V60" s="290"/>
      <c r="W60" s="291"/>
    </row>
    <row r="61" spans="1:23" x14ac:dyDescent="0.25">
      <c r="T61" s="621"/>
      <c r="U61" s="621"/>
      <c r="V61" s="290"/>
      <c r="W61" s="291"/>
    </row>
    <row r="62" spans="1:23" x14ac:dyDescent="0.25">
      <c r="T62" s="621"/>
      <c r="U62" s="621"/>
      <c r="V62" s="290"/>
      <c r="W62" s="291"/>
    </row>
    <row r="63" spans="1:23" x14ac:dyDescent="0.25">
      <c r="T63" s="621"/>
      <c r="U63" s="621"/>
      <c r="V63" s="290"/>
      <c r="W63" s="291"/>
    </row>
  </sheetData>
  <sheetProtection algorithmName="SHA-512" hashValue="ZrKR2nsOM76l9XZIqpBsH6/CFoPKcBe4hCawoiH1X83zJkR204wXJ7reOR4xlN2q2fC2K3KuiGZLsK8sIXE0sg==" saltValue="/jqMKSAEg3f6/t7Dz0vOWA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9"/>
  <sheetViews>
    <sheetView tabSelected="1" zoomScale="80" zoomScaleNormal="80" workbookViewId="0">
      <selection activeCell="H52" sqref="H52"/>
    </sheetView>
  </sheetViews>
  <sheetFormatPr defaultRowHeight="15" x14ac:dyDescent="0.25"/>
  <cols>
    <col min="1" max="1" width="10.140625" customWidth="1"/>
    <col min="2" max="2" width="25.5703125" bestFit="1" customWidth="1"/>
    <col min="3" max="4" width="9.85546875" bestFit="1" customWidth="1"/>
    <col min="5" max="5" width="10.85546875" bestFit="1" customWidth="1"/>
    <col min="6" max="10" width="8.7109375" customWidth="1"/>
    <col min="11" max="11" width="9.28515625" bestFit="1" customWidth="1"/>
    <col min="12" max="25" width="8.7109375" customWidth="1"/>
    <col min="26" max="27" width="9.28515625" bestFit="1" customWidth="1"/>
    <col min="28" max="37" width="8.7109375" customWidth="1"/>
  </cols>
  <sheetData>
    <row r="1" spans="1:37" ht="28.5" customHeight="1" thickTop="1" thickBot="1" x14ac:dyDescent="0.3">
      <c r="A1" s="409">
        <v>2016</v>
      </c>
      <c r="B1" s="410"/>
      <c r="C1" s="413" t="s">
        <v>89</v>
      </c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5"/>
      <c r="W1" s="415"/>
      <c r="X1" s="415"/>
      <c r="Y1" s="415"/>
      <c r="Z1" s="415"/>
      <c r="AA1" s="415"/>
      <c r="AB1" s="415"/>
      <c r="AC1" s="414"/>
      <c r="AD1" s="414"/>
      <c r="AE1" s="414"/>
      <c r="AF1" s="414"/>
      <c r="AG1" s="414"/>
      <c r="AH1" s="414"/>
      <c r="AI1" s="414"/>
      <c r="AJ1" s="414"/>
      <c r="AK1" s="416"/>
    </row>
    <row r="2" spans="1:37" ht="28.5" customHeight="1" thickTop="1" thickBot="1" x14ac:dyDescent="0.3">
      <c r="A2" s="417"/>
      <c r="B2" s="418"/>
      <c r="C2" s="424" t="s">
        <v>66</v>
      </c>
      <c r="D2" s="425"/>
      <c r="E2" s="425"/>
      <c r="F2" s="425"/>
      <c r="G2" s="425"/>
      <c r="H2" s="425"/>
      <c r="I2" s="426"/>
      <c r="J2" s="427" t="s">
        <v>71</v>
      </c>
      <c r="K2" s="428"/>
      <c r="L2" s="428"/>
      <c r="M2" s="428"/>
      <c r="N2" s="428"/>
      <c r="O2" s="429"/>
      <c r="P2" s="430" t="s">
        <v>73</v>
      </c>
      <c r="Q2" s="431"/>
      <c r="R2" s="431"/>
      <c r="S2" s="431"/>
      <c r="T2" s="431"/>
      <c r="U2" s="432"/>
      <c r="V2" s="433" t="s">
        <v>82</v>
      </c>
      <c r="W2" s="434"/>
      <c r="X2" s="434"/>
      <c r="Y2" s="434"/>
      <c r="Z2" s="434"/>
      <c r="AA2" s="434"/>
      <c r="AB2" s="435"/>
      <c r="AC2" s="436" t="s">
        <v>83</v>
      </c>
      <c r="AD2" s="437"/>
      <c r="AE2" s="438" t="s">
        <v>229</v>
      </c>
      <c r="AF2" s="439"/>
      <c r="AG2" s="440"/>
      <c r="AH2" s="421" t="s">
        <v>85</v>
      </c>
      <c r="AI2" s="422"/>
      <c r="AJ2" s="422"/>
      <c r="AK2" s="423"/>
    </row>
    <row r="3" spans="1:37" ht="119.25" customHeight="1" thickBot="1" x14ac:dyDescent="0.3">
      <c r="A3" s="419"/>
      <c r="B3" s="420"/>
      <c r="C3" s="211" t="s">
        <v>67</v>
      </c>
      <c r="D3" s="211" t="s">
        <v>68</v>
      </c>
      <c r="E3" s="211" t="s">
        <v>11</v>
      </c>
      <c r="F3" s="211" t="s">
        <v>12</v>
      </c>
      <c r="G3" s="211" t="s">
        <v>13</v>
      </c>
      <c r="H3" s="211" t="s">
        <v>69</v>
      </c>
      <c r="I3" s="212" t="s">
        <v>70</v>
      </c>
      <c r="J3" s="213" t="s">
        <v>67</v>
      </c>
      <c r="K3" s="213" t="s">
        <v>72</v>
      </c>
      <c r="L3" s="214" t="s">
        <v>17</v>
      </c>
      <c r="M3" s="213" t="s">
        <v>18</v>
      </c>
      <c r="N3" s="213" t="s">
        <v>19</v>
      </c>
      <c r="O3" s="213" t="s">
        <v>13</v>
      </c>
      <c r="P3" s="215" t="s">
        <v>35</v>
      </c>
      <c r="Q3" s="216" t="s">
        <v>36</v>
      </c>
      <c r="R3" s="215" t="s">
        <v>74</v>
      </c>
      <c r="S3" s="215" t="s">
        <v>75</v>
      </c>
      <c r="T3" s="215" t="s">
        <v>76</v>
      </c>
      <c r="U3" s="215" t="s">
        <v>77</v>
      </c>
      <c r="V3" s="217" t="s">
        <v>78</v>
      </c>
      <c r="W3" s="217" t="s">
        <v>79</v>
      </c>
      <c r="X3" s="217" t="s">
        <v>80</v>
      </c>
      <c r="Y3" s="217" t="s">
        <v>81</v>
      </c>
      <c r="Z3" s="217" t="s">
        <v>45</v>
      </c>
      <c r="AA3" s="217" t="s">
        <v>46</v>
      </c>
      <c r="AB3" s="217" t="s">
        <v>20</v>
      </c>
      <c r="AC3" s="218" t="s">
        <v>7</v>
      </c>
      <c r="AD3" s="219" t="s">
        <v>84</v>
      </c>
      <c r="AE3" s="354" t="s">
        <v>230</v>
      </c>
      <c r="AF3" s="354" t="s">
        <v>231</v>
      </c>
      <c r="AG3" s="354"/>
      <c r="AH3" s="220" t="s">
        <v>27</v>
      </c>
      <c r="AI3" s="220" t="s">
        <v>31</v>
      </c>
      <c r="AJ3" s="220" t="s">
        <v>32</v>
      </c>
      <c r="AK3" s="221" t="s">
        <v>33</v>
      </c>
    </row>
    <row r="4" spans="1:37" ht="15.75" customHeight="1" thickTop="1" x14ac:dyDescent="0.25">
      <c r="A4" s="406" t="s">
        <v>86</v>
      </c>
      <c r="B4" s="74" t="s">
        <v>52</v>
      </c>
      <c r="C4" s="86">
        <f>JANUARY!B39</f>
        <v>0</v>
      </c>
      <c r="D4" s="86">
        <f>JANUARY!C39</f>
        <v>2209.5293883776667</v>
      </c>
      <c r="E4" s="86">
        <f>JANUARY!D39</f>
        <v>30321.250689188611</v>
      </c>
      <c r="F4" s="86">
        <f>JANUARY!E39</f>
        <v>511.74389529367255</v>
      </c>
      <c r="G4" s="86">
        <f>JANUARY!F39</f>
        <v>0</v>
      </c>
      <c r="H4" s="86">
        <f>JANUARY!G39</f>
        <v>62407.276887639324</v>
      </c>
      <c r="I4" s="86">
        <f>JANUARY!H39</f>
        <v>849.27798075099918</v>
      </c>
      <c r="J4" s="86">
        <f>JANUARY!I39</f>
        <v>6144.1763685003943</v>
      </c>
      <c r="K4" s="86">
        <f>JANUARY!J39</f>
        <v>17611.109873981455</v>
      </c>
      <c r="L4" s="222">
        <f>JANUARY!K39</f>
        <v>965.67123250931434</v>
      </c>
      <c r="M4" s="86">
        <f>JANUARY!L39</f>
        <v>0</v>
      </c>
      <c r="N4" s="86">
        <f>JANUARY!M39</f>
        <v>0</v>
      </c>
      <c r="O4" s="86">
        <f>JANUARY!N39</f>
        <v>0</v>
      </c>
      <c r="P4" s="86">
        <f>JANUARY!O39</f>
        <v>0</v>
      </c>
      <c r="Q4" s="86">
        <f>JANUARY!P39</f>
        <v>0</v>
      </c>
      <c r="R4" s="86">
        <f>JANUARY!Q39</f>
        <v>0</v>
      </c>
      <c r="S4" s="86">
        <f>JANUARY!R39</f>
        <v>0</v>
      </c>
      <c r="T4" s="86">
        <f>JANUARY!S39</f>
        <v>0</v>
      </c>
      <c r="U4" s="86">
        <f>JANUARY!T39</f>
        <v>0</v>
      </c>
      <c r="V4" s="86">
        <f>JANUARY!U39</f>
        <v>10420.020467233777</v>
      </c>
      <c r="W4" s="86">
        <f>JANUARY!V39</f>
        <v>4520.0083067140558</v>
      </c>
      <c r="X4" s="86">
        <f>JANUARY!W39</f>
        <v>2006.8625101114767</v>
      </c>
      <c r="Y4" s="86">
        <f>JANUARY!X39</f>
        <v>869.81252187158043</v>
      </c>
      <c r="Z4" s="86">
        <f>JANUARY!Y39</f>
        <v>5214.2214457073642</v>
      </c>
      <c r="AA4" s="86">
        <f>JANUARY!Z39</f>
        <v>2260.5882391414207</v>
      </c>
      <c r="AB4" s="86">
        <f>JANUARY!AA39</f>
        <v>0</v>
      </c>
      <c r="AC4" s="87">
        <f>JANUARY!AB39</f>
        <v>3098.2089444404264</v>
      </c>
      <c r="AD4" s="87">
        <f>JANUARY!AC39</f>
        <v>0</v>
      </c>
      <c r="AE4" s="223">
        <f>JANUARY!AD40</f>
        <v>492.08730696107375</v>
      </c>
      <c r="AF4" s="223">
        <f>JANUARY!AE40</f>
        <v>207.74110969096071</v>
      </c>
      <c r="AG4" s="223">
        <f>SUM(AE4+AF4)</f>
        <v>699.82841665203443</v>
      </c>
      <c r="AH4" s="223">
        <f>JANUARY!AF40</f>
        <v>686.4585454448063</v>
      </c>
      <c r="AI4" s="223">
        <f>JANUARY!AG40</f>
        <v>473.43418163737465</v>
      </c>
      <c r="AJ4" s="223">
        <f>JANUARY!AH40</f>
        <v>205.33685601245952</v>
      </c>
      <c r="AK4" s="224">
        <f>JANUARY!AI40</f>
        <v>0.69748730481575272</v>
      </c>
    </row>
    <row r="5" spans="1:37" ht="15.75" customHeight="1" x14ac:dyDescent="0.25">
      <c r="A5" s="407"/>
      <c r="B5" s="75" t="s">
        <v>53</v>
      </c>
      <c r="C5" s="88">
        <f>FEBRUARY!B39</f>
        <v>0</v>
      </c>
      <c r="D5" s="88">
        <f>FEBRUARY!C39</f>
        <v>2012.1168360586971</v>
      </c>
      <c r="E5" s="88">
        <f>FEBRUARY!D39</f>
        <v>28587.707679308252</v>
      </c>
      <c r="F5" s="88">
        <f>FEBRUARY!E39</f>
        <v>468.37174950977146</v>
      </c>
      <c r="G5" s="88">
        <f>FEBRUARY!F39</f>
        <v>0</v>
      </c>
      <c r="H5" s="88">
        <f>FEBRUARY!G39</f>
        <v>58262.903337237047</v>
      </c>
      <c r="I5" s="88">
        <f>FEBRUARY!H39</f>
        <v>761.91218487819151</v>
      </c>
      <c r="J5" s="88">
        <f>FEBRUARY!I39</f>
        <v>5469.9624285252867</v>
      </c>
      <c r="K5" s="88">
        <f>FEBRUARY!J39</f>
        <v>14353.94872238795</v>
      </c>
      <c r="L5" s="89">
        <f>FEBRUARY!K39</f>
        <v>786.22898489008276</v>
      </c>
      <c r="M5" s="88">
        <f>FEBRUARY!L39</f>
        <v>0</v>
      </c>
      <c r="N5" s="88">
        <f>FEBRUARY!M39</f>
        <v>0</v>
      </c>
      <c r="O5" s="88">
        <f>FEBRUARY!N39</f>
        <v>0</v>
      </c>
      <c r="P5" s="88">
        <f>FEBRUARY!O39</f>
        <v>0</v>
      </c>
      <c r="Q5" s="88">
        <f>FEBRUARY!P39</f>
        <v>0</v>
      </c>
      <c r="R5" s="88">
        <f>FEBRUARY!Q39</f>
        <v>0</v>
      </c>
      <c r="S5" s="88">
        <f>FEBRUARY!R39</f>
        <v>0</v>
      </c>
      <c r="T5" s="88">
        <f>FEBRUARY!S39</f>
        <v>0</v>
      </c>
      <c r="U5" s="88">
        <f>FEBRUARY!T39</f>
        <v>0</v>
      </c>
      <c r="V5" s="88">
        <f>FEBRUARY!U39</f>
        <v>8618.4423309006434</v>
      </c>
      <c r="W5" s="88">
        <f>FEBRUARY!V39</f>
        <v>4140.5815114658744</v>
      </c>
      <c r="X5" s="88">
        <f>FEBRUARY!W39</f>
        <v>1595.310812467894</v>
      </c>
      <c r="Y5" s="88">
        <f>FEBRUARY!X39</f>
        <v>765.80547393623897</v>
      </c>
      <c r="Z5" s="88">
        <f>FEBRUARY!Y39</f>
        <v>3683.8627815879913</v>
      </c>
      <c r="AA5" s="88">
        <f>FEBRUARY!Z39</f>
        <v>1760.8462024738844</v>
      </c>
      <c r="AB5" s="88">
        <f>FEBRUARY!AA39</f>
        <v>0</v>
      </c>
      <c r="AC5" s="90">
        <f>FEBRUARY!AB39</f>
        <v>2557.6435091415992</v>
      </c>
      <c r="AD5" s="90">
        <f>FEBRUARY!AC39</f>
        <v>0</v>
      </c>
      <c r="AE5" s="84">
        <f>FEBRUARY!AD40</f>
        <v>406.32329615091311</v>
      </c>
      <c r="AF5" s="84">
        <f>FEBRUARY!AE40</f>
        <v>189.77094076194336</v>
      </c>
      <c r="AG5" s="84">
        <f t="shared" ref="AG5:AG15" si="0">SUM(AE5+AF5)</f>
        <v>596.09423691285645</v>
      </c>
      <c r="AH5" s="84">
        <f>FEBRUARY!AF40</f>
        <v>574.77350407871927</v>
      </c>
      <c r="AI5" s="84">
        <f>FEBRUARY!AG40</f>
        <v>384.52821155705857</v>
      </c>
      <c r="AJ5" s="84">
        <f>FEBRUARY!AH40</f>
        <v>184.57405114177868</v>
      </c>
      <c r="AK5" s="76">
        <f>FEBRUARY!AI40</f>
        <v>0.67567507065166388</v>
      </c>
    </row>
    <row r="6" spans="1:37" ht="15.75" customHeight="1" x14ac:dyDescent="0.25">
      <c r="A6" s="407"/>
      <c r="B6" s="75" t="s">
        <v>54</v>
      </c>
      <c r="C6" s="88">
        <f>MARCH!B39</f>
        <v>0</v>
      </c>
      <c r="D6" s="88">
        <f>MARCH!C39</f>
        <v>2441.6633068609244</v>
      </c>
      <c r="E6" s="88">
        <f>MARCH!D39</f>
        <v>35299.303696060175</v>
      </c>
      <c r="F6" s="88">
        <f>MARCH!E39</f>
        <v>562.67437226792197</v>
      </c>
      <c r="G6" s="88">
        <f>MARCH!F39</f>
        <v>0</v>
      </c>
      <c r="H6" s="88">
        <f>MARCH!G39</f>
        <v>72205.993001810712</v>
      </c>
      <c r="I6" s="88">
        <f>MARCH!H39</f>
        <v>918.37585714221166</v>
      </c>
      <c r="J6" s="88">
        <f>MARCH!I39</f>
        <v>5622.9059042771687</v>
      </c>
      <c r="K6" s="88">
        <f>MARCH!J39</f>
        <v>15366.706913394924</v>
      </c>
      <c r="L6" s="89">
        <f>MARCH!K39</f>
        <v>841.6764188846945</v>
      </c>
      <c r="M6" s="88">
        <f>MARCH!L39</f>
        <v>0</v>
      </c>
      <c r="N6" s="88">
        <f>MARCH!M39</f>
        <v>0</v>
      </c>
      <c r="O6" s="88">
        <f>MARCH!N39</f>
        <v>0</v>
      </c>
      <c r="P6" s="88">
        <f>MARCH!O39</f>
        <v>0</v>
      </c>
      <c r="Q6" s="88">
        <f>MARCH!P39</f>
        <v>0</v>
      </c>
      <c r="R6" s="88">
        <f>MARCH!Q39</f>
        <v>0</v>
      </c>
      <c r="S6" s="88">
        <f>MARCH!R39</f>
        <v>0</v>
      </c>
      <c r="T6" s="88">
        <f>MARCH!S39</f>
        <v>0</v>
      </c>
      <c r="U6" s="88">
        <f>MARCH!T39</f>
        <v>0</v>
      </c>
      <c r="V6" s="88">
        <f>MARCH!U39</f>
        <v>9166.0052297873135</v>
      </c>
      <c r="W6" s="88">
        <f>MARCH!V39</f>
        <v>5005.3882592577365</v>
      </c>
      <c r="X6" s="88">
        <f>MARCH!W39</f>
        <v>1755.7802863946995</v>
      </c>
      <c r="Y6" s="88">
        <f>MARCH!X39</f>
        <v>958.59459765757731</v>
      </c>
      <c r="Z6" s="88">
        <f>MARCH!Y39</f>
        <v>2889.2785981485317</v>
      </c>
      <c r="AA6" s="88">
        <f>MARCH!Z39</f>
        <v>1560.3721904590652</v>
      </c>
      <c r="AB6" s="88">
        <f>MARCH!AA39</f>
        <v>0</v>
      </c>
      <c r="AC6" s="90">
        <f>MARCH!AB39</f>
        <v>2851.8911053530474</v>
      </c>
      <c r="AD6" s="90">
        <f>MARCH!AC39</f>
        <v>0</v>
      </c>
      <c r="AE6" s="84">
        <f>MARCH!AD40</f>
        <v>434.82561782494412</v>
      </c>
      <c r="AF6" s="84">
        <f>MARCH!AE40</f>
        <v>230.62077147724858</v>
      </c>
      <c r="AG6" s="84">
        <f t="shared" si="0"/>
        <v>665.44638930219276</v>
      </c>
      <c r="AH6" s="84">
        <f>MARCH!AF40</f>
        <v>653.00719775974756</v>
      </c>
      <c r="AI6" s="84">
        <f>MARCH!AG40</f>
        <v>417.33782795212664</v>
      </c>
      <c r="AJ6" s="84">
        <f>MARCH!AH40</f>
        <v>227.7859714811633</v>
      </c>
      <c r="AK6" s="76">
        <f>MARCH!AI40</f>
        <v>0.64691122590538086</v>
      </c>
    </row>
    <row r="7" spans="1:37" ht="15.75" customHeight="1" x14ac:dyDescent="0.25">
      <c r="A7" s="407"/>
      <c r="B7" s="75" t="s">
        <v>55</v>
      </c>
      <c r="C7" s="88">
        <f>APRIL!B39</f>
        <v>0</v>
      </c>
      <c r="D7" s="88">
        <f>APRIL!C39</f>
        <v>1393.7827871565025</v>
      </c>
      <c r="E7" s="88">
        <f>APRIL!D39</f>
        <v>18524.855634628937</v>
      </c>
      <c r="F7" s="88">
        <f>APRIL!E39</f>
        <v>313.7268157871564</v>
      </c>
      <c r="G7" s="88">
        <f>APRIL!F39</f>
        <v>0</v>
      </c>
      <c r="H7" s="88">
        <f>APRIL!G39</f>
        <v>33143.713548418687</v>
      </c>
      <c r="I7" s="88">
        <f>APRIL!H39</f>
        <v>515.42562642057794</v>
      </c>
      <c r="J7" s="88">
        <f>APRIL!I39</f>
        <v>2993.1768516135194</v>
      </c>
      <c r="K7" s="88">
        <f>APRIL!J39</f>
        <v>7774.8263285493867</v>
      </c>
      <c r="L7" s="89">
        <f>APRIL!K39</f>
        <v>427.20785479396579</v>
      </c>
      <c r="M7" s="88">
        <f>APRIL!L39</f>
        <v>0</v>
      </c>
      <c r="N7" s="88">
        <f>APRIL!M39</f>
        <v>0</v>
      </c>
      <c r="O7" s="88">
        <f>APRIL!N39</f>
        <v>0</v>
      </c>
      <c r="P7" s="88">
        <f>APRIL!O39</f>
        <v>0</v>
      </c>
      <c r="Q7" s="88">
        <f>APRIL!P39</f>
        <v>0</v>
      </c>
      <c r="R7" s="88">
        <f>APRIL!Q39</f>
        <v>0</v>
      </c>
      <c r="S7" s="88">
        <f>APRIL!R39</f>
        <v>0</v>
      </c>
      <c r="T7" s="88">
        <f>APRIL!S39</f>
        <v>0</v>
      </c>
      <c r="U7" s="88">
        <f>APRIL!T39</f>
        <v>0</v>
      </c>
      <c r="V7" s="88">
        <f>APRIL!U39</f>
        <v>4758.3181672324772</v>
      </c>
      <c r="W7" s="88">
        <f>APRIL!V39</f>
        <v>2866.5044416834967</v>
      </c>
      <c r="X7" s="88">
        <f>APRIL!W39</f>
        <v>907.00361901114627</v>
      </c>
      <c r="Y7" s="88">
        <f>APRIL!X39</f>
        <v>546.52839160610961</v>
      </c>
      <c r="Z7" s="88">
        <f>APRIL!Y39</f>
        <v>1299.1529753932127</v>
      </c>
      <c r="AA7" s="88">
        <f>APRIL!Z39</f>
        <v>780.9090956091112</v>
      </c>
      <c r="AB7" s="88">
        <f>APRIL!AA39</f>
        <v>0</v>
      </c>
      <c r="AC7" s="90">
        <f>APRIL!AB39</f>
        <v>1588.7465626673004</v>
      </c>
      <c r="AD7" s="90">
        <f>APRIL!AC39</f>
        <v>0</v>
      </c>
      <c r="AE7" s="84">
        <f>APRIL!AD40</f>
        <v>219.69402753508152</v>
      </c>
      <c r="AF7" s="84">
        <f>APRIL!AE40</f>
        <v>129.13567105441538</v>
      </c>
      <c r="AG7" s="84">
        <f t="shared" si="0"/>
        <v>348.8296985894969</v>
      </c>
      <c r="AH7" s="84">
        <f>APRIL!AF40</f>
        <v>340.36159930722579</v>
      </c>
      <c r="AI7" s="84">
        <f>APRIL!AG40</f>
        <v>209.34571198520709</v>
      </c>
      <c r="AJ7" s="84">
        <f>APRIL!AH40</f>
        <v>126.30215957310068</v>
      </c>
      <c r="AK7" s="76">
        <f>APRIL!AI40</f>
        <v>0.62370635932616114</v>
      </c>
    </row>
    <row r="8" spans="1:37" ht="15.75" customHeight="1" x14ac:dyDescent="0.25">
      <c r="A8" s="407"/>
      <c r="B8" s="75" t="s">
        <v>56</v>
      </c>
      <c r="C8" s="88">
        <f>MAY!B39</f>
        <v>0</v>
      </c>
      <c r="D8" s="88">
        <f>MAY!C39</f>
        <v>1612.4464927808463</v>
      </c>
      <c r="E8" s="88">
        <f>MAY!D39</f>
        <v>18537.869408527229</v>
      </c>
      <c r="F8" s="88">
        <f>MAY!E39</f>
        <v>379.45138120045232</v>
      </c>
      <c r="G8" s="88">
        <f>MAY!F39</f>
        <v>0</v>
      </c>
      <c r="H8" s="88">
        <f>MAY!G39</f>
        <v>71611.777939249689</v>
      </c>
      <c r="I8" s="88">
        <f>MAY!H39</f>
        <v>572.82147227247617</v>
      </c>
      <c r="J8" s="88">
        <f>MAY!I39</f>
        <v>7645.0951047945046</v>
      </c>
      <c r="K8" s="88">
        <f>MAY!J39</f>
        <v>18751.560014219278</v>
      </c>
      <c r="L8" s="89">
        <f>MAY!K39</f>
        <v>1027.77840619723</v>
      </c>
      <c r="M8" s="88">
        <f>MAY!L39</f>
        <v>0</v>
      </c>
      <c r="N8" s="88">
        <f>MAY!M39</f>
        <v>0</v>
      </c>
      <c r="O8" s="88">
        <f>MAY!N39</f>
        <v>0</v>
      </c>
      <c r="P8" s="88">
        <f>MAY!O39</f>
        <v>0</v>
      </c>
      <c r="Q8" s="88">
        <f>MAY!P39</f>
        <v>0</v>
      </c>
      <c r="R8" s="88">
        <f>MAY!Q39</f>
        <v>0</v>
      </c>
      <c r="S8" s="88">
        <f>MAY!R39</f>
        <v>0</v>
      </c>
      <c r="T8" s="88">
        <f>MAY!S39</f>
        <v>0</v>
      </c>
      <c r="U8" s="88">
        <f>MAY!T39</f>
        <v>0</v>
      </c>
      <c r="V8" s="88">
        <f>MAY!U39</f>
        <v>9339.7558465779712</v>
      </c>
      <c r="W8" s="88">
        <f>MAY!V39</f>
        <v>3111.9483942400311</v>
      </c>
      <c r="X8" s="88">
        <f>MAY!W39</f>
        <v>1781.3647384784779</v>
      </c>
      <c r="Y8" s="88">
        <f>MAY!X39</f>
        <v>598.01310856519569</v>
      </c>
      <c r="Z8" s="88">
        <f>MAY!Y39</f>
        <v>8174.1356888998898</v>
      </c>
      <c r="AA8" s="88">
        <f>MAY!Z39</f>
        <v>3007.6310947396969</v>
      </c>
      <c r="AB8" s="88">
        <f>MAY!AA39</f>
        <v>0</v>
      </c>
      <c r="AC8" s="90">
        <f>MAY!AB39</f>
        <v>2598.0310182668122</v>
      </c>
      <c r="AD8" s="90">
        <f>MAY!AC39</f>
        <v>0</v>
      </c>
      <c r="AE8" s="84">
        <f>MAY!AD40</f>
        <v>449.78409784102229</v>
      </c>
      <c r="AF8" s="84">
        <f>MAY!AE40</f>
        <v>149.65514246207832</v>
      </c>
      <c r="AG8" s="84">
        <f t="shared" si="0"/>
        <v>599.43924030310063</v>
      </c>
      <c r="AH8" s="84">
        <f>MAY!AF40</f>
        <v>562.05632552206521</v>
      </c>
      <c r="AI8" s="84">
        <f>MAY!AG40</f>
        <v>415.62441200358597</v>
      </c>
      <c r="AJ8" s="84">
        <f>MAY!AH40</f>
        <v>139.96119786574712</v>
      </c>
      <c r="AK8" s="76">
        <f>MAY!AI40</f>
        <v>0.74808347196273806</v>
      </c>
    </row>
    <row r="9" spans="1:37" ht="15.75" customHeight="1" x14ac:dyDescent="0.25">
      <c r="A9" s="407"/>
      <c r="B9" s="75" t="s">
        <v>57</v>
      </c>
      <c r="C9" s="88">
        <f>JUNE!B38</f>
        <v>0</v>
      </c>
      <c r="D9" s="88">
        <f>JUNE!C38</f>
        <v>2340.1534519092211</v>
      </c>
      <c r="E9" s="88">
        <f>JUNE!D38</f>
        <v>26312.440147546156</v>
      </c>
      <c r="F9" s="88">
        <f>JUNE!E38</f>
        <v>552.04718246807658</v>
      </c>
      <c r="G9" s="88">
        <f>JUNE!F38</f>
        <v>0</v>
      </c>
      <c r="H9" s="88">
        <f>JUNE!G38</f>
        <v>60708.779854482018</v>
      </c>
      <c r="I9" s="88">
        <f>JUNE!H38</f>
        <v>886.55215676546209</v>
      </c>
      <c r="J9" s="88">
        <f>JUNE!I38</f>
        <v>5189.5521060689271</v>
      </c>
      <c r="K9" s="88">
        <f>JUNE!J38</f>
        <v>11468.975753936771</v>
      </c>
      <c r="L9" s="89">
        <f>JUNE!K38</f>
        <v>629.13742842892793</v>
      </c>
      <c r="M9" s="88">
        <f>JUNE!L38</f>
        <v>0</v>
      </c>
      <c r="N9" s="88">
        <f>JUNE!M38</f>
        <v>0</v>
      </c>
      <c r="O9" s="88">
        <f>JUNE!N38</f>
        <v>0</v>
      </c>
      <c r="P9" s="88">
        <f>JUNE!O38</f>
        <v>0</v>
      </c>
      <c r="Q9" s="88">
        <f>JUNE!P38</f>
        <v>0</v>
      </c>
      <c r="R9" s="88">
        <f>JUNE!Q38</f>
        <v>0</v>
      </c>
      <c r="S9" s="88">
        <f>JUNE!R38</f>
        <v>0</v>
      </c>
      <c r="T9" s="88">
        <f>JUNE!S38</f>
        <v>0</v>
      </c>
      <c r="U9" s="88">
        <f>JUNE!T38</f>
        <v>0</v>
      </c>
      <c r="V9" s="88">
        <f>JUNE!U38</f>
        <v>6738.9349823045713</v>
      </c>
      <c r="W9" s="88">
        <f>JUNE!V38</f>
        <v>4991.376534838706</v>
      </c>
      <c r="X9" s="88">
        <f>JUNE!W38</f>
        <v>1282.3996147783198</v>
      </c>
      <c r="Y9" s="88">
        <f>JUNE!X38</f>
        <v>946.91997504635754</v>
      </c>
      <c r="Z9" s="88">
        <f>JUNE!Y38</f>
        <v>4973.3230450567753</v>
      </c>
      <c r="AA9" s="88">
        <f>JUNE!Z38</f>
        <v>3650.3509508592706</v>
      </c>
      <c r="AB9" s="88">
        <f>JUNE!AA38</f>
        <v>0</v>
      </c>
      <c r="AC9" s="90">
        <f>JUNE!AB38</f>
        <v>2301.0305734369535</v>
      </c>
      <c r="AD9" s="90">
        <f>JUNE!AC38</f>
        <v>0</v>
      </c>
      <c r="AE9" s="84">
        <f>JUNE!AD39</f>
        <v>318.61352698324828</v>
      </c>
      <c r="AF9" s="84">
        <f>JUNE!AE39</f>
        <v>221.3420481846224</v>
      </c>
      <c r="AG9" s="84">
        <f t="shared" si="0"/>
        <v>539.95557516787062</v>
      </c>
      <c r="AH9" s="84">
        <f>JUNE!AF39</f>
        <v>522.82931916899133</v>
      </c>
      <c r="AI9" s="84">
        <f>JUNE!AG39</f>
        <v>295.85501750270817</v>
      </c>
      <c r="AJ9" s="84">
        <f>JUNE!AH39</f>
        <v>218.0127827557672</v>
      </c>
      <c r="AK9" s="76">
        <f>JUNE!AI39</f>
        <v>0.57574149879383985</v>
      </c>
    </row>
    <row r="10" spans="1:37" ht="15.75" customHeight="1" x14ac:dyDescent="0.25">
      <c r="A10" s="407"/>
      <c r="B10" s="75" t="s">
        <v>58</v>
      </c>
      <c r="C10" s="88">
        <f>JULY!B39</f>
        <v>0</v>
      </c>
      <c r="D10" s="88">
        <f>JULY!C39</f>
        <v>2380.3044998415303</v>
      </c>
      <c r="E10" s="88">
        <f>JULY!D39</f>
        <v>25025.890146458951</v>
      </c>
      <c r="F10" s="88">
        <f>JULY!E39</f>
        <v>557.30327789008641</v>
      </c>
      <c r="G10" s="88">
        <f>JULY!F39</f>
        <v>0</v>
      </c>
      <c r="H10" s="88">
        <f>JULY!G39</f>
        <v>40475.478620796268</v>
      </c>
      <c r="I10" s="88">
        <f>JULY!H39</f>
        <v>899.05175967494722</v>
      </c>
      <c r="J10" s="88">
        <f>JULY!I39</f>
        <v>6583.8109134483338</v>
      </c>
      <c r="K10" s="88">
        <f>JULY!J39</f>
        <v>14601.312085088093</v>
      </c>
      <c r="L10" s="89">
        <f>JULY!K39</f>
        <v>801.47420728623854</v>
      </c>
      <c r="M10" s="88">
        <f>JULY!L39</f>
        <v>0</v>
      </c>
      <c r="N10" s="88">
        <f>JULY!M39</f>
        <v>0</v>
      </c>
      <c r="O10" s="88">
        <f>JULY!N39</f>
        <v>0</v>
      </c>
      <c r="P10" s="88">
        <f>JULY!O39</f>
        <v>0</v>
      </c>
      <c r="Q10" s="88">
        <f>JULY!P39</f>
        <v>0</v>
      </c>
      <c r="R10" s="88">
        <f>JULY!Q39</f>
        <v>0</v>
      </c>
      <c r="S10" s="88">
        <f>JULY!R39</f>
        <v>0</v>
      </c>
      <c r="T10" s="88">
        <f>JULY!S39</f>
        <v>0</v>
      </c>
      <c r="U10" s="88">
        <f>JULY!T39</f>
        <v>0</v>
      </c>
      <c r="V10" s="88">
        <f>JULY!U39</f>
        <v>8575.9023356688685</v>
      </c>
      <c r="W10" s="88">
        <f>JULY!V39</f>
        <v>5029.5659291567472</v>
      </c>
      <c r="X10" s="88">
        <f>JULY!W39</f>
        <v>1637.1996921334303</v>
      </c>
      <c r="Y10" s="88">
        <f>JULY!X39</f>
        <v>954.00424004141087</v>
      </c>
      <c r="Z10" s="88">
        <f>JULY!Y39</f>
        <v>7006.2952951451362</v>
      </c>
      <c r="AA10" s="88">
        <f>JULY!Z39</f>
        <v>3802.2291165204615</v>
      </c>
      <c r="AB10" s="88">
        <f>JULY!AA39</f>
        <v>0</v>
      </c>
      <c r="AC10" s="90">
        <f>JULY!AB39</f>
        <v>2690.9168459341226</v>
      </c>
      <c r="AD10" s="90">
        <f>JULY!AC39</f>
        <v>0</v>
      </c>
      <c r="AE10" s="84">
        <f>JULY!AD40</f>
        <v>423.8897937959635</v>
      </c>
      <c r="AF10" s="84">
        <f>JULY!AE40</f>
        <v>231.65612789185317</v>
      </c>
      <c r="AG10" s="84">
        <f t="shared" si="0"/>
        <v>655.54592168781664</v>
      </c>
      <c r="AH10" s="84">
        <f>JULY!AF40</f>
        <v>611.36749908698914</v>
      </c>
      <c r="AI10" s="84">
        <f>JULY!AG40</f>
        <v>380.64181309492574</v>
      </c>
      <c r="AJ10" s="84">
        <f>JULY!AH40</f>
        <v>220.28066503223596</v>
      </c>
      <c r="AK10" s="76">
        <f>JULY!AI40</f>
        <v>0.63342914760192714</v>
      </c>
    </row>
    <row r="11" spans="1:37" ht="15.75" customHeight="1" x14ac:dyDescent="0.25">
      <c r="A11" s="407"/>
      <c r="B11" s="75" t="s">
        <v>59</v>
      </c>
      <c r="C11" s="88">
        <f>AUGUST!B39</f>
        <v>0</v>
      </c>
      <c r="D11" s="88">
        <f>AUGUST!C39</f>
        <v>2645.2188114388782</v>
      </c>
      <c r="E11" s="88">
        <f>AUGUST!D39</f>
        <v>28393.053286806742</v>
      </c>
      <c r="F11" s="88">
        <f>AUGUST!E39</f>
        <v>621.32423129647987</v>
      </c>
      <c r="G11" s="88">
        <f>AUGUST!F39</f>
        <v>0</v>
      </c>
      <c r="H11" s="88">
        <f>AUGUST!G39</f>
        <v>45624.561522153235</v>
      </c>
      <c r="I11" s="88">
        <f>AUGUST!H39</f>
        <v>1001.3090095798182</v>
      </c>
      <c r="J11" s="88">
        <f>AUGUST!I39</f>
        <v>7978.9014472516365</v>
      </c>
      <c r="K11" s="88">
        <f>AUGUST!J39</f>
        <v>20388.574428218206</v>
      </c>
      <c r="L11" s="89">
        <f>AUGUST!K39</f>
        <v>1118.7982971969248</v>
      </c>
      <c r="M11" s="88">
        <f>AUGUST!L39</f>
        <v>0</v>
      </c>
      <c r="N11" s="88">
        <f>AUGUST!M39</f>
        <v>0</v>
      </c>
      <c r="O11" s="88">
        <f>AUGUST!N39</f>
        <v>0</v>
      </c>
      <c r="P11" s="88">
        <f>AUGUST!O39</f>
        <v>0</v>
      </c>
      <c r="Q11" s="88">
        <f>AUGUST!P39</f>
        <v>0</v>
      </c>
      <c r="R11" s="88">
        <f>AUGUST!Q39</f>
        <v>0</v>
      </c>
      <c r="S11" s="88">
        <f>AUGUST!R39</f>
        <v>0</v>
      </c>
      <c r="T11" s="88">
        <f>AUGUST!S39</f>
        <v>0</v>
      </c>
      <c r="U11" s="88">
        <f>AUGUST!T39</f>
        <v>0</v>
      </c>
      <c r="V11" s="88">
        <f>AUGUST!U39</f>
        <v>12810.177786289554</v>
      </c>
      <c r="W11" s="88">
        <f>AUGUST!V39</f>
        <v>5437.8891994722944</v>
      </c>
      <c r="X11" s="88">
        <f>AUGUST!W39</f>
        <v>2388.0678005303216</v>
      </c>
      <c r="Y11" s="88">
        <f>AUGUST!X39</f>
        <v>1011.3709136671544</v>
      </c>
      <c r="Z11" s="88">
        <f>AUGUST!Y39</f>
        <v>12770.543066376595</v>
      </c>
      <c r="AA11" s="88">
        <f>AUGUST!Z39</f>
        <v>5347.4171461147598</v>
      </c>
      <c r="AB11" s="88">
        <f>AUGUST!AA39</f>
        <v>0</v>
      </c>
      <c r="AC11" s="90">
        <f>AUGUST!AB39</f>
        <v>3828.596415863035</v>
      </c>
      <c r="AD11" s="90">
        <f>AUGUST!AC39</f>
        <v>0</v>
      </c>
      <c r="AE11" s="84">
        <f>AUGUST!AD40</f>
        <v>607.31573397178363</v>
      </c>
      <c r="AF11" s="84">
        <f>AUGUST!AE40</f>
        <v>249.80351790409148</v>
      </c>
      <c r="AG11" s="84">
        <f t="shared" si="0"/>
        <v>857.11925187587508</v>
      </c>
      <c r="AH11" s="84">
        <f>AUGUST!AF40</f>
        <v>839.13119230932671</v>
      </c>
      <c r="AI11" s="84">
        <f>AUGUST!AG40</f>
        <v>580.58133964069293</v>
      </c>
      <c r="AJ11" s="84">
        <f>AUGUST!AH40</f>
        <v>245.53178409238944</v>
      </c>
      <c r="AK11" s="76">
        <f>AUGUST!AI40</f>
        <v>0.70278672855011937</v>
      </c>
    </row>
    <row r="12" spans="1:37" ht="15.75" customHeight="1" x14ac:dyDescent="0.25">
      <c r="A12" s="407"/>
      <c r="B12" s="75" t="s">
        <v>60</v>
      </c>
      <c r="C12" s="88">
        <f>SEPTEMBER!B39</f>
        <v>0</v>
      </c>
      <c r="D12" s="88">
        <f>SEPTEMBER!C39</f>
        <v>2515.9147677771221</v>
      </c>
      <c r="E12" s="88">
        <f>SEPTEMBER!D39</f>
        <v>27225.963563836409</v>
      </c>
      <c r="F12" s="88">
        <f>SEPTEMBER!E39</f>
        <v>599.17332080811263</v>
      </c>
      <c r="G12" s="88">
        <f>SEPTEMBER!F39</f>
        <v>0</v>
      </c>
      <c r="H12" s="88">
        <f>SEPTEMBER!G39</f>
        <v>50097.762592595449</v>
      </c>
      <c r="I12" s="88">
        <f>SEPTEMBER!H39</f>
        <v>952.86407356659674</v>
      </c>
      <c r="J12" s="88">
        <f>SEPTEMBER!I39</f>
        <v>8063.1907997671742</v>
      </c>
      <c r="K12" s="88">
        <f>SEPTEMBER!J39</f>
        <v>18740.386406135567</v>
      </c>
      <c r="L12" s="89">
        <f>SEPTEMBER!K39</f>
        <v>1026.7650490170715</v>
      </c>
      <c r="M12" s="88">
        <f>SEPTEMBER!L39</f>
        <v>0</v>
      </c>
      <c r="N12" s="88">
        <f>SEPTEMBER!M39</f>
        <v>0</v>
      </c>
      <c r="O12" s="88">
        <f>SEPTEMBER!N39</f>
        <v>0</v>
      </c>
      <c r="P12" s="88">
        <f>SEPTEMBER!O39</f>
        <v>0</v>
      </c>
      <c r="Q12" s="88">
        <f>SEPTEMBER!P39</f>
        <v>0</v>
      </c>
      <c r="R12" s="88">
        <f>SEPTEMBER!Q39</f>
        <v>0</v>
      </c>
      <c r="S12" s="88">
        <f>SEPTEMBER!R39</f>
        <v>0</v>
      </c>
      <c r="T12" s="88">
        <f>SEPTEMBER!S39</f>
        <v>0</v>
      </c>
      <c r="U12" s="88">
        <f>SEPTEMBER!T39</f>
        <v>0</v>
      </c>
      <c r="V12" s="88">
        <f>SEPTEMBER!U39</f>
        <v>10529.417139538784</v>
      </c>
      <c r="W12" s="88">
        <f>SEPTEMBER!V39</f>
        <v>4919.2116576575054</v>
      </c>
      <c r="X12" s="88">
        <f>SEPTEMBER!W39</f>
        <v>1881.0350889136507</v>
      </c>
      <c r="Y12" s="88">
        <f>SEPTEMBER!X39</f>
        <v>877.98226090966534</v>
      </c>
      <c r="Z12" s="88">
        <f>SEPTEMBER!Y39</f>
        <v>12228.092862409851</v>
      </c>
      <c r="AA12" s="88">
        <f>SEPTEMBER!Z39</f>
        <v>5704.0835660480398</v>
      </c>
      <c r="AB12" s="88">
        <f>SEPTEMBER!AA39</f>
        <v>0</v>
      </c>
      <c r="AC12" s="90">
        <f>SEPTEMBER!AB39</f>
        <v>3592.8540858989281</v>
      </c>
      <c r="AD12" s="90">
        <f>SEPTEMBER!AC39</f>
        <v>0</v>
      </c>
      <c r="AE12" s="84">
        <f>SEPTEMBER!AD40</f>
        <v>524.43928239727529</v>
      </c>
      <c r="AF12" s="84">
        <f>SEPTEMBER!AE40</f>
        <v>237.57772999634733</v>
      </c>
      <c r="AG12" s="84">
        <f t="shared" si="0"/>
        <v>762.01701239362262</v>
      </c>
      <c r="AH12" s="84">
        <f>SEPTEMBER!AF40</f>
        <v>744.67646503567687</v>
      </c>
      <c r="AI12" s="84">
        <f>SEPTEMBER!AG40</f>
        <v>498.69912608811154</v>
      </c>
      <c r="AJ12" s="84">
        <f>SEPTEMBER!AH40</f>
        <v>233.20102105349309</v>
      </c>
      <c r="AK12" s="76">
        <f>SEPTEMBER!AI40</f>
        <v>0.68137590631147338</v>
      </c>
    </row>
    <row r="13" spans="1:37" ht="15.75" customHeight="1" x14ac:dyDescent="0.25">
      <c r="A13" s="407"/>
      <c r="B13" s="75" t="s">
        <v>61</v>
      </c>
      <c r="C13" s="88">
        <f>OCTOBER!B39</f>
        <v>0</v>
      </c>
      <c r="D13" s="88">
        <f>OCTOBER!C39</f>
        <v>735.73468847274683</v>
      </c>
      <c r="E13" s="88">
        <f>OCTOBER!D39</f>
        <v>8288.0006216430684</v>
      </c>
      <c r="F13" s="88">
        <f>OCTOBER!E39</f>
        <v>171.97741466661304</v>
      </c>
      <c r="G13" s="88">
        <f>OCTOBER!F39</f>
        <v>0</v>
      </c>
      <c r="H13" s="88">
        <f>OCTOBER!G39</f>
        <v>15472.199503580738</v>
      </c>
      <c r="I13" s="88">
        <f>OCTOBER!H39</f>
        <v>278.22871483047822</v>
      </c>
      <c r="J13" s="88">
        <f>OCTOBER!I39</f>
        <v>4098.7912123211217</v>
      </c>
      <c r="K13" s="88">
        <f>OCTOBER!J39</f>
        <v>8870.024983263811</v>
      </c>
      <c r="L13" s="89">
        <f>OCTOBER!K39</f>
        <v>486.37414621273655</v>
      </c>
      <c r="M13" s="88">
        <f>OCTOBER!L39</f>
        <v>0</v>
      </c>
      <c r="N13" s="88">
        <f>OCTOBER!M39</f>
        <v>0</v>
      </c>
      <c r="O13" s="88">
        <f>OCTOBER!N39</f>
        <v>0</v>
      </c>
      <c r="P13" s="88">
        <f>OCTOBER!O39</f>
        <v>0</v>
      </c>
      <c r="Q13" s="88">
        <f>OCTOBER!P39</f>
        <v>0</v>
      </c>
      <c r="R13" s="88">
        <f>OCTOBER!Q39</f>
        <v>0</v>
      </c>
      <c r="S13" s="88">
        <f>OCTOBER!R39</f>
        <v>0</v>
      </c>
      <c r="T13" s="88">
        <f>OCTOBER!S39</f>
        <v>0</v>
      </c>
      <c r="U13" s="88">
        <f>OCTOBER!T39</f>
        <v>0</v>
      </c>
      <c r="V13" s="88">
        <f>OCTOBER!U39</f>
        <v>4671.1797576715035</v>
      </c>
      <c r="W13" s="88">
        <f>OCTOBER!V39</f>
        <v>11140.005795428848</v>
      </c>
      <c r="X13" s="88">
        <f>OCTOBER!W39</f>
        <v>812.23228800821607</v>
      </c>
      <c r="Y13" s="88">
        <f>OCTOBER!X39</f>
        <v>239.944375744181</v>
      </c>
      <c r="Z13" s="88">
        <f>OCTOBER!Y39</f>
        <v>3220.1076872013095</v>
      </c>
      <c r="AA13" s="88">
        <f>OCTOBER!Z39</f>
        <v>1048.5535583561582</v>
      </c>
      <c r="AB13" s="88">
        <f>OCTOBER!AA39</f>
        <v>0</v>
      </c>
      <c r="AC13" s="90">
        <f>OCTOBER!AB39</f>
        <v>3728.6486468774638</v>
      </c>
      <c r="AD13" s="90">
        <f>OCTOBER!AC39</f>
        <v>0</v>
      </c>
      <c r="AE13" s="84">
        <f>OCTOBER!AD40</f>
        <v>238.52216308542862</v>
      </c>
      <c r="AF13" s="84">
        <f>OCTOBER!AE40</f>
        <v>69.545922742644549</v>
      </c>
      <c r="AG13" s="84">
        <f t="shared" si="0"/>
        <v>308.06808582807315</v>
      </c>
      <c r="AH13" s="84">
        <f>OCTOBER!AF40</f>
        <v>289.41223506675829</v>
      </c>
      <c r="AI13" s="84">
        <f>OCTOBER!AG40</f>
        <v>215.37678278035702</v>
      </c>
      <c r="AJ13" s="84">
        <f>OCTOBER!AH40</f>
        <v>67.912280502614536</v>
      </c>
      <c r="AK13" s="76">
        <f>OCTOBER!AI40</f>
        <v>0.76027214141063271</v>
      </c>
    </row>
    <row r="14" spans="1:37" ht="15.75" customHeight="1" x14ac:dyDescent="0.25">
      <c r="A14" s="407"/>
      <c r="B14" s="75" t="s">
        <v>62</v>
      </c>
      <c r="C14" s="88">
        <f>NOVEMBER!B39</f>
        <v>0</v>
      </c>
      <c r="D14" s="88">
        <f>NOVEMBER!C39</f>
        <v>1140.8491122047139</v>
      </c>
      <c r="E14" s="88">
        <f>NOVEMBER!D39</f>
        <v>15097.236616665121</v>
      </c>
      <c r="F14" s="88">
        <f>NOVEMBER!E39</f>
        <v>262.81052284489061</v>
      </c>
      <c r="G14" s="88">
        <f>NOVEMBER!F39</f>
        <v>0</v>
      </c>
      <c r="H14" s="88">
        <f>NOVEMBER!G39</f>
        <v>35747.926365343701</v>
      </c>
      <c r="I14" s="88">
        <f>NOVEMBER!H39</f>
        <v>371.23507579267039</v>
      </c>
      <c r="J14" s="88">
        <f>NOVEMBER!I39</f>
        <v>6347.1240603129017</v>
      </c>
      <c r="K14" s="88">
        <f>NOVEMBER!J39</f>
        <v>11885.691498740514</v>
      </c>
      <c r="L14" s="89">
        <f>NOVEMBER!K39</f>
        <v>652.12299123108437</v>
      </c>
      <c r="M14" s="88">
        <f>NOVEMBER!L39</f>
        <v>0</v>
      </c>
      <c r="N14" s="88">
        <f>NOVEMBER!M39</f>
        <v>0</v>
      </c>
      <c r="O14" s="88">
        <f>NOVEMBER!N39</f>
        <v>0</v>
      </c>
      <c r="P14" s="88">
        <f>NOVEMBER!O39</f>
        <v>0</v>
      </c>
      <c r="Q14" s="88">
        <f>NOVEMBER!P39</f>
        <v>0</v>
      </c>
      <c r="R14" s="88">
        <f>NOVEMBER!Q39</f>
        <v>0</v>
      </c>
      <c r="S14" s="88">
        <f>NOVEMBER!R39</f>
        <v>0</v>
      </c>
      <c r="T14" s="88">
        <f>NOVEMBER!S39</f>
        <v>0</v>
      </c>
      <c r="U14" s="88">
        <f>NOVEMBER!T39</f>
        <v>0</v>
      </c>
      <c r="V14" s="88">
        <f>NOVEMBER!U39</f>
        <v>8203.3970644365727</v>
      </c>
      <c r="W14" s="88">
        <f>NOVEMBER!V39</f>
        <v>2059.4972125294239</v>
      </c>
      <c r="X14" s="88">
        <f>NOVEMBER!W39</f>
        <v>1443.9957967062351</v>
      </c>
      <c r="Y14" s="88">
        <f>NOVEMBER!X39</f>
        <v>371.46379622424064</v>
      </c>
      <c r="Z14" s="88">
        <f>NOVEMBER!Y39</f>
        <v>4448.4624323514217</v>
      </c>
      <c r="AA14" s="88">
        <f>NOVEMBER!Z39</f>
        <v>857.62463129489481</v>
      </c>
      <c r="AB14" s="88">
        <f>NOVEMBER!AA39</f>
        <v>0</v>
      </c>
      <c r="AC14" s="90">
        <f>NOVEMBER!AB39</f>
        <v>2378.4402128749484</v>
      </c>
      <c r="AD14" s="90">
        <f>NOVEMBER!AC39</f>
        <v>0</v>
      </c>
      <c r="AE14" s="84">
        <f>NOVEMBER!AD40</f>
        <v>373.6591890166186</v>
      </c>
      <c r="AF14" s="84">
        <f>NOVEMBER!AE40</f>
        <v>104.10418700899315</v>
      </c>
      <c r="AG14" s="84">
        <f t="shared" si="0"/>
        <v>477.76337602561176</v>
      </c>
      <c r="AH14" s="84">
        <f>NOVEMBER!AF40</f>
        <v>448.06765583289962</v>
      </c>
      <c r="AI14" s="84">
        <f>NOVEMBER!AG40</f>
        <v>349.93467091355063</v>
      </c>
      <c r="AJ14" s="84">
        <f>NOVEMBER!AH40</f>
        <v>90.397616358815441</v>
      </c>
      <c r="AK14" s="76">
        <f>NOVEMBER!AI40</f>
        <v>0.79470590966930321</v>
      </c>
    </row>
    <row r="15" spans="1:37" ht="15.75" customHeight="1" x14ac:dyDescent="0.25">
      <c r="A15" s="408"/>
      <c r="B15" s="77" t="s">
        <v>63</v>
      </c>
      <c r="C15" s="91">
        <f>DECEMBER!B39</f>
        <v>0</v>
      </c>
      <c r="D15" s="91">
        <f>DECEMBER!C39</f>
        <v>2135.7362469116879</v>
      </c>
      <c r="E15" s="91">
        <f>DECEMBER!D39</f>
        <v>29256.661047363261</v>
      </c>
      <c r="F15" s="91">
        <f>DECEMBER!E39</f>
        <v>496.71898943781775</v>
      </c>
      <c r="G15" s="91">
        <f>DECEMBER!F39</f>
        <v>0</v>
      </c>
      <c r="H15" s="91">
        <f>DECEMBER!G39</f>
        <v>69624.498343276951</v>
      </c>
      <c r="I15" s="91">
        <f>DECEMBER!H39</f>
        <v>809.618063478669</v>
      </c>
      <c r="J15" s="91">
        <f>DECEMBER!I39</f>
        <v>4451.6231227239005</v>
      </c>
      <c r="K15" s="91">
        <f>DECEMBER!J39</f>
        <v>9202.9151049931861</v>
      </c>
      <c r="L15" s="92">
        <f>DECEMBER!K39</f>
        <v>504.49274388949118</v>
      </c>
      <c r="M15" s="91">
        <f>DECEMBER!L39</f>
        <v>0</v>
      </c>
      <c r="N15" s="91">
        <f>DECEMBER!M39</f>
        <v>0</v>
      </c>
      <c r="O15" s="91">
        <f>DECEMBER!N39</f>
        <v>0</v>
      </c>
      <c r="P15" s="91">
        <f>DECEMBER!O39</f>
        <v>0</v>
      </c>
      <c r="Q15" s="91">
        <f>DECEMBER!P39</f>
        <v>0</v>
      </c>
      <c r="R15" s="91">
        <f>DECEMBER!Q39</f>
        <v>0</v>
      </c>
      <c r="S15" s="91">
        <f>DECEMBER!R39</f>
        <v>0</v>
      </c>
      <c r="T15" s="91">
        <f>DECEMBER!S39</f>
        <v>0</v>
      </c>
      <c r="U15" s="91">
        <f>DECEMBER!T39</f>
        <v>0</v>
      </c>
      <c r="V15" s="91">
        <f>DECEMBER!U39</f>
        <v>6146.8807045662752</v>
      </c>
      <c r="W15" s="91">
        <f>DECEMBER!V39</f>
        <v>4458.9791081702415</v>
      </c>
      <c r="X15" s="91">
        <f>DECEMBER!W39</f>
        <v>1103.8900570084957</v>
      </c>
      <c r="Y15" s="91">
        <f>DECEMBER!X39</f>
        <v>800.45680903491393</v>
      </c>
      <c r="Z15" s="91">
        <f>DECEMBER!Y39</f>
        <v>1844.6059930744539</v>
      </c>
      <c r="AA15" s="91">
        <f>DECEMBER!Z39</f>
        <v>1335.8780260301869</v>
      </c>
      <c r="AB15" s="91">
        <f>DECEMBER!AA39</f>
        <v>0</v>
      </c>
      <c r="AC15" s="93">
        <f>DECEMBER!AB39</f>
        <v>2041.589170071813</v>
      </c>
      <c r="AD15" s="93">
        <f>DECEMBER!AC39</f>
        <v>0</v>
      </c>
      <c r="AE15" s="85">
        <f>DECEMBER!AD40</f>
        <v>289.34690686346715</v>
      </c>
      <c r="AF15" s="85">
        <f>DECEMBER!AE40</f>
        <v>201.80844126479107</v>
      </c>
      <c r="AG15" s="85">
        <f t="shared" si="0"/>
        <v>491.1553481282582</v>
      </c>
      <c r="AH15" s="85">
        <f>DECEMBER!AF40</f>
        <v>482.27533246212499</v>
      </c>
      <c r="AI15" s="85">
        <f>DECEMBER!AG40</f>
        <v>274.17873540655899</v>
      </c>
      <c r="AJ15" s="85">
        <f>DECEMBER!AH40</f>
        <v>198.71705976004017</v>
      </c>
      <c r="AK15" s="78">
        <f>DECEMBER!AI40</f>
        <v>0.57978679068179706</v>
      </c>
    </row>
    <row r="16" spans="1:37" ht="15.75" customHeight="1" x14ac:dyDescent="0.25">
      <c r="A16" s="411" t="s">
        <v>160</v>
      </c>
      <c r="B16" s="412"/>
      <c r="C16" s="127" t="s">
        <v>100</v>
      </c>
      <c r="D16" s="127" t="s">
        <v>100</v>
      </c>
      <c r="E16" s="127" t="s">
        <v>100</v>
      </c>
      <c r="F16" s="127" t="s">
        <v>100</v>
      </c>
      <c r="G16" s="127" t="s">
        <v>100</v>
      </c>
      <c r="H16" s="127" t="s">
        <v>101</v>
      </c>
      <c r="I16" s="127" t="s">
        <v>100</v>
      </c>
      <c r="J16" s="127" t="s">
        <v>100</v>
      </c>
      <c r="K16" s="127" t="s">
        <v>100</v>
      </c>
      <c r="L16" s="129" t="s">
        <v>100</v>
      </c>
      <c r="M16" s="129" t="s">
        <v>100</v>
      </c>
      <c r="N16" s="129" t="s">
        <v>100</v>
      </c>
      <c r="O16" s="129" t="s">
        <v>100</v>
      </c>
      <c r="P16" s="129" t="s">
        <v>100</v>
      </c>
      <c r="Q16" s="129" t="s">
        <v>100</v>
      </c>
      <c r="R16" s="129" t="s">
        <v>100</v>
      </c>
      <c r="S16" s="129" t="s">
        <v>100</v>
      </c>
      <c r="T16" s="129" t="s">
        <v>100</v>
      </c>
      <c r="U16" s="129" t="s">
        <v>100</v>
      </c>
      <c r="V16" s="127" t="s">
        <v>101</v>
      </c>
      <c r="W16" s="127" t="s">
        <v>101</v>
      </c>
      <c r="X16" s="129" t="s">
        <v>100</v>
      </c>
      <c r="Y16" s="129" t="s">
        <v>100</v>
      </c>
      <c r="Z16" s="129" t="s">
        <v>100</v>
      </c>
      <c r="AA16" s="129" t="s">
        <v>100</v>
      </c>
      <c r="AB16" s="129" t="s">
        <v>100</v>
      </c>
      <c r="AC16" s="127" t="s">
        <v>101</v>
      </c>
      <c r="AD16" s="158" t="s">
        <v>100</v>
      </c>
      <c r="AE16" s="225" t="s">
        <v>28</v>
      </c>
      <c r="AF16" s="225" t="s">
        <v>28</v>
      </c>
      <c r="AG16" s="225" t="s">
        <v>28</v>
      </c>
      <c r="AH16" s="225" t="s">
        <v>28</v>
      </c>
      <c r="AI16" s="225" t="s">
        <v>28</v>
      </c>
      <c r="AJ16" s="225" t="s">
        <v>28</v>
      </c>
      <c r="AK16" s="226" t="s">
        <v>34</v>
      </c>
    </row>
    <row r="17" spans="1:37" ht="15.75" customHeight="1" thickBot="1" x14ac:dyDescent="0.3">
      <c r="A17" s="79" t="s">
        <v>65</v>
      </c>
      <c r="B17" s="80" t="s">
        <v>64</v>
      </c>
      <c r="C17" s="94">
        <f>SUM(C4:C15)</f>
        <v>0</v>
      </c>
      <c r="D17" s="94">
        <f t="shared" ref="D17:AJ17" si="1">SUM(D4:D15)</f>
        <v>23563.450389790538</v>
      </c>
      <c r="E17" s="94">
        <f t="shared" si="1"/>
        <v>290870.23253803293</v>
      </c>
      <c r="F17" s="94">
        <f t="shared" si="1"/>
        <v>5497.3231534710521</v>
      </c>
      <c r="G17" s="94">
        <f t="shared" si="1"/>
        <v>0</v>
      </c>
      <c r="H17" s="94">
        <f t="shared" si="1"/>
        <v>615382.87151658372</v>
      </c>
      <c r="I17" s="94">
        <f t="shared" si="1"/>
        <v>8816.6719751530982</v>
      </c>
      <c r="J17" s="94">
        <f t="shared" si="1"/>
        <v>70588.310319604861</v>
      </c>
      <c r="K17" s="94">
        <f t="shared" si="1"/>
        <v>169016.03211290913</v>
      </c>
      <c r="L17" s="94">
        <f t="shared" si="1"/>
        <v>9267.7277605377622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94">
        <f t="shared" si="1"/>
        <v>0</v>
      </c>
      <c r="R17" s="94">
        <f t="shared" si="1"/>
        <v>0</v>
      </c>
      <c r="S17" s="94">
        <f t="shared" si="1"/>
        <v>0</v>
      </c>
      <c r="T17" s="94">
        <f t="shared" si="1"/>
        <v>0</v>
      </c>
      <c r="U17" s="94">
        <f t="shared" si="1"/>
        <v>0</v>
      </c>
      <c r="V17" s="94">
        <f t="shared" si="1"/>
        <v>99978.431812208306</v>
      </c>
      <c r="W17" s="94">
        <f t="shared" si="1"/>
        <v>57680.956350614964</v>
      </c>
      <c r="X17" s="94">
        <f t="shared" si="1"/>
        <v>18595.142304542362</v>
      </c>
      <c r="Y17" s="94">
        <f t="shared" si="1"/>
        <v>8940.8964643046274</v>
      </c>
      <c r="Z17" s="94">
        <f t="shared" si="1"/>
        <v>67752.081871352537</v>
      </c>
      <c r="AA17" s="94">
        <f t="shared" si="1"/>
        <v>31116.483817646949</v>
      </c>
      <c r="AB17" s="94">
        <f t="shared" si="1"/>
        <v>0</v>
      </c>
      <c r="AC17" s="94">
        <f t="shared" si="1"/>
        <v>33256.59709082645</v>
      </c>
      <c r="AD17" s="94">
        <f t="shared" si="1"/>
        <v>0</v>
      </c>
      <c r="AE17" s="81">
        <f>SUM(AE4:AE15)</f>
        <v>4778.5009424268192</v>
      </c>
      <c r="AF17" s="81">
        <f>SUM(AF4:AF15)</f>
        <v>2222.7616104399895</v>
      </c>
      <c r="AG17" s="81">
        <f>SUM(AG4:AG15)</f>
        <v>7001.2625528668095</v>
      </c>
      <c r="AH17" s="81">
        <f t="shared" si="1"/>
        <v>6754.4168710753311</v>
      </c>
      <c r="AI17" s="81">
        <f t="shared" si="1"/>
        <v>4495.537830562258</v>
      </c>
      <c r="AJ17" s="81">
        <f t="shared" si="1"/>
        <v>2158.013445629605</v>
      </c>
      <c r="AK17" s="209">
        <f>IF(SUM(AI17:AJ17)&gt;0, AI17/(AI17+AJ17), "")</f>
        <v>0.67565990610885662</v>
      </c>
    </row>
    <row r="18" spans="1:37" ht="15.75" customHeight="1" thickTop="1" x14ac:dyDescent="0.25">
      <c r="A18" s="406" t="s">
        <v>87</v>
      </c>
      <c r="B18" s="74" t="s">
        <v>52</v>
      </c>
      <c r="C18" s="95">
        <f>JANUARY!B41</f>
        <v>0</v>
      </c>
      <c r="D18" s="95">
        <f>JANUARY!C41</f>
        <v>4259.5845790503663</v>
      </c>
      <c r="E18" s="95">
        <f>JANUARY!D41</f>
        <v>93921.748652437294</v>
      </c>
      <c r="F18" s="95">
        <f>JANUARY!E41</f>
        <v>2263.7175436117914</v>
      </c>
      <c r="G18" s="95">
        <f>JANUARY!F41</f>
        <v>0</v>
      </c>
      <c r="H18" s="95">
        <f>JANUARY!G41</f>
        <v>4770.7242816755879</v>
      </c>
      <c r="I18" s="95">
        <f>JANUARY!H41</f>
        <v>3919.1004635205554</v>
      </c>
      <c r="J18" s="95">
        <f>JANUARY!I41</f>
        <v>4666.4688347654228</v>
      </c>
      <c r="K18" s="95">
        <f>JANUARY!J41</f>
        <v>33951.126621697978</v>
      </c>
      <c r="L18" s="96">
        <f>JANUARY!K41</f>
        <v>4271.6814611693226</v>
      </c>
      <c r="M18" s="95">
        <f>JANUARY!L41</f>
        <v>0</v>
      </c>
      <c r="N18" s="95">
        <f>JANUARY!M41</f>
        <v>0</v>
      </c>
      <c r="O18" s="97">
        <f>JANUARY!N41</f>
        <v>0</v>
      </c>
      <c r="P18" s="97">
        <f>JANUARY!O41</f>
        <v>0</v>
      </c>
      <c r="Q18" s="95">
        <f>JANUARY!P41</f>
        <v>0</v>
      </c>
      <c r="R18" s="95">
        <f>JANUARY!Q41</f>
        <v>0</v>
      </c>
      <c r="S18" s="95">
        <f>JANUARY!R41</f>
        <v>0</v>
      </c>
      <c r="T18" s="95">
        <f>JANUARY!S41</f>
        <v>0</v>
      </c>
      <c r="U18" s="95">
        <f>JANUARY!T41</f>
        <v>0</v>
      </c>
      <c r="V18" s="95">
        <f>JANUARY!U41</f>
        <v>4298.2584427339325</v>
      </c>
      <c r="W18" s="95">
        <f>JANUARY!V41</f>
        <v>1864.5034265195479</v>
      </c>
      <c r="X18" s="95">
        <f>JANUARY!W41</f>
        <v>3110.4474428518347</v>
      </c>
      <c r="Y18" s="95">
        <f>JANUARY!X41</f>
        <v>1348.1272985988851</v>
      </c>
      <c r="Z18" s="95">
        <f>JANUARY!Y41</f>
        <v>16151.338909529008</v>
      </c>
      <c r="AA18" s="95">
        <f>JANUARY!Z41</f>
        <v>7002.2969230289991</v>
      </c>
      <c r="AB18" s="95">
        <f>JANUARY!AA41</f>
        <v>0</v>
      </c>
      <c r="AC18" s="98">
        <f>JANUARY!AB41</f>
        <v>1278.0111895816758</v>
      </c>
      <c r="AD18" s="98">
        <f>JANUARY!AC41</f>
        <v>0</v>
      </c>
      <c r="AE18" s="108"/>
      <c r="AF18" s="108"/>
      <c r="AG18" s="108"/>
      <c r="AH18" s="108"/>
      <c r="AI18" s="108"/>
      <c r="AJ18" s="108"/>
      <c r="AK18" s="109"/>
    </row>
    <row r="19" spans="1:37" ht="15.75" customHeight="1" x14ac:dyDescent="0.25">
      <c r="A19" s="407"/>
      <c r="B19" s="75" t="s">
        <v>53</v>
      </c>
      <c r="C19" s="99">
        <f>FEBRUARY!B41</f>
        <v>0</v>
      </c>
      <c r="D19" s="99">
        <f>FEBRUARY!C41</f>
        <v>3879.0078517200823</v>
      </c>
      <c r="E19" s="99">
        <f>FEBRUARY!D41</f>
        <v>88552.003435752442</v>
      </c>
      <c r="F19" s="99">
        <f>FEBRUARY!E41</f>
        <v>2071.8592953394564</v>
      </c>
      <c r="G19" s="99">
        <f>FEBRUARY!F41</f>
        <v>0</v>
      </c>
      <c r="H19" s="99">
        <f>FEBRUARY!G41</f>
        <v>4453.907645615086</v>
      </c>
      <c r="I19" s="99">
        <f>FEBRUARY!H41</f>
        <v>3515.9399685337553</v>
      </c>
      <c r="J19" s="99">
        <f>FEBRUARY!I41</f>
        <v>4154.4069813674651</v>
      </c>
      <c r="K19" s="99">
        <f>FEBRUARY!J41</f>
        <v>27671.892009210365</v>
      </c>
      <c r="L19" s="100">
        <f>FEBRUARY!K41</f>
        <v>3477.9122189047375</v>
      </c>
      <c r="M19" s="99">
        <f>FEBRUARY!L41</f>
        <v>0</v>
      </c>
      <c r="N19" s="99">
        <f>FEBRUARY!M41</f>
        <v>0</v>
      </c>
      <c r="O19" s="101">
        <f>FEBRUARY!N41</f>
        <v>0</v>
      </c>
      <c r="P19" s="101">
        <f>FEBRUARY!O41</f>
        <v>0</v>
      </c>
      <c r="Q19" s="99">
        <f>FEBRUARY!P41</f>
        <v>0</v>
      </c>
      <c r="R19" s="99">
        <f>FEBRUARY!Q41</f>
        <v>0</v>
      </c>
      <c r="S19" s="99">
        <f>FEBRUARY!R41</f>
        <v>0</v>
      </c>
      <c r="T19" s="99">
        <f>FEBRUARY!S41</f>
        <v>0</v>
      </c>
      <c r="U19" s="99">
        <f>FEBRUARY!T41</f>
        <v>0</v>
      </c>
      <c r="V19" s="99">
        <f>FEBRUARY!U41</f>
        <v>3555.107461496515</v>
      </c>
      <c r="W19" s="99">
        <f>FEBRUARY!V41</f>
        <v>1707.9898734796732</v>
      </c>
      <c r="X19" s="99">
        <f>FEBRUARY!W41</f>
        <v>2472.581161984539</v>
      </c>
      <c r="Y19" s="99">
        <f>FEBRUARY!X41</f>
        <v>1186.9261925644309</v>
      </c>
      <c r="Z19" s="99">
        <f>FEBRUARY!Y41</f>
        <v>11410.968425710231</v>
      </c>
      <c r="AA19" s="99">
        <f>FEBRUARY!Z41</f>
        <v>5454.3183636986205</v>
      </c>
      <c r="AB19" s="99">
        <f>FEBRUARY!AA41</f>
        <v>0</v>
      </c>
      <c r="AC19" s="102">
        <f>FEBRUARY!AB41</f>
        <v>1055.0279475209097</v>
      </c>
      <c r="AD19" s="102">
        <f>FEBRUARY!AC41</f>
        <v>0</v>
      </c>
      <c r="AE19" s="110"/>
      <c r="AF19" s="110"/>
      <c r="AG19" s="110"/>
      <c r="AH19" s="110"/>
      <c r="AI19" s="110"/>
      <c r="AJ19" s="110"/>
      <c r="AK19" s="111"/>
    </row>
    <row r="20" spans="1:37" ht="15.75" customHeight="1" x14ac:dyDescent="0.25">
      <c r="A20" s="407"/>
      <c r="B20" s="75" t="s">
        <v>54</v>
      </c>
      <c r="C20" s="99">
        <f>MARCH!B41</f>
        <v>0</v>
      </c>
      <c r="D20" s="99">
        <f>MARCH!C41</f>
        <v>4707.0980018846449</v>
      </c>
      <c r="E20" s="99">
        <f>MARCH!D41</f>
        <v>109341.54277908953</v>
      </c>
      <c r="F20" s="99">
        <f>MARCH!E41</f>
        <v>2489.0103420045548</v>
      </c>
      <c r="G20" s="99">
        <f>MARCH!F41</f>
        <v>0</v>
      </c>
      <c r="H20" s="99">
        <f>MARCH!G41</f>
        <v>5519.78713502342</v>
      </c>
      <c r="I20" s="99">
        <f>MARCH!H41</f>
        <v>4237.9613377346996</v>
      </c>
      <c r="J20" s="99">
        <f>MARCH!I41</f>
        <v>4270.5667268356856</v>
      </c>
      <c r="K20" s="99">
        <f>MARCH!J41</f>
        <v>29624.311920623142</v>
      </c>
      <c r="L20" s="100">
        <f>MARCH!K41</f>
        <v>3723.1859392875263</v>
      </c>
      <c r="M20" s="99">
        <f>MARCH!L41</f>
        <v>0</v>
      </c>
      <c r="N20" s="99">
        <f>MARCH!M41</f>
        <v>0</v>
      </c>
      <c r="O20" s="101">
        <f>MARCH!N41</f>
        <v>0</v>
      </c>
      <c r="P20" s="101">
        <f>MARCH!O41</f>
        <v>0</v>
      </c>
      <c r="Q20" s="99">
        <f>MARCH!P41</f>
        <v>0</v>
      </c>
      <c r="R20" s="99">
        <f>MARCH!Q41</f>
        <v>0</v>
      </c>
      <c r="S20" s="99">
        <f>MARCH!R41</f>
        <v>0</v>
      </c>
      <c r="T20" s="99">
        <f>MARCH!S41</f>
        <v>0</v>
      </c>
      <c r="U20" s="99">
        <f>MARCH!T41</f>
        <v>0</v>
      </c>
      <c r="V20" s="99">
        <f>MARCH!U41</f>
        <v>3780.9771572872664</v>
      </c>
      <c r="W20" s="99">
        <f>MARCH!V41</f>
        <v>2064.7226569438162</v>
      </c>
      <c r="X20" s="99">
        <f>MARCH!W41</f>
        <v>2721.293698252749</v>
      </c>
      <c r="Y20" s="99">
        <f>MARCH!X41</f>
        <v>1485.7311350392263</v>
      </c>
      <c r="Z20" s="99">
        <f>MARCH!Y41</f>
        <v>8949.7000326220532</v>
      </c>
      <c r="AA20" s="99">
        <f>MARCH!Z41</f>
        <v>4833.339039303034</v>
      </c>
      <c r="AB20" s="99">
        <f>MARCH!AA41</f>
        <v>0</v>
      </c>
      <c r="AC20" s="102">
        <f>MARCH!AB41</f>
        <v>1176.405080958132</v>
      </c>
      <c r="AD20" s="102">
        <f>MARCH!AC41</f>
        <v>0</v>
      </c>
      <c r="AE20" s="110"/>
      <c r="AF20" s="110"/>
      <c r="AG20" s="110"/>
      <c r="AH20" s="110"/>
      <c r="AI20" s="110"/>
      <c r="AJ20" s="110"/>
      <c r="AK20" s="111"/>
    </row>
    <row r="21" spans="1:37" ht="15.75" customHeight="1" x14ac:dyDescent="0.25">
      <c r="A21" s="407"/>
      <c r="B21" s="75" t="s">
        <v>55</v>
      </c>
      <c r="C21" s="99">
        <f>APRIL!B41</f>
        <v>0</v>
      </c>
      <c r="D21" s="99">
        <f>APRIL!C41</f>
        <v>2841.569583945974</v>
      </c>
      <c r="E21" s="99">
        <f>APRIL!D41</f>
        <v>68335.868937603329</v>
      </c>
      <c r="F21" s="99">
        <f>APRIL!E41</f>
        <v>1387.7818637998548</v>
      </c>
      <c r="G21" s="99">
        <f>APRIL!F41</f>
        <v>0</v>
      </c>
      <c r="H21" s="99">
        <f>APRIL!G41</f>
        <v>2533.6711822088664</v>
      </c>
      <c r="I21" s="99">
        <f>APRIL!H41</f>
        <v>2378.4966256030925</v>
      </c>
      <c r="J21" s="99">
        <f>APRIL!I41</f>
        <v>2273.3016855772375</v>
      </c>
      <c r="K21" s="99">
        <f>APRIL!J41</f>
        <v>15850.898876962225</v>
      </c>
      <c r="L21" s="100">
        <f>APRIL!K41</f>
        <v>1889.7693251638805</v>
      </c>
      <c r="M21" s="99">
        <f>APRIL!L41</f>
        <v>0</v>
      </c>
      <c r="N21" s="99">
        <f>APRIL!M41</f>
        <v>0</v>
      </c>
      <c r="O21" s="101">
        <f>APRIL!N41</f>
        <v>0</v>
      </c>
      <c r="P21" s="101">
        <f>APRIL!O41</f>
        <v>0</v>
      </c>
      <c r="Q21" s="99">
        <f>APRIL!P41</f>
        <v>0</v>
      </c>
      <c r="R21" s="99">
        <f>APRIL!Q41</f>
        <v>0</v>
      </c>
      <c r="S21" s="99">
        <f>APRIL!R41</f>
        <v>0</v>
      </c>
      <c r="T21" s="99">
        <f>APRIL!S41</f>
        <v>0</v>
      </c>
      <c r="U21" s="99">
        <f>APRIL!T41</f>
        <v>0</v>
      </c>
      <c r="V21" s="99">
        <f>APRIL!U41</f>
        <v>1962.8062439833968</v>
      </c>
      <c r="W21" s="99">
        <f>APRIL!V41</f>
        <v>1182.4330821944422</v>
      </c>
      <c r="X21" s="99">
        <f>APRIL!W41</f>
        <v>1614.5477093641039</v>
      </c>
      <c r="Y21" s="99">
        <f>APRIL!X41</f>
        <v>972.86950600276305</v>
      </c>
      <c r="Z21" s="99">
        <f>APRIL!Y41</f>
        <v>4792.4123786644705</v>
      </c>
      <c r="AA21" s="99">
        <f>APRIL!Z41</f>
        <v>2880.6757073977856</v>
      </c>
      <c r="AB21" s="99">
        <f>APRIL!AA41</f>
        <v>0</v>
      </c>
      <c r="AC21" s="102">
        <f>APRIL!AB41</f>
        <v>655.35795710026139</v>
      </c>
      <c r="AD21" s="102">
        <f>APRIL!AC41</f>
        <v>0</v>
      </c>
      <c r="AE21" s="110"/>
      <c r="AF21" s="110"/>
      <c r="AG21" s="110"/>
      <c r="AH21" s="110"/>
      <c r="AI21" s="110"/>
      <c r="AJ21" s="110"/>
      <c r="AK21" s="111"/>
    </row>
    <row r="22" spans="1:37" ht="15.75" customHeight="1" x14ac:dyDescent="0.25">
      <c r="A22" s="407"/>
      <c r="B22" s="75" t="s">
        <v>56</v>
      </c>
      <c r="C22" s="99">
        <f>MAY!B41</f>
        <v>0</v>
      </c>
      <c r="D22" s="99">
        <f>MAY!C41</f>
        <v>3287.3694178517162</v>
      </c>
      <c r="E22" s="99">
        <f>MAY!D41</f>
        <v>68383.875117248521</v>
      </c>
      <c r="F22" s="99">
        <f>MAY!E41</f>
        <v>1678.5168449899243</v>
      </c>
      <c r="G22" s="99">
        <f>MAY!F41</f>
        <v>0</v>
      </c>
      <c r="H22" s="99">
        <f>MAY!G41</f>
        <v>5474.3623645659427</v>
      </c>
      <c r="I22" s="99">
        <f>MAY!H41</f>
        <v>2643.3570025122153</v>
      </c>
      <c r="J22" s="99">
        <f>MAY!I41</f>
        <v>5806.4085250288108</v>
      </c>
      <c r="K22" s="99">
        <f>MAY!J41</f>
        <v>38229.674723311095</v>
      </c>
      <c r="L22" s="100">
        <f>MAY!K41</f>
        <v>4546.41477983607</v>
      </c>
      <c r="M22" s="99">
        <f>MAY!L41</f>
        <v>0</v>
      </c>
      <c r="N22" s="99">
        <f>MAY!M41</f>
        <v>0</v>
      </c>
      <c r="O22" s="101">
        <f>MAY!N41</f>
        <v>0</v>
      </c>
      <c r="P22" s="101">
        <f>MAY!O41</f>
        <v>0</v>
      </c>
      <c r="Q22" s="99">
        <f>MAY!P41</f>
        <v>0</v>
      </c>
      <c r="R22" s="99">
        <f>MAY!Q41</f>
        <v>0</v>
      </c>
      <c r="S22" s="99">
        <f>MAY!R41</f>
        <v>0</v>
      </c>
      <c r="T22" s="99">
        <f>MAY!S41</f>
        <v>0</v>
      </c>
      <c r="U22" s="99">
        <f>MAY!T41</f>
        <v>0</v>
      </c>
      <c r="V22" s="99">
        <f>MAY!U41</f>
        <v>3852.6492867134129</v>
      </c>
      <c r="W22" s="99">
        <f>MAY!V41</f>
        <v>1283.6787126240129</v>
      </c>
      <c r="X22" s="99">
        <f>MAY!W41</f>
        <v>3170.9888447722587</v>
      </c>
      <c r="Y22" s="99">
        <f>MAY!X41</f>
        <v>1064.5169152205758</v>
      </c>
      <c r="Z22" s="99">
        <f>MAY!Y41</f>
        <v>30153.361307208779</v>
      </c>
      <c r="AA22" s="99">
        <f>MAY!Z41</f>
        <v>11094.773873357053</v>
      </c>
      <c r="AB22" s="99">
        <f>MAY!AA41</f>
        <v>0</v>
      </c>
      <c r="AC22" s="102">
        <f>MAY!AB41</f>
        <v>1071.6877950350599</v>
      </c>
      <c r="AD22" s="102">
        <f>MAY!AC41</f>
        <v>0</v>
      </c>
      <c r="AE22" s="110"/>
      <c r="AF22" s="110"/>
      <c r="AG22" s="110"/>
      <c r="AH22" s="110"/>
      <c r="AI22" s="110"/>
      <c r="AJ22" s="110"/>
      <c r="AK22" s="111"/>
    </row>
    <row r="23" spans="1:37" ht="15.75" customHeight="1" x14ac:dyDescent="0.25">
      <c r="A23" s="407"/>
      <c r="B23" s="75" t="s">
        <v>57</v>
      </c>
      <c r="C23" s="99">
        <f>JUNE!B40</f>
        <v>0</v>
      </c>
      <c r="D23" s="99">
        <f>JUNE!C40</f>
        <v>4770.9793319213586</v>
      </c>
      <c r="E23" s="99">
        <f>JUNE!D40</f>
        <v>97063.291440179833</v>
      </c>
      <c r="F23" s="99">
        <f>JUNE!E40</f>
        <v>2442.0005853461057</v>
      </c>
      <c r="G23" s="99">
        <f>JUNE!F40</f>
        <v>0</v>
      </c>
      <c r="H23" s="99">
        <f>JUNE!G40</f>
        <v>4640.8826759758776</v>
      </c>
      <c r="I23" s="99">
        <f>JUNE!H40</f>
        <v>4091.106854604016</v>
      </c>
      <c r="J23" s="99">
        <f>JUNE!I40</f>
        <v>3941.4368528734981</v>
      </c>
      <c r="K23" s="99">
        <f>JUNE!J40</f>
        <v>23382.332571266845</v>
      </c>
      <c r="L23" s="100">
        <f>JUNE!K40</f>
        <v>2783.0120636027864</v>
      </c>
      <c r="M23" s="99">
        <f>JUNE!L40</f>
        <v>0</v>
      </c>
      <c r="N23" s="99">
        <f>JUNE!M40</f>
        <v>0</v>
      </c>
      <c r="O23" s="101">
        <f>JUNE!N40</f>
        <v>0</v>
      </c>
      <c r="P23" s="101">
        <f>JUNE!O40</f>
        <v>0</v>
      </c>
      <c r="Q23" s="99">
        <f>JUNE!P40</f>
        <v>0</v>
      </c>
      <c r="R23" s="99">
        <f>JUNE!Q40</f>
        <v>0</v>
      </c>
      <c r="S23" s="99">
        <f>JUNE!R40</f>
        <v>0</v>
      </c>
      <c r="T23" s="99">
        <f>JUNE!S40</f>
        <v>0</v>
      </c>
      <c r="U23" s="99">
        <f>JUNE!T40</f>
        <v>0</v>
      </c>
      <c r="V23" s="99">
        <f>JUNE!U40</f>
        <v>2779.8106802006355</v>
      </c>
      <c r="W23" s="99">
        <f>JUNE!V40</f>
        <v>2058.9428206209659</v>
      </c>
      <c r="X23" s="99">
        <f>JUNE!W40</f>
        <v>2282.7862173108938</v>
      </c>
      <c r="Y23" s="99">
        <f>JUNE!X40</f>
        <v>1685.6023996122808</v>
      </c>
      <c r="Z23" s="99">
        <f>JUNE!Y40</f>
        <v>18345.964929198195</v>
      </c>
      <c r="AA23" s="99">
        <f>JUNE!Z40</f>
        <v>13465.686808801487</v>
      </c>
      <c r="AB23" s="99">
        <f>JUNE!AA40</f>
        <v>0</v>
      </c>
      <c r="AC23" s="102">
        <f>JUNE!AB40</f>
        <v>949.17511154274325</v>
      </c>
      <c r="AD23" s="102">
        <f>JUNE!AC40</f>
        <v>0</v>
      </c>
      <c r="AE23" s="110"/>
      <c r="AF23" s="110"/>
      <c r="AG23" s="110"/>
      <c r="AH23" s="110"/>
      <c r="AI23" s="110"/>
      <c r="AJ23" s="110"/>
      <c r="AK23" s="111"/>
    </row>
    <row r="24" spans="1:37" ht="15.75" customHeight="1" x14ac:dyDescent="0.25">
      <c r="A24" s="407"/>
      <c r="B24" s="75" t="s">
        <v>58</v>
      </c>
      <c r="C24" s="99">
        <f>JULY!B41</f>
        <v>0</v>
      </c>
      <c r="D24" s="99">
        <f>JULY!C41</f>
        <v>5116.865270474962</v>
      </c>
      <c r="E24" s="99">
        <f>JULY!D41</f>
        <v>100283.82707773878</v>
      </c>
      <c r="F24" s="99">
        <f>JULY!E41</f>
        <v>3141.9867122198452</v>
      </c>
      <c r="G24" s="99">
        <f>JULY!F41</f>
        <v>0</v>
      </c>
      <c r="H24" s="99">
        <f>JULY!G41</f>
        <v>3094.1479631667708</v>
      </c>
      <c r="I24" s="99">
        <f>JULY!H41</f>
        <v>4148.7878503047023</v>
      </c>
      <c r="J24" s="99">
        <f>JULY!I41</f>
        <v>5000.3689020231859</v>
      </c>
      <c r="K24" s="99">
        <f>JULY!J41</f>
        <v>31387.978603799496</v>
      </c>
      <c r="L24" s="100">
        <f>JULY!K41</f>
        <v>4518.5833448066478</v>
      </c>
      <c r="M24" s="99">
        <f>JULY!L41</f>
        <v>0</v>
      </c>
      <c r="N24" s="99">
        <f>JULY!M41</f>
        <v>0</v>
      </c>
      <c r="O24" s="101">
        <f>JULY!N41</f>
        <v>0</v>
      </c>
      <c r="P24" s="101">
        <f>JULY!O41</f>
        <v>0</v>
      </c>
      <c r="Q24" s="99">
        <f>JULY!P41</f>
        <v>0</v>
      </c>
      <c r="R24" s="99">
        <f>JULY!Q41</f>
        <v>0</v>
      </c>
      <c r="S24" s="99">
        <f>JULY!R41</f>
        <v>0</v>
      </c>
      <c r="T24" s="99">
        <f>JULY!S41</f>
        <v>0</v>
      </c>
      <c r="U24" s="99">
        <f>JULY!T41</f>
        <v>0</v>
      </c>
      <c r="V24" s="99">
        <f>JULY!U41</f>
        <v>3537.5597134634081</v>
      </c>
      <c r="W24" s="99">
        <f>JULY!V41</f>
        <v>2074.6959457771582</v>
      </c>
      <c r="X24" s="99">
        <f>JULY!W41</f>
        <v>4296.1717828480741</v>
      </c>
      <c r="Y24" s="99">
        <f>JULY!X41</f>
        <v>2503.4002366824902</v>
      </c>
      <c r="Z24" s="99">
        <f>JULY!Y41</f>
        <v>28075.648926850536</v>
      </c>
      <c r="AA24" s="99">
        <f>JULY!Z41</f>
        <v>15236.304682853966</v>
      </c>
      <c r="AB24" s="99">
        <f>JULY!AA41</f>
        <v>0</v>
      </c>
      <c r="AC24" s="102">
        <f>JULY!AB41</f>
        <v>1110.0031989478255</v>
      </c>
      <c r="AD24" s="102">
        <f>JULY!AC41</f>
        <v>0</v>
      </c>
      <c r="AE24" s="110"/>
      <c r="AF24" s="110"/>
      <c r="AG24" s="110"/>
      <c r="AH24" s="110"/>
      <c r="AI24" s="110"/>
      <c r="AJ24" s="110"/>
      <c r="AK24" s="111"/>
    </row>
    <row r="25" spans="1:37" ht="15.75" customHeight="1" x14ac:dyDescent="0.25">
      <c r="A25" s="407"/>
      <c r="B25" s="75" t="s">
        <v>59</v>
      </c>
      <c r="C25" s="99">
        <f>AUGUST!B41</f>
        <v>0</v>
      </c>
      <c r="D25" s="99">
        <f>AUGUST!C41</f>
        <v>5686.343184226962</v>
      </c>
      <c r="E25" s="99">
        <f>AUGUST!D41</f>
        <v>113776.7339886625</v>
      </c>
      <c r="F25" s="99">
        <f>AUGUST!E41</f>
        <v>3502.9266041725464</v>
      </c>
      <c r="G25" s="99">
        <f>AUGUST!F41</f>
        <v>0</v>
      </c>
      <c r="H25" s="99">
        <f>AUGUST!G41</f>
        <v>3487.769605561004</v>
      </c>
      <c r="I25" s="99">
        <f>AUGUST!H41</f>
        <v>4620.6668399685304</v>
      </c>
      <c r="J25" s="99">
        <f>AUGUST!I41</f>
        <v>6059.9326429088169</v>
      </c>
      <c r="K25" s="99">
        <f>AUGUST!J41</f>
        <v>43828.673353845763</v>
      </c>
      <c r="L25" s="100">
        <f>AUGUST!K41</f>
        <v>6307.6057918687111</v>
      </c>
      <c r="M25" s="99">
        <f>AUGUST!L41</f>
        <v>0</v>
      </c>
      <c r="N25" s="99">
        <f>AUGUST!M41</f>
        <v>0</v>
      </c>
      <c r="O25" s="101">
        <f>AUGUST!N41</f>
        <v>0</v>
      </c>
      <c r="P25" s="101">
        <f>AUGUST!O41</f>
        <v>0</v>
      </c>
      <c r="Q25" s="99">
        <f>AUGUST!P41</f>
        <v>0</v>
      </c>
      <c r="R25" s="99">
        <f>AUGUST!Q41</f>
        <v>0</v>
      </c>
      <c r="S25" s="99">
        <f>AUGUST!R41</f>
        <v>0</v>
      </c>
      <c r="T25" s="99">
        <f>AUGUST!S41</f>
        <v>0</v>
      </c>
      <c r="U25" s="99">
        <f>AUGUST!T41</f>
        <v>0</v>
      </c>
      <c r="V25" s="99">
        <f>AUGUST!U41</f>
        <v>5284.1983368444407</v>
      </c>
      <c r="W25" s="99">
        <f>AUGUST!V41</f>
        <v>2243.1292947823213</v>
      </c>
      <c r="X25" s="99">
        <f>AUGUST!W41</f>
        <v>6266.5229840088959</v>
      </c>
      <c r="Y25" s="99">
        <f>AUGUST!X41</f>
        <v>2653.9359872637874</v>
      </c>
      <c r="Z25" s="99">
        <f>AUGUST!Y41</f>
        <v>51174.161041322106</v>
      </c>
      <c r="AA25" s="99">
        <f>AUGUST!Z41</f>
        <v>21428.187099645933</v>
      </c>
      <c r="AB25" s="99">
        <f>AUGUST!AA41</f>
        <v>0</v>
      </c>
      <c r="AC25" s="102">
        <f>AUGUST!AB41</f>
        <v>1579.2960215435019</v>
      </c>
      <c r="AD25" s="102">
        <f>AUGUST!AC41</f>
        <v>0</v>
      </c>
      <c r="AE25" s="110"/>
      <c r="AF25" s="110"/>
      <c r="AG25" s="110"/>
      <c r="AH25" s="110"/>
      <c r="AI25" s="110"/>
      <c r="AJ25" s="110"/>
      <c r="AK25" s="111"/>
    </row>
    <row r="26" spans="1:37" ht="15.75" customHeight="1" x14ac:dyDescent="0.25">
      <c r="A26" s="407"/>
      <c r="B26" s="75" t="s">
        <v>60</v>
      </c>
      <c r="C26" s="99">
        <f>SEPTEMBER!B41</f>
        <v>0</v>
      </c>
      <c r="D26" s="99">
        <f>SEPTEMBER!C41</f>
        <v>5408.3823727472263</v>
      </c>
      <c r="E26" s="99">
        <f>SEPTEMBER!D41</f>
        <v>109099.96831608866</v>
      </c>
      <c r="F26" s="99">
        <f>SEPTEMBER!E41</f>
        <v>3378.04331498481</v>
      </c>
      <c r="G26" s="99">
        <f>SEPTEMBER!F41</f>
        <v>0</v>
      </c>
      <c r="H26" s="99">
        <f>SEPTEMBER!G41</f>
        <v>3829.7234613909591</v>
      </c>
      <c r="I26" s="99">
        <f>SEPTEMBER!H41</f>
        <v>4397.1115665623483</v>
      </c>
      <c r="J26" s="99">
        <f>SEPTEMBER!I41</f>
        <v>6123.9499518247576</v>
      </c>
      <c r="K26" s="99">
        <f>SEPTEMBER!J41</f>
        <v>40285.61571144373</v>
      </c>
      <c r="L26" s="100">
        <f>SEPTEMBER!K41</f>
        <v>5788.737063950407</v>
      </c>
      <c r="M26" s="99">
        <f>SEPTEMBER!L41</f>
        <v>0</v>
      </c>
      <c r="N26" s="99">
        <f>SEPTEMBER!M41</f>
        <v>0</v>
      </c>
      <c r="O26" s="101">
        <f>SEPTEMBER!N41</f>
        <v>0</v>
      </c>
      <c r="P26" s="101">
        <f>SEPTEMBER!O41</f>
        <v>0</v>
      </c>
      <c r="Q26" s="99">
        <f>SEPTEMBER!P41</f>
        <v>0</v>
      </c>
      <c r="R26" s="99">
        <f>SEPTEMBER!Q41</f>
        <v>0</v>
      </c>
      <c r="S26" s="99">
        <f>SEPTEMBER!R41</f>
        <v>0</v>
      </c>
      <c r="T26" s="99">
        <f>SEPTEMBER!S41</f>
        <v>0</v>
      </c>
      <c r="U26" s="99">
        <f>SEPTEMBER!T41</f>
        <v>0</v>
      </c>
      <c r="V26" s="99">
        <f>SEPTEMBER!U41</f>
        <v>4343.3845700597485</v>
      </c>
      <c r="W26" s="99">
        <f>SEPTEMBER!V41</f>
        <v>2029.1748087837209</v>
      </c>
      <c r="X26" s="99">
        <f>SEPTEMBER!W41</f>
        <v>4936.019662334098</v>
      </c>
      <c r="Y26" s="99">
        <f>SEPTEMBER!X41</f>
        <v>2303.9111436956268</v>
      </c>
      <c r="Z26" s="99">
        <f>SEPTEMBER!Y41</f>
        <v>49000.452848145913</v>
      </c>
      <c r="AA26" s="99">
        <f>SEPTEMBER!Z41</f>
        <v>22857.421918935117</v>
      </c>
      <c r="AB26" s="99">
        <f>SEPTEMBER!AA41</f>
        <v>0</v>
      </c>
      <c r="AC26" s="102">
        <f>SEPTEMBER!AB41</f>
        <v>1482.0523104333079</v>
      </c>
      <c r="AD26" s="102">
        <f>SEPTEMBER!AC41</f>
        <v>0</v>
      </c>
      <c r="AE26" s="110"/>
      <c r="AF26" s="110"/>
      <c r="AG26" s="110"/>
      <c r="AH26" s="110"/>
      <c r="AI26" s="110"/>
      <c r="AJ26" s="110"/>
      <c r="AK26" s="111"/>
    </row>
    <row r="27" spans="1:37" ht="15.75" customHeight="1" x14ac:dyDescent="0.25">
      <c r="A27" s="407"/>
      <c r="B27" s="75" t="s">
        <v>61</v>
      </c>
      <c r="C27" s="99">
        <f>OCTOBER!B41</f>
        <v>0</v>
      </c>
      <c r="D27" s="99">
        <f>OCTOBER!C41</f>
        <v>1744.8039073938687</v>
      </c>
      <c r="E27" s="99">
        <f>OCTOBER!D41</f>
        <v>37203.493792055153</v>
      </c>
      <c r="F27" s="99">
        <f>OCTOBER!E41</f>
        <v>969.58114750401774</v>
      </c>
      <c r="G27" s="99">
        <f>OCTOBER!F41</f>
        <v>0</v>
      </c>
      <c r="H27" s="99">
        <f>OCTOBER!G41</f>
        <v>1182.7722910512296</v>
      </c>
      <c r="I27" s="99">
        <f>OCTOBER!H41</f>
        <v>1283.921530960489</v>
      </c>
      <c r="J27" s="99">
        <f>OCTOBER!I41</f>
        <v>3113.0098332732573</v>
      </c>
      <c r="K27" s="99">
        <f>OCTOBER!J41</f>
        <v>21035.373881318923</v>
      </c>
      <c r="L27" s="100">
        <f>OCTOBER!K41</f>
        <v>2742.0996164840149</v>
      </c>
      <c r="M27" s="99">
        <f>OCTOBER!L41</f>
        <v>0</v>
      </c>
      <c r="N27" s="99">
        <f>OCTOBER!M41</f>
        <v>0</v>
      </c>
      <c r="O27" s="101">
        <f>OCTOBER!N41</f>
        <v>0</v>
      </c>
      <c r="P27" s="101">
        <f>OCTOBER!O41</f>
        <v>0</v>
      </c>
      <c r="Q27" s="99">
        <f>OCTOBER!P41</f>
        <v>0</v>
      </c>
      <c r="R27" s="99">
        <f>OCTOBER!Q41</f>
        <v>0</v>
      </c>
      <c r="S27" s="99">
        <f>OCTOBER!R41</f>
        <v>0</v>
      </c>
      <c r="T27" s="99">
        <f>OCTOBER!S41</f>
        <v>0</v>
      </c>
      <c r="U27" s="99">
        <f>OCTOBER!T41</f>
        <v>0</v>
      </c>
      <c r="V27" s="99">
        <f>OCTOBER!U41</f>
        <v>2277.2001318648577</v>
      </c>
      <c r="W27" s="99">
        <f>OCTOBER!V41</f>
        <v>5430.7528252715629</v>
      </c>
      <c r="X27" s="99">
        <f>OCTOBER!W41</f>
        <v>2131.3767976048689</v>
      </c>
      <c r="Y27" s="99">
        <f>OCTOBER!X41</f>
        <v>629.63746052380361</v>
      </c>
      <c r="Z27" s="99">
        <f>OCTOBER!Y41</f>
        <v>14454.54239442289</v>
      </c>
      <c r="AA27" s="99">
        <f>OCTOBER!Z41</f>
        <v>4706.7872674950522</v>
      </c>
      <c r="AB27" s="99">
        <f>OCTOBER!AA41</f>
        <v>0</v>
      </c>
      <c r="AC27" s="102">
        <f>OCTOBER!AB41</f>
        <v>1817.7162153527636</v>
      </c>
      <c r="AD27" s="102">
        <f>OCTOBER!AC41</f>
        <v>0</v>
      </c>
      <c r="AE27" s="110"/>
      <c r="AF27" s="110"/>
      <c r="AG27" s="110"/>
      <c r="AH27" s="110"/>
      <c r="AI27" s="110"/>
      <c r="AJ27" s="110"/>
      <c r="AK27" s="111"/>
    </row>
    <row r="28" spans="1:37" ht="15.75" customHeight="1" x14ac:dyDescent="0.25">
      <c r="A28" s="407"/>
      <c r="B28" s="75" t="s">
        <v>62</v>
      </c>
      <c r="C28" s="99">
        <f>NOVEMBER!B41</f>
        <v>0</v>
      </c>
      <c r="D28" s="99">
        <f>NOVEMBER!C41</f>
        <v>2705.5377704885059</v>
      </c>
      <c r="E28" s="99">
        <f>NOVEMBER!D41</f>
        <v>67769.052439325154</v>
      </c>
      <c r="F28" s="99">
        <f>NOVEMBER!E41</f>
        <v>1481.6836781158383</v>
      </c>
      <c r="G28" s="99">
        <f>NOVEMBER!F41</f>
        <v>0</v>
      </c>
      <c r="H28" s="99">
        <f>NOVEMBER!G41</f>
        <v>2732.7502309986994</v>
      </c>
      <c r="I28" s="99">
        <f>NOVEMBER!H41</f>
        <v>1713.1111256735962</v>
      </c>
      <c r="J28" s="99">
        <f>NOVEMBER!I41</f>
        <v>4820.6065128089631</v>
      </c>
      <c r="K28" s="99">
        <f>NOVEMBER!J41</f>
        <v>28187.064296410055</v>
      </c>
      <c r="L28" s="100">
        <f>NOVEMBER!K41</f>
        <v>3676.565084882257</v>
      </c>
      <c r="M28" s="99">
        <f>NOVEMBER!L41</f>
        <v>0</v>
      </c>
      <c r="N28" s="99">
        <f>NOVEMBER!M41</f>
        <v>0</v>
      </c>
      <c r="O28" s="101">
        <f>NOVEMBER!N41</f>
        <v>0</v>
      </c>
      <c r="P28" s="101">
        <f>NOVEMBER!O41</f>
        <v>0</v>
      </c>
      <c r="Q28" s="99">
        <f>NOVEMBER!P41</f>
        <v>0</v>
      </c>
      <c r="R28" s="99">
        <f>NOVEMBER!Q41</f>
        <v>0</v>
      </c>
      <c r="S28" s="99">
        <f>NOVEMBER!R41</f>
        <v>0</v>
      </c>
      <c r="T28" s="99">
        <f>NOVEMBER!S41</f>
        <v>0</v>
      </c>
      <c r="U28" s="99">
        <f>NOVEMBER!T41</f>
        <v>0</v>
      </c>
      <c r="V28" s="99">
        <f>NOVEMBER!U41</f>
        <v>3999.1560689128291</v>
      </c>
      <c r="W28" s="99">
        <f>NOVEMBER!V41</f>
        <v>1004.0048911080942</v>
      </c>
      <c r="X28" s="99">
        <f>NOVEMBER!W41</f>
        <v>3789.1859045469196</v>
      </c>
      <c r="Y28" s="99">
        <f>NOVEMBER!X41</f>
        <v>974.75725615891906</v>
      </c>
      <c r="Z28" s="99">
        <f>NOVEMBER!Y41</f>
        <v>19968.428097603977</v>
      </c>
      <c r="AA28" s="99">
        <f>NOVEMBER!Z41</f>
        <v>3849.7382062174393</v>
      </c>
      <c r="AB28" s="99">
        <f>NOVEMBER!AA41</f>
        <v>0</v>
      </c>
      <c r="AC28" s="102">
        <f>NOVEMBER!AB41</f>
        <v>1159.4896037765373</v>
      </c>
      <c r="AD28" s="102">
        <f>NOVEMBER!AC41</f>
        <v>0</v>
      </c>
      <c r="AE28" s="110"/>
      <c r="AF28" s="110"/>
      <c r="AG28" s="110"/>
      <c r="AH28" s="110"/>
      <c r="AI28" s="110"/>
      <c r="AJ28" s="110"/>
      <c r="AK28" s="111"/>
    </row>
    <row r="29" spans="1:37" ht="15.75" customHeight="1" x14ac:dyDescent="0.25">
      <c r="A29" s="408"/>
      <c r="B29" s="77" t="s">
        <v>63</v>
      </c>
      <c r="C29" s="103">
        <f>DECEMBER!B41</f>
        <v>0</v>
      </c>
      <c r="D29" s="103">
        <f>DECEMBER!C41</f>
        <v>5064.9249072510802</v>
      </c>
      <c r="E29" s="103">
        <f>DECEMBER!D41</f>
        <v>131328.41771385621</v>
      </c>
      <c r="F29" s="103">
        <f>DECEMBER!E41</f>
        <v>2800.4221874121067</v>
      </c>
      <c r="G29" s="103">
        <f>DECEMBER!F41</f>
        <v>0</v>
      </c>
      <c r="H29" s="103">
        <f>DECEMBER!G41</f>
        <v>5322.4447758518063</v>
      </c>
      <c r="I29" s="103">
        <f>DECEMBER!H41</f>
        <v>3736.084768202832</v>
      </c>
      <c r="J29" s="103">
        <f>DECEMBER!I41</f>
        <v>3380.9837674601708</v>
      </c>
      <c r="K29" s="103">
        <f>DECEMBER!J41</f>
        <v>21824.826919522038</v>
      </c>
      <c r="L29" s="104">
        <f>DECEMBER!K41</f>
        <v>2844.2493712099294</v>
      </c>
      <c r="M29" s="103">
        <f>DECEMBER!L41</f>
        <v>0</v>
      </c>
      <c r="N29" s="103">
        <f>DECEMBER!M41</f>
        <v>0</v>
      </c>
      <c r="O29" s="105">
        <f>DECEMBER!N41</f>
        <v>0</v>
      </c>
      <c r="P29" s="105">
        <f>DECEMBER!O41</f>
        <v>0</v>
      </c>
      <c r="Q29" s="103">
        <f>DECEMBER!P41</f>
        <v>0</v>
      </c>
      <c r="R29" s="103">
        <f>DECEMBER!Q41</f>
        <v>0</v>
      </c>
      <c r="S29" s="103">
        <f>DECEMBER!R41</f>
        <v>0</v>
      </c>
      <c r="T29" s="103">
        <f>DECEMBER!S41</f>
        <v>0</v>
      </c>
      <c r="U29" s="103">
        <f>DECEMBER!T41</f>
        <v>0</v>
      </c>
      <c r="V29" s="103">
        <f>DECEMBER!U41</f>
        <v>2996.6043434760591</v>
      </c>
      <c r="W29" s="103">
        <f>DECEMBER!V41</f>
        <v>2173.7523152329927</v>
      </c>
      <c r="X29" s="103">
        <f>DECEMBER!W41</f>
        <v>2896.715249259857</v>
      </c>
      <c r="Y29" s="103">
        <f>DECEMBER!X41</f>
        <v>2100.4767914921763</v>
      </c>
      <c r="Z29" s="103">
        <f>DECEMBER!Y41</f>
        <v>8280.1378456615439</v>
      </c>
      <c r="AA29" s="103">
        <f>DECEMBER!Z41</f>
        <v>5996.5403137848971</v>
      </c>
      <c r="AB29" s="103">
        <f>DECEMBER!AA41</f>
        <v>0</v>
      </c>
      <c r="AC29" s="106">
        <f>DECEMBER!AB41</f>
        <v>995.27472041000885</v>
      </c>
      <c r="AD29" s="106">
        <f>DECEMBER!AC41</f>
        <v>0</v>
      </c>
      <c r="AE29" s="110"/>
      <c r="AF29" s="110"/>
      <c r="AG29" s="112"/>
      <c r="AH29" s="112"/>
      <c r="AI29" s="112"/>
      <c r="AJ29" s="112"/>
      <c r="AK29" s="113"/>
    </row>
    <row r="30" spans="1:37" ht="15.75" customHeight="1" thickBot="1" x14ac:dyDescent="0.3">
      <c r="A30" s="82" t="s">
        <v>88</v>
      </c>
      <c r="B30" s="83" t="s">
        <v>64</v>
      </c>
      <c r="C30" s="107">
        <f>SUM(C18:C29)</f>
        <v>0</v>
      </c>
      <c r="D30" s="107">
        <f t="shared" ref="D30:AD30" si="2">SUM(D18:D29)</f>
        <v>49472.466178956747</v>
      </c>
      <c r="E30" s="107">
        <f t="shared" si="2"/>
        <v>1085059.8236900372</v>
      </c>
      <c r="F30" s="107">
        <f t="shared" si="2"/>
        <v>27607.530119500854</v>
      </c>
      <c r="G30" s="107">
        <f t="shared" si="2"/>
        <v>0</v>
      </c>
      <c r="H30" s="107">
        <f t="shared" si="2"/>
        <v>47042.943613085255</v>
      </c>
      <c r="I30" s="107">
        <f t="shared" si="2"/>
        <v>40685.645934180837</v>
      </c>
      <c r="J30" s="107">
        <f t="shared" si="2"/>
        <v>53611.441216747269</v>
      </c>
      <c r="K30" s="107">
        <f t="shared" si="2"/>
        <v>355259.76948941161</v>
      </c>
      <c r="L30" s="107">
        <f t="shared" si="2"/>
        <v>46569.81606116629</v>
      </c>
      <c r="M30" s="107">
        <f t="shared" si="2"/>
        <v>0</v>
      </c>
      <c r="N30" s="107">
        <f t="shared" si="2"/>
        <v>0</v>
      </c>
      <c r="O30" s="107">
        <f t="shared" si="2"/>
        <v>0</v>
      </c>
      <c r="P30" s="107">
        <f t="shared" si="2"/>
        <v>0</v>
      </c>
      <c r="Q30" s="107">
        <f t="shared" si="2"/>
        <v>0</v>
      </c>
      <c r="R30" s="107">
        <f t="shared" si="2"/>
        <v>0</v>
      </c>
      <c r="S30" s="107">
        <f t="shared" si="2"/>
        <v>0</v>
      </c>
      <c r="T30" s="107">
        <f t="shared" si="2"/>
        <v>0</v>
      </c>
      <c r="U30" s="107">
        <f t="shared" si="2"/>
        <v>0</v>
      </c>
      <c r="V30" s="107">
        <f t="shared" si="2"/>
        <v>42667.712437036505</v>
      </c>
      <c r="W30" s="107">
        <f t="shared" si="2"/>
        <v>25117.780653338312</v>
      </c>
      <c r="X30" s="107">
        <f t="shared" si="2"/>
        <v>39688.637455139084</v>
      </c>
      <c r="Y30" s="107">
        <f t="shared" si="2"/>
        <v>18909.892322854965</v>
      </c>
      <c r="Z30" s="107">
        <f t="shared" si="2"/>
        <v>260757.11713693972</v>
      </c>
      <c r="AA30" s="107">
        <f t="shared" si="2"/>
        <v>118806.07020451938</v>
      </c>
      <c r="AB30" s="107">
        <f t="shared" si="2"/>
        <v>0</v>
      </c>
      <c r="AC30" s="107">
        <f t="shared" si="2"/>
        <v>14329.497152202728</v>
      </c>
      <c r="AD30" s="107">
        <f t="shared" si="2"/>
        <v>0</v>
      </c>
      <c r="AE30" s="114"/>
      <c r="AF30" s="114"/>
      <c r="AG30" s="114"/>
      <c r="AH30" s="114" t="str">
        <f>IF(SUM(AH18:AH29)&gt;0, AVERAGE(AH18:AH29), "")</f>
        <v/>
      </c>
      <c r="AI30" s="114" t="str">
        <f>IF(SUM(AI18:AI29)&gt;0, AVERAGE(AI18:AI29), "")</f>
        <v/>
      </c>
      <c r="AJ30" s="114" t="str">
        <f>IF(SUM(AJ18:AJ29)&gt;0, AVERAGE(AJ18:AJ29), "")</f>
        <v/>
      </c>
      <c r="AK30" s="210" t="str">
        <f>IF(SUM(AK18:AK29)&gt;0, AVERAGE(AK18:AK29), "")</f>
        <v/>
      </c>
    </row>
    <row r="31" spans="1:37" ht="16.5" customHeight="1" thickTop="1" x14ac:dyDescent="0.25"/>
    <row r="32" spans="1:37" ht="15.75" thickBot="1" x14ac:dyDescent="0.3">
      <c r="C32" s="301" t="s">
        <v>201</v>
      </c>
      <c r="D32" s="301" t="s">
        <v>202</v>
      </c>
      <c r="E32" s="301" t="s">
        <v>203</v>
      </c>
    </row>
    <row r="33" spans="1:5" ht="15.75" customHeight="1" thickTop="1" x14ac:dyDescent="0.25">
      <c r="A33" s="403" t="s">
        <v>204</v>
      </c>
      <c r="B33" s="74" t="s">
        <v>52</v>
      </c>
      <c r="C33" s="296">
        <f>IF(ISNUMBER(JANUARY!B52)=TRUE,JANUARY!B52,"")</f>
        <v>0.61786673800666936</v>
      </c>
      <c r="D33" s="296">
        <f>IF(ISNUMBER(JANUARY!E52)=TRUE,JANUARY!E52,"")</f>
        <v>1.1689019735183503</v>
      </c>
      <c r="E33" s="296">
        <f>IF(ISNUMBER(JANUARY!H52)=TRUE,JANUARY!H52,"")</f>
        <v>0.38264286440499845</v>
      </c>
    </row>
    <row r="34" spans="1:5" ht="15.75" customHeight="1" x14ac:dyDescent="0.25">
      <c r="A34" s="404"/>
      <c r="B34" s="75" t="s">
        <v>53</v>
      </c>
      <c r="C34" s="297">
        <f>IF(ISNUMBER(FEBRUARY!$B$52)=TRUE,FEBRUARY!$B$52,"")</f>
        <v>1.1003775811478633</v>
      </c>
      <c r="D34" s="297">
        <f>IF(ISNUMBER(FEBRUARY!$E$52)=TRUE,FEBRUARY!$E$52,"")</f>
        <v>1.8879980087635702</v>
      </c>
      <c r="E34" s="297">
        <f>IF(ISNUMBER(FEBRUARY!$H$52)=TRUE,FEBRUARY!$H$52,"")</f>
        <v>0.72992750140748852</v>
      </c>
    </row>
    <row r="35" spans="1:5" x14ac:dyDescent="0.25">
      <c r="A35" s="404"/>
      <c r="B35" s="75" t="s">
        <v>54</v>
      </c>
      <c r="C35" s="297">
        <f>IF(ISNUMBER(MARCH!$B$52)=TRUE,MARCH!$B$52,"")</f>
        <v>0.69525133893427427</v>
      </c>
      <c r="D35" s="297">
        <f>IF(ISNUMBER(MARCH!$E$52)=TRUE,MARCH!$E$52,"")</f>
        <v>1.1928660581656458</v>
      </c>
      <c r="E35" s="297">
        <f>IF(ISNUMBER(MARCH!$H$52)=TRUE,MARCH!$H$52,"")</f>
        <v>0.42862331432877299</v>
      </c>
    </row>
    <row r="36" spans="1:5" x14ac:dyDescent="0.25">
      <c r="A36" s="404"/>
      <c r="B36" s="75" t="s">
        <v>55</v>
      </c>
      <c r="C36" s="297">
        <f>IF(ISNUMBER(APRIL!$B$52)=TRUE,APRIL!$B$52,"")</f>
        <v>1.2161117999574738</v>
      </c>
      <c r="D36" s="297">
        <f>IF(ISNUMBER(APRIL!$E$52)=TRUE,APRIL!$E$52,"")</f>
        <v>1.8898925020411759</v>
      </c>
      <c r="E36" s="297">
        <f>IF(ISNUMBER(APRIL!$H$52)=TRUE,APRIL!$H$52,"")</f>
        <v>0.81708192168645088</v>
      </c>
    </row>
    <row r="37" spans="1:5" x14ac:dyDescent="0.25">
      <c r="A37" s="404"/>
      <c r="B37" s="75" t="s">
        <v>56</v>
      </c>
      <c r="C37" s="297">
        <f>IF(ISNUMBER(MAY!$B$52)=TRUE,MAY!$B$52,"")</f>
        <v>0.76827430544733299</v>
      </c>
      <c r="D37" s="297">
        <f>IF(ISNUMBER(MAY!$E$52)=TRUE,MAY!$E$52,"")</f>
        <v>1.5873859676122655</v>
      </c>
      <c r="E37" s="297">
        <f>IF(ISNUMBER(MAY!$H$52)=TRUE,MAY!$H$52,"")</f>
        <v>0.49335137935405787</v>
      </c>
    </row>
    <row r="38" spans="1:5" x14ac:dyDescent="0.25">
      <c r="A38" s="404"/>
      <c r="B38" s="75" t="s">
        <v>57</v>
      </c>
      <c r="C38" s="297">
        <f>IF(ISNUMBER(JUNE!$B$51)=TRUE,JUNE!$B$51,"")</f>
        <v>1.1430099778118494</v>
      </c>
      <c r="D38" s="297">
        <f>IF(ISNUMBER(JUNE!$E$51)=TRUE,JUNE!$E$51,"")</f>
        <v>1.5946063093049363</v>
      </c>
      <c r="E38" s="297">
        <f>IF(ISNUMBER(JUNE!$H$51)=TRUE,JUNE!$H$51,"")</f>
        <v>0.82630518177790813</v>
      </c>
    </row>
    <row r="39" spans="1:5" x14ac:dyDescent="0.25">
      <c r="A39" s="404"/>
      <c r="B39" s="75" t="s">
        <v>58</v>
      </c>
      <c r="C39" s="297">
        <f>IF(ISNUMBER(JULY!$B$52)=TRUE,JULY!$B$52,"")</f>
        <v>0.92175146707126432</v>
      </c>
      <c r="D39" s="297">
        <f>IF(ISNUMBER(JULY!$E$52)=TRUE,JULY!$E$52,"")</f>
        <v>1.4546066792940697</v>
      </c>
      <c r="E39" s="297">
        <f>IF(ISNUMBER(JULY!$H$52)=TRUE,JULY!$H$52,"")</f>
        <v>0.62792703389931237</v>
      </c>
    </row>
    <row r="40" spans="1:5" x14ac:dyDescent="0.25">
      <c r="A40" s="404"/>
      <c r="B40" s="75" t="s">
        <v>59</v>
      </c>
      <c r="C40" s="297">
        <f>IF(ISNUMBER(AUGUST!$B$52)=TRUE,AUGUST!$B$52,"")</f>
        <v>0.66772283011196942</v>
      </c>
      <c r="D40" s="297">
        <f>IF(ISNUMBER(AUGUST!$E$52)=TRUE,AUGUST!$E$52,"")</f>
        <v>1.2363591251064696</v>
      </c>
      <c r="E40" s="297">
        <f>IF(ISNUMBER(AUGUST!$H$52)=TRUE,AUGUST!$H$52,"")</f>
        <v>0.43122863955343638</v>
      </c>
    </row>
    <row r="41" spans="1:5" x14ac:dyDescent="0.25">
      <c r="A41" s="404"/>
      <c r="B41" s="75" t="s">
        <v>60</v>
      </c>
      <c r="C41" s="297">
        <f>IF(ISNUMBER(SEPTEMBER!$B$52)=TRUE,SEPTEMBER!$B$52,"")</f>
        <v>0.75557952130902739</v>
      </c>
      <c r="D41" s="297">
        <f>IF(ISNUMBER(SEPTEMBER!$E$52)=TRUE,SEPTEMBER!$E$52,"")</f>
        <v>1.3340154616504216</v>
      </c>
      <c r="E41" s="297">
        <f>IF(ISNUMBER(SEPTEMBER!$H$52)=TRUE,SEPTEMBER!$H$52,"")</f>
        <v>0.49071463679829747</v>
      </c>
    </row>
    <row r="42" spans="1:5" x14ac:dyDescent="0.25">
      <c r="A42" s="404"/>
      <c r="B42" s="75" t="s">
        <v>61</v>
      </c>
      <c r="C42" s="297">
        <f>IF(ISNUMBER(OCTOBER!$B$52)=TRUE,OCTOBER!$B$52,"")</f>
        <v>1.1788957939168183</v>
      </c>
      <c r="D42" s="297">
        <f>IF(ISNUMBER(OCTOBER!$E$52)=TRUE,OCTOBER!$E$52,"")</f>
        <v>2.650034802961359</v>
      </c>
      <c r="E42" s="297">
        <f>IF(ISNUMBER(OCTOBER!$H$52)=TRUE,OCTOBER!$H$52,"")</f>
        <v>0.742334953049547</v>
      </c>
    </row>
    <row r="43" spans="1:5" x14ac:dyDescent="0.25">
      <c r="A43" s="404"/>
      <c r="B43" s="75" t="s">
        <v>62</v>
      </c>
      <c r="C43" s="297">
        <f>IF(ISNUMBER(NOVEMBER!$B$52)=TRUE,NOVEMBER!$B$52,"")</f>
        <v>1.0221992234442119</v>
      </c>
      <c r="D43" s="297">
        <f>IF(ISNUMBER(NOVEMBER!$E$52)=TRUE,NOVEMBER!$E$52,"")</f>
        <v>2.3786360904732393</v>
      </c>
      <c r="E43" s="297">
        <f>IF(ISNUMBER(NOVEMBER!$H$52)=TRUE,NOVEMBER!$H$52,"")</f>
        <v>0.64118290948832202</v>
      </c>
    </row>
    <row r="44" spans="1:5" ht="15.75" thickBot="1" x14ac:dyDescent="0.3">
      <c r="A44" s="404"/>
      <c r="B44" s="77" t="s">
        <v>63</v>
      </c>
      <c r="C44" s="298">
        <f>IF(ISNUMBER(DECEMBER!$B$52)=TRUE,DECEMBER!$B$52,"")</f>
        <v>1.3354064064795776</v>
      </c>
      <c r="D44" s="298">
        <f>IF(ISNUMBER(DECEMBER!$E$52)=TRUE,DECEMBER!$E$52,"")</f>
        <v>1.9333298406616037</v>
      </c>
      <c r="E44" s="298">
        <f>IF(ISNUMBER(DECEMBER!$H$52)=TRUE,DECEMBER!$H$52,"")</f>
        <v>0.91493786825606949</v>
      </c>
    </row>
    <row r="45" spans="1:5" ht="15.75" thickBot="1" x14ac:dyDescent="0.3">
      <c r="A45" s="405"/>
      <c r="B45" s="300" t="s">
        <v>205</v>
      </c>
      <c r="C45" s="299">
        <f>AVERAGE(C33:C44)</f>
        <v>0.95187058196986085</v>
      </c>
      <c r="D45" s="299">
        <f>AVERAGE(D33:D44)</f>
        <v>1.6923860682960923</v>
      </c>
      <c r="E45" s="299">
        <f>AVERAGE(E33:E44)</f>
        <v>0.6271881836670552</v>
      </c>
    </row>
    <row r="47" spans="1:5" ht="15.75" thickBot="1" x14ac:dyDescent="0.3">
      <c r="C47" s="301" t="s">
        <v>201</v>
      </c>
      <c r="D47" s="301" t="s">
        <v>202</v>
      </c>
      <c r="E47" s="301" t="s">
        <v>203</v>
      </c>
    </row>
    <row r="48" spans="1:5" ht="15" customHeight="1" thickTop="1" x14ac:dyDescent="0.25">
      <c r="A48" s="399" t="s">
        <v>208</v>
      </c>
      <c r="B48" s="303" t="s">
        <v>217</v>
      </c>
      <c r="C48" s="304">
        <f>(JANUARY!B44+FEBRUARY!B44+MARCH!B44+APRIL!B44+MAY!B44+JUNE!B43+JULY!B44+AUGUST!B44+SEPTEMBER!B44+OCTOBER!B44+NOVEMBER!B44+DECEMBER!B44)/$AG$17</f>
        <v>317.88354269813885</v>
      </c>
      <c r="D48" s="305">
        <f>(JANUARY!E44+FEBRUARY!E44+MARCH!E44+APRIL!E44+MAY!E44+JUNE!E43+JULY!E44+AUGUST!E44+SEPTEMBER!E44+OCTOBER!E44+NOVEMBER!E44+DECEMBER!E44)/$AF$17</f>
        <v>635.5617022001893</v>
      </c>
      <c r="E48" s="306">
        <f>(JANUARY!H44+FEBRUARY!H44+MARCH!H44+APRIL!H44+MAY!H44+JUNE!H43+JULY!H44+AUGUST!H44+SEPTEMBER!H44+OCTOBER!H44+NOVEMBER!H44+DECEMBER!H44)/$AE$17</f>
        <v>167.11401827010729</v>
      </c>
    </row>
    <row r="49" spans="1:5" ht="15" customHeight="1" x14ac:dyDescent="0.25">
      <c r="A49" s="400"/>
      <c r="B49" s="307" t="s">
        <v>209</v>
      </c>
      <c r="C49" s="297">
        <f>(JANUARY!B47+FEBRUARY!B47+MARCH!B47+APRIL!B47+MAY!B47+JUNE!B46+JULY!B47+AUGUST!B47+SEPTEMBER!B47+OCTOBER!B47+NOVEMBER!B47+DECEMBER!B47)/$AG$17</f>
        <v>271.48191853221005</v>
      </c>
      <c r="D49" s="297">
        <f>(JANUARY!E47+FEBRUARY!E47+MARCH!E47+APRIL!E47+MAY!E47+JUNE!E46+JULY!E47+AUGUST!E47+SEPTEMBER!E47+OCTOBER!E47+NOVEMBER!E47+DECEMBER!E47)/$AF$17</f>
        <v>427.55736401794309</v>
      </c>
      <c r="E49" s="308">
        <f>(JANUARY!H47+FEBRUARY!H47+MARCH!H47+APRIL!H47+MAY!H47+JUNE!H46+JULY!H47+AUGUST!H47+SEPTEMBER!H47+OCTOBER!H47+NOVEMBER!H47+DECEMBER!H47)/$AE$17</f>
        <v>198.88205662199769</v>
      </c>
    </row>
    <row r="50" spans="1:5" ht="15" customHeight="1" x14ac:dyDescent="0.25">
      <c r="A50" s="400"/>
      <c r="B50" s="307" t="s">
        <v>210</v>
      </c>
      <c r="C50" s="309">
        <f>C49+C51</f>
        <v>485.71457995209005</v>
      </c>
      <c r="D50" s="309">
        <f>D49+D51</f>
        <v>764.95276957002545</v>
      </c>
      <c r="E50" s="310">
        <f>E49+E51</f>
        <v>355.82448773913563</v>
      </c>
    </row>
    <row r="51" spans="1:5" ht="15" customHeight="1" x14ac:dyDescent="0.25">
      <c r="A51" s="400"/>
      <c r="B51" s="307" t="s">
        <v>211</v>
      </c>
      <c r="C51" s="297">
        <f>(JANUARY!B48+FEBRUARY!B48+MARCH!B48+APRIL!B48+MAY!B48+JUNE!B47+JULY!B48+AUGUST!B48+SEPTEMBER!B48+OCTOBER!B48+NOVEMBER!B48+DECEMBER!B48)/$AG$17</f>
        <v>214.23266141988</v>
      </c>
      <c r="D51" s="297">
        <f>(JANUARY!E48+FEBRUARY!E48+MARCH!E48+APRIL!E48+MAY!E48+JUNE!E47+JULY!E48+AUGUST!E48+SEPTEMBER!E48+OCTOBER!E48+NOVEMBER!E48+DECEMBER!E48)/$AF$17</f>
        <v>337.39540555208237</v>
      </c>
      <c r="E51" s="308">
        <f>(JANUARY!H48+FEBRUARY!H48+MARCH!H48+APRIL!H48+MAY!H48+JUNE!H47+JULY!H48+AUGUST!H48+SEPTEMBER!H48+OCTOBER!H48+NOVEMBER!H48+DECEMBER!H48)/$AE$17</f>
        <v>156.94243111713797</v>
      </c>
    </row>
    <row r="52" spans="1:5" ht="15" customHeight="1" x14ac:dyDescent="0.25">
      <c r="A52" s="400"/>
      <c r="B52" s="307" t="s">
        <v>212</v>
      </c>
      <c r="C52" s="297">
        <f>(JANUARY!B46+FEBRUARY!B46+MARCH!B46+APRIL!B46+MAY!B46+JUNE!B45+JULY!B46+AUGUST!B46+SEPTEMBER!B46+OCTOBER!B46+NOVEMBER!B46+DECEMBER!B46)/$AG$17</f>
        <v>29.068846434942671</v>
      </c>
      <c r="D52" s="297">
        <f>(JANUARY!E46+FEBRUARY!E46+MARCH!E46+APRIL!E46+MAY!E46+JUNE!E45+JULY!E46+AUGUST!E46+SEPTEMBER!E46+OCTOBER!E46+NOVEMBER!E46+DECEMBER!E46)/$AF$17</f>
        <v>39.210520767759441</v>
      </c>
      <c r="E52" s="308">
        <f>(JANUARY!H46+FEBRUARY!H46+MARCH!H46+APRIL!H46+MAY!H46+JUNE!H45+JULY!H46+AUGUST!H46+SEPTEMBER!H46+OCTOBER!H46+NOVEMBER!H46+DECEMBER!H46)/$AE$17</f>
        <v>24.351357698585701</v>
      </c>
    </row>
    <row r="53" spans="1:5" ht="15" customHeight="1" x14ac:dyDescent="0.25">
      <c r="A53" s="400"/>
      <c r="B53" s="311" t="s">
        <v>213</v>
      </c>
      <c r="C53" s="298">
        <f>(JANUARY!B45+FEBRUARY!B45+MARCH!B45+APRIL!B45+MAY!B45+JUNE!B44+JULY!B45+AUGUST!B45+SEPTEMBER!B45+OCTOBER!B45+NOVEMBER!B45+DECEMBER!B45)/$AG$17</f>
        <v>68.981933206524062</v>
      </c>
      <c r="D53" s="298">
        <f>(JANUARY!E45+FEBRUARY!E45+MARCH!E45+APRIL!E45+MAY!E45+JUNE!E44+JULY!E45+AUGUST!E45+SEPTEMBER!E45+OCTOBER!E45+NOVEMBER!E45+DECEMBER!E45)/$AF$17</f>
        <v>132.92112943024324</v>
      </c>
      <c r="E53" s="312">
        <f>(JANUARY!H45+FEBRUARY!H45+MARCH!H45+APRIL!H45+MAY!H45+JUNE!H44+JULY!H45+AUGUST!H45+SEPTEMBER!H45+OCTOBER!H45+NOVEMBER!H45+DECEMBER!H45)/$AE$17</f>
        <v>39.240055475242414</v>
      </c>
    </row>
    <row r="54" spans="1:5" ht="15" customHeight="1" x14ac:dyDescent="0.25">
      <c r="A54" s="401"/>
      <c r="B54" s="311" t="s">
        <v>218</v>
      </c>
      <c r="C54" s="320">
        <f>(SUM(JANUARY!AJ39:AS39)+SUM(FEBRUARY!AJ39:AS39)+SUM(MARCH!AJ39:AS39)+SUM(APRIL!AJ39:AS39)+SUM(MAY!AJ39:AS39)+SUM(JUNE!AJ38:AS38)+SUM(JULY!AJ39:AS39)+SUM(AUGUST!AJ39:AS39)+SUM(SEPTEMBER!AJ39:AS39)+SUM(OCTOBER!AJ39:AS39)+SUM(NOVEMBER!AJ39:AS39)+SUM(DECEMBER!AJ39:AS39))</f>
        <v>6081885.0386670902</v>
      </c>
      <c r="D54" s="320">
        <f>(JANUARY!E45/JANUARY!AJ40+FEBRUARY!E45/FEBRUARY!AJ40+MARCH!E45/MARCH!AJ40+APRIL!E45/APRIL!AJ40+MAY!E45/MAY!AJ40+JUNE!E44/JUNE!AJ39+JULY!E45/JULY!AJ40+AUGUST!E45/AUGUST!AJ40+SEPTEMBER!E45/SEPTEMBER!AJ40+OCTOBER!E45/OCTOBER!AJ40+NOVEMBER!E45/NOVEMBER!AJ40+DECEMBER!E45/DECEMBER!AJ40)</f>
        <v>3733533.3233584608</v>
      </c>
      <c r="E54" s="321">
        <f>C54-D54</f>
        <v>2348351.7153086294</v>
      </c>
    </row>
    <row r="55" spans="1:5" ht="15" customHeight="1" thickBot="1" x14ac:dyDescent="0.3">
      <c r="A55" s="401"/>
      <c r="B55" s="311" t="s">
        <v>219</v>
      </c>
      <c r="C55" s="322">
        <f>C54/C58</f>
        <v>868.68403987745592</v>
      </c>
      <c r="D55" s="322">
        <f>D54/D58</f>
        <v>1679.6822951334932</v>
      </c>
      <c r="E55" s="323">
        <f>E54/E58</f>
        <v>491.44109075261389</v>
      </c>
    </row>
    <row r="56" spans="1:5" ht="15" customHeight="1" thickTop="1" x14ac:dyDescent="0.25">
      <c r="A56" s="401"/>
      <c r="B56" s="313" t="s">
        <v>214</v>
      </c>
      <c r="C56" s="314">
        <f>C48+C49+C51+C52+C53</f>
        <v>901.64890229169578</v>
      </c>
      <c r="D56" s="314">
        <f>D48+D49+D51+D52+D53</f>
        <v>1572.6461219682174</v>
      </c>
      <c r="E56" s="315">
        <f>E48+E49+E51+E52+E53</f>
        <v>586.52991918307112</v>
      </c>
    </row>
    <row r="57" spans="1:5" ht="15" customHeight="1" x14ac:dyDescent="0.25">
      <c r="A57" s="401"/>
      <c r="B57" s="316" t="s">
        <v>215</v>
      </c>
      <c r="C57" s="317">
        <f>C56/1000</f>
        <v>0.90164890229169581</v>
      </c>
      <c r="D57" s="317">
        <f>D56/1000</f>
        <v>1.5726461219682173</v>
      </c>
      <c r="E57" s="318">
        <f>E56/1000</f>
        <v>0.58652991918307107</v>
      </c>
    </row>
    <row r="58" spans="1:5" ht="15" customHeight="1" thickBot="1" x14ac:dyDescent="0.3">
      <c r="A58" s="402"/>
      <c r="B58" s="319" t="s">
        <v>216</v>
      </c>
      <c r="C58" s="355">
        <f>AG17</f>
        <v>7001.2625528668095</v>
      </c>
      <c r="D58" s="355">
        <f>AF17</f>
        <v>2222.7616104399895</v>
      </c>
      <c r="E58" s="356">
        <f>AE17</f>
        <v>4778.5009424268192</v>
      </c>
    </row>
    <row r="59" spans="1:5" ht="15.75" thickTop="1" x14ac:dyDescent="0.25"/>
  </sheetData>
  <sheetProtection algorithmName="SHA-512" hashValue="uxrOZigkwSDAlitnGno3nGlXAjVAqdPxjklM4tBLBgxSaiYA+uC00jTHPHHgUfPZYe7UN7VvD6SsXeyblsboLQ==" saltValue="ijPiKXTF+imWwHkoyovPfg==" spinCount="100000" sheet="1" objects="1" scenarios="1" selectLockedCells="1" selectUnlockedCells="1"/>
  <mergeCells count="15">
    <mergeCell ref="C1:AK1"/>
    <mergeCell ref="A2:B3"/>
    <mergeCell ref="AH2:AK2"/>
    <mergeCell ref="C2:I2"/>
    <mergeCell ref="J2:O2"/>
    <mergeCell ref="P2:U2"/>
    <mergeCell ref="V2:AB2"/>
    <mergeCell ref="AC2:AD2"/>
    <mergeCell ref="AE2:AG2"/>
    <mergeCell ref="A48:A58"/>
    <mergeCell ref="A33:A45"/>
    <mergeCell ref="A4:A15"/>
    <mergeCell ref="A18:A29"/>
    <mergeCell ref="A1:B1"/>
    <mergeCell ref="A16:B16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02" t="s">
        <v>220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361950</xdr:colOff>
                <xdr:row>42</xdr:row>
                <xdr:rowOff>114300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104775</xdr:colOff>
                <xdr:row>0</xdr:row>
                <xdr:rowOff>0</xdr:rowOff>
              </from>
              <to>
                <xdr:col>20</xdr:col>
                <xdr:colOff>466725</xdr:colOff>
                <xdr:row>31</xdr:row>
                <xdr:rowOff>85725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32"/>
  <sheetViews>
    <sheetView topLeftCell="A11" zoomScaleNormal="100" workbookViewId="0">
      <selection activeCell="Z30" sqref="Z30"/>
    </sheetView>
  </sheetViews>
  <sheetFormatPr defaultRowHeight="15" x14ac:dyDescent="0.25"/>
  <cols>
    <col min="1" max="2" width="12.7109375" customWidth="1"/>
    <col min="3" max="21" width="9.140625" customWidth="1"/>
    <col min="22" max="24" width="9.5703125" bestFit="1" customWidth="1"/>
    <col min="25" max="25" width="9.5703125" customWidth="1"/>
    <col min="26" max="35" width="9.140625" customWidth="1"/>
  </cols>
  <sheetData>
    <row r="1" spans="1:35" ht="21.75" thickBot="1" x14ac:dyDescent="0.3">
      <c r="A1" s="454">
        <v>2022</v>
      </c>
      <c r="B1" s="455"/>
      <c r="C1" s="456" t="s">
        <v>90</v>
      </c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8"/>
      <c r="AF1" s="458"/>
      <c r="AG1" s="458"/>
      <c r="AH1" s="458"/>
      <c r="AI1" s="459"/>
    </row>
    <row r="2" spans="1:35" ht="28.5" customHeight="1" thickBot="1" x14ac:dyDescent="0.3">
      <c r="A2" s="460"/>
      <c r="B2" s="420"/>
      <c r="C2" s="463" t="s">
        <v>66</v>
      </c>
      <c r="D2" s="425"/>
      <c r="E2" s="425"/>
      <c r="F2" s="425"/>
      <c r="G2" s="425"/>
      <c r="H2" s="425"/>
      <c r="I2" s="425"/>
      <c r="J2" s="425"/>
      <c r="K2" s="425"/>
      <c r="L2" s="425"/>
      <c r="M2" s="464"/>
      <c r="N2" s="464"/>
      <c r="O2" s="464"/>
      <c r="P2" s="465"/>
      <c r="Q2" s="466" t="s">
        <v>71</v>
      </c>
      <c r="R2" s="467"/>
      <c r="S2" s="467"/>
      <c r="T2" s="467"/>
      <c r="U2" s="467"/>
      <c r="V2" s="467"/>
      <c r="W2" s="467"/>
      <c r="X2" s="467"/>
      <c r="Y2" s="467"/>
      <c r="Z2" s="467"/>
      <c r="AA2" s="467"/>
      <c r="AB2" s="467"/>
      <c r="AC2" s="468"/>
      <c r="AD2" s="469" t="s">
        <v>83</v>
      </c>
      <c r="AE2" s="470"/>
      <c r="AF2" s="473" t="s">
        <v>232</v>
      </c>
      <c r="AG2" s="474"/>
      <c r="AH2" s="474"/>
      <c r="AI2" s="475"/>
    </row>
    <row r="3" spans="1:35" ht="28.5" customHeight="1" thickBot="1" x14ac:dyDescent="0.3">
      <c r="A3" s="460"/>
      <c r="B3" s="420"/>
      <c r="C3" s="463" t="s">
        <v>91</v>
      </c>
      <c r="D3" s="425"/>
      <c r="E3" s="425"/>
      <c r="F3" s="425"/>
      <c r="G3" s="425"/>
      <c r="H3" s="425"/>
      <c r="I3" s="426"/>
      <c r="J3" s="430" t="s">
        <v>92</v>
      </c>
      <c r="K3" s="431"/>
      <c r="L3" s="432"/>
      <c r="M3" s="479" t="s">
        <v>93</v>
      </c>
      <c r="N3" s="480"/>
      <c r="O3" s="480"/>
      <c r="P3" s="481"/>
      <c r="Q3" s="490" t="s">
        <v>94</v>
      </c>
      <c r="R3" s="428"/>
      <c r="S3" s="428"/>
      <c r="T3" s="428"/>
      <c r="U3" s="428"/>
      <c r="V3" s="429"/>
      <c r="W3" s="430" t="s">
        <v>95</v>
      </c>
      <c r="X3" s="431"/>
      <c r="Y3" s="432"/>
      <c r="Z3" s="479" t="s">
        <v>96</v>
      </c>
      <c r="AA3" s="480"/>
      <c r="AB3" s="480"/>
      <c r="AC3" s="481"/>
      <c r="AD3" s="471"/>
      <c r="AE3" s="472"/>
      <c r="AF3" s="476"/>
      <c r="AG3" s="477"/>
      <c r="AH3" s="477"/>
      <c r="AI3" s="478"/>
    </row>
    <row r="4" spans="1:35" ht="129.75" thickBot="1" x14ac:dyDescent="0.3">
      <c r="A4" s="461"/>
      <c r="B4" s="462"/>
      <c r="C4" s="115" t="s">
        <v>67</v>
      </c>
      <c r="D4" s="116" t="s">
        <v>68</v>
      </c>
      <c r="E4" s="116" t="s">
        <v>11</v>
      </c>
      <c r="F4" s="116" t="s">
        <v>12</v>
      </c>
      <c r="G4" s="116" t="s">
        <v>13</v>
      </c>
      <c r="H4" s="116" t="s">
        <v>69</v>
      </c>
      <c r="I4" s="116" t="s">
        <v>70</v>
      </c>
      <c r="J4" s="117" t="s">
        <v>36</v>
      </c>
      <c r="K4" s="117" t="s">
        <v>75</v>
      </c>
      <c r="L4" s="117" t="s">
        <v>77</v>
      </c>
      <c r="M4" s="118" t="s">
        <v>79</v>
      </c>
      <c r="N4" s="118" t="s">
        <v>81</v>
      </c>
      <c r="O4" s="118" t="s">
        <v>46</v>
      </c>
      <c r="P4" s="119" t="s">
        <v>97</v>
      </c>
      <c r="Q4" s="120" t="s">
        <v>67</v>
      </c>
      <c r="R4" s="121" t="s">
        <v>72</v>
      </c>
      <c r="S4" s="121" t="s">
        <v>17</v>
      </c>
      <c r="T4" s="121" t="s">
        <v>18</v>
      </c>
      <c r="U4" s="121" t="s">
        <v>19</v>
      </c>
      <c r="V4" s="121" t="s">
        <v>13</v>
      </c>
      <c r="W4" s="117" t="s">
        <v>35</v>
      </c>
      <c r="X4" s="117" t="s">
        <v>74</v>
      </c>
      <c r="Y4" s="117" t="s">
        <v>76</v>
      </c>
      <c r="Z4" s="118" t="s">
        <v>78</v>
      </c>
      <c r="AA4" s="118" t="s">
        <v>80</v>
      </c>
      <c r="AB4" s="118" t="s">
        <v>45</v>
      </c>
      <c r="AC4" s="119" t="s">
        <v>98</v>
      </c>
      <c r="AD4" s="122" t="s">
        <v>7</v>
      </c>
      <c r="AE4" s="123" t="s">
        <v>84</v>
      </c>
      <c r="AF4" s="124" t="s">
        <v>27</v>
      </c>
      <c r="AG4" s="124" t="s">
        <v>31</v>
      </c>
      <c r="AH4" s="124" t="s">
        <v>32</v>
      </c>
      <c r="AI4" s="125" t="s">
        <v>33</v>
      </c>
    </row>
    <row r="5" spans="1:35" ht="15" customHeight="1" x14ac:dyDescent="0.25">
      <c r="A5" s="491" t="s">
        <v>99</v>
      </c>
      <c r="B5" s="492"/>
      <c r="C5" s="129" t="s">
        <v>100</v>
      </c>
      <c r="D5" s="127" t="s">
        <v>100</v>
      </c>
      <c r="E5" s="127" t="s">
        <v>100</v>
      </c>
      <c r="F5" s="127" t="s">
        <v>100</v>
      </c>
      <c r="G5" s="127" t="s">
        <v>100</v>
      </c>
      <c r="H5" s="127" t="s">
        <v>101</v>
      </c>
      <c r="I5" s="127" t="s">
        <v>100</v>
      </c>
      <c r="J5" s="127" t="s">
        <v>100</v>
      </c>
      <c r="K5" s="127" t="s">
        <v>100</v>
      </c>
      <c r="L5" s="127" t="s">
        <v>100</v>
      </c>
      <c r="M5" s="127" t="s">
        <v>101</v>
      </c>
      <c r="N5" s="127" t="s">
        <v>100</v>
      </c>
      <c r="O5" s="127" t="s">
        <v>100</v>
      </c>
      <c r="P5" s="128" t="s">
        <v>100</v>
      </c>
      <c r="Q5" s="126" t="s">
        <v>100</v>
      </c>
      <c r="R5" s="127" t="s">
        <v>100</v>
      </c>
      <c r="S5" s="127" t="s">
        <v>100</v>
      </c>
      <c r="T5" s="127" t="s">
        <v>100</v>
      </c>
      <c r="U5" s="127" t="s">
        <v>100</v>
      </c>
      <c r="V5" s="127" t="s">
        <v>100</v>
      </c>
      <c r="W5" s="127" t="s">
        <v>100</v>
      </c>
      <c r="X5" s="127" t="s">
        <v>100</v>
      </c>
      <c r="Y5" s="127" t="s">
        <v>100</v>
      </c>
      <c r="Z5" s="127" t="s">
        <v>101</v>
      </c>
      <c r="AA5" s="127" t="s">
        <v>100</v>
      </c>
      <c r="AB5" s="127" t="s">
        <v>100</v>
      </c>
      <c r="AC5" s="128" t="s">
        <v>100</v>
      </c>
      <c r="AD5" s="129" t="s">
        <v>101</v>
      </c>
      <c r="AE5" s="156" t="s">
        <v>100</v>
      </c>
      <c r="AF5" s="130" t="s">
        <v>102</v>
      </c>
      <c r="AG5" s="130" t="s">
        <v>102</v>
      </c>
      <c r="AH5" s="130" t="s">
        <v>102</v>
      </c>
      <c r="AI5" s="131" t="s">
        <v>34</v>
      </c>
    </row>
    <row r="6" spans="1:35" ht="15.75" thickBot="1" x14ac:dyDescent="0.3">
      <c r="A6" s="493"/>
      <c r="B6" s="494"/>
      <c r="C6" s="129">
        <f>'Yearly Summary '!$C$17</f>
        <v>0</v>
      </c>
      <c r="D6" s="127">
        <f>'Yearly Summary '!$D$17</f>
        <v>23563.450389790538</v>
      </c>
      <c r="E6" s="127">
        <f>'Yearly Summary '!$E$17</f>
        <v>290870.23253803293</v>
      </c>
      <c r="F6" s="127">
        <f>'Yearly Summary '!$F$17</f>
        <v>5497.3231534710521</v>
      </c>
      <c r="G6" s="127">
        <f>'Yearly Summary '!$G$17</f>
        <v>0</v>
      </c>
      <c r="H6" s="127">
        <f>'Yearly Summary '!$H$17</f>
        <v>615382.87151658372</v>
      </c>
      <c r="I6" s="127">
        <f>'Yearly Summary '!$I$17</f>
        <v>8816.6719751530982</v>
      </c>
      <c r="J6" s="127">
        <f>'Yearly Summary '!$Q$17</f>
        <v>0</v>
      </c>
      <c r="K6" s="127">
        <f>'Yearly Summary '!$S$17</f>
        <v>0</v>
      </c>
      <c r="L6" s="127">
        <f>'Yearly Summary '!$U$17</f>
        <v>0</v>
      </c>
      <c r="M6" s="127">
        <f>'Yearly Summary '!$W$17</f>
        <v>57680.956350614964</v>
      </c>
      <c r="N6" s="127">
        <f>'Yearly Summary '!$Y$17</f>
        <v>8940.8964643046274</v>
      </c>
      <c r="O6" s="127">
        <f>'Yearly Summary '!$AA$17</f>
        <v>31116.483817646949</v>
      </c>
      <c r="P6" s="128">
        <f>('Yearly Summary '!$AB$17)*(1-AI6)</f>
        <v>0</v>
      </c>
      <c r="Q6" s="126">
        <f>'Yearly Summary '!$J$17</f>
        <v>70588.310319604861</v>
      </c>
      <c r="R6" s="127">
        <f>'Yearly Summary '!$K$17</f>
        <v>169016.03211290913</v>
      </c>
      <c r="S6" s="127">
        <f>'Yearly Summary '!$L$17</f>
        <v>9267.7277605377622</v>
      </c>
      <c r="T6" s="127">
        <f>'Yearly Summary '!$M$17</f>
        <v>0</v>
      </c>
      <c r="U6" s="127">
        <f>'Yearly Summary '!N17</f>
        <v>0</v>
      </c>
      <c r="V6" s="127">
        <f>'Yearly Summary '!O17</f>
        <v>0</v>
      </c>
      <c r="W6" s="127">
        <f>'Yearly Summary '!$P$17</f>
        <v>0</v>
      </c>
      <c r="X6" s="127">
        <f>'Yearly Summary '!$R$17</f>
        <v>0</v>
      </c>
      <c r="Y6" s="127">
        <f>'Yearly Summary '!$T$17</f>
        <v>0</v>
      </c>
      <c r="Z6" s="127">
        <f>'Yearly Summary '!$V$17</f>
        <v>99978.431812208306</v>
      </c>
      <c r="AA6" s="127">
        <f>'Yearly Summary '!$X$17</f>
        <v>18595.142304542362</v>
      </c>
      <c r="AB6" s="127">
        <f>'Yearly Summary '!$Z$17</f>
        <v>67752.081871352537</v>
      </c>
      <c r="AC6" s="128">
        <f>('Yearly Summary '!$AB$17)*AI6</f>
        <v>0</v>
      </c>
      <c r="AD6" s="129">
        <v>4688.3846085177338</v>
      </c>
      <c r="AE6" s="127">
        <v>0</v>
      </c>
      <c r="AF6" s="132">
        <f>'Yearly Summary '!$AH$17</f>
        <v>6754.4168710753311</v>
      </c>
      <c r="AG6" s="132">
        <f>'Yearly Summary '!$AI$17</f>
        <v>4495.537830562258</v>
      </c>
      <c r="AH6" s="132">
        <f>'Yearly Summary '!$AJ$17</f>
        <v>2158.013445629605</v>
      </c>
      <c r="AI6" s="133">
        <f>'Yearly Summary '!$AK$17</f>
        <v>0.67565990610885662</v>
      </c>
    </row>
    <row r="7" spans="1:35" ht="15" customHeight="1" x14ac:dyDescent="0.25">
      <c r="A7" s="495" t="s">
        <v>103</v>
      </c>
      <c r="B7" s="496"/>
      <c r="C7" s="137">
        <f>(C6*(1.029*8.34)*0.03)/2000</f>
        <v>0</v>
      </c>
      <c r="D7" s="135">
        <f>(D6*(1.4*8.34)*0.38)/2000</f>
        <v>52.274100882726913</v>
      </c>
      <c r="E7" s="135">
        <f>(E6*(1.54*8.34)*0.5)/2000</f>
        <v>933.95522965636997</v>
      </c>
      <c r="F7" s="135">
        <f>(F6*(1.04*8.34)*1)/2000</f>
        <v>23.840791051973262</v>
      </c>
      <c r="G7" s="135">
        <f>(G6*(1.055*8.34)*0.005)/2000</f>
        <v>0</v>
      </c>
      <c r="H7" s="135">
        <f>H6/2000</f>
        <v>307.69143575829185</v>
      </c>
      <c r="I7" s="135">
        <f>(I6*(1.135*8.34)*0.35)/2000</f>
        <v>14.605103668680298</v>
      </c>
      <c r="J7" s="135">
        <f>(J6*(1.055*8.34)*1)/2000</f>
        <v>0</v>
      </c>
      <c r="K7" s="135">
        <f>(K6*(1.055*8.34)*1)/2000</f>
        <v>0</v>
      </c>
      <c r="L7" s="135">
        <f>(L6*(1.4*8.34)*0.38)/2000</f>
        <v>0</v>
      </c>
      <c r="M7" s="135">
        <f>M6/2000</f>
        <v>28.840478175307481</v>
      </c>
      <c r="N7" s="135">
        <f>(N6*(0.895*8.34)*0.29)/2000</f>
        <v>9.676942354383808</v>
      </c>
      <c r="O7" s="135">
        <f>(O6*(1.54*8.34)*0.5)/2000</f>
        <v>99.911917890082591</v>
      </c>
      <c r="P7" s="136">
        <f>(P6*(1.135*8.34)*0.35)/2000</f>
        <v>0</v>
      </c>
      <c r="Q7" s="134">
        <f>(Q6*(1.029*8.34)*0.03)/2000</f>
        <v>9.086684951991062</v>
      </c>
      <c r="R7" s="135">
        <f>(R6*(1.4*8.34)*0.38)/2000</f>
        <v>374.95192628056213</v>
      </c>
      <c r="S7" s="135">
        <f>(S6*(1.04*8.34)*1)/2000</f>
        <v>40.192281751900168</v>
      </c>
      <c r="T7" s="135">
        <f>(T6*(1.135*8.34)*0.35)/2000</f>
        <v>0</v>
      </c>
      <c r="U7" s="135">
        <f>(U6*(1.055*8.34)*0.005)/2000</f>
        <v>0</v>
      </c>
      <c r="V7" s="135">
        <f>(V6*(1.055*8.34)*0.005)/2000</f>
        <v>0</v>
      </c>
      <c r="W7" s="135">
        <f>(W6*(1.055*8.34)*1)/2000</f>
        <v>0</v>
      </c>
      <c r="X7" s="135">
        <f>(X6*(1.055*8.34)*1)/2000</f>
        <v>0</v>
      </c>
      <c r="Y7" s="135">
        <f>(Y6*(1.4*8.34)*0.38)/2000</f>
        <v>0</v>
      </c>
      <c r="Z7" s="135">
        <f>Z6/2000</f>
        <v>49.98921590610415</v>
      </c>
      <c r="AA7" s="135">
        <f>(AA6*(0.895*8.34)*0.29)/2000</f>
        <v>20.125959502050353</v>
      </c>
      <c r="AB7" s="135">
        <f>(AB6*(1.54*8.34)*0.5)/2000</f>
        <v>217.54515968072587</v>
      </c>
      <c r="AC7" s="136">
        <f>(AC6*(1.135*8.34)*0.35)/2000</f>
        <v>0</v>
      </c>
      <c r="AD7" s="137">
        <f>AD6/2000</f>
        <v>2.344192304258867</v>
      </c>
      <c r="AE7" s="135">
        <f>(AE6*(1.029*8.34)*0.03)/2000</f>
        <v>0</v>
      </c>
      <c r="AF7" s="441" t="s">
        <v>233</v>
      </c>
      <c r="AG7" s="442"/>
      <c r="AH7" s="442"/>
      <c r="AI7" s="443"/>
    </row>
    <row r="8" spans="1:35" x14ac:dyDescent="0.25">
      <c r="A8" s="450" t="s">
        <v>104</v>
      </c>
      <c r="B8" s="451"/>
      <c r="C8" s="141">
        <f>C7/$AH$6</f>
        <v>0</v>
      </c>
      <c r="D8" s="139">
        <f>D7/$AH$6</f>
        <v>2.4223250781218293E-2</v>
      </c>
      <c r="E8" s="139">
        <f t="shared" ref="E8:P8" si="0">E7/$AH$6</f>
        <v>0.432784712971928</v>
      </c>
      <c r="F8" s="139">
        <f t="shared" si="0"/>
        <v>1.1047563721280551E-2</v>
      </c>
      <c r="G8" s="139">
        <f t="shared" si="0"/>
        <v>0</v>
      </c>
      <c r="H8" s="139">
        <f t="shared" si="0"/>
        <v>0.14258087056011007</v>
      </c>
      <c r="I8" s="139">
        <f t="shared" si="0"/>
        <v>6.7678464646540827E-3</v>
      </c>
      <c r="J8" s="139">
        <f t="shared" si="0"/>
        <v>0</v>
      </c>
      <c r="K8" s="139">
        <f t="shared" si="0"/>
        <v>0</v>
      </c>
      <c r="L8" s="139">
        <f t="shared" si="0"/>
        <v>0</v>
      </c>
      <c r="M8" s="139">
        <f t="shared" si="0"/>
        <v>1.3364364449959769E-2</v>
      </c>
      <c r="N8" s="139">
        <f t="shared" si="0"/>
        <v>4.4841900192890312E-3</v>
      </c>
      <c r="O8" s="139">
        <f t="shared" si="0"/>
        <v>4.629809795320023E-2</v>
      </c>
      <c r="P8" s="140">
        <f t="shared" si="0"/>
        <v>0</v>
      </c>
      <c r="Q8" s="138">
        <f>Q7/$AG$6</f>
        <v>2.0212675978870782E-3</v>
      </c>
      <c r="R8" s="139">
        <f t="shared" ref="R8:AD8" si="1">R7/$AG$6</f>
        <v>8.3405354467602555E-2</v>
      </c>
      <c r="S8" s="139">
        <f t="shared" si="1"/>
        <v>8.9404834897971065E-3</v>
      </c>
      <c r="T8" s="139">
        <f t="shared" si="1"/>
        <v>0</v>
      </c>
      <c r="U8" s="139">
        <f t="shared" si="1"/>
        <v>0</v>
      </c>
      <c r="V8" s="139">
        <f t="shared" si="1"/>
        <v>0</v>
      </c>
      <c r="W8" s="139">
        <f t="shared" si="1"/>
        <v>0</v>
      </c>
      <c r="X8" s="139">
        <f t="shared" si="1"/>
        <v>0</v>
      </c>
      <c r="Y8" s="139">
        <f t="shared" si="1"/>
        <v>0</v>
      </c>
      <c r="Z8" s="139">
        <f t="shared" si="1"/>
        <v>1.1119740905361703E-2</v>
      </c>
      <c r="AA8" s="139">
        <f t="shared" si="1"/>
        <v>4.4768746834309685E-3</v>
      </c>
      <c r="AB8" s="139">
        <f t="shared" si="1"/>
        <v>4.8391353355270832E-2</v>
      </c>
      <c r="AC8" s="140">
        <f t="shared" si="1"/>
        <v>0</v>
      </c>
      <c r="AD8" s="141">
        <f t="shared" si="1"/>
        <v>5.2144868814632539E-4</v>
      </c>
      <c r="AE8" s="139"/>
      <c r="AF8" s="444"/>
      <c r="AG8" s="445"/>
      <c r="AH8" s="445"/>
      <c r="AI8" s="446"/>
    </row>
    <row r="9" spans="1:35" ht="15.75" thickBot="1" x14ac:dyDescent="0.3">
      <c r="A9" s="452" t="s">
        <v>105</v>
      </c>
      <c r="B9" s="453"/>
      <c r="C9" s="202">
        <f t="shared" ref="C9:P9" si="2">C7/$AH$19</f>
        <v>0</v>
      </c>
      <c r="D9" s="142">
        <f t="shared" si="2"/>
        <v>0.10036133560557305</v>
      </c>
      <c r="E9" s="142">
        <f t="shared" si="2"/>
        <v>1.7931058145678307</v>
      </c>
      <c r="F9" s="142">
        <f t="shared" si="2"/>
        <v>4.5772066692017582E-2</v>
      </c>
      <c r="G9" s="142">
        <f t="shared" si="2"/>
        <v>0</v>
      </c>
      <c r="H9" s="142">
        <f t="shared" si="2"/>
        <v>0.59073849048836391</v>
      </c>
      <c r="I9" s="142">
        <f t="shared" si="2"/>
        <v>2.8040419368187627E-2</v>
      </c>
      <c r="J9" s="142">
        <f t="shared" si="2"/>
        <v>0</v>
      </c>
      <c r="K9" s="142">
        <f t="shared" si="2"/>
        <v>0</v>
      </c>
      <c r="L9" s="142">
        <f t="shared" si="2"/>
        <v>0</v>
      </c>
      <c r="M9" s="142">
        <f t="shared" si="2"/>
        <v>5.5370993671814014E-2</v>
      </c>
      <c r="N9" s="142">
        <f t="shared" si="2"/>
        <v>1.8578815185035753E-2</v>
      </c>
      <c r="O9" s="142">
        <f t="shared" si="2"/>
        <v>0.1918214441384373</v>
      </c>
      <c r="P9" s="143">
        <f t="shared" si="2"/>
        <v>0</v>
      </c>
      <c r="Q9" s="144">
        <f t="shared" ref="Q9:AD9" si="3">Q7/$AF$19</f>
        <v>2.9829922861429993E-3</v>
      </c>
      <c r="R9" s="145">
        <f t="shared" si="3"/>
        <v>0.12308985176428901</v>
      </c>
      <c r="S9" s="145">
        <f t="shared" si="3"/>
        <v>1.3194390150187103E-2</v>
      </c>
      <c r="T9" s="145">
        <f t="shared" si="3"/>
        <v>0</v>
      </c>
      <c r="U9" s="145">
        <f t="shared" si="3"/>
        <v>0</v>
      </c>
      <c r="V9" s="145">
        <f t="shared" si="3"/>
        <v>0</v>
      </c>
      <c r="W9" s="145">
        <f t="shared" si="3"/>
        <v>0</v>
      </c>
      <c r="X9" s="145">
        <f t="shared" si="3"/>
        <v>0</v>
      </c>
      <c r="Y9" s="145">
        <f t="shared" si="3"/>
        <v>0</v>
      </c>
      <c r="Z9" s="145">
        <f t="shared" si="3"/>
        <v>1.6410544244253915E-2</v>
      </c>
      <c r="AA9" s="145">
        <f t="shared" si="3"/>
        <v>6.606983984042243E-3</v>
      </c>
      <c r="AB9" s="145">
        <f t="shared" si="3"/>
        <v>7.1416092518224533E-2</v>
      </c>
      <c r="AC9" s="146">
        <f t="shared" si="3"/>
        <v>0</v>
      </c>
      <c r="AD9" s="147">
        <f t="shared" si="3"/>
        <v>7.6955540967751392E-4</v>
      </c>
      <c r="AE9" s="145"/>
      <c r="AF9" s="447"/>
      <c r="AG9" s="448"/>
      <c r="AH9" s="448"/>
      <c r="AI9" s="449"/>
    </row>
    <row r="10" spans="1:35" ht="15.75" thickBot="1" x14ac:dyDescent="0.3">
      <c r="A10" s="482" t="s">
        <v>106</v>
      </c>
      <c r="B10" s="483"/>
      <c r="C10" s="151">
        <f>'Yearly Summary '!$C$30</f>
        <v>0</v>
      </c>
      <c r="D10" s="149">
        <f>'Yearly Summary '!D30</f>
        <v>49472.466178956747</v>
      </c>
      <c r="E10" s="149">
        <f>'Yearly Summary '!E30</f>
        <v>1085059.8236900372</v>
      </c>
      <c r="F10" s="149">
        <f>'Yearly Summary '!F30</f>
        <v>27607.530119500854</v>
      </c>
      <c r="G10" s="149">
        <f>'Yearly Summary '!G30</f>
        <v>0</v>
      </c>
      <c r="H10" s="149">
        <f>'Yearly Summary '!H30</f>
        <v>47042.943613085255</v>
      </c>
      <c r="I10" s="149">
        <f>'Yearly Summary '!I30</f>
        <v>40685.645934180837</v>
      </c>
      <c r="J10" s="149">
        <f>'Yearly Summary '!$Q$30</f>
        <v>0</v>
      </c>
      <c r="K10" s="149">
        <v>1.2105721215442565E-3</v>
      </c>
      <c r="L10" s="149">
        <v>1.8505665867433036E-2</v>
      </c>
      <c r="M10" s="149">
        <f>'Yearly Summary '!$W$30</f>
        <v>25117.780653338312</v>
      </c>
      <c r="N10" s="149">
        <f>'Yearly Summary '!$Y$30</f>
        <v>18909.892322854965</v>
      </c>
      <c r="O10" s="149">
        <f>'Yearly Summary '!$AA$30</f>
        <v>118806.07020451938</v>
      </c>
      <c r="P10" s="150">
        <f>('Yearly Summary '!$AB$30)*(1-AI6)</f>
        <v>0</v>
      </c>
      <c r="Q10" s="148">
        <f>'Yearly Summary '!J30</f>
        <v>53611.441216747269</v>
      </c>
      <c r="R10" s="149">
        <f>'Yearly Summary '!K30</f>
        <v>355259.76948941161</v>
      </c>
      <c r="S10" s="149">
        <f>'Yearly Summary '!L30</f>
        <v>46569.81606116629</v>
      </c>
      <c r="T10" s="149">
        <f>'Yearly Summary '!M30</f>
        <v>0</v>
      </c>
      <c r="U10" s="149">
        <f>'Yearly Summary '!N30</f>
        <v>0</v>
      </c>
      <c r="V10" s="149">
        <f>'Yearly Summary '!O30</f>
        <v>0</v>
      </c>
      <c r="W10" s="149">
        <f>'Yearly Summary '!$P$30</f>
        <v>0</v>
      </c>
      <c r="X10" s="149">
        <f>'Yearly Summary '!$R$30</f>
        <v>0</v>
      </c>
      <c r="Y10" s="149">
        <v>0.11860580125559859</v>
      </c>
      <c r="Z10" s="149">
        <f>'Yearly Summary '!$V$30</f>
        <v>42667.712437036505</v>
      </c>
      <c r="AA10" s="149">
        <f>'Yearly Summary '!$X$30</f>
        <v>39688.637455139084</v>
      </c>
      <c r="AB10" s="149">
        <f>'Yearly Summary '!$Z$30</f>
        <v>260757.11713693972</v>
      </c>
      <c r="AC10" s="150">
        <f>('Yearly Summary '!$AB$30)*AI6</f>
        <v>0</v>
      </c>
      <c r="AD10" s="151">
        <f>'Yearly Summary '!$AC$30</f>
        <v>14329.497152202728</v>
      </c>
      <c r="AE10" s="149">
        <f>'Yearly Summary '!$AD$30</f>
        <v>0</v>
      </c>
      <c r="AF10" s="152" t="s">
        <v>107</v>
      </c>
      <c r="AG10" s="153">
        <f>'[1]Yearly Summary '!$Q$29</f>
        <v>42.185885911956788</v>
      </c>
      <c r="AH10" s="152" t="s">
        <v>108</v>
      </c>
      <c r="AI10" s="154">
        <f>'[1]Yearly Summary '!$R$29</f>
        <v>89.382557874206555</v>
      </c>
    </row>
    <row r="11" spans="1:35" ht="15.75" thickBot="1" x14ac:dyDescent="0.3">
      <c r="A11" s="199"/>
      <c r="B11" s="200"/>
      <c r="C11" s="486" t="s">
        <v>117</v>
      </c>
      <c r="D11" s="487"/>
      <c r="E11" s="487"/>
      <c r="F11" s="203">
        <f>SUM(C10:P10)</f>
        <v>1412702.1724327118</v>
      </c>
      <c r="G11" s="488" t="s">
        <v>118</v>
      </c>
      <c r="H11" s="487"/>
      <c r="I11" s="487"/>
      <c r="J11" s="204">
        <f>SUM(Q10:AE10)</f>
        <v>812884.10955444444</v>
      </c>
      <c r="K11" s="488" t="s">
        <v>119</v>
      </c>
      <c r="L11" s="489"/>
      <c r="M11" s="489">
        <f>SUM(C10:AE10)</f>
        <v>2225586.2819871567</v>
      </c>
      <c r="N11" s="497"/>
      <c r="O11" s="498" t="s">
        <v>120</v>
      </c>
      <c r="P11" s="499"/>
      <c r="Q11" s="499"/>
      <c r="R11" s="205">
        <f>($AG$6+$AH$6)/($AG$19+$AI$19)</f>
        <v>1.9367307706515395</v>
      </c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169"/>
      <c r="AF11" s="549" t="s">
        <v>110</v>
      </c>
      <c r="AG11" s="549" t="s">
        <v>111</v>
      </c>
      <c r="AH11" s="549" t="s">
        <v>112</v>
      </c>
      <c r="AI11" s="549" t="s">
        <v>113</v>
      </c>
    </row>
    <row r="12" spans="1:35" ht="21.75" customHeight="1" thickBot="1" x14ac:dyDescent="0.3">
      <c r="A12" s="454">
        <f>A1+1</f>
        <v>2023</v>
      </c>
      <c r="B12" s="484"/>
      <c r="C12" s="485" t="s">
        <v>109</v>
      </c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485"/>
      <c r="O12" s="485"/>
      <c r="P12" s="485"/>
      <c r="Q12" s="485"/>
      <c r="R12" s="485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550"/>
      <c r="AG12" s="550"/>
      <c r="AH12" s="550"/>
      <c r="AI12" s="550"/>
    </row>
    <row r="13" spans="1:35" ht="15" customHeight="1" x14ac:dyDescent="0.25">
      <c r="A13" s="493" t="s">
        <v>114</v>
      </c>
      <c r="B13" s="509"/>
      <c r="C13" s="155" t="s">
        <v>100</v>
      </c>
      <c r="D13" s="156" t="s">
        <v>100</v>
      </c>
      <c r="E13" s="156" t="s">
        <v>100</v>
      </c>
      <c r="F13" s="156" t="s">
        <v>100</v>
      </c>
      <c r="G13" s="156" t="s">
        <v>100</v>
      </c>
      <c r="H13" s="156" t="s">
        <v>101</v>
      </c>
      <c r="I13" s="156" t="s">
        <v>100</v>
      </c>
      <c r="J13" s="156" t="s">
        <v>100</v>
      </c>
      <c r="K13" s="156" t="s">
        <v>100</v>
      </c>
      <c r="L13" s="156" t="s">
        <v>100</v>
      </c>
      <c r="M13" s="156" t="s">
        <v>101</v>
      </c>
      <c r="N13" s="156" t="s">
        <v>100</v>
      </c>
      <c r="O13" s="156" t="s">
        <v>100</v>
      </c>
      <c r="P13" s="157" t="s">
        <v>100</v>
      </c>
      <c r="Q13" s="126" t="s">
        <v>100</v>
      </c>
      <c r="R13" s="127" t="s">
        <v>100</v>
      </c>
      <c r="S13" s="127" t="s">
        <v>100</v>
      </c>
      <c r="T13" s="127" t="s">
        <v>100</v>
      </c>
      <c r="U13" s="127" t="s">
        <v>100</v>
      </c>
      <c r="V13" s="127" t="s">
        <v>100</v>
      </c>
      <c r="W13" s="127" t="s">
        <v>100</v>
      </c>
      <c r="X13" s="127" t="s">
        <v>100</v>
      </c>
      <c r="Y13" s="127" t="s">
        <v>100</v>
      </c>
      <c r="Z13" s="127" t="s">
        <v>101</v>
      </c>
      <c r="AA13" s="127" t="s">
        <v>100</v>
      </c>
      <c r="AB13" s="127" t="s">
        <v>100</v>
      </c>
      <c r="AC13" s="128" t="s">
        <v>100</v>
      </c>
      <c r="AD13" s="129" t="s">
        <v>101</v>
      </c>
      <c r="AE13" s="158" t="s">
        <v>100</v>
      </c>
      <c r="AF13" s="550"/>
      <c r="AG13" s="550"/>
      <c r="AH13" s="550"/>
      <c r="AI13" s="550"/>
    </row>
    <row r="14" spans="1:35" x14ac:dyDescent="0.25">
      <c r="A14" s="493"/>
      <c r="B14" s="509"/>
      <c r="C14" s="126">
        <f t="shared" ref="C14:P14" si="4">(C6/$AH$6)*$AB$18</f>
        <v>0</v>
      </c>
      <c r="D14" s="127">
        <f t="shared" si="4"/>
        <v>13378.775343519748</v>
      </c>
      <c r="E14" s="127">
        <f t="shared" si="4"/>
        <v>165149.3066961779</v>
      </c>
      <c r="F14" s="127">
        <f t="shared" si="4"/>
        <v>3121.2513551447046</v>
      </c>
      <c r="G14" s="127">
        <f t="shared" si="4"/>
        <v>0</v>
      </c>
      <c r="H14" s="127">
        <f t="shared" si="4"/>
        <v>349399.98396150157</v>
      </c>
      <c r="I14" s="127">
        <f t="shared" si="4"/>
        <v>5005.899886554279</v>
      </c>
      <c r="J14" s="127">
        <f t="shared" si="4"/>
        <v>0</v>
      </c>
      <c r="K14" s="127">
        <f t="shared" si="4"/>
        <v>0</v>
      </c>
      <c r="L14" s="127">
        <f t="shared" si="4"/>
        <v>0</v>
      </c>
      <c r="M14" s="127">
        <f t="shared" si="4"/>
        <v>32749.89629483996</v>
      </c>
      <c r="N14" s="127">
        <f t="shared" si="4"/>
        <v>5076.4316425165507</v>
      </c>
      <c r="O14" s="127">
        <f t="shared" si="4"/>
        <v>17667.210853676122</v>
      </c>
      <c r="P14" s="128">
        <f t="shared" si="4"/>
        <v>0</v>
      </c>
      <c r="Q14" s="126">
        <f t="shared" ref="Q14:AE14" si="5">(Q6/$AG$6)*$T$18</f>
        <v>59287.565824998055</v>
      </c>
      <c r="R14" s="127">
        <f t="shared" si="5"/>
        <v>141957.62845156284</v>
      </c>
      <c r="S14" s="127">
        <f t="shared" si="5"/>
        <v>7784.0228383882941</v>
      </c>
      <c r="T14" s="127">
        <f t="shared" si="5"/>
        <v>0</v>
      </c>
      <c r="U14" s="127">
        <f t="shared" si="5"/>
        <v>0</v>
      </c>
      <c r="V14" s="127">
        <f t="shared" si="5"/>
        <v>0</v>
      </c>
      <c r="W14" s="127">
        <f t="shared" si="5"/>
        <v>0</v>
      </c>
      <c r="X14" s="127">
        <f t="shared" si="5"/>
        <v>0</v>
      </c>
      <c r="Y14" s="127">
        <f t="shared" si="5"/>
        <v>0</v>
      </c>
      <c r="Z14" s="127">
        <f t="shared" si="5"/>
        <v>83972.513725124678</v>
      </c>
      <c r="AA14" s="127">
        <f t="shared" si="5"/>
        <v>15618.176981629338</v>
      </c>
      <c r="AB14" s="127">
        <f t="shared" si="5"/>
        <v>56905.399711952712</v>
      </c>
      <c r="AC14" s="128">
        <f t="shared" si="5"/>
        <v>0</v>
      </c>
      <c r="AD14" s="129">
        <f t="shared" si="5"/>
        <v>3937.8037217757683</v>
      </c>
      <c r="AE14" s="158">
        <f t="shared" si="5"/>
        <v>0</v>
      </c>
      <c r="AF14" s="550"/>
      <c r="AG14" s="550"/>
      <c r="AH14" s="550"/>
      <c r="AI14" s="550"/>
    </row>
    <row r="15" spans="1:35" x14ac:dyDescent="0.25">
      <c r="A15" s="495" t="s">
        <v>115</v>
      </c>
      <c r="B15" s="510"/>
      <c r="C15" s="134">
        <f t="shared" ref="C15:P15" si="6">C8*$AB$18</f>
        <v>0</v>
      </c>
      <c r="D15" s="135">
        <f t="shared" si="6"/>
        <v>29.680010373077945</v>
      </c>
      <c r="E15" s="135">
        <f t="shared" si="6"/>
        <v>530.27790887075764</v>
      </c>
      <c r="F15" s="135">
        <f t="shared" si="6"/>
        <v>13.536242876991558</v>
      </c>
      <c r="G15" s="135">
        <f t="shared" si="6"/>
        <v>0</v>
      </c>
      <c r="H15" s="135">
        <f t="shared" si="6"/>
        <v>174.69999198075075</v>
      </c>
      <c r="I15" s="135">
        <f t="shared" si="6"/>
        <v>8.2924358538234753</v>
      </c>
      <c r="J15" s="135">
        <f t="shared" si="6"/>
        <v>0</v>
      </c>
      <c r="K15" s="135">
        <f t="shared" si="6"/>
        <v>0</v>
      </c>
      <c r="L15" s="135">
        <f t="shared" si="6"/>
        <v>0</v>
      </c>
      <c r="M15" s="135">
        <f t="shared" si="6"/>
        <v>16.374948147419978</v>
      </c>
      <c r="N15" s="135">
        <f t="shared" si="6"/>
        <v>5.4943412628392609</v>
      </c>
      <c r="O15" s="135">
        <f t="shared" si="6"/>
        <v>56.727647330068663</v>
      </c>
      <c r="P15" s="136">
        <f t="shared" si="6"/>
        <v>0</v>
      </c>
      <c r="Q15" s="134">
        <f t="shared" ref="Q15:AD15" si="7">Q8*$T$18</f>
        <v>7.6319638447637663</v>
      </c>
      <c r="R15" s="135">
        <f t="shared" si="7"/>
        <v>314.92448126208501</v>
      </c>
      <c r="S15" s="135">
        <f t="shared" si="7"/>
        <v>33.757750245522359</v>
      </c>
      <c r="T15" s="135">
        <f t="shared" si="7"/>
        <v>0</v>
      </c>
      <c r="U15" s="135">
        <f t="shared" si="7"/>
        <v>0</v>
      </c>
      <c r="V15" s="135">
        <f t="shared" si="7"/>
        <v>0</v>
      </c>
      <c r="W15" s="135">
        <f t="shared" si="7"/>
        <v>0</v>
      </c>
      <c r="X15" s="135">
        <f t="shared" si="7"/>
        <v>0</v>
      </c>
      <c r="Y15" s="135">
        <f t="shared" si="7"/>
        <v>0</v>
      </c>
      <c r="Z15" s="135">
        <f t="shared" si="7"/>
        <v>41.986256862562342</v>
      </c>
      <c r="AA15" s="135">
        <f t="shared" si="7"/>
        <v>16.9039199743765</v>
      </c>
      <c r="AB15" s="135">
        <f t="shared" si="7"/>
        <v>182.71754793510897</v>
      </c>
      <c r="AC15" s="136">
        <f t="shared" si="7"/>
        <v>0</v>
      </c>
      <c r="AD15" s="137">
        <f t="shared" si="7"/>
        <v>1.9689018608878841</v>
      </c>
      <c r="AE15" s="159">
        <f>(AE14*(1.029*8.34)*0.03)/2000</f>
        <v>0</v>
      </c>
      <c r="AF15" s="550"/>
      <c r="AG15" s="550"/>
      <c r="AH15" s="550"/>
      <c r="AI15" s="550"/>
    </row>
    <row r="16" spans="1:35" ht="15" customHeight="1" thickBot="1" x14ac:dyDescent="0.3">
      <c r="A16" s="482" t="s">
        <v>116</v>
      </c>
      <c r="B16" s="511"/>
      <c r="C16" s="160">
        <f>$AI$30*C15</f>
        <v>0</v>
      </c>
      <c r="D16" s="161">
        <f>$AI$28*D15</f>
        <v>31727.931088820322</v>
      </c>
      <c r="E16" s="161">
        <f>$AI$31*E15</f>
        <v>741328.51660131919</v>
      </c>
      <c r="F16" s="161">
        <f>$AI$26*F15</f>
        <v>17597.115740089026</v>
      </c>
      <c r="G16" s="162">
        <f>$AI$23*G15</f>
        <v>0</v>
      </c>
      <c r="H16" s="162">
        <f>$AI$24*H15</f>
        <v>26709.881773936981</v>
      </c>
      <c r="I16" s="162">
        <f>$AI$29*I15</f>
        <v>23100.357021365395</v>
      </c>
      <c r="J16" s="162">
        <v>0</v>
      </c>
      <c r="K16" s="162">
        <f>'Yearly Summary '!$S$30</f>
        <v>0</v>
      </c>
      <c r="L16" s="162">
        <f>'Yearly Summary '!$U$30</f>
        <v>0</v>
      </c>
      <c r="M16" s="162">
        <f>$AI$27*M15</f>
        <v>15965.574443734478</v>
      </c>
      <c r="N16" s="162">
        <f>$AI$22*N15</f>
        <v>1736.13962174066</v>
      </c>
      <c r="O16" s="162">
        <f>$AI$31*O15</f>
        <v>79305.25096743599</v>
      </c>
      <c r="P16" s="163">
        <v>0</v>
      </c>
      <c r="Q16" s="164">
        <f>$AI$30*Q15</f>
        <v>45028.586684106223</v>
      </c>
      <c r="R16" s="162">
        <f>$AI$28*R15</f>
        <v>336654.2704691689</v>
      </c>
      <c r="S16" s="162">
        <f>$AI$26*S15</f>
        <v>43885.075319179065</v>
      </c>
      <c r="T16" s="162">
        <f>$AI$25*T15</f>
        <v>0</v>
      </c>
      <c r="U16" s="162">
        <f>$AI$23*U15</f>
        <v>0</v>
      </c>
      <c r="V16" s="162">
        <f>$AI$23*V15</f>
        <v>0</v>
      </c>
      <c r="W16" s="162">
        <v>0</v>
      </c>
      <c r="X16" s="162">
        <v>0</v>
      </c>
      <c r="Y16" s="162">
        <f>'Yearly Summary '!$T$30</f>
        <v>0</v>
      </c>
      <c r="Z16" s="162">
        <f>$AI$27*Z15</f>
        <v>40936.600440998285</v>
      </c>
      <c r="AA16" s="162">
        <f>$AI$22*AA15</f>
        <v>5341.4165277172333</v>
      </c>
      <c r="AB16" s="162">
        <f>$AI$31*AB15</f>
        <v>255439.13201328233</v>
      </c>
      <c r="AC16" s="163">
        <v>0</v>
      </c>
      <c r="AD16" s="165">
        <f>$AI$27*AD15</f>
        <v>1919.6793143656871</v>
      </c>
      <c r="AE16" s="166">
        <f>$AI$30*AE15</f>
        <v>0</v>
      </c>
      <c r="AF16" s="550"/>
      <c r="AG16" s="550"/>
      <c r="AH16" s="550"/>
      <c r="AI16" s="550"/>
    </row>
    <row r="17" spans="1:35" ht="15" customHeight="1" thickBot="1" x14ac:dyDescent="0.3">
      <c r="A17" s="512"/>
      <c r="B17" s="513"/>
      <c r="C17" s="514" t="s">
        <v>117</v>
      </c>
      <c r="D17" s="515"/>
      <c r="E17" s="515"/>
      <c r="F17" s="167">
        <f>SUM(C16:P16)</f>
        <v>937470.76725844212</v>
      </c>
      <c r="G17" s="516" t="s">
        <v>118</v>
      </c>
      <c r="H17" s="515"/>
      <c r="I17" s="515"/>
      <c r="J17" s="168">
        <f>SUM(Q16:AE16)</f>
        <v>729204.76076881774</v>
      </c>
      <c r="K17" s="516" t="s">
        <v>119</v>
      </c>
      <c r="L17" s="517"/>
      <c r="M17" s="518">
        <f>SUM(C16:AE16)</f>
        <v>1666675.5280272597</v>
      </c>
      <c r="N17" s="519"/>
      <c r="O17" s="520"/>
      <c r="P17" s="521"/>
      <c r="Q17" s="521"/>
      <c r="R17" s="206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551"/>
      <c r="AG17" s="551"/>
      <c r="AH17" s="551"/>
      <c r="AI17" s="551"/>
    </row>
    <row r="18" spans="1:35" ht="15" customHeight="1" thickTop="1" thickBot="1" x14ac:dyDescent="0.3">
      <c r="A18" s="170" t="s">
        <v>121</v>
      </c>
      <c r="B18" s="171"/>
      <c r="C18" s="171"/>
      <c r="D18" s="172">
        <v>5001.1000000000004</v>
      </c>
      <c r="E18" s="171" t="s">
        <v>122</v>
      </c>
      <c r="F18" s="173"/>
      <c r="G18" s="173"/>
      <c r="H18" s="174">
        <f>D18*((AF19+AH19)/(AG6+AH6))</f>
        <v>2681.1307014092054</v>
      </c>
      <c r="I18" s="175" t="s">
        <v>123</v>
      </c>
      <c r="J18" s="173"/>
      <c r="K18" s="173"/>
      <c r="L18" s="176">
        <v>0.755</v>
      </c>
      <c r="M18" s="175" t="s">
        <v>124</v>
      </c>
      <c r="N18" s="173"/>
      <c r="O18" s="173"/>
      <c r="P18" s="177">
        <f>L18/(1-L18)</f>
        <v>3.0816326530612246</v>
      </c>
      <c r="Q18" s="175" t="s">
        <v>125</v>
      </c>
      <c r="R18" s="173"/>
      <c r="S18" s="173"/>
      <c r="T18" s="174">
        <f>D18*L18</f>
        <v>3775.8305000000005</v>
      </c>
      <c r="U18" s="175" t="s">
        <v>126</v>
      </c>
      <c r="V18" s="173"/>
      <c r="W18" s="173"/>
      <c r="X18" s="174">
        <f>H18*L18</f>
        <v>2024.2536795639501</v>
      </c>
      <c r="Y18" s="175" t="s">
        <v>127</v>
      </c>
      <c r="Z18" s="173"/>
      <c r="AA18" s="173"/>
      <c r="AB18" s="174">
        <f>D18-T18</f>
        <v>1225.2694999999999</v>
      </c>
      <c r="AC18" s="175" t="s">
        <v>128</v>
      </c>
      <c r="AD18" s="173"/>
      <c r="AE18" s="178">
        <f>H18-X18</f>
        <v>656.87702184525529</v>
      </c>
      <c r="AF18" s="207" t="s">
        <v>102</v>
      </c>
      <c r="AG18" s="208" t="s">
        <v>102</v>
      </c>
      <c r="AH18" s="208" t="s">
        <v>102</v>
      </c>
      <c r="AI18" s="208" t="s">
        <v>102</v>
      </c>
    </row>
    <row r="19" spans="1:35" ht="16.5" thickTop="1" thickBot="1" x14ac:dyDescent="0.3">
      <c r="O19" s="500"/>
      <c r="P19" s="500"/>
      <c r="AF19" s="179">
        <f>'[1]Yearly Summary '!$C$29</f>
        <v>3046.1644149070598</v>
      </c>
      <c r="AG19" s="179">
        <f>AF19-AG10</f>
        <v>3003.9785289951033</v>
      </c>
      <c r="AH19" s="179">
        <f>'[1]Yearly Summary '!$D$29</f>
        <v>520.85895995015176</v>
      </c>
      <c r="AI19" s="179">
        <f>AH19-AI10</f>
        <v>431.4764020759452</v>
      </c>
    </row>
    <row r="20" spans="1:35" ht="15" customHeight="1" x14ac:dyDescent="0.25">
      <c r="A20" s="501">
        <f>A12</f>
        <v>2023</v>
      </c>
      <c r="B20" s="502"/>
      <c r="C20" s="502" t="s">
        <v>129</v>
      </c>
      <c r="D20" s="502"/>
      <c r="E20" s="502"/>
      <c r="F20" s="502"/>
      <c r="G20" s="502"/>
      <c r="H20" s="502"/>
      <c r="I20" s="502"/>
      <c r="J20" s="502" t="s">
        <v>130</v>
      </c>
      <c r="K20" s="502"/>
      <c r="L20" s="502"/>
      <c r="M20" s="502"/>
      <c r="N20" s="502"/>
      <c r="O20" s="502"/>
      <c r="P20" s="503"/>
      <c r="R20" s="180">
        <f>A1</f>
        <v>2022</v>
      </c>
      <c r="S20" s="504" t="s">
        <v>131</v>
      </c>
      <c r="T20" s="505"/>
      <c r="U20" s="506" t="s">
        <v>132</v>
      </c>
      <c r="V20" s="507"/>
      <c r="W20" s="507"/>
      <c r="X20" s="507"/>
      <c r="Y20" s="508"/>
      <c r="Z20" s="522" t="s">
        <v>133</v>
      </c>
      <c r="AA20" s="523"/>
      <c r="AB20" s="523"/>
      <c r="AC20" s="523"/>
      <c r="AD20" s="524"/>
      <c r="AE20" s="525" t="s">
        <v>134</v>
      </c>
      <c r="AF20" s="526"/>
      <c r="AG20" s="526"/>
      <c r="AH20" s="526"/>
      <c r="AI20" s="527"/>
    </row>
    <row r="21" spans="1:35" ht="15.75" thickBot="1" x14ac:dyDescent="0.3">
      <c r="A21" s="528" t="s">
        <v>135</v>
      </c>
      <c r="B21" s="529"/>
      <c r="C21" s="530" t="s">
        <v>161</v>
      </c>
      <c r="D21" s="530"/>
      <c r="E21" s="530" t="s">
        <v>162</v>
      </c>
      <c r="F21" s="531"/>
      <c r="G21" s="531" t="s">
        <v>163</v>
      </c>
      <c r="H21" s="532"/>
      <c r="I21" s="532"/>
      <c r="J21" s="533" t="s">
        <v>164</v>
      </c>
      <c r="K21" s="533"/>
      <c r="L21" s="534"/>
      <c r="M21" s="533" t="s">
        <v>165</v>
      </c>
      <c r="N21" s="534"/>
      <c r="O21" s="530" t="s">
        <v>136</v>
      </c>
      <c r="P21" s="535"/>
      <c r="R21" s="536" t="s">
        <v>135</v>
      </c>
      <c r="S21" s="537"/>
      <c r="T21" s="538"/>
      <c r="U21" s="181" t="s">
        <v>137</v>
      </c>
      <c r="V21" s="231" t="s">
        <v>138</v>
      </c>
      <c r="W21" s="231" t="s">
        <v>139</v>
      </c>
      <c r="X21" s="231" t="s">
        <v>58</v>
      </c>
      <c r="Y21" s="231" t="s">
        <v>140</v>
      </c>
      <c r="Z21" s="182" t="s">
        <v>137</v>
      </c>
      <c r="AA21" s="182" t="s">
        <v>138</v>
      </c>
      <c r="AB21" s="182" t="s">
        <v>139</v>
      </c>
      <c r="AC21" s="182" t="s">
        <v>58</v>
      </c>
      <c r="AD21" s="182" t="s">
        <v>140</v>
      </c>
      <c r="AE21" s="183" t="s">
        <v>137</v>
      </c>
      <c r="AF21" s="183" t="s">
        <v>138</v>
      </c>
      <c r="AG21" s="183" t="s">
        <v>139</v>
      </c>
      <c r="AH21" s="183" t="s">
        <v>58</v>
      </c>
      <c r="AI21" s="184" t="s">
        <v>140</v>
      </c>
    </row>
    <row r="22" spans="1:35" ht="15.75" thickTop="1" x14ac:dyDescent="0.25">
      <c r="A22" s="540" t="s">
        <v>141</v>
      </c>
      <c r="B22" s="541"/>
      <c r="C22" s="542">
        <f>N15+AA15</f>
        <v>22.39826123721576</v>
      </c>
      <c r="D22" s="530"/>
      <c r="E22" s="543">
        <f>N16+AA16</f>
        <v>7077.5561494578933</v>
      </c>
      <c r="F22" s="544"/>
      <c r="G22" s="545">
        <f>(C22*2000)/(8.34*0.895*0.29)</f>
        <v>20694.608624145887</v>
      </c>
      <c r="H22" s="545"/>
      <c r="I22" s="185" t="s">
        <v>142</v>
      </c>
      <c r="J22" s="546">
        <f>(G22*8.34*0.895)/27000</f>
        <v>5.7211395241930418</v>
      </c>
      <c r="K22" s="547"/>
      <c r="L22" s="186" t="s">
        <v>143</v>
      </c>
      <c r="M22" s="548">
        <f>ROUNDUP(J22,0)</f>
        <v>6</v>
      </c>
      <c r="N22" s="531"/>
      <c r="O22" s="539">
        <f>((M22*27000)/(8.34*0.895))*$Y$22</f>
        <v>7422.5312487440224</v>
      </c>
      <c r="P22" s="535"/>
      <c r="R22" s="536" t="s">
        <v>141</v>
      </c>
      <c r="S22" s="537"/>
      <c r="T22" s="538"/>
      <c r="U22" s="227" t="s">
        <v>146</v>
      </c>
      <c r="V22" s="393">
        <v>0.20200000000000001</v>
      </c>
      <c r="W22" s="394">
        <v>0.23200000000000001</v>
      </c>
      <c r="X22" s="394">
        <v>0.34200000000000003</v>
      </c>
      <c r="Y22" s="395">
        <v>0.34200000000000003</v>
      </c>
      <c r="Z22" s="229" t="s">
        <v>142</v>
      </c>
      <c r="AA22" s="188">
        <f>V22*8.34*0.92</f>
        <v>1.5499056000000002</v>
      </c>
      <c r="AB22" s="188">
        <f t="shared" ref="AB22:AD22" si="8">W22*8.34*0.92</f>
        <v>1.7800896000000002</v>
      </c>
      <c r="AC22" s="188">
        <f t="shared" si="8"/>
        <v>2.6240976000000003</v>
      </c>
      <c r="AD22" s="188">
        <f t="shared" si="8"/>
        <v>2.6240976000000003</v>
      </c>
      <c r="AE22" s="189" t="s">
        <v>144</v>
      </c>
      <c r="AF22" s="190">
        <f>(V22/((0.895*8.34)*0.29))*2000</f>
        <v>186.6355114713854</v>
      </c>
      <c r="AG22" s="190">
        <f>(W22/((0.895*8.34)*0.29))*2000</f>
        <v>214.35365673941294</v>
      </c>
      <c r="AH22" s="190">
        <f>(X22/((0.895*8.34)*0.29))*2000</f>
        <v>315.9868560555139</v>
      </c>
      <c r="AI22" s="191">
        <f>(Y22/((0.895*8.34)*0.29))*2000</f>
        <v>315.9868560555139</v>
      </c>
    </row>
    <row r="23" spans="1:35" x14ac:dyDescent="0.25">
      <c r="A23" s="540" t="s">
        <v>145</v>
      </c>
      <c r="B23" s="541"/>
      <c r="C23" s="542">
        <f>G15+U15+V15</f>
        <v>0</v>
      </c>
      <c r="D23" s="530"/>
      <c r="E23" s="543">
        <f>G16+U16+V16</f>
        <v>0</v>
      </c>
      <c r="F23" s="544"/>
      <c r="G23" s="545">
        <f>C23*2000</f>
        <v>0</v>
      </c>
      <c r="H23" s="545"/>
      <c r="I23" s="185" t="s">
        <v>146</v>
      </c>
      <c r="J23" s="546">
        <f>(G23/(8.34*1.055))/400</f>
        <v>0</v>
      </c>
      <c r="K23" s="547"/>
      <c r="L23" s="186" t="s">
        <v>147</v>
      </c>
      <c r="M23" s="548">
        <f t="shared" ref="M23:M31" si="9">ROUNDUP(J23,0)</f>
        <v>0</v>
      </c>
      <c r="N23" s="531"/>
      <c r="O23" s="539">
        <f>(M23*400*8.34*1.055)*$Y$23</f>
        <v>0</v>
      </c>
      <c r="P23" s="535"/>
      <c r="R23" s="536" t="s">
        <v>145</v>
      </c>
      <c r="S23" s="537"/>
      <c r="T23" s="538"/>
      <c r="U23" s="227" t="s">
        <v>146</v>
      </c>
      <c r="V23" s="324"/>
      <c r="W23" s="325"/>
      <c r="X23" s="325"/>
      <c r="Y23" s="325"/>
      <c r="Z23" s="229" t="s">
        <v>142</v>
      </c>
      <c r="AA23" s="188">
        <f>V23*8.34*0.005</f>
        <v>0</v>
      </c>
      <c r="AB23" s="188">
        <f>W23*8.34*0.005</f>
        <v>0</v>
      </c>
      <c r="AC23" s="188">
        <f>X23*8.34*0.005</f>
        <v>0</v>
      </c>
      <c r="AD23" s="188">
        <f>Y23*8.34*0.005</f>
        <v>0</v>
      </c>
      <c r="AE23" s="189" t="s">
        <v>144</v>
      </c>
      <c r="AF23" s="190">
        <f>V23*2000</f>
        <v>0</v>
      </c>
      <c r="AG23" s="190">
        <f>W23*2000</f>
        <v>0</v>
      </c>
      <c r="AH23" s="190">
        <f>X23*2000</f>
        <v>0</v>
      </c>
      <c r="AI23" s="191">
        <f>Y23*2000</f>
        <v>0</v>
      </c>
    </row>
    <row r="24" spans="1:35" x14ac:dyDescent="0.25">
      <c r="A24" s="540" t="s">
        <v>148</v>
      </c>
      <c r="B24" s="541"/>
      <c r="C24" s="542">
        <f>H15</f>
        <v>174.69999198075075</v>
      </c>
      <c r="D24" s="530"/>
      <c r="E24" s="543">
        <f>H16</f>
        <v>26709.881773936981</v>
      </c>
      <c r="F24" s="544"/>
      <c r="G24" s="545">
        <f>C24</f>
        <v>174.69999198075075</v>
      </c>
      <c r="H24" s="545"/>
      <c r="I24" s="185" t="s">
        <v>149</v>
      </c>
      <c r="J24" s="546">
        <f>(G24*2000)/40000</f>
        <v>8.734999599037538</v>
      </c>
      <c r="K24" s="547"/>
      <c r="L24" s="186" t="s">
        <v>143</v>
      </c>
      <c r="M24" s="548">
        <f t="shared" si="9"/>
        <v>9</v>
      </c>
      <c r="N24" s="531"/>
      <c r="O24" s="539">
        <f>((M24*40000)/2000)*$Y$24</f>
        <v>27520.199999999997</v>
      </c>
      <c r="P24" s="535"/>
      <c r="R24" s="536" t="s">
        <v>148</v>
      </c>
      <c r="S24" s="537"/>
      <c r="T24" s="538"/>
      <c r="U24" s="227" t="s">
        <v>149</v>
      </c>
      <c r="V24" s="324">
        <v>152.88999999999999</v>
      </c>
      <c r="W24" s="325">
        <v>152.88999999999999</v>
      </c>
      <c r="X24" s="325">
        <v>152.88999999999999</v>
      </c>
      <c r="Y24" s="233">
        <v>152.88999999999999</v>
      </c>
      <c r="Z24" s="229" t="s">
        <v>146</v>
      </c>
      <c r="AA24" s="188">
        <f>V24/2000</f>
        <v>7.6444999999999999E-2</v>
      </c>
      <c r="AB24" s="188">
        <f>W24/2000</f>
        <v>7.6444999999999999E-2</v>
      </c>
      <c r="AC24" s="188">
        <f>X24/2000</f>
        <v>7.6444999999999999E-2</v>
      </c>
      <c r="AD24" s="188">
        <f>Y24/2000</f>
        <v>7.6444999999999999E-2</v>
      </c>
      <c r="AE24" s="189" t="s">
        <v>144</v>
      </c>
      <c r="AF24" s="190">
        <f>V24</f>
        <v>152.88999999999999</v>
      </c>
      <c r="AG24" s="190">
        <f>W24</f>
        <v>152.88999999999999</v>
      </c>
      <c r="AH24" s="190">
        <f>X24</f>
        <v>152.88999999999999</v>
      </c>
      <c r="AI24" s="190">
        <f>Y24</f>
        <v>152.88999999999999</v>
      </c>
    </row>
    <row r="25" spans="1:35" ht="15.75" customHeight="1" x14ac:dyDescent="0.25">
      <c r="A25" s="540" t="s">
        <v>150</v>
      </c>
      <c r="B25" s="541"/>
      <c r="C25" s="542">
        <f>T15</f>
        <v>0</v>
      </c>
      <c r="D25" s="530"/>
      <c r="E25" s="543">
        <f>T16</f>
        <v>0</v>
      </c>
      <c r="F25" s="544"/>
      <c r="G25" s="545">
        <f>C25*2000</f>
        <v>0</v>
      </c>
      <c r="H25" s="545"/>
      <c r="I25" s="185" t="s">
        <v>151</v>
      </c>
      <c r="J25" s="546">
        <f>G25/45000</f>
        <v>0</v>
      </c>
      <c r="K25" s="547"/>
      <c r="L25" s="186" t="s">
        <v>143</v>
      </c>
      <c r="M25" s="548">
        <f t="shared" si="9"/>
        <v>0</v>
      </c>
      <c r="N25" s="531"/>
      <c r="O25" s="539">
        <f>J25*45000*$Y$25</f>
        <v>0</v>
      </c>
      <c r="P25" s="535"/>
      <c r="R25" s="536" t="s">
        <v>150</v>
      </c>
      <c r="S25" s="537"/>
      <c r="T25" s="538"/>
      <c r="U25" s="227" t="s">
        <v>151</v>
      </c>
      <c r="V25" s="232"/>
      <c r="W25" s="187"/>
      <c r="X25" s="187"/>
      <c r="Y25" s="233"/>
      <c r="Z25" s="229" t="s">
        <v>142</v>
      </c>
      <c r="AA25" s="188">
        <f>V25*8.34*0.055</f>
        <v>0</v>
      </c>
      <c r="AB25" s="188">
        <f>W25*8.34*0.055</f>
        <v>0</v>
      </c>
      <c r="AC25" s="188">
        <f>X25*8.34*0.055</f>
        <v>0</v>
      </c>
      <c r="AD25" s="188">
        <f>Y25*8.34*0.055</f>
        <v>0</v>
      </c>
      <c r="AE25" s="189" t="s">
        <v>144</v>
      </c>
      <c r="AF25" s="190">
        <f>V25*2000</f>
        <v>0</v>
      </c>
      <c r="AG25" s="190">
        <f>W25*2000</f>
        <v>0</v>
      </c>
      <c r="AH25" s="190">
        <f>X25*2000</f>
        <v>0</v>
      </c>
      <c r="AI25" s="191">
        <f>Y25*2000</f>
        <v>0</v>
      </c>
    </row>
    <row r="26" spans="1:35" x14ac:dyDescent="0.25">
      <c r="A26" s="540" t="s">
        <v>152</v>
      </c>
      <c r="B26" s="541"/>
      <c r="C26" s="542">
        <f>F15+S15</f>
        <v>47.293993122513918</v>
      </c>
      <c r="D26" s="530"/>
      <c r="E26" s="543">
        <f>F16+S16</f>
        <v>61482.191059268094</v>
      </c>
      <c r="F26" s="544"/>
      <c r="G26" s="545">
        <f>C26</f>
        <v>47.293993122513918</v>
      </c>
      <c r="H26" s="545"/>
      <c r="I26" s="185" t="s">
        <v>149</v>
      </c>
      <c r="J26" s="546">
        <f>(G26*2000)/45000</f>
        <v>2.1019552498895075</v>
      </c>
      <c r="K26" s="547"/>
      <c r="L26" s="186" t="s">
        <v>143</v>
      </c>
      <c r="M26" s="548">
        <f t="shared" si="9"/>
        <v>3</v>
      </c>
      <c r="N26" s="531"/>
      <c r="O26" s="539">
        <f>((M26*45000)/2000)*$Y$26</f>
        <v>87750</v>
      </c>
      <c r="P26" s="535"/>
      <c r="R26" s="536" t="s">
        <v>152</v>
      </c>
      <c r="S26" s="537"/>
      <c r="T26" s="538"/>
      <c r="U26" s="227" t="s">
        <v>149</v>
      </c>
      <c r="V26" s="324">
        <v>1020</v>
      </c>
      <c r="W26" s="325">
        <v>1020</v>
      </c>
      <c r="X26" s="325">
        <v>1300</v>
      </c>
      <c r="Y26" s="233">
        <v>1300</v>
      </c>
      <c r="Z26" s="229" t="s">
        <v>142</v>
      </c>
      <c r="AA26" s="188">
        <f>(V26/2000)*8.34*1.04*1</f>
        <v>4.4235360000000004</v>
      </c>
      <c r="AB26" s="188">
        <f t="shared" ref="AB26:AD26" si="10">(W26/2000)*8.34*1.04*1</f>
        <v>4.4235360000000004</v>
      </c>
      <c r="AC26" s="188">
        <f t="shared" si="10"/>
        <v>5.6378400000000006</v>
      </c>
      <c r="AD26" s="188">
        <f t="shared" si="10"/>
        <v>5.6378400000000006</v>
      </c>
      <c r="AE26" s="189" t="s">
        <v>144</v>
      </c>
      <c r="AF26" s="190">
        <f t="shared" ref="AF26:AI28" si="11">V26</f>
        <v>1020</v>
      </c>
      <c r="AG26" s="190">
        <f t="shared" si="11"/>
        <v>1020</v>
      </c>
      <c r="AH26" s="190">
        <f t="shared" si="11"/>
        <v>1300</v>
      </c>
      <c r="AI26" s="191">
        <f t="shared" si="11"/>
        <v>1300</v>
      </c>
    </row>
    <row r="27" spans="1:35" x14ac:dyDescent="0.25">
      <c r="A27" s="540" t="s">
        <v>153</v>
      </c>
      <c r="B27" s="541"/>
      <c r="C27" s="542">
        <f>M15+Z15+AD15</f>
        <v>60.330106870870203</v>
      </c>
      <c r="D27" s="530"/>
      <c r="E27" s="543">
        <f>M16+Z16+AD16</f>
        <v>58821.854199098452</v>
      </c>
      <c r="F27" s="544"/>
      <c r="G27" s="545">
        <f>C27</f>
        <v>60.330106870870203</v>
      </c>
      <c r="H27" s="545"/>
      <c r="I27" s="185" t="s">
        <v>149</v>
      </c>
      <c r="J27" s="546">
        <f>G27/8</f>
        <v>7.5412633588587754</v>
      </c>
      <c r="K27" s="547"/>
      <c r="L27" s="186" t="s">
        <v>143</v>
      </c>
      <c r="M27" s="548">
        <f t="shared" si="9"/>
        <v>8</v>
      </c>
      <c r="N27" s="531"/>
      <c r="O27" s="539">
        <f>M27*8*$Y$27</f>
        <v>62400</v>
      </c>
      <c r="P27" s="535"/>
      <c r="R27" s="536" t="s">
        <v>153</v>
      </c>
      <c r="S27" s="537"/>
      <c r="T27" s="538"/>
      <c r="U27" s="227" t="s">
        <v>149</v>
      </c>
      <c r="V27" s="324">
        <v>825</v>
      </c>
      <c r="W27" s="325">
        <v>825</v>
      </c>
      <c r="X27" s="325">
        <v>825</v>
      </c>
      <c r="Y27" s="233">
        <v>975</v>
      </c>
      <c r="Z27" s="229" t="s">
        <v>146</v>
      </c>
      <c r="AA27" s="188">
        <f>V27/2000</f>
        <v>0.41249999999999998</v>
      </c>
      <c r="AB27" s="188">
        <f>W27/2000</f>
        <v>0.41249999999999998</v>
      </c>
      <c r="AC27" s="188">
        <f>X27/2000</f>
        <v>0.41249999999999998</v>
      </c>
      <c r="AD27" s="188">
        <f>Y27/2000</f>
        <v>0.48749999999999999</v>
      </c>
      <c r="AE27" s="189" t="s">
        <v>144</v>
      </c>
      <c r="AF27" s="190">
        <f t="shared" si="11"/>
        <v>825</v>
      </c>
      <c r="AG27" s="190">
        <f t="shared" si="11"/>
        <v>825</v>
      </c>
      <c r="AH27" s="190">
        <f t="shared" si="11"/>
        <v>825</v>
      </c>
      <c r="AI27" s="191">
        <f t="shared" si="11"/>
        <v>975</v>
      </c>
    </row>
    <row r="28" spans="1:35" x14ac:dyDescent="0.25">
      <c r="A28" s="540" t="s">
        <v>154</v>
      </c>
      <c r="B28" s="541"/>
      <c r="C28" s="542">
        <f>D15+L15+R15+Y15</f>
        <v>344.60449163516296</v>
      </c>
      <c r="D28" s="530"/>
      <c r="E28" s="543">
        <f>D16+L16+R16+Y16</f>
        <v>368382.20155798923</v>
      </c>
      <c r="F28" s="544"/>
      <c r="G28" s="545">
        <f>C28</f>
        <v>344.60449163516296</v>
      </c>
      <c r="H28" s="545"/>
      <c r="I28" s="185" t="s">
        <v>144</v>
      </c>
      <c r="J28" s="546">
        <f>((G28/0.38)*2000)/45000</f>
        <v>40.304618904697428</v>
      </c>
      <c r="K28" s="547"/>
      <c r="L28" s="186" t="s">
        <v>143</v>
      </c>
      <c r="M28" s="548">
        <f t="shared" si="9"/>
        <v>41</v>
      </c>
      <c r="N28" s="531"/>
      <c r="O28" s="539">
        <f>((M28*45000*0.38)/2000)*$Y$28</f>
        <v>374737.95</v>
      </c>
      <c r="P28" s="535"/>
      <c r="R28" s="536" t="s">
        <v>154</v>
      </c>
      <c r="S28" s="537"/>
      <c r="T28" s="538"/>
      <c r="U28" s="227" t="s">
        <v>144</v>
      </c>
      <c r="V28" s="232">
        <v>869</v>
      </c>
      <c r="W28" s="187">
        <v>919</v>
      </c>
      <c r="X28" s="187">
        <v>969</v>
      </c>
      <c r="Y28" s="233">
        <v>1069</v>
      </c>
      <c r="Z28" s="229" t="s">
        <v>142</v>
      </c>
      <c r="AA28" s="188">
        <f>(V28/2000)*8.34*1.4*0.38</f>
        <v>1.9278243599999998</v>
      </c>
      <c r="AB28" s="188">
        <f>(W28/2000)*8.34*1.4*0.38</f>
        <v>2.0387463599999998</v>
      </c>
      <c r="AC28" s="188">
        <f>(X28/2000)*8.34*1.4*0.38</f>
        <v>2.1496683599999997</v>
      </c>
      <c r="AD28" s="188">
        <f>(Y28/2000)*8.34*1.4*0.38</f>
        <v>2.3715123600000001</v>
      </c>
      <c r="AE28" s="189" t="s">
        <v>144</v>
      </c>
      <c r="AF28" s="190">
        <f t="shared" si="11"/>
        <v>869</v>
      </c>
      <c r="AG28" s="190">
        <f t="shared" si="11"/>
        <v>919</v>
      </c>
      <c r="AH28" s="190">
        <f t="shared" si="11"/>
        <v>969</v>
      </c>
      <c r="AI28" s="191">
        <f t="shared" si="11"/>
        <v>1069</v>
      </c>
    </row>
    <row r="29" spans="1:35" x14ac:dyDescent="0.25">
      <c r="A29" s="540" t="s">
        <v>155</v>
      </c>
      <c r="B29" s="541"/>
      <c r="C29" s="542">
        <f>I15</f>
        <v>8.2924358538234753</v>
      </c>
      <c r="D29" s="530"/>
      <c r="E29" s="543">
        <f>I16</f>
        <v>23100.357021365395</v>
      </c>
      <c r="F29" s="544"/>
      <c r="G29" s="545">
        <f>C29/0.35</f>
        <v>23.692673868067075</v>
      </c>
      <c r="H29" s="545"/>
      <c r="I29" s="185" t="s">
        <v>149</v>
      </c>
      <c r="J29" s="546">
        <f>(G29*2000)/45000</f>
        <v>1.0530077274696479</v>
      </c>
      <c r="K29" s="547"/>
      <c r="L29" s="186" t="s">
        <v>143</v>
      </c>
      <c r="M29" s="548">
        <f t="shared" si="9"/>
        <v>2</v>
      </c>
      <c r="N29" s="531"/>
      <c r="O29" s="539">
        <f>((M29*45000)/2000)*$Y$29</f>
        <v>43875</v>
      </c>
      <c r="P29" s="535"/>
      <c r="R29" s="536" t="s">
        <v>155</v>
      </c>
      <c r="S29" s="537"/>
      <c r="T29" s="538"/>
      <c r="U29" s="227" t="s">
        <v>149</v>
      </c>
      <c r="V29" s="232">
        <v>975</v>
      </c>
      <c r="W29" s="187">
        <v>975</v>
      </c>
      <c r="X29" s="187">
        <v>975</v>
      </c>
      <c r="Y29" s="233">
        <v>975</v>
      </c>
      <c r="Z29" s="229" t="s">
        <v>142</v>
      </c>
      <c r="AA29" s="188">
        <f>(V29/2000)*8.34*1.135</f>
        <v>4.6146262499999997</v>
      </c>
      <c r="AB29" s="188">
        <f>(W29/2000)*8.34*1.135</f>
        <v>4.6146262499999997</v>
      </c>
      <c r="AC29" s="188">
        <f>(X29/2000)*8.34*1.135</f>
        <v>4.6146262499999997</v>
      </c>
      <c r="AD29" s="188">
        <f>(Y29/2000)*8.34*1.135</f>
        <v>4.6146262499999997</v>
      </c>
      <c r="AE29" s="189" t="s">
        <v>144</v>
      </c>
      <c r="AF29" s="190">
        <f>V29/0.35</f>
        <v>2785.7142857142858</v>
      </c>
      <c r="AG29" s="190">
        <f>W29/0.35</f>
        <v>2785.7142857142858</v>
      </c>
      <c r="AH29" s="190">
        <f>X29/0.35</f>
        <v>2785.7142857142858</v>
      </c>
      <c r="AI29" s="191">
        <f>Y29/0.35</f>
        <v>2785.7142857142858</v>
      </c>
    </row>
    <row r="30" spans="1:35" x14ac:dyDescent="0.25">
      <c r="A30" s="540" t="s">
        <v>156</v>
      </c>
      <c r="B30" s="541"/>
      <c r="C30" s="542">
        <f>C15+Q15+AE15</f>
        <v>7.6319638447637663</v>
      </c>
      <c r="D30" s="530"/>
      <c r="E30" s="543">
        <f>C16+Q16+AE16</f>
        <v>45028.586684106223</v>
      </c>
      <c r="F30" s="544"/>
      <c r="G30" s="545">
        <f>C30*2000</f>
        <v>15263.927689527532</v>
      </c>
      <c r="H30" s="545"/>
      <c r="I30" s="185" t="s">
        <v>151</v>
      </c>
      <c r="J30" s="546">
        <f>G30/3300</f>
        <v>4.6254326331901616</v>
      </c>
      <c r="K30" s="547"/>
      <c r="L30" s="186" t="s">
        <v>157</v>
      </c>
      <c r="M30" s="548">
        <f t="shared" si="9"/>
        <v>5</v>
      </c>
      <c r="N30" s="531"/>
      <c r="O30" s="539">
        <f>M30*3300*$Y$30</f>
        <v>48675</v>
      </c>
      <c r="P30" s="535"/>
      <c r="R30" s="536" t="s">
        <v>156</v>
      </c>
      <c r="S30" s="537"/>
      <c r="T30" s="538"/>
      <c r="U30" s="227" t="s">
        <v>151</v>
      </c>
      <c r="V30" s="232">
        <v>2.95</v>
      </c>
      <c r="W30" s="187">
        <v>2.95</v>
      </c>
      <c r="X30" s="187">
        <v>2.95</v>
      </c>
      <c r="Y30" s="233">
        <v>2.95</v>
      </c>
      <c r="Z30" s="229" t="s">
        <v>142</v>
      </c>
      <c r="AA30" s="188">
        <f>(8.34*1.029*0.03)*V30</f>
        <v>0.75949460999999996</v>
      </c>
      <c r="AB30" s="188">
        <f>(8.34*1.029*0.03)*W30</f>
        <v>0.75949460999999996</v>
      </c>
      <c r="AC30" s="188">
        <f>(8.34*1.029*0.03)*X30</f>
        <v>0.75949460999999996</v>
      </c>
      <c r="AD30" s="188">
        <f>(8.34*1.029*0.03)*Y30</f>
        <v>0.75949460999999996</v>
      </c>
      <c r="AE30" s="189" t="s">
        <v>144</v>
      </c>
      <c r="AF30" s="190">
        <f>V30*2000</f>
        <v>5900</v>
      </c>
      <c r="AG30" s="190">
        <f>W30*2000</f>
        <v>5900</v>
      </c>
      <c r="AH30" s="190">
        <f>X30*2000</f>
        <v>5900</v>
      </c>
      <c r="AI30" s="191">
        <f>Y30*2000</f>
        <v>5900</v>
      </c>
    </row>
    <row r="31" spans="1:35" ht="15.75" thickBot="1" x14ac:dyDescent="0.3">
      <c r="A31" s="552" t="s">
        <v>158</v>
      </c>
      <c r="B31" s="553"/>
      <c r="C31" s="554">
        <f>E15+O15+AB15</f>
        <v>769.72310413593527</v>
      </c>
      <c r="D31" s="555"/>
      <c r="E31" s="556">
        <f>E16+O16+AB16</f>
        <v>1076072.8995820375</v>
      </c>
      <c r="F31" s="557"/>
      <c r="G31" s="558">
        <f>(C31/0.5)*2000</f>
        <v>3078892.4165437412</v>
      </c>
      <c r="H31" s="558"/>
      <c r="I31" s="192" t="s">
        <v>146</v>
      </c>
      <c r="J31" s="559">
        <f>G31/45000</f>
        <v>68.419831478749799</v>
      </c>
      <c r="K31" s="560"/>
      <c r="L31" s="193" t="s">
        <v>143</v>
      </c>
      <c r="M31" s="561">
        <f t="shared" si="9"/>
        <v>69</v>
      </c>
      <c r="N31" s="562"/>
      <c r="O31" s="563">
        <f>M31*45000*$Y$31</f>
        <v>1085197.5</v>
      </c>
      <c r="P31" s="564"/>
      <c r="R31" s="565" t="s">
        <v>158</v>
      </c>
      <c r="S31" s="566"/>
      <c r="T31" s="567"/>
      <c r="U31" s="228" t="s">
        <v>146</v>
      </c>
      <c r="V31" s="396">
        <v>0.241175</v>
      </c>
      <c r="W31" s="397">
        <v>0.287215</v>
      </c>
      <c r="X31" s="397">
        <v>0.312</v>
      </c>
      <c r="Y31" s="398">
        <v>0.34949999999999998</v>
      </c>
      <c r="Z31" s="230" t="s">
        <v>142</v>
      </c>
      <c r="AA31" s="194">
        <f>V31*8.34*1.54</f>
        <v>3.0975552300000002</v>
      </c>
      <c r="AB31" s="194">
        <f>W31*8.34*1.54</f>
        <v>3.6888745740000002</v>
      </c>
      <c r="AC31" s="194">
        <f>X31*8.34*1.54</f>
        <v>4.0072032000000002</v>
      </c>
      <c r="AD31" s="194">
        <f>Y31*8.34*1.54</f>
        <v>4.4888382</v>
      </c>
      <c r="AE31" s="195" t="s">
        <v>144</v>
      </c>
      <c r="AF31" s="196">
        <f>(V31*2000)/0.5</f>
        <v>964.7</v>
      </c>
      <c r="AG31" s="196">
        <f>(W31*2000)/0.5</f>
        <v>1148.8599999999999</v>
      </c>
      <c r="AH31" s="196">
        <f>(X31*2000)/0.5</f>
        <v>1248</v>
      </c>
      <c r="AI31" s="197">
        <f>(Y31*2000)/0.5</f>
        <v>1398</v>
      </c>
    </row>
    <row r="32" spans="1:35" x14ac:dyDescent="0.25">
      <c r="F32" s="198"/>
    </row>
  </sheetData>
  <sheetProtection algorithmName="SHA-512" hashValue="EnyJzf60y7kpmOwrFVBi66rpkLFuyN+axECDUYI3/KSuDdTrx0pSuoBC4Cjzerdi4XK2cZnAcht9B1kuDePJuw==" saltValue="o2v3a3kcmbTvnIPUHLyq6w==" spinCount="100000" sheet="1" objects="1" scenarios="1" selectLockedCells="1" selectUnlockedCells="1"/>
  <mergeCells count="135"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61"/>
  <sheetViews>
    <sheetView topLeftCell="AH24" zoomScale="90" zoomScaleNormal="90" workbookViewId="0">
      <selection activeCell="AK45" sqref="AK45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</row>
    <row r="2" spans="1:49" ht="15" customHeight="1" x14ac:dyDescent="0.25">
      <c r="A2" s="1" t="s">
        <v>2</v>
      </c>
      <c r="B2" s="4"/>
    </row>
    <row r="3" spans="1:49" ht="15.75" thickBot="1" x14ac:dyDescent="0.3">
      <c r="A3" s="5"/>
    </row>
    <row r="4" spans="1:49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</row>
    <row r="5" spans="1:49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  <c r="AV5" t="s">
        <v>169</v>
      </c>
      <c r="AW5" s="302" t="s">
        <v>207</v>
      </c>
    </row>
    <row r="6" spans="1:49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49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18" t="s">
        <v>23</v>
      </c>
      <c r="AD7" s="18" t="s">
        <v>28</v>
      </c>
      <c r="AE7" s="18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49" x14ac:dyDescent="0.25">
      <c r="A8" s="9">
        <v>44562</v>
      </c>
      <c r="B8" s="45"/>
      <c r="C8" s="46">
        <v>71.226156548659006</v>
      </c>
      <c r="D8" s="46">
        <v>989.80867862701484</v>
      </c>
      <c r="E8" s="46">
        <v>16.346275285879791</v>
      </c>
      <c r="F8" s="46">
        <v>0</v>
      </c>
      <c r="G8" s="46">
        <v>2612.5805217743</v>
      </c>
      <c r="H8" s="47">
        <v>27.630193893114775</v>
      </c>
      <c r="I8" s="45">
        <v>192.70261356830574</v>
      </c>
      <c r="J8" s="46">
        <v>495.73165251413894</v>
      </c>
      <c r="K8" s="46">
        <v>27.206903081635687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55">
        <v>0</v>
      </c>
      <c r="S8" s="46">
        <v>0</v>
      </c>
      <c r="T8" s="48">
        <v>0</v>
      </c>
      <c r="U8" s="56">
        <v>272.50919169419097</v>
      </c>
      <c r="V8" s="54">
        <v>142.66255881951727</v>
      </c>
      <c r="W8" s="54">
        <v>51.58661263042567</v>
      </c>
      <c r="X8" s="54">
        <v>27.006348347128558</v>
      </c>
      <c r="Y8" s="54">
        <v>149.93534864735204</v>
      </c>
      <c r="Z8" s="54">
        <v>78.493354160074219</v>
      </c>
      <c r="AA8" s="57">
        <v>0</v>
      </c>
      <c r="AB8" s="58">
        <v>90.435515854094803</v>
      </c>
      <c r="AC8" s="52">
        <v>0</v>
      </c>
      <c r="AD8" s="331">
        <v>13.361780082685781</v>
      </c>
      <c r="AE8" s="331">
        <v>6.6947686380864146</v>
      </c>
      <c r="AF8" s="52">
        <v>19.406608498096482</v>
      </c>
      <c r="AG8" s="58">
        <v>12.575064513556722</v>
      </c>
      <c r="AH8" s="58">
        <v>6.5832307147926281</v>
      </c>
      <c r="AI8" s="58">
        <v>0.65637700868858417</v>
      </c>
      <c r="AJ8" s="52">
        <v>312.69567691485082</v>
      </c>
      <c r="AK8" s="52">
        <v>943.614944044749</v>
      </c>
      <c r="AL8" s="52">
        <v>2671.9568403879807</v>
      </c>
      <c r="AM8" s="52">
        <v>459.06550598144531</v>
      </c>
      <c r="AN8" s="52">
        <v>4738.0748291015625</v>
      </c>
      <c r="AO8" s="52">
        <v>2895.5380467732748</v>
      </c>
      <c r="AP8" s="52">
        <v>812.17338159879057</v>
      </c>
      <c r="AQ8" s="52">
        <v>2534.651217651367</v>
      </c>
      <c r="AR8" s="52">
        <v>551.70878553390492</v>
      </c>
      <c r="AS8" s="52">
        <v>597.56563987731931</v>
      </c>
    </row>
    <row r="9" spans="1:49" x14ac:dyDescent="0.25">
      <c r="A9" s="9">
        <v>44563</v>
      </c>
      <c r="B9" s="45"/>
      <c r="C9" s="46">
        <v>70.89</v>
      </c>
      <c r="D9" s="46">
        <v>982.35</v>
      </c>
      <c r="E9" s="46">
        <v>16.14</v>
      </c>
      <c r="F9" s="46">
        <v>0</v>
      </c>
      <c r="G9" s="46">
        <v>2323.5</v>
      </c>
      <c r="H9" s="47">
        <v>27.66</v>
      </c>
      <c r="I9" s="45">
        <v>171.31</v>
      </c>
      <c r="J9" s="46">
        <v>461.21</v>
      </c>
      <c r="K9" s="46">
        <v>25.29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46">
        <v>0</v>
      </c>
      <c r="R9" s="55">
        <v>0</v>
      </c>
      <c r="S9" s="46">
        <v>0</v>
      </c>
      <c r="T9" s="48">
        <v>0</v>
      </c>
      <c r="U9" s="56">
        <v>264.77999999999997</v>
      </c>
      <c r="V9" s="54">
        <v>148.9</v>
      </c>
      <c r="W9" s="54">
        <v>49.33</v>
      </c>
      <c r="X9" s="54">
        <v>27.74</v>
      </c>
      <c r="Y9" s="54">
        <v>133.19</v>
      </c>
      <c r="Z9" s="54">
        <v>74.900000000000006</v>
      </c>
      <c r="AA9" s="57">
        <v>0</v>
      </c>
      <c r="AB9" s="58">
        <v>86.03</v>
      </c>
      <c r="AC9" s="52">
        <v>0</v>
      </c>
      <c r="AD9" s="357">
        <v>12.43</v>
      </c>
      <c r="AE9" s="357">
        <v>6.69</v>
      </c>
      <c r="AF9" s="52">
        <v>18.89</v>
      </c>
      <c r="AG9" s="58">
        <v>11.93</v>
      </c>
      <c r="AH9" s="58">
        <v>6.71</v>
      </c>
      <c r="AI9" s="58">
        <v>0.64</v>
      </c>
      <c r="AJ9" s="52">
        <v>297.05</v>
      </c>
      <c r="AK9" s="52">
        <v>913.4</v>
      </c>
      <c r="AL9" s="52">
        <v>2808.62</v>
      </c>
      <c r="AM9" s="52">
        <v>459.07</v>
      </c>
      <c r="AN9" s="52">
        <v>4738.07</v>
      </c>
      <c r="AO9" s="52">
        <v>2872.66</v>
      </c>
      <c r="AP9" s="52">
        <v>672.38</v>
      </c>
      <c r="AQ9" s="52">
        <v>2435.09</v>
      </c>
      <c r="AR9" s="52">
        <v>532.72</v>
      </c>
      <c r="AS9" s="52">
        <v>603.15</v>
      </c>
    </row>
    <row r="10" spans="1:49" x14ac:dyDescent="0.25">
      <c r="A10" s="9">
        <v>44564</v>
      </c>
      <c r="B10" s="45"/>
      <c r="C10" s="46">
        <v>71.827962545553902</v>
      </c>
      <c r="D10" s="46">
        <v>976.26134923299048</v>
      </c>
      <c r="E10" s="46">
        <v>16.680745167533555</v>
      </c>
      <c r="F10" s="46">
        <v>0</v>
      </c>
      <c r="G10" s="46">
        <v>2114.5125405629465</v>
      </c>
      <c r="H10" s="47">
        <v>27.758092957735162</v>
      </c>
      <c r="I10" s="45">
        <v>177.83770713806177</v>
      </c>
      <c r="J10" s="46">
        <v>521.13607727686554</v>
      </c>
      <c r="K10" s="46">
        <v>28.563937830924957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289.0597042688882</v>
      </c>
      <c r="V10" s="54">
        <v>139.04929786564514</v>
      </c>
      <c r="W10" s="54">
        <v>56.007250311891191</v>
      </c>
      <c r="X10" s="54">
        <v>26.941731124202601</v>
      </c>
      <c r="Y10" s="54">
        <v>143.98759527988329</v>
      </c>
      <c r="Z10" s="54">
        <v>69.263801662255332</v>
      </c>
      <c r="AA10" s="57">
        <v>0</v>
      </c>
      <c r="AB10" s="58">
        <v>93.829474968380623</v>
      </c>
      <c r="AC10" s="52">
        <v>0</v>
      </c>
      <c r="AD10" s="357">
        <v>14.046402864150984</v>
      </c>
      <c r="AE10" s="357">
        <v>6.7229422557656511</v>
      </c>
      <c r="AF10" s="52">
        <v>19.785554522938174</v>
      </c>
      <c r="AG10" s="58">
        <v>13.19652963452568</v>
      </c>
      <c r="AH10" s="58">
        <v>6.3480594245576878</v>
      </c>
      <c r="AI10" s="58">
        <v>0.67520118200656554</v>
      </c>
      <c r="AJ10" s="52">
        <v>258.52617571353909</v>
      </c>
      <c r="AK10" s="52">
        <v>833.66499656041469</v>
      </c>
      <c r="AL10" s="52">
        <v>2755.5192174275721</v>
      </c>
      <c r="AM10" s="52">
        <v>459.06550598144531</v>
      </c>
      <c r="AN10" s="52">
        <v>4738.0748291015625</v>
      </c>
      <c r="AO10" s="52">
        <v>2805.1047662099199</v>
      </c>
      <c r="AP10" s="52">
        <v>597.50344093640649</v>
      </c>
      <c r="AQ10" s="52">
        <v>2625.2320422490443</v>
      </c>
      <c r="AR10" s="52">
        <v>492.98229268391924</v>
      </c>
      <c r="AS10" s="52">
        <v>615.52857268651326</v>
      </c>
    </row>
    <row r="11" spans="1:49" x14ac:dyDescent="0.25">
      <c r="A11" s="9">
        <v>44565</v>
      </c>
      <c r="B11" s="45"/>
      <c r="C11" s="46">
        <v>71.450490160783048</v>
      </c>
      <c r="D11" s="46">
        <v>975.03628190358336</v>
      </c>
      <c r="E11" s="46">
        <v>16.022349853316918</v>
      </c>
      <c r="F11" s="46">
        <v>0</v>
      </c>
      <c r="G11" s="46">
        <v>2136.9718125661188</v>
      </c>
      <c r="H11" s="47">
        <v>27.380532473325811</v>
      </c>
      <c r="I11" s="45">
        <v>195.53670914173154</v>
      </c>
      <c r="J11" s="46">
        <v>610.24722642898485</v>
      </c>
      <c r="K11" s="46">
        <v>33.466850135723718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344.15236240123795</v>
      </c>
      <c r="V11" s="54">
        <v>145.1952539215979</v>
      </c>
      <c r="W11" s="54">
        <v>67.597785880183849</v>
      </c>
      <c r="X11" s="54">
        <v>28.518989719931653</v>
      </c>
      <c r="Y11" s="54">
        <v>184.2822999757164</v>
      </c>
      <c r="Z11" s="54">
        <v>77.747295272188339</v>
      </c>
      <c r="AA11" s="57">
        <v>0</v>
      </c>
      <c r="AB11" s="58">
        <v>105.18356984986234</v>
      </c>
      <c r="AC11" s="52">
        <v>0</v>
      </c>
      <c r="AD11" s="357">
        <v>16.448107830213843</v>
      </c>
      <c r="AE11" s="357">
        <v>6.7124115828085849</v>
      </c>
      <c r="AF11" s="52">
        <v>23.026141838232714</v>
      </c>
      <c r="AG11" s="58">
        <v>15.998998248986688</v>
      </c>
      <c r="AH11" s="58">
        <v>6.7498552008907131</v>
      </c>
      <c r="AI11" s="58">
        <v>0.70328811446419992</v>
      </c>
      <c r="AJ11" s="52">
        <v>254.23849966526032</v>
      </c>
      <c r="AK11" s="52">
        <v>820.08668301900229</v>
      </c>
      <c r="AL11" s="52">
        <v>2861.9683197021477</v>
      </c>
      <c r="AM11" s="52">
        <v>459.06550598144531</v>
      </c>
      <c r="AN11" s="52">
        <v>4738.0748291015625</v>
      </c>
      <c r="AO11" s="52">
        <v>2719.6090774536133</v>
      </c>
      <c r="AP11" s="52">
        <v>572.57295993169157</v>
      </c>
      <c r="AQ11" s="52">
        <v>2951.5353136698409</v>
      </c>
      <c r="AR11" s="52">
        <v>483.20050376256302</v>
      </c>
      <c r="AS11" s="52">
        <v>613.28661626180008</v>
      </c>
    </row>
    <row r="12" spans="1:49" x14ac:dyDescent="0.25">
      <c r="A12" s="9">
        <v>44566</v>
      </c>
      <c r="B12" s="45"/>
      <c r="C12" s="46">
        <v>71.377864023049554</v>
      </c>
      <c r="D12" s="46">
        <v>973.86155916849498</v>
      </c>
      <c r="E12" s="46">
        <v>15.731157959500939</v>
      </c>
      <c r="F12" s="46">
        <v>0</v>
      </c>
      <c r="G12" s="46">
        <v>2151.0988402048779</v>
      </c>
      <c r="H12" s="47">
        <v>27.150792280833002</v>
      </c>
      <c r="I12" s="45">
        <v>202.31851927439433</v>
      </c>
      <c r="J12" s="46">
        <v>609.99039367039848</v>
      </c>
      <c r="K12" s="46">
        <v>33.468112876017827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343.80862513197735</v>
      </c>
      <c r="V12" s="54">
        <v>145.04479105657924</v>
      </c>
      <c r="W12" s="54">
        <v>68.148253962631429</v>
      </c>
      <c r="X12" s="54">
        <v>28.750149165356763</v>
      </c>
      <c r="Y12" s="54">
        <v>181.86176262929271</v>
      </c>
      <c r="Z12" s="54">
        <v>76.723210046348456</v>
      </c>
      <c r="AA12" s="57">
        <v>0</v>
      </c>
      <c r="AB12" s="58">
        <v>105.07558408313416</v>
      </c>
      <c r="AC12" s="52">
        <v>0</v>
      </c>
      <c r="AD12" s="357">
        <v>16.439302161592018</v>
      </c>
      <c r="AE12" s="357">
        <v>6.7070579762241529</v>
      </c>
      <c r="AF12" s="52">
        <v>23.020424475934789</v>
      </c>
      <c r="AG12" s="58">
        <v>15.999146206305172</v>
      </c>
      <c r="AH12" s="58">
        <v>6.7496643450593892</v>
      </c>
      <c r="AI12" s="58">
        <v>0.70329594464645462</v>
      </c>
      <c r="AJ12" s="52">
        <v>282.4517952839534</v>
      </c>
      <c r="AK12" s="52">
        <v>886.02653408050537</v>
      </c>
      <c r="AL12" s="52">
        <v>2715.8761334737137</v>
      </c>
      <c r="AM12" s="52">
        <v>459.06550598144531</v>
      </c>
      <c r="AN12" s="52">
        <v>4738.0748291015625</v>
      </c>
      <c r="AO12" s="52">
        <v>2820.7410859425863</v>
      </c>
      <c r="AP12" s="52">
        <v>747.16401624679577</v>
      </c>
      <c r="AQ12" s="52">
        <v>2936.6015776316326</v>
      </c>
      <c r="AR12" s="52">
        <v>532.23396660486856</v>
      </c>
      <c r="AS12" s="52">
        <v>593.32052361170463</v>
      </c>
    </row>
    <row r="13" spans="1:49" x14ac:dyDescent="0.25">
      <c r="A13" s="9">
        <v>44567</v>
      </c>
      <c r="B13" s="45"/>
      <c r="C13" s="46">
        <v>71.291503973801895</v>
      </c>
      <c r="D13" s="46">
        <v>972.13355038960526</v>
      </c>
      <c r="E13" s="46">
        <v>15.863376359144837</v>
      </c>
      <c r="F13" s="46">
        <v>0</v>
      </c>
      <c r="G13" s="46">
        <v>2214.5420494079558</v>
      </c>
      <c r="H13" s="47">
        <v>27.16547125776615</v>
      </c>
      <c r="I13" s="45">
        <v>201.49216494560255</v>
      </c>
      <c r="J13" s="46">
        <v>607.68023710250895</v>
      </c>
      <c r="K13" s="46">
        <v>33.334626313050542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351.51797382601023</v>
      </c>
      <c r="V13" s="54">
        <v>151.19114889534424</v>
      </c>
      <c r="W13" s="54">
        <v>65.072656942481316</v>
      </c>
      <c r="X13" s="54">
        <v>27.988354785169641</v>
      </c>
      <c r="Y13" s="54">
        <v>168.73941106021383</v>
      </c>
      <c r="Z13" s="54">
        <v>72.576389606595299</v>
      </c>
      <c r="AA13" s="57">
        <v>0</v>
      </c>
      <c r="AB13" s="58">
        <v>104.66761815812855</v>
      </c>
      <c r="AC13" s="52">
        <v>0</v>
      </c>
      <c r="AD13" s="357">
        <v>16.376626983657932</v>
      </c>
      <c r="AE13" s="357">
        <v>6.6911454525402219</v>
      </c>
      <c r="AF13" s="52">
        <v>22.201396970616432</v>
      </c>
      <c r="AG13" s="58">
        <v>15.332187172212802</v>
      </c>
      <c r="AH13" s="58">
        <v>6.5945162587694339</v>
      </c>
      <c r="AI13" s="58">
        <v>0.69924725440252722</v>
      </c>
      <c r="AJ13" s="52">
        <v>320.18271684646606</v>
      </c>
      <c r="AK13" s="52">
        <v>978.01791378657026</v>
      </c>
      <c r="AL13" s="52">
        <v>2792.8031664530436</v>
      </c>
      <c r="AM13" s="52">
        <v>559.5771949768066</v>
      </c>
      <c r="AN13" s="52">
        <v>4738.0748291015625</v>
      </c>
      <c r="AO13" s="52">
        <v>2972.9427639007567</v>
      </c>
      <c r="AP13" s="52">
        <v>1145.3756137212119</v>
      </c>
      <c r="AQ13" s="52">
        <v>2915.9168853759761</v>
      </c>
      <c r="AR13" s="52">
        <v>556.77929763793952</v>
      </c>
      <c r="AS13" s="52">
        <v>573.39479948679605</v>
      </c>
    </row>
    <row r="14" spans="1:49" x14ac:dyDescent="0.25">
      <c r="A14" s="9">
        <v>44568</v>
      </c>
      <c r="B14" s="45"/>
      <c r="C14" s="46">
        <v>71.630452160040662</v>
      </c>
      <c r="D14" s="46">
        <v>970.57708269754824</v>
      </c>
      <c r="E14" s="46">
        <v>16.154281085729586</v>
      </c>
      <c r="F14" s="46">
        <v>0</v>
      </c>
      <c r="G14" s="46">
        <v>1959.3091060638419</v>
      </c>
      <c r="H14" s="47">
        <v>27.54868563115604</v>
      </c>
      <c r="I14" s="45">
        <v>174.6975115378695</v>
      </c>
      <c r="J14" s="46">
        <v>577.00575151443513</v>
      </c>
      <c r="K14" s="46">
        <v>31.657975208759247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326.96910843269046</v>
      </c>
      <c r="V14" s="54">
        <v>140.46985526665082</v>
      </c>
      <c r="W14" s="54">
        <v>62.563515660852126</v>
      </c>
      <c r="X14" s="54">
        <v>26.878037598043878</v>
      </c>
      <c r="Y14" s="54">
        <v>160.00927137020784</v>
      </c>
      <c r="Z14" s="54">
        <v>68.741904391014771</v>
      </c>
      <c r="AA14" s="57">
        <v>0</v>
      </c>
      <c r="AB14" s="58">
        <v>100.7271323998766</v>
      </c>
      <c r="AC14" s="52">
        <v>0</v>
      </c>
      <c r="AD14" s="357">
        <v>15.55115103208141</v>
      </c>
      <c r="AE14" s="357">
        <v>6.6835969689609049</v>
      </c>
      <c r="AF14" s="52">
        <v>21.146328079038216</v>
      </c>
      <c r="AG14" s="58">
        <v>14.572638784279087</v>
      </c>
      <c r="AH14" s="58">
        <v>6.2605806117071241</v>
      </c>
      <c r="AI14" s="58">
        <v>0.69949048715373752</v>
      </c>
      <c r="AJ14" s="52">
        <v>248.45164716243744</v>
      </c>
      <c r="AK14" s="52">
        <v>831.59169120788567</v>
      </c>
      <c r="AL14" s="52">
        <v>2890.334976323446</v>
      </c>
      <c r="AM14" s="52">
        <v>598.77287292480469</v>
      </c>
      <c r="AN14" s="52">
        <v>4738.0748291015625</v>
      </c>
      <c r="AO14" s="52">
        <v>2772.5238066355391</v>
      </c>
      <c r="AP14" s="52">
        <v>957.90376122792543</v>
      </c>
      <c r="AQ14" s="52">
        <v>2977.1646181742344</v>
      </c>
      <c r="AR14" s="52">
        <v>485.51578884124746</v>
      </c>
      <c r="AS14" s="52">
        <v>622.12679351170846</v>
      </c>
    </row>
    <row r="15" spans="1:49" x14ac:dyDescent="0.25">
      <c r="A15" s="9">
        <v>44569</v>
      </c>
      <c r="B15" s="45"/>
      <c r="C15" s="46">
        <v>72.319999999999993</v>
      </c>
      <c r="D15" s="46">
        <v>973.25</v>
      </c>
      <c r="E15" s="46">
        <v>16</v>
      </c>
      <c r="F15" s="46">
        <v>0</v>
      </c>
      <c r="G15" s="46">
        <v>2012.5</v>
      </c>
      <c r="H15" s="47">
        <v>27.71</v>
      </c>
      <c r="I15" s="45">
        <v>173</v>
      </c>
      <c r="J15" s="46">
        <v>585.11</v>
      </c>
      <c r="K15" s="46">
        <v>32.08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335.76</v>
      </c>
      <c r="V15" s="54">
        <v>148.07</v>
      </c>
      <c r="W15" s="54">
        <v>65.13</v>
      </c>
      <c r="X15" s="54">
        <v>28.72</v>
      </c>
      <c r="Y15" s="54">
        <v>167.88</v>
      </c>
      <c r="Z15" s="54">
        <v>74.03</v>
      </c>
      <c r="AA15" s="57">
        <v>0</v>
      </c>
      <c r="AB15" s="58">
        <v>101.89</v>
      </c>
      <c r="AC15" s="52">
        <v>0</v>
      </c>
      <c r="AD15" s="357">
        <v>15.77</v>
      </c>
      <c r="AE15" s="357">
        <v>6.7</v>
      </c>
      <c r="AF15" s="52">
        <v>22.35</v>
      </c>
      <c r="AG15" s="58">
        <v>15.31</v>
      </c>
      <c r="AH15" s="58">
        <v>6.75</v>
      </c>
      <c r="AI15" s="58">
        <v>0.69</v>
      </c>
      <c r="AJ15" s="52">
        <v>247.9</v>
      </c>
      <c r="AK15" s="52">
        <v>827</v>
      </c>
      <c r="AL15" s="52">
        <v>2768.49</v>
      </c>
      <c r="AM15" s="52">
        <v>598.77</v>
      </c>
      <c r="AN15" s="52">
        <v>4738.07</v>
      </c>
      <c r="AO15" s="52">
        <v>2719.58</v>
      </c>
      <c r="AP15" s="52">
        <v>910.88</v>
      </c>
      <c r="AQ15" s="52">
        <v>2960.81</v>
      </c>
      <c r="AR15" s="52">
        <v>481.16</v>
      </c>
      <c r="AS15" s="52">
        <v>595.29</v>
      </c>
    </row>
    <row r="16" spans="1:49" x14ac:dyDescent="0.25">
      <c r="A16" s="9">
        <v>44570</v>
      </c>
      <c r="B16" s="45"/>
      <c r="C16" s="46">
        <v>71.449313580989781</v>
      </c>
      <c r="D16" s="46">
        <v>974.21272970835071</v>
      </c>
      <c r="E16" s="46">
        <v>16.144523256023717</v>
      </c>
      <c r="F16" s="46">
        <v>0</v>
      </c>
      <c r="G16" s="46">
        <v>2369.2427312215154</v>
      </c>
      <c r="H16" s="47">
        <v>27.627554863691405</v>
      </c>
      <c r="I16" s="45">
        <v>183.08028586705487</v>
      </c>
      <c r="J16" s="46">
        <v>590.50029109318962</v>
      </c>
      <c r="K16" s="46">
        <v>32.398845678567838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350.08232804786661</v>
      </c>
      <c r="V16" s="54">
        <v>147.6893968014119</v>
      </c>
      <c r="W16" s="54">
        <v>67.944292456802287</v>
      </c>
      <c r="X16" s="54">
        <v>28.663690695269302</v>
      </c>
      <c r="Y16" s="54">
        <v>175.73146341372717</v>
      </c>
      <c r="Z16" s="54">
        <v>74.135915329762412</v>
      </c>
      <c r="AA16" s="57">
        <v>0</v>
      </c>
      <c r="AB16" s="58">
        <v>105.20040940708658</v>
      </c>
      <c r="AC16" s="52">
        <v>0</v>
      </c>
      <c r="AD16" s="357">
        <v>16.46653865422164</v>
      </c>
      <c r="AE16" s="357">
        <v>6.7103474947864266</v>
      </c>
      <c r="AF16" s="52">
        <v>22.957492119073827</v>
      </c>
      <c r="AG16" s="58">
        <v>15.920992110379659</v>
      </c>
      <c r="AH16" s="58">
        <v>6.7165964485374108</v>
      </c>
      <c r="AI16" s="58">
        <v>0.70329894321311415</v>
      </c>
      <c r="AJ16" s="52">
        <v>270.06574016412105</v>
      </c>
      <c r="AK16" s="52">
        <v>864.82146911621101</v>
      </c>
      <c r="AL16" s="52">
        <v>2881.6619501749674</v>
      </c>
      <c r="AM16" s="52">
        <v>598.77287292480469</v>
      </c>
      <c r="AN16" s="52">
        <v>4738.0748291015625</v>
      </c>
      <c r="AO16" s="52">
        <v>2662.0384396870936</v>
      </c>
      <c r="AP16" s="52">
        <v>632.00905424753819</v>
      </c>
      <c r="AQ16" s="52">
        <v>3160.8403425852457</v>
      </c>
      <c r="AR16" s="52">
        <v>503.32900896072391</v>
      </c>
      <c r="AS16" s="52">
        <v>576.45037199656167</v>
      </c>
    </row>
    <row r="17" spans="1:45" x14ac:dyDescent="0.25">
      <c r="A17" s="9">
        <v>44571</v>
      </c>
      <c r="B17" s="45"/>
      <c r="C17" s="46">
        <v>71.043731613953852</v>
      </c>
      <c r="D17" s="46">
        <v>973.52866230010784</v>
      </c>
      <c r="E17" s="46">
        <v>16.876729103922838</v>
      </c>
      <c r="F17" s="46">
        <v>0</v>
      </c>
      <c r="G17" s="46">
        <v>2139.3377572377512</v>
      </c>
      <c r="H17" s="47">
        <v>27.452480214834246</v>
      </c>
      <c r="I17" s="45">
        <v>175.68755750656115</v>
      </c>
      <c r="J17" s="46">
        <v>581.79335292180292</v>
      </c>
      <c r="K17" s="46">
        <v>31.936070519685693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351.10853209392081</v>
      </c>
      <c r="V17" s="54">
        <v>148.12559982509717</v>
      </c>
      <c r="W17" s="54">
        <v>68.334497531206438</v>
      </c>
      <c r="X17" s="54">
        <v>28.828944643387185</v>
      </c>
      <c r="Y17" s="54">
        <v>175.70530675210378</v>
      </c>
      <c r="Z17" s="54">
        <v>74.126520936113408</v>
      </c>
      <c r="AA17" s="57">
        <v>0</v>
      </c>
      <c r="AB17" s="58">
        <v>105.18518188794506</v>
      </c>
      <c r="AC17" s="52">
        <v>0</v>
      </c>
      <c r="AD17" s="357">
        <v>16.461300673616478</v>
      </c>
      <c r="AE17" s="357">
        <v>6.7042652396596036</v>
      </c>
      <c r="AF17" s="52">
        <v>23.059908656279234</v>
      </c>
      <c r="AG17" s="58">
        <v>15.999765623246777</v>
      </c>
      <c r="AH17" s="58">
        <v>6.7499780363367368</v>
      </c>
      <c r="AI17" s="58">
        <v>0.70329432553877347</v>
      </c>
      <c r="AJ17" s="52">
        <v>252.74787366390234</v>
      </c>
      <c r="AK17" s="52">
        <v>834.17769727706889</v>
      </c>
      <c r="AL17" s="52">
        <v>3060.6233533223472</v>
      </c>
      <c r="AM17" s="52">
        <v>598.77287292480469</v>
      </c>
      <c r="AN17" s="52">
        <v>4738.0748291015625</v>
      </c>
      <c r="AO17" s="52">
        <v>2590.4088629404705</v>
      </c>
      <c r="AP17" s="52">
        <v>586.646500190099</v>
      </c>
      <c r="AQ17" s="52">
        <v>3173.1535582224533</v>
      </c>
      <c r="AR17" s="52">
        <v>487.34742514292401</v>
      </c>
      <c r="AS17" s="52">
        <v>598.01501544316613</v>
      </c>
    </row>
    <row r="18" spans="1:45" x14ac:dyDescent="0.25">
      <c r="A18" s="9">
        <v>44572</v>
      </c>
      <c r="B18" s="45"/>
      <c r="C18" s="46">
        <v>71.024684222539292</v>
      </c>
      <c r="D18" s="46">
        <v>973.08640276590756</v>
      </c>
      <c r="E18" s="46">
        <v>15.419169810414305</v>
      </c>
      <c r="F18" s="46">
        <v>0</v>
      </c>
      <c r="G18" s="46">
        <v>2017.8140576680455</v>
      </c>
      <c r="H18" s="47">
        <v>27.346912407875148</v>
      </c>
      <c r="I18" s="45">
        <v>186.34671216011068</v>
      </c>
      <c r="J18" s="46">
        <v>585.5131326993303</v>
      </c>
      <c r="K18" s="46">
        <v>32.101785888274463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346.82744472496256</v>
      </c>
      <c r="V18" s="54">
        <v>145.80078727729875</v>
      </c>
      <c r="W18" s="54">
        <v>67.343094150336981</v>
      </c>
      <c r="X18" s="54">
        <v>28.309974582878493</v>
      </c>
      <c r="Y18" s="54">
        <v>172.92515131034429</v>
      </c>
      <c r="Z18" s="54">
        <v>72.695006074528095</v>
      </c>
      <c r="AA18" s="57">
        <v>0</v>
      </c>
      <c r="AB18" s="58">
        <v>105.72217264175481</v>
      </c>
      <c r="AC18" s="52">
        <v>0</v>
      </c>
      <c r="AD18" s="357">
        <v>16.566566211342931</v>
      </c>
      <c r="AE18" s="357">
        <v>6.7034299640571744</v>
      </c>
      <c r="AF18" s="52">
        <v>22.665931238730732</v>
      </c>
      <c r="AG18" s="58">
        <v>15.752044885777456</v>
      </c>
      <c r="AH18" s="58">
        <v>6.6219112140764222</v>
      </c>
      <c r="AI18" s="58">
        <v>0.70403485264192189</v>
      </c>
      <c r="AJ18" s="52">
        <v>229.01444517771404</v>
      </c>
      <c r="AK18" s="52">
        <v>803.10975815455106</v>
      </c>
      <c r="AL18" s="52">
        <v>2820.1735814412436</v>
      </c>
      <c r="AM18" s="52">
        <v>598.77287292480469</v>
      </c>
      <c r="AN18" s="52">
        <v>4738.0748291015625</v>
      </c>
      <c r="AO18" s="52">
        <v>2581.3589510599777</v>
      </c>
      <c r="AP18" s="52">
        <v>559.31378043492646</v>
      </c>
      <c r="AQ18" s="52">
        <v>3176.2700204213465</v>
      </c>
      <c r="AR18" s="52">
        <v>471.77797114054357</v>
      </c>
      <c r="AS18" s="52">
        <v>589.96359262466433</v>
      </c>
    </row>
    <row r="19" spans="1:45" x14ac:dyDescent="0.25">
      <c r="A19" s="9">
        <v>44573</v>
      </c>
      <c r="B19" s="45"/>
      <c r="C19" s="46">
        <v>71.09887880484267</v>
      </c>
      <c r="D19" s="46">
        <v>971.80619866053041</v>
      </c>
      <c r="E19" s="46">
        <v>16.778137865662554</v>
      </c>
      <c r="F19" s="46">
        <v>0</v>
      </c>
      <c r="G19" s="46">
        <v>2022.7407616933149</v>
      </c>
      <c r="H19" s="47">
        <v>27.561705478032462</v>
      </c>
      <c r="I19" s="45">
        <v>206.82506267229752</v>
      </c>
      <c r="J19" s="46">
        <v>613.72254651387345</v>
      </c>
      <c r="K19" s="46">
        <v>33.678647327423093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372.96993534159895</v>
      </c>
      <c r="V19" s="54">
        <v>148.09084673067585</v>
      </c>
      <c r="W19" s="54">
        <v>71.963616157447305</v>
      </c>
      <c r="X19" s="54">
        <v>28.573758474116552</v>
      </c>
      <c r="Y19" s="54">
        <v>191.40921574195562</v>
      </c>
      <c r="Z19" s="54">
        <v>76.000637438293992</v>
      </c>
      <c r="AA19" s="57">
        <v>0</v>
      </c>
      <c r="AB19" s="58">
        <v>109.42082608540846</v>
      </c>
      <c r="AC19" s="52">
        <v>0</v>
      </c>
      <c r="AD19" s="357">
        <v>17.366021515471004</v>
      </c>
      <c r="AE19" s="357">
        <v>6.700992830501117</v>
      </c>
      <c r="AF19" s="52">
        <v>23.968335628509514</v>
      </c>
      <c r="AG19" s="58">
        <v>16.999684735467778</v>
      </c>
      <c r="AH19" s="58">
        <v>6.7498676651355831</v>
      </c>
      <c r="AI19" s="58">
        <v>0.71578968936845722</v>
      </c>
      <c r="AJ19" s="52">
        <v>216.37625265121457</v>
      </c>
      <c r="AK19" s="52">
        <v>789.71770820617678</v>
      </c>
      <c r="AL19" s="52">
        <v>2878.7388771057131</v>
      </c>
      <c r="AM19" s="52">
        <v>543.66933466593423</v>
      </c>
      <c r="AN19" s="52">
        <v>4738.0748291015625</v>
      </c>
      <c r="AO19" s="52">
        <v>2658.6513444264729</v>
      </c>
      <c r="AP19" s="52">
        <v>555.43883654276533</v>
      </c>
      <c r="AQ19" s="52">
        <v>3134.704234568278</v>
      </c>
      <c r="AR19" s="52">
        <v>470.5412324269613</v>
      </c>
      <c r="AS19" s="52">
        <v>586.11934744517009</v>
      </c>
    </row>
    <row r="20" spans="1:45" x14ac:dyDescent="0.25">
      <c r="A20" s="9">
        <v>44574</v>
      </c>
      <c r="B20" s="45"/>
      <c r="C20" s="46">
        <v>71.108011754353939</v>
      </c>
      <c r="D20" s="46">
        <v>974.49005120595075</v>
      </c>
      <c r="E20" s="46">
        <v>16.15224997997284</v>
      </c>
      <c r="F20" s="46">
        <v>0</v>
      </c>
      <c r="G20" s="46">
        <v>2003.0674490610727</v>
      </c>
      <c r="H20" s="47">
        <v>27.402452148993863</v>
      </c>
      <c r="I20" s="45">
        <v>205.72137173016907</v>
      </c>
      <c r="J20" s="46">
        <v>602.64192495345992</v>
      </c>
      <c r="K20" s="46">
        <v>33.075788150230998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359.24141943912326</v>
      </c>
      <c r="V20" s="54">
        <v>140.24255024929195</v>
      </c>
      <c r="W20" s="54">
        <v>68.697049399397912</v>
      </c>
      <c r="X20" s="54">
        <v>26.818314595836199</v>
      </c>
      <c r="Y20" s="54">
        <v>185.09325415889256</v>
      </c>
      <c r="Z20" s="54">
        <v>72.257675737143856</v>
      </c>
      <c r="AA20" s="57">
        <v>0</v>
      </c>
      <c r="AB20" s="58">
        <v>107.49744219250168</v>
      </c>
      <c r="AC20" s="52">
        <v>0</v>
      </c>
      <c r="AD20" s="357">
        <v>17.054060661806965</v>
      </c>
      <c r="AE20" s="357">
        <v>6.7096630646601776</v>
      </c>
      <c r="AF20" s="52">
        <v>22.870902537637249</v>
      </c>
      <c r="AG20" s="58">
        <v>16.287884393291982</v>
      </c>
      <c r="AH20" s="58">
        <v>6.3585497714803374</v>
      </c>
      <c r="AI20" s="58">
        <v>0.7192251228066896</v>
      </c>
      <c r="AJ20" s="52">
        <v>208.89862903753919</v>
      </c>
      <c r="AK20" s="52">
        <v>779.93840783437099</v>
      </c>
      <c r="AL20" s="52">
        <v>2877.613512293497</v>
      </c>
      <c r="AM20" s="52">
        <v>583.47493985493975</v>
      </c>
      <c r="AN20" s="52">
        <v>4738.0748291015625</v>
      </c>
      <c r="AO20" s="52">
        <v>2658.9290915171305</v>
      </c>
      <c r="AP20" s="52">
        <v>536.53931592305503</v>
      </c>
      <c r="AQ20" s="52">
        <v>3179.4956661224369</v>
      </c>
      <c r="AR20" s="52">
        <v>456.70344076156613</v>
      </c>
      <c r="AS20" s="52">
        <v>585.32120002110787</v>
      </c>
    </row>
    <row r="21" spans="1:45" x14ac:dyDescent="0.25">
      <c r="A21" s="9">
        <v>44575</v>
      </c>
      <c r="B21" s="45"/>
      <c r="C21" s="46">
        <v>70.945564552148028</v>
      </c>
      <c r="D21" s="46">
        <v>972.28651727040244</v>
      </c>
      <c r="E21" s="46">
        <v>17.099013477563872</v>
      </c>
      <c r="F21" s="46">
        <v>0</v>
      </c>
      <c r="G21" s="46">
        <v>2017.6291619618703</v>
      </c>
      <c r="H21" s="47">
        <v>27.410192799568225</v>
      </c>
      <c r="I21" s="45">
        <v>214.37172074317897</v>
      </c>
      <c r="J21" s="46">
        <v>596.09930791854731</v>
      </c>
      <c r="K21" s="46">
        <v>32.695406166712388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356.21063519278641</v>
      </c>
      <c r="V21" s="54">
        <v>146.39975076556371</v>
      </c>
      <c r="W21" s="54">
        <v>68.936539502805601</v>
      </c>
      <c r="X21" s="54">
        <v>28.332371930414379</v>
      </c>
      <c r="Y21" s="54">
        <v>184.49462324239272</v>
      </c>
      <c r="Z21" s="54">
        <v>75.825829415942849</v>
      </c>
      <c r="AA21" s="57">
        <v>0</v>
      </c>
      <c r="AB21" s="58">
        <v>104.23374588754513</v>
      </c>
      <c r="AC21" s="52">
        <v>0</v>
      </c>
      <c r="AD21" s="357">
        <v>16.86681455043875</v>
      </c>
      <c r="AE21" s="357">
        <v>6.695359035864592</v>
      </c>
      <c r="AF21" s="52">
        <v>23.096147615379753</v>
      </c>
      <c r="AG21" s="58">
        <v>16.20590640679757</v>
      </c>
      <c r="AH21" s="58">
        <v>6.6604992228858135</v>
      </c>
      <c r="AI21" s="58">
        <v>0.70872119865486538</v>
      </c>
      <c r="AJ21" s="52">
        <v>235.97259104251862</v>
      </c>
      <c r="AK21" s="52">
        <v>825.10762586593626</v>
      </c>
      <c r="AL21" s="52">
        <v>3056.4216053009022</v>
      </c>
      <c r="AM21" s="52">
        <v>585.38154602050781</v>
      </c>
      <c r="AN21" s="52">
        <v>4738.0748291015625</v>
      </c>
      <c r="AO21" s="52">
        <v>2582.1889935811359</v>
      </c>
      <c r="AP21" s="52">
        <v>669.2057956377663</v>
      </c>
      <c r="AQ21" s="52">
        <v>3192.8391510009769</v>
      </c>
      <c r="AR21" s="52">
        <v>504.13122269312527</v>
      </c>
      <c r="AS21" s="52">
        <v>587.22125082015998</v>
      </c>
    </row>
    <row r="22" spans="1:45" x14ac:dyDescent="0.25">
      <c r="A22" s="9">
        <v>44576</v>
      </c>
      <c r="B22" s="45"/>
      <c r="C22" s="46">
        <v>71.44328602155062</v>
      </c>
      <c r="D22" s="46">
        <v>972.06059303283439</v>
      </c>
      <c r="E22" s="46">
        <v>15.880325449506415</v>
      </c>
      <c r="F22" s="46">
        <v>0</v>
      </c>
      <c r="G22" s="46">
        <v>2050.5890275319393</v>
      </c>
      <c r="H22" s="47">
        <v>27.693884881337539</v>
      </c>
      <c r="I22" s="45">
        <v>230.46668124198922</v>
      </c>
      <c r="J22" s="46">
        <v>613.68697338104118</v>
      </c>
      <c r="K22" s="46">
        <v>33.653887972235644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372.28912962693585</v>
      </c>
      <c r="V22" s="54">
        <v>147.83243307651458</v>
      </c>
      <c r="W22" s="54">
        <v>73.483138179019377</v>
      </c>
      <c r="X22" s="54">
        <v>29.179447484776045</v>
      </c>
      <c r="Y22" s="54">
        <v>187.20917434692808</v>
      </c>
      <c r="Z22" s="54">
        <v>74.338962745662215</v>
      </c>
      <c r="AA22" s="57">
        <v>0</v>
      </c>
      <c r="AB22" s="58">
        <v>106.51586143175852</v>
      </c>
      <c r="AC22" s="52">
        <v>0</v>
      </c>
      <c r="AD22" s="357">
        <v>17.367536650546093</v>
      </c>
      <c r="AE22" s="357">
        <v>6.6936676529697463</v>
      </c>
      <c r="AF22" s="52">
        <v>23.967810784445852</v>
      </c>
      <c r="AG22" s="58">
        <v>16.999271819648776</v>
      </c>
      <c r="AH22" s="58">
        <v>6.7502473578693607</v>
      </c>
      <c r="AI22" s="58">
        <v>0.71577330440191367</v>
      </c>
      <c r="AJ22" s="52">
        <v>258.39254996776583</v>
      </c>
      <c r="AK22" s="52">
        <v>857.09132140477516</v>
      </c>
      <c r="AL22" s="52">
        <v>2816.9044368743898</v>
      </c>
      <c r="AM22" s="52">
        <v>585.38154602050781</v>
      </c>
      <c r="AN22" s="52">
        <v>4738.0748291015625</v>
      </c>
      <c r="AO22" s="52">
        <v>2648.4326354980471</v>
      </c>
      <c r="AP22" s="52">
        <v>645.75784435272215</v>
      </c>
      <c r="AQ22" s="52">
        <v>3255.3961565653485</v>
      </c>
      <c r="AR22" s="52">
        <v>502.46254072189322</v>
      </c>
      <c r="AS22" s="52">
        <v>593.35357427597046</v>
      </c>
    </row>
    <row r="23" spans="1:45" x14ac:dyDescent="0.25">
      <c r="A23" s="9">
        <v>44577</v>
      </c>
      <c r="B23" s="45"/>
      <c r="C23" s="46">
        <v>71.012056374549957</v>
      </c>
      <c r="D23" s="46">
        <v>972.76413758595618</v>
      </c>
      <c r="E23" s="46">
        <v>17.082071474194521</v>
      </c>
      <c r="F23" s="46">
        <v>0</v>
      </c>
      <c r="G23" s="46">
        <v>1965.328586959836</v>
      </c>
      <c r="H23" s="47">
        <v>27.563703280687434</v>
      </c>
      <c r="I23" s="45">
        <v>228.90000797907484</v>
      </c>
      <c r="J23" s="46">
        <v>613.8126943270355</v>
      </c>
      <c r="K23" s="46">
        <v>33.676712037126151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365.93608952015916</v>
      </c>
      <c r="V23" s="54">
        <v>145.96653598762305</v>
      </c>
      <c r="W23" s="54">
        <v>71.241091223731402</v>
      </c>
      <c r="X23" s="54">
        <v>28.417025824214207</v>
      </c>
      <c r="Y23" s="54">
        <v>182.19457604263476</v>
      </c>
      <c r="Z23" s="54">
        <v>72.674742673097043</v>
      </c>
      <c r="AA23" s="57">
        <v>0</v>
      </c>
      <c r="AB23" s="58">
        <v>106.55333153936652</v>
      </c>
      <c r="AC23" s="52">
        <v>0</v>
      </c>
      <c r="AD23" s="357">
        <v>17.370253249949208</v>
      </c>
      <c r="AE23" s="357">
        <v>6.6964254485217554</v>
      </c>
      <c r="AF23" s="52">
        <v>23.534029369221791</v>
      </c>
      <c r="AG23" s="58">
        <v>16.660370803717345</v>
      </c>
      <c r="AH23" s="58">
        <v>6.6455774222126367</v>
      </c>
      <c r="AI23" s="58">
        <v>0.71485487920123203</v>
      </c>
      <c r="AJ23" s="52">
        <v>225.48537593682607</v>
      </c>
      <c r="AK23" s="52">
        <v>802.88976214726756</v>
      </c>
      <c r="AL23" s="52">
        <v>2877.5848683675131</v>
      </c>
      <c r="AM23" s="52">
        <v>585.38154602050781</v>
      </c>
      <c r="AN23" s="52">
        <v>4738.0748291015625</v>
      </c>
      <c r="AO23" s="52">
        <v>2579.3302435557048</v>
      </c>
      <c r="AP23" s="52">
        <v>566.21343065897611</v>
      </c>
      <c r="AQ23" s="52">
        <v>3248.4657357533779</v>
      </c>
      <c r="AR23" s="52">
        <v>472.89451910654708</v>
      </c>
      <c r="AS23" s="52">
        <v>575.433339436849</v>
      </c>
    </row>
    <row r="24" spans="1:45" x14ac:dyDescent="0.25">
      <c r="A24" s="9">
        <v>44578</v>
      </c>
      <c r="B24" s="45"/>
      <c r="C24" s="46">
        <v>71.884358000755384</v>
      </c>
      <c r="D24" s="46">
        <v>976.19153734842735</v>
      </c>
      <c r="E24" s="46">
        <v>17.077518110473957</v>
      </c>
      <c r="F24" s="46">
        <v>0</v>
      </c>
      <c r="G24" s="46">
        <v>2011.7965148925757</v>
      </c>
      <c r="H24" s="47">
        <v>27.55050496260327</v>
      </c>
      <c r="I24" s="45">
        <v>224.6025707880658</v>
      </c>
      <c r="J24" s="46">
        <v>612.96776078542007</v>
      </c>
      <c r="K24" s="46">
        <v>33.627270176013269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372.3955493450236</v>
      </c>
      <c r="V24" s="54">
        <v>147.87890578904808</v>
      </c>
      <c r="W24" s="54">
        <v>72.280916415960832</v>
      </c>
      <c r="X24" s="54">
        <v>28.702874800253753</v>
      </c>
      <c r="Y24" s="54">
        <v>188.96239065798258</v>
      </c>
      <c r="Z24" s="54">
        <v>75.037286602733985</v>
      </c>
      <c r="AA24" s="57">
        <v>0</v>
      </c>
      <c r="AB24" s="58">
        <v>106.41616806454178</v>
      </c>
      <c r="AC24" s="52">
        <v>0</v>
      </c>
      <c r="AD24" s="357">
        <v>17.345348196622353</v>
      </c>
      <c r="AE24" s="357">
        <v>6.6948652443452428</v>
      </c>
      <c r="AF24" s="52">
        <v>23.946349231402092</v>
      </c>
      <c r="AG24" s="58">
        <v>16.99899338727338</v>
      </c>
      <c r="AH24" s="58">
        <v>6.7503291756481989</v>
      </c>
      <c r="AI24" s="58">
        <v>0.71576750630407071</v>
      </c>
      <c r="AJ24" s="52">
        <v>216.67843163013464</v>
      </c>
      <c r="AK24" s="52">
        <v>800.73326387405393</v>
      </c>
      <c r="AL24" s="52">
        <v>2829.229020436605</v>
      </c>
      <c r="AM24" s="52">
        <v>585.38154602050781</v>
      </c>
      <c r="AN24" s="52">
        <v>4738.0748291015625</v>
      </c>
      <c r="AO24" s="52">
        <v>2513.4501228332515</v>
      </c>
      <c r="AP24" s="52">
        <v>560.27535894711821</v>
      </c>
      <c r="AQ24" s="52">
        <v>3041.598510742188</v>
      </c>
      <c r="AR24" s="52">
        <v>460.7371392885845</v>
      </c>
      <c r="AS24" s="52">
        <v>585.30962346394858</v>
      </c>
    </row>
    <row r="25" spans="1:45" x14ac:dyDescent="0.25">
      <c r="A25" s="9">
        <v>44579</v>
      </c>
      <c r="B25" s="45"/>
      <c r="C25" s="46">
        <v>71.110222502549576</v>
      </c>
      <c r="D25" s="46">
        <v>983.91886316935245</v>
      </c>
      <c r="E25" s="46">
        <v>16.747351977229119</v>
      </c>
      <c r="F25" s="46">
        <v>0</v>
      </c>
      <c r="G25" s="46">
        <v>2058.7203215281129</v>
      </c>
      <c r="H25" s="47">
        <v>27.629355696837163</v>
      </c>
      <c r="I25" s="45">
        <v>224.62234754562397</v>
      </c>
      <c r="J25" s="46">
        <v>613.01321964263707</v>
      </c>
      <c r="K25" s="46">
        <v>33.671536121765719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368.91188224562916</v>
      </c>
      <c r="V25" s="54">
        <v>141.39453555866109</v>
      </c>
      <c r="W25" s="54">
        <v>71.311133018495511</v>
      </c>
      <c r="X25" s="54">
        <v>27.33174239857799</v>
      </c>
      <c r="Y25" s="54">
        <v>186.61153482783465</v>
      </c>
      <c r="Z25" s="54">
        <v>71.523451986028306</v>
      </c>
      <c r="AA25" s="57">
        <v>0</v>
      </c>
      <c r="AB25" s="58">
        <v>106.48284378051768</v>
      </c>
      <c r="AC25" s="52">
        <v>0</v>
      </c>
      <c r="AD25" s="357">
        <v>17.347665024271087</v>
      </c>
      <c r="AE25" s="357">
        <v>6.7161986188189333</v>
      </c>
      <c r="AF25" s="52">
        <v>23.401922657092417</v>
      </c>
      <c r="AG25" s="58">
        <v>16.769398574157638</v>
      </c>
      <c r="AH25" s="58">
        <v>6.4272836877950263</v>
      </c>
      <c r="AI25" s="58">
        <v>0.72292228624706834</v>
      </c>
      <c r="AJ25" s="52">
        <v>220.35367894172668</v>
      </c>
      <c r="AK25" s="52">
        <v>790.34395338694253</v>
      </c>
      <c r="AL25" s="52">
        <v>2843.4855622609452</v>
      </c>
      <c r="AM25" s="52">
        <v>552.19826062520337</v>
      </c>
      <c r="AN25" s="52">
        <v>4738.0748291015625</v>
      </c>
      <c r="AO25" s="52">
        <v>2515.5913906097417</v>
      </c>
      <c r="AP25" s="52">
        <v>555.2716807524364</v>
      </c>
      <c r="AQ25" s="52">
        <v>3025.5384067535397</v>
      </c>
      <c r="AR25" s="52">
        <v>462.95264542897542</v>
      </c>
      <c r="AS25" s="52">
        <v>610.57876335779815</v>
      </c>
    </row>
    <row r="26" spans="1:45" x14ac:dyDescent="0.25">
      <c r="A26" s="9">
        <v>44580</v>
      </c>
      <c r="B26" s="45"/>
      <c r="C26" s="46">
        <v>71.114647261301627</v>
      </c>
      <c r="D26" s="46">
        <v>980.42374979654892</v>
      </c>
      <c r="E26" s="46">
        <v>16.548519575595822</v>
      </c>
      <c r="F26" s="46">
        <v>0</v>
      </c>
      <c r="G26" s="46">
        <v>2048.1703112284322</v>
      </c>
      <c r="H26" s="47">
        <v>27.704461459318775</v>
      </c>
      <c r="I26" s="45">
        <v>224.82986683845505</v>
      </c>
      <c r="J26" s="46">
        <v>613.13410043716374</v>
      </c>
      <c r="K26" s="46">
        <v>33.569518708189236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371.66078340713</v>
      </c>
      <c r="V26" s="54">
        <v>147.56754211878828</v>
      </c>
      <c r="W26" s="54">
        <v>72.939401755987248</v>
      </c>
      <c r="X26" s="54">
        <v>28.960516474387273</v>
      </c>
      <c r="Y26" s="54">
        <v>190.58284201374897</v>
      </c>
      <c r="Z26" s="54">
        <v>75.67072669912136</v>
      </c>
      <c r="AA26" s="57">
        <v>0</v>
      </c>
      <c r="AB26" s="52">
        <v>106.42932962311748</v>
      </c>
      <c r="AC26" s="52">
        <v>0</v>
      </c>
      <c r="AD26" s="357">
        <v>17.349143841806239</v>
      </c>
      <c r="AE26" s="357">
        <v>6.6918075658368981</v>
      </c>
      <c r="AF26" s="52">
        <v>23.831579927603375</v>
      </c>
      <c r="AG26" s="52">
        <v>16.91397592006804</v>
      </c>
      <c r="AH26" s="52">
        <v>6.7156772126981634</v>
      </c>
      <c r="AI26" s="52">
        <v>0.71579450722508364</v>
      </c>
      <c r="AJ26" s="52">
        <v>279.81604576110846</v>
      </c>
      <c r="AK26" s="52">
        <v>895.76212425231927</v>
      </c>
      <c r="AL26" s="52">
        <v>2812.6438365936278</v>
      </c>
      <c r="AM26" s="52">
        <v>527.10845947265625</v>
      </c>
      <c r="AN26" s="52">
        <v>4738.0748291015625</v>
      </c>
      <c r="AO26" s="52">
        <v>2707.7048611958817</v>
      </c>
      <c r="AP26" s="52">
        <v>772.00977149009714</v>
      </c>
      <c r="AQ26" s="52">
        <v>3022.8348261515293</v>
      </c>
      <c r="AR26" s="52">
        <v>523.6426915168762</v>
      </c>
      <c r="AS26" s="52">
        <v>628.02048444747925</v>
      </c>
    </row>
    <row r="27" spans="1:45" x14ac:dyDescent="0.25">
      <c r="A27" s="9">
        <v>44581</v>
      </c>
      <c r="B27" s="45"/>
      <c r="C27" s="46">
        <v>70.839695854981812</v>
      </c>
      <c r="D27" s="46">
        <v>980.10554199218666</v>
      </c>
      <c r="E27" s="46">
        <v>15.829982871810573</v>
      </c>
      <c r="F27" s="46">
        <v>0</v>
      </c>
      <c r="G27" s="46">
        <v>2021.7320349375345</v>
      </c>
      <c r="H27" s="47">
        <v>27.555534851551144</v>
      </c>
      <c r="I27" s="45">
        <v>213.38916711807283</v>
      </c>
      <c r="J27" s="46">
        <v>582.36685803731189</v>
      </c>
      <c r="K27" s="46">
        <v>31.90138402978577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340.89655355517215</v>
      </c>
      <c r="V27" s="54">
        <v>143.87866985893055</v>
      </c>
      <c r="W27" s="54">
        <v>66.886698251690447</v>
      </c>
      <c r="X27" s="54">
        <v>28.230174448364902</v>
      </c>
      <c r="Y27" s="54">
        <v>176.39666166328286</v>
      </c>
      <c r="Z27" s="54">
        <v>74.449907994043087</v>
      </c>
      <c r="AA27" s="57">
        <v>0</v>
      </c>
      <c r="AB27" s="58">
        <v>102.44632066090828</v>
      </c>
      <c r="AC27" s="52">
        <v>0</v>
      </c>
      <c r="AD27" s="357">
        <v>16.479442259658214</v>
      </c>
      <c r="AE27" s="357">
        <v>6.6892050814449089</v>
      </c>
      <c r="AF27" s="52">
        <v>22.434109647406441</v>
      </c>
      <c r="AG27" s="58">
        <v>15.633272601077175</v>
      </c>
      <c r="AH27" s="58">
        <v>6.5981730936479286</v>
      </c>
      <c r="AI27" s="58">
        <v>0.70320539724443154</v>
      </c>
      <c r="AJ27" s="52">
        <v>275.95568904876706</v>
      </c>
      <c r="AK27" s="52">
        <v>896.1696998914083</v>
      </c>
      <c r="AL27" s="52">
        <v>2764.4997759501148</v>
      </c>
      <c r="AM27" s="52">
        <v>527.10845947265625</v>
      </c>
      <c r="AN27" s="52">
        <v>4738.0748291015625</v>
      </c>
      <c r="AO27" s="52">
        <v>2765.6526666005448</v>
      </c>
      <c r="AP27" s="52">
        <v>648.78224180539451</v>
      </c>
      <c r="AQ27" s="52">
        <v>3005.3654889424647</v>
      </c>
      <c r="AR27" s="52">
        <v>522.47700599034624</v>
      </c>
      <c r="AS27" s="52">
        <v>626.47826045354202</v>
      </c>
    </row>
    <row r="28" spans="1:45" x14ac:dyDescent="0.25">
      <c r="A28" s="9">
        <v>44582</v>
      </c>
      <c r="B28" s="45"/>
      <c r="C28" s="46">
        <v>70.931761936346803</v>
      </c>
      <c r="D28" s="46">
        <v>981.43083114624039</v>
      </c>
      <c r="E28" s="46">
        <v>16.713532248139394</v>
      </c>
      <c r="F28" s="46">
        <v>0</v>
      </c>
      <c r="G28" s="46">
        <v>1980.3121636708552</v>
      </c>
      <c r="H28" s="47">
        <v>27.14972222447398</v>
      </c>
      <c r="I28" s="45">
        <v>198.32555748621655</v>
      </c>
      <c r="J28" s="46">
        <v>541.9347800890597</v>
      </c>
      <c r="K28" s="46">
        <v>29.679425724347425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326.87858606063753</v>
      </c>
      <c r="V28" s="54">
        <v>147.12161993301686</v>
      </c>
      <c r="W28" s="54">
        <v>63.734579300585693</v>
      </c>
      <c r="X28" s="54">
        <v>28.685680103596823</v>
      </c>
      <c r="Y28" s="54">
        <v>168.13649124554945</v>
      </c>
      <c r="Z28" s="54">
        <v>75.674926461258011</v>
      </c>
      <c r="AA28" s="57">
        <v>0</v>
      </c>
      <c r="AB28" s="58">
        <v>96.425594176186493</v>
      </c>
      <c r="AC28" s="52">
        <v>0</v>
      </c>
      <c r="AD28" s="357">
        <v>15.33473720558041</v>
      </c>
      <c r="AE28" s="357">
        <v>6.696042363643107</v>
      </c>
      <c r="AF28" s="52">
        <v>21.803501390086257</v>
      </c>
      <c r="AG28" s="58">
        <v>14.907859330728545</v>
      </c>
      <c r="AH28" s="58">
        <v>6.7097341581851513</v>
      </c>
      <c r="AI28" s="58">
        <v>0.68961697047240011</v>
      </c>
      <c r="AJ28" s="52">
        <v>261.51063098112741</v>
      </c>
      <c r="AK28" s="52">
        <v>869.6302779833477</v>
      </c>
      <c r="AL28" s="52">
        <v>2836.703892644246</v>
      </c>
      <c r="AM28" s="52">
        <v>527.10845947265625</v>
      </c>
      <c r="AN28" s="52">
        <v>4738.0748291015625</v>
      </c>
      <c r="AO28" s="52">
        <v>2723.2668112436932</v>
      </c>
      <c r="AP28" s="52">
        <v>633.03086188634245</v>
      </c>
      <c r="AQ28" s="52">
        <v>2912.3559022267659</v>
      </c>
      <c r="AR28" s="52">
        <v>507.32559687296543</v>
      </c>
      <c r="AS28" s="52">
        <v>616.88493992487577</v>
      </c>
    </row>
    <row r="29" spans="1:45" x14ac:dyDescent="0.25">
      <c r="A29" s="9">
        <v>44583</v>
      </c>
      <c r="B29" s="45"/>
      <c r="C29" s="46">
        <v>71.088571389516247</v>
      </c>
      <c r="D29" s="46">
        <v>983.58597272237182</v>
      </c>
      <c r="E29" s="46">
        <v>17.10745184918245</v>
      </c>
      <c r="F29" s="46">
        <v>0</v>
      </c>
      <c r="G29" s="46">
        <v>1880.6563213348377</v>
      </c>
      <c r="H29" s="47">
        <v>27.144657037655534</v>
      </c>
      <c r="I29" s="45">
        <v>198.74012417793301</v>
      </c>
      <c r="J29" s="46">
        <v>542.21780929565375</v>
      </c>
      <c r="K29" s="46">
        <v>29.688336421052639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327.01550119663705</v>
      </c>
      <c r="V29" s="54">
        <v>147.15196606902157</v>
      </c>
      <c r="W29" s="54">
        <v>63.551646466453597</v>
      </c>
      <c r="X29" s="54">
        <v>28.597267377972866</v>
      </c>
      <c r="Y29" s="54">
        <v>166.62008028317121</v>
      </c>
      <c r="Z29" s="54">
        <v>74.976483715686939</v>
      </c>
      <c r="AA29" s="57">
        <v>0</v>
      </c>
      <c r="AB29" s="58">
        <v>94.707697444492212</v>
      </c>
      <c r="AC29" s="52">
        <v>0</v>
      </c>
      <c r="AD29" s="357">
        <v>15.343979230060047</v>
      </c>
      <c r="AE29" s="357">
        <v>6.7119957702223845</v>
      </c>
      <c r="AF29" s="52">
        <v>21.778654678662647</v>
      </c>
      <c r="AG29" s="58">
        <v>14.882629693916837</v>
      </c>
      <c r="AH29" s="58">
        <v>6.6969553789445397</v>
      </c>
      <c r="AI29" s="58">
        <v>0.68966245846095187</v>
      </c>
      <c r="AJ29" s="52">
        <v>252.95409460067751</v>
      </c>
      <c r="AK29" s="52">
        <v>854.81795279184973</v>
      </c>
      <c r="AL29" s="52">
        <v>2816.9129511515293</v>
      </c>
      <c r="AM29" s="52">
        <v>527.10845947265625</v>
      </c>
      <c r="AN29" s="52">
        <v>4738.0748291015625</v>
      </c>
      <c r="AO29" s="52">
        <v>2726.9048979441327</v>
      </c>
      <c r="AP29" s="52">
        <v>626.4860504945118</v>
      </c>
      <c r="AQ29" s="52">
        <v>2964.8884047190345</v>
      </c>
      <c r="AR29" s="52">
        <v>501.88140414555863</v>
      </c>
      <c r="AS29" s="52">
        <v>560.77312660217285</v>
      </c>
    </row>
    <row r="30" spans="1:45" x14ac:dyDescent="0.25">
      <c r="A30" s="9">
        <v>44584</v>
      </c>
      <c r="B30" s="45"/>
      <c r="C30" s="46">
        <v>70.987015024820963</v>
      </c>
      <c r="D30" s="46">
        <v>981.80148461659701</v>
      </c>
      <c r="E30" s="46">
        <v>17.079663659135495</v>
      </c>
      <c r="F30" s="46">
        <v>0</v>
      </c>
      <c r="G30" s="46">
        <v>1744.3466889699318</v>
      </c>
      <c r="H30" s="47">
        <v>27.188996515671477</v>
      </c>
      <c r="I30" s="45">
        <v>198.55790290832559</v>
      </c>
      <c r="J30" s="46">
        <v>542.22726879119762</v>
      </c>
      <c r="K30" s="46">
        <v>29.71612405677638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326.52730602429699</v>
      </c>
      <c r="V30" s="54">
        <v>139.79033216099771</v>
      </c>
      <c r="W30" s="54">
        <v>62.760991861611778</v>
      </c>
      <c r="X30" s="54">
        <v>26.868747995108116</v>
      </c>
      <c r="Y30" s="54">
        <v>165.17524535054685</v>
      </c>
      <c r="Z30" s="54">
        <v>70.71354213362207</v>
      </c>
      <c r="AA30" s="57">
        <v>0</v>
      </c>
      <c r="AB30" s="58">
        <v>94.649568292830011</v>
      </c>
      <c r="AC30" s="52">
        <v>0</v>
      </c>
      <c r="AD30" s="357">
        <v>15.343869490664062</v>
      </c>
      <c r="AE30" s="357">
        <v>6.7027800851978316</v>
      </c>
      <c r="AF30" s="52">
        <v>21.406480408377121</v>
      </c>
      <c r="AG30" s="58">
        <v>14.854212437768801</v>
      </c>
      <c r="AH30" s="58">
        <v>6.3592699671837352</v>
      </c>
      <c r="AI30" s="58">
        <v>0.7002250811163806</v>
      </c>
      <c r="AJ30" s="52">
        <v>236.89593044916785</v>
      </c>
      <c r="AK30" s="52">
        <v>824.17894147237143</v>
      </c>
      <c r="AL30" s="52">
        <v>2848.9683279673259</v>
      </c>
      <c r="AM30" s="52">
        <v>527.10845947265625</v>
      </c>
      <c r="AN30" s="52">
        <v>4738.0748291015625</v>
      </c>
      <c r="AO30" s="52">
        <v>2698.167637761434</v>
      </c>
      <c r="AP30" s="52">
        <v>589.42405378023784</v>
      </c>
      <c r="AQ30" s="52">
        <v>2982.4491320292159</v>
      </c>
      <c r="AR30" s="52">
        <v>488.8273690064749</v>
      </c>
      <c r="AS30" s="52">
        <v>550.86448119481406</v>
      </c>
    </row>
    <row r="31" spans="1:45" x14ac:dyDescent="0.25">
      <c r="A31" s="9">
        <v>44585</v>
      </c>
      <c r="B31" s="45"/>
      <c r="C31" s="46">
        <v>71.277165349324576</v>
      </c>
      <c r="D31" s="46">
        <v>981.06078478495272</v>
      </c>
      <c r="E31" s="46">
        <v>17.060488692919375</v>
      </c>
      <c r="F31" s="46">
        <v>0</v>
      </c>
      <c r="G31" s="46">
        <v>1752.2937187194823</v>
      </c>
      <c r="H31" s="47">
        <v>27.205012232065197</v>
      </c>
      <c r="I31" s="45">
        <v>198.52661259174371</v>
      </c>
      <c r="J31" s="46">
        <v>542.66512320836387</v>
      </c>
      <c r="K31" s="46">
        <v>29.722227405508342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327.28134443637532</v>
      </c>
      <c r="V31" s="54">
        <v>147.97649160878265</v>
      </c>
      <c r="W31" s="54">
        <v>61.920361766106709</v>
      </c>
      <c r="X31" s="54">
        <v>27.996578628930525</v>
      </c>
      <c r="Y31" s="54">
        <v>162.4845498433757</v>
      </c>
      <c r="Z31" s="54">
        <v>73.465518384074386</v>
      </c>
      <c r="AA31" s="57">
        <v>0</v>
      </c>
      <c r="AB31" s="58">
        <v>94.730771758821561</v>
      </c>
      <c r="AC31" s="52">
        <v>0</v>
      </c>
      <c r="AD31" s="357">
        <v>15.35559751525502</v>
      </c>
      <c r="AE31" s="357">
        <v>6.6952888240292445</v>
      </c>
      <c r="AF31" s="52">
        <v>21.436010410388352</v>
      </c>
      <c r="AG31" s="58">
        <v>14.615258809910467</v>
      </c>
      <c r="AH31" s="58">
        <v>6.6081209925649818</v>
      </c>
      <c r="AI31" s="58">
        <v>0.68863955439396007</v>
      </c>
      <c r="AJ31" s="52">
        <v>233.98433064619698</v>
      </c>
      <c r="AK31" s="52">
        <v>818.44324181874583</v>
      </c>
      <c r="AL31" s="52">
        <v>3084.6667881011967</v>
      </c>
      <c r="AM31" s="52">
        <v>527.10845947265625</v>
      </c>
      <c r="AN31" s="52">
        <v>4738.0748291015625</v>
      </c>
      <c r="AO31" s="52">
        <v>2670.6811499277746</v>
      </c>
      <c r="AP31" s="52">
        <v>581.4240408897399</v>
      </c>
      <c r="AQ31" s="52">
        <v>3044.8338179270422</v>
      </c>
      <c r="AR31" s="52">
        <v>486.00423981348666</v>
      </c>
      <c r="AS31" s="52">
        <v>566.71956405639651</v>
      </c>
    </row>
    <row r="32" spans="1:45" x14ac:dyDescent="0.25">
      <c r="A32" s="9">
        <v>44586</v>
      </c>
      <c r="B32" s="45"/>
      <c r="C32" s="46">
        <v>72.127421112855174</v>
      </c>
      <c r="D32" s="46">
        <v>980.50435902277616</v>
      </c>
      <c r="E32" s="46">
        <v>16.475279781222319</v>
      </c>
      <c r="F32" s="46">
        <v>0</v>
      </c>
      <c r="G32" s="46">
        <v>1773.9908742268906</v>
      </c>
      <c r="H32" s="47">
        <v>27.207562875747708</v>
      </c>
      <c r="I32" s="45">
        <v>194.05051002502464</v>
      </c>
      <c r="J32" s="46">
        <v>542.2012872060136</v>
      </c>
      <c r="K32" s="46">
        <v>29.680654577414202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333.99333809197572</v>
      </c>
      <c r="V32" s="54">
        <v>150.26183035658093</v>
      </c>
      <c r="W32" s="54">
        <v>64.484981586530296</v>
      </c>
      <c r="X32" s="54">
        <v>29.011451003954193</v>
      </c>
      <c r="Y32" s="54">
        <v>161.17551017697608</v>
      </c>
      <c r="Z32" s="54">
        <v>72.512006695112035</v>
      </c>
      <c r="AA32" s="57">
        <v>0</v>
      </c>
      <c r="AB32" s="58">
        <v>94.660522731145562</v>
      </c>
      <c r="AC32" s="52">
        <v>0</v>
      </c>
      <c r="AD32" s="357">
        <v>15.341835690879405</v>
      </c>
      <c r="AE32" s="357">
        <v>6.6991308774236824</v>
      </c>
      <c r="AF32" s="52">
        <v>21.938850980334806</v>
      </c>
      <c r="AG32" s="58">
        <v>15.000685667196873</v>
      </c>
      <c r="AH32" s="58">
        <v>6.7487288753526382</v>
      </c>
      <c r="AI32" s="58">
        <v>0.68970526254167686</v>
      </c>
      <c r="AJ32" s="52">
        <v>268.59050959746043</v>
      </c>
      <c r="AK32" s="52">
        <v>884.7902514139812</v>
      </c>
      <c r="AL32" s="52">
        <v>2861.6941448211669</v>
      </c>
      <c r="AM32" s="52">
        <v>527.10845947265625</v>
      </c>
      <c r="AN32" s="52">
        <v>4738.0748291015625</v>
      </c>
      <c r="AO32" s="52">
        <v>2826.5540098826091</v>
      </c>
      <c r="AP32" s="52">
        <v>642.46512575149529</v>
      </c>
      <c r="AQ32" s="52">
        <v>3011.4471846262613</v>
      </c>
      <c r="AR32" s="52">
        <v>521.27845096588146</v>
      </c>
      <c r="AS32" s="52">
        <v>589.24483807881666</v>
      </c>
    </row>
    <row r="33" spans="1:45" x14ac:dyDescent="0.25">
      <c r="A33" s="9">
        <v>44587</v>
      </c>
      <c r="B33" s="45"/>
      <c r="C33" s="46">
        <v>70.949275334676301</v>
      </c>
      <c r="D33" s="46">
        <v>981.50124931335381</v>
      </c>
      <c r="E33" s="46">
        <v>16.56780513226985</v>
      </c>
      <c r="F33" s="46">
        <v>0</v>
      </c>
      <c r="G33" s="46">
        <v>1786.0857322692877</v>
      </c>
      <c r="H33" s="47">
        <v>27.048576917250987</v>
      </c>
      <c r="I33" s="45">
        <v>193.78071063359585</v>
      </c>
      <c r="J33" s="46">
        <v>542.60314222971613</v>
      </c>
      <c r="K33" s="46">
        <v>29.74453068673607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324.74859058131739</v>
      </c>
      <c r="V33" s="54">
        <v>146.12477874156477</v>
      </c>
      <c r="W33" s="54">
        <v>61.715303010186453</v>
      </c>
      <c r="X33" s="54">
        <v>27.769589334288337</v>
      </c>
      <c r="Y33" s="54">
        <v>152.49903178819585</v>
      </c>
      <c r="Z33" s="54">
        <v>68.618888348256164</v>
      </c>
      <c r="AA33" s="57">
        <v>0</v>
      </c>
      <c r="AB33" s="58">
        <v>94.697531949149493</v>
      </c>
      <c r="AC33" s="52">
        <v>0</v>
      </c>
      <c r="AD33" s="357">
        <v>15.354071375908422</v>
      </c>
      <c r="AE33" s="357">
        <v>6.6990621212568886</v>
      </c>
      <c r="AF33" s="52">
        <v>21.64435457256101</v>
      </c>
      <c r="AG33" s="58">
        <v>14.786886907455905</v>
      </c>
      <c r="AH33" s="58">
        <v>6.6535487460029064</v>
      </c>
      <c r="AI33" s="58">
        <v>0.68967287542361377</v>
      </c>
      <c r="AJ33" s="52">
        <v>270.14238417943324</v>
      </c>
      <c r="AK33" s="52">
        <v>900.27166185379031</v>
      </c>
      <c r="AL33" s="52">
        <v>3030.059562555949</v>
      </c>
      <c r="AM33" s="52">
        <v>527.10845947265625</v>
      </c>
      <c r="AN33" s="52">
        <v>4738.0748291015625</v>
      </c>
      <c r="AO33" s="52">
        <v>2944.8738629659019</v>
      </c>
      <c r="AP33" s="52">
        <v>910.72583478291835</v>
      </c>
      <c r="AQ33" s="52">
        <v>3063.0754146575923</v>
      </c>
      <c r="AR33" s="52">
        <v>518.10314439137767</v>
      </c>
      <c r="AS33" s="52">
        <v>609.3866818110148</v>
      </c>
    </row>
    <row r="34" spans="1:45" x14ac:dyDescent="0.25">
      <c r="A34" s="9">
        <v>44588</v>
      </c>
      <c r="B34" s="45"/>
      <c r="C34" s="46">
        <v>71.354569458961336</v>
      </c>
      <c r="D34" s="46">
        <v>981.57271340687862</v>
      </c>
      <c r="E34" s="46">
        <v>16.978038613994897</v>
      </c>
      <c r="F34" s="46">
        <v>0</v>
      </c>
      <c r="G34" s="46">
        <v>1789.2781518300394</v>
      </c>
      <c r="H34" s="47">
        <v>27.09792757431666</v>
      </c>
      <c r="I34" s="45">
        <v>194.9287040630974</v>
      </c>
      <c r="J34" s="46">
        <v>545.28446629842108</v>
      </c>
      <c r="K34" s="46">
        <v>29.884619957208603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324.30533080161763</v>
      </c>
      <c r="V34" s="54">
        <v>146.6454343206922</v>
      </c>
      <c r="W34" s="54">
        <v>61.642816866880516</v>
      </c>
      <c r="X34" s="54">
        <v>27.873848480536587</v>
      </c>
      <c r="Y34" s="54">
        <v>152.1787879191659</v>
      </c>
      <c r="Z34" s="54">
        <v>68.812696953334438</v>
      </c>
      <c r="AA34" s="57">
        <v>0</v>
      </c>
      <c r="AB34" s="58">
        <v>95.084437333213003</v>
      </c>
      <c r="AC34" s="52">
        <v>0</v>
      </c>
      <c r="AD34" s="357">
        <v>15.430771136990202</v>
      </c>
      <c r="AE34" s="357">
        <v>6.6966093763508523</v>
      </c>
      <c r="AF34" s="52">
        <v>21.664071707593049</v>
      </c>
      <c r="AG34" s="58">
        <v>14.728174868871527</v>
      </c>
      <c r="AH34" s="58">
        <v>6.6598337901450133</v>
      </c>
      <c r="AI34" s="58">
        <v>0.68861833299579167</v>
      </c>
      <c r="AJ34" s="52">
        <v>282.01174488067625</v>
      </c>
      <c r="AK34" s="52">
        <v>912.319763469696</v>
      </c>
      <c r="AL34" s="52">
        <v>2725.9218737284345</v>
      </c>
      <c r="AM34" s="52">
        <v>527.10845947265625</v>
      </c>
      <c r="AN34" s="52">
        <v>4738.0748291015625</v>
      </c>
      <c r="AO34" s="52">
        <v>2977.1807572682696</v>
      </c>
      <c r="AP34" s="52">
        <v>749.88866006533317</v>
      </c>
      <c r="AQ34" s="52">
        <v>3024.7341930389407</v>
      </c>
      <c r="AR34" s="52">
        <v>527.41911439895637</v>
      </c>
      <c r="AS34" s="52">
        <v>591.92823197046914</v>
      </c>
    </row>
    <row r="35" spans="1:45" x14ac:dyDescent="0.25">
      <c r="A35" s="9">
        <v>44589</v>
      </c>
      <c r="B35" s="45"/>
      <c r="C35" s="46">
        <v>71.17956918478022</v>
      </c>
      <c r="D35" s="46">
        <v>983.43045590718566</v>
      </c>
      <c r="E35" s="46">
        <v>16.584026570121441</v>
      </c>
      <c r="F35" s="46">
        <v>0</v>
      </c>
      <c r="G35" s="46">
        <v>1929.1763144175204</v>
      </c>
      <c r="H35" s="47">
        <v>27.138485946257969</v>
      </c>
      <c r="I35" s="45">
        <v>195.51547825336456</v>
      </c>
      <c r="J35" s="46">
        <v>547.59312747319484</v>
      </c>
      <c r="K35" s="46">
        <v>29.934696834286065</v>
      </c>
      <c r="L35" s="46">
        <v>0</v>
      </c>
      <c r="M35" s="46">
        <v>0</v>
      </c>
      <c r="N35" s="47">
        <v>0</v>
      </c>
      <c r="O35" s="45">
        <v>0</v>
      </c>
      <c r="P35" s="46">
        <v>0</v>
      </c>
      <c r="Q35" s="46">
        <v>0</v>
      </c>
      <c r="R35" s="55">
        <v>0</v>
      </c>
      <c r="S35" s="46">
        <v>0</v>
      </c>
      <c r="T35" s="48">
        <v>0</v>
      </c>
      <c r="U35" s="56">
        <v>325.22808156637223</v>
      </c>
      <c r="V35" s="54">
        <v>140.09554226040325</v>
      </c>
      <c r="W35" s="54">
        <v>61.993259436777514</v>
      </c>
      <c r="X35" s="54">
        <v>26.704272446144181</v>
      </c>
      <c r="Y35" s="54">
        <v>151.22958826172805</v>
      </c>
      <c r="Z35" s="54">
        <v>65.143794076159949</v>
      </c>
      <c r="AA35" s="57">
        <v>0</v>
      </c>
      <c r="AB35" s="58">
        <v>95.358049588733138</v>
      </c>
      <c r="AC35" s="52">
        <v>0</v>
      </c>
      <c r="AD35" s="357">
        <v>15.495417754079583</v>
      </c>
      <c r="AE35" s="357">
        <v>6.711351851127092</v>
      </c>
      <c r="AF35" s="52">
        <v>21.418104777071232</v>
      </c>
      <c r="AG35" s="58">
        <v>14.761086061605269</v>
      </c>
      <c r="AH35" s="58">
        <v>6.3584987685973955</v>
      </c>
      <c r="AI35" s="58">
        <v>0.69892879904039396</v>
      </c>
      <c r="AJ35" s="52">
        <v>273.60887354214987</v>
      </c>
      <c r="AK35" s="52">
        <v>906.98554147084565</v>
      </c>
      <c r="AL35" s="52">
        <v>2899.1376515706379</v>
      </c>
      <c r="AM35" s="52">
        <v>527.10845947265625</v>
      </c>
      <c r="AN35" s="52">
        <v>4738.0748291015625</v>
      </c>
      <c r="AO35" s="52">
        <v>3024.1754709879556</v>
      </c>
      <c r="AP35" s="52">
        <v>649.12009434700019</v>
      </c>
      <c r="AQ35" s="52">
        <v>3074.119355138143</v>
      </c>
      <c r="AR35" s="52">
        <v>517.7917810757956</v>
      </c>
      <c r="AS35" s="52">
        <v>589.80960884094225</v>
      </c>
    </row>
    <row r="36" spans="1:45" x14ac:dyDescent="0.25">
      <c r="A36" s="9">
        <v>44590</v>
      </c>
      <c r="B36" s="45"/>
      <c r="C36" s="46">
        <v>71.389527630805887</v>
      </c>
      <c r="D36" s="46">
        <v>982.25693473816</v>
      </c>
      <c r="E36" s="46">
        <v>16.917850771546327</v>
      </c>
      <c r="F36" s="46">
        <v>0</v>
      </c>
      <c r="G36" s="46">
        <v>1883.8647921244317</v>
      </c>
      <c r="H36" s="47">
        <v>27.183592319488628</v>
      </c>
      <c r="I36" s="45">
        <v>200.07188715934751</v>
      </c>
      <c r="J36" s="46">
        <v>567.6174822489412</v>
      </c>
      <c r="K36" s="46">
        <v>31.135584959387749</v>
      </c>
      <c r="L36" s="46">
        <v>0</v>
      </c>
      <c r="M36" s="46">
        <v>0</v>
      </c>
      <c r="N36" s="47">
        <v>0</v>
      </c>
      <c r="O36" s="45">
        <v>0</v>
      </c>
      <c r="P36" s="46">
        <v>0</v>
      </c>
      <c r="Q36" s="46">
        <v>0</v>
      </c>
      <c r="R36" s="55">
        <v>0</v>
      </c>
      <c r="S36" s="46">
        <v>0</v>
      </c>
      <c r="T36" s="48">
        <v>0</v>
      </c>
      <c r="U36" s="56">
        <v>343.53084787343386</v>
      </c>
      <c r="V36" s="54">
        <v>148.24422702179194</v>
      </c>
      <c r="W36" s="54">
        <v>65.463729458353541</v>
      </c>
      <c r="X36" s="54">
        <v>28.249631820816216</v>
      </c>
      <c r="Y36" s="54">
        <v>162.53468936641903</v>
      </c>
      <c r="Z36" s="54">
        <v>70.138764942090575</v>
      </c>
      <c r="AA36" s="57">
        <v>0</v>
      </c>
      <c r="AB36" s="58">
        <v>97.827081203460182</v>
      </c>
      <c r="AC36" s="52">
        <v>0</v>
      </c>
      <c r="AD36" s="357">
        <v>16.059737618366263</v>
      </c>
      <c r="AE36" s="357">
        <v>6.7035161438746709</v>
      </c>
      <c r="AF36" s="52">
        <v>22.590064220958251</v>
      </c>
      <c r="AG36" s="58">
        <v>15.563980324369865</v>
      </c>
      <c r="AH36" s="58">
        <v>6.7163407503324155</v>
      </c>
      <c r="AI36" s="58">
        <v>0.69855278441393998</v>
      </c>
      <c r="AJ36" s="52">
        <v>227.71350511709849</v>
      </c>
      <c r="AK36" s="52">
        <v>831.85982090632126</v>
      </c>
      <c r="AL36" s="52">
        <v>2784.1640303293866</v>
      </c>
      <c r="AM36" s="52">
        <v>527.10845947265625</v>
      </c>
      <c r="AN36" s="52">
        <v>4738.0748291015625</v>
      </c>
      <c r="AO36" s="52">
        <v>2915.7083311716715</v>
      </c>
      <c r="AP36" s="52">
        <v>578.41387473742168</v>
      </c>
      <c r="AQ36" s="52">
        <v>3134.2564094543459</v>
      </c>
      <c r="AR36" s="52">
        <v>483.34249715805043</v>
      </c>
      <c r="AS36" s="52">
        <v>576.89641504287738</v>
      </c>
    </row>
    <row r="37" spans="1:45" x14ac:dyDescent="0.25">
      <c r="A37" s="9">
        <v>44591</v>
      </c>
      <c r="B37" s="56"/>
      <c r="C37" s="343">
        <v>71.019297965367713</v>
      </c>
      <c r="D37" s="343">
        <v>982.25108744303259</v>
      </c>
      <c r="E37" s="343">
        <v>17.054772395888957</v>
      </c>
      <c r="F37" s="343">
        <v>0</v>
      </c>
      <c r="G37" s="343">
        <v>1810.3980738321948</v>
      </c>
      <c r="H37" s="344">
        <v>27.231356012821205</v>
      </c>
      <c r="I37" s="342">
        <v>189.34458192189504</v>
      </c>
      <c r="J37" s="343">
        <v>530.57584085464441</v>
      </c>
      <c r="K37" s="343">
        <v>29.099082380533279</v>
      </c>
      <c r="L37" s="46">
        <v>0</v>
      </c>
      <c r="M37" s="343">
        <v>0</v>
      </c>
      <c r="N37" s="344">
        <v>0</v>
      </c>
      <c r="O37" s="342">
        <v>0</v>
      </c>
      <c r="P37" s="343">
        <v>0</v>
      </c>
      <c r="Q37" s="343">
        <v>0</v>
      </c>
      <c r="R37" s="345">
        <v>0</v>
      </c>
      <c r="S37" s="343">
        <v>0</v>
      </c>
      <c r="T37" s="346">
        <v>0</v>
      </c>
      <c r="U37" s="65">
        <v>316.81893321875913</v>
      </c>
      <c r="V37" s="66">
        <v>146.80752596652673</v>
      </c>
      <c r="W37" s="66">
        <v>59.373302881846897</v>
      </c>
      <c r="X37" s="66">
        <v>27.512395222057663</v>
      </c>
      <c r="Y37" s="66">
        <v>150.96634833817586</v>
      </c>
      <c r="Z37" s="66">
        <v>69.954771574289808</v>
      </c>
      <c r="AA37" s="67">
        <v>0</v>
      </c>
      <c r="AB37" s="349">
        <v>93.28643544514955</v>
      </c>
      <c r="AC37" s="70">
        <v>0</v>
      </c>
      <c r="AD37" s="357">
        <v>15.013613678592446</v>
      </c>
      <c r="AE37" s="357">
        <v>6.7050444422201831</v>
      </c>
      <c r="AF37" s="70">
        <v>21.43736337092189</v>
      </c>
      <c r="AG37" s="349">
        <v>14.442940076181664</v>
      </c>
      <c r="AH37" s="349">
        <v>6.6925681452344516</v>
      </c>
      <c r="AI37" s="349">
        <v>0.68334955208443815</v>
      </c>
      <c r="AJ37" s="70">
        <v>225.47974429925284</v>
      </c>
      <c r="AK37" s="70">
        <v>828.04269596735639</v>
      </c>
      <c r="AL37" s="70">
        <v>3066.6871060689291</v>
      </c>
      <c r="AM37" s="70">
        <v>527.10845947265625</v>
      </c>
      <c r="AN37" s="70">
        <v>4738.0748291015625</v>
      </c>
      <c r="AO37" s="70">
        <v>2878.7847841898601</v>
      </c>
      <c r="AP37" s="70">
        <v>564.75919745763133</v>
      </c>
      <c r="AQ37" s="70">
        <v>3048.2912001291902</v>
      </c>
      <c r="AR37" s="70">
        <v>488.70710083643593</v>
      </c>
      <c r="AS37" s="70">
        <v>546.05310039520259</v>
      </c>
    </row>
    <row r="38" spans="1:45" ht="15.75" thickBot="1" x14ac:dyDescent="0.3">
      <c r="A38" s="9">
        <v>44592</v>
      </c>
      <c r="B38" s="59"/>
      <c r="C38" s="60">
        <v>71.136334033807046</v>
      </c>
      <c r="D38" s="60">
        <v>983.70132923126323</v>
      </c>
      <c r="E38" s="60">
        <v>16.63120691577593</v>
      </c>
      <c r="F38" s="60">
        <v>0</v>
      </c>
      <c r="G38" s="60">
        <v>1825.6904697418186</v>
      </c>
      <c r="H38" s="61">
        <v>27.179579555988347</v>
      </c>
      <c r="I38" s="62">
        <v>174.59572148323031</v>
      </c>
      <c r="J38" s="60">
        <v>478.82604506810503</v>
      </c>
      <c r="K38" s="60">
        <v>26.33069128394127</v>
      </c>
      <c r="L38" s="46">
        <v>0</v>
      </c>
      <c r="M38" s="60">
        <v>0</v>
      </c>
      <c r="N38" s="61">
        <v>0</v>
      </c>
      <c r="O38" s="62">
        <v>0</v>
      </c>
      <c r="P38" s="60">
        <v>0</v>
      </c>
      <c r="Q38" s="60">
        <v>0</v>
      </c>
      <c r="R38" s="63">
        <v>0</v>
      </c>
      <c r="S38" s="60">
        <v>0</v>
      </c>
      <c r="T38" s="64">
        <v>0</v>
      </c>
      <c r="U38" s="65">
        <v>286.60535908705117</v>
      </c>
      <c r="V38" s="66">
        <v>148.33809841043799</v>
      </c>
      <c r="W38" s="66">
        <v>53.423994044796878</v>
      </c>
      <c r="X38" s="66">
        <v>27.650612365865477</v>
      </c>
      <c r="Y38" s="66">
        <v>134.01923999956639</v>
      </c>
      <c r="Z38" s="66">
        <v>69.364227086589665</v>
      </c>
      <c r="AA38" s="67">
        <v>0</v>
      </c>
      <c r="AB38" s="68">
        <v>86.838726001316402</v>
      </c>
      <c r="AC38" s="69">
        <v>0</v>
      </c>
      <c r="AD38" s="357">
        <v>13.549613820565046</v>
      </c>
      <c r="AE38" s="357">
        <v>6.7121377197622438</v>
      </c>
      <c r="AF38" s="70">
        <v>19.780115130212575</v>
      </c>
      <c r="AG38" s="68">
        <v>12.834341638599101</v>
      </c>
      <c r="AH38" s="68">
        <v>6.6426595758156948</v>
      </c>
      <c r="AI38" s="68">
        <v>0.65894854640664569</v>
      </c>
      <c r="AJ38" s="69">
        <v>227.08736437161764</v>
      </c>
      <c r="AK38" s="69">
        <v>814.02230011622089</v>
      </c>
      <c r="AL38" s="69">
        <v>2841.9473068237298</v>
      </c>
      <c r="AM38" s="69">
        <v>527.10845947265625</v>
      </c>
      <c r="AN38" s="69">
        <v>4738.0748291015625</v>
      </c>
      <c r="AO38" s="69">
        <v>2759.4918251037598</v>
      </c>
      <c r="AP38" s="69">
        <v>565.09277780850732</v>
      </c>
      <c r="AQ38" s="69">
        <v>2891.2957603454593</v>
      </c>
      <c r="AR38" s="69">
        <v>480.92087348302204</v>
      </c>
      <c r="AS38" s="69">
        <v>594.05311142603546</v>
      </c>
    </row>
    <row r="39" spans="1:45" ht="15.75" thickTop="1" x14ac:dyDescent="0.25">
      <c r="A39" s="42" t="s">
        <v>171</v>
      </c>
      <c r="B39" s="25">
        <f t="shared" ref="B39:AC39" si="0">SUM(B8:B38)</f>
        <v>0</v>
      </c>
      <c r="C39" s="26">
        <f t="shared" si="0"/>
        <v>2209.5293883776667</v>
      </c>
      <c r="D39" s="26">
        <f t="shared" si="0"/>
        <v>30321.250689188611</v>
      </c>
      <c r="E39" s="26">
        <f t="shared" si="0"/>
        <v>511.74389529367255</v>
      </c>
      <c r="F39" s="26">
        <f t="shared" si="0"/>
        <v>0</v>
      </c>
      <c r="G39" s="26">
        <f t="shared" si="0"/>
        <v>62407.276887639324</v>
      </c>
      <c r="H39" s="27">
        <f t="shared" si="0"/>
        <v>849.27798075099918</v>
      </c>
      <c r="I39" s="25">
        <f t="shared" si="0"/>
        <v>6144.1763685003943</v>
      </c>
      <c r="J39" s="26">
        <f t="shared" si="0"/>
        <v>17611.109873981455</v>
      </c>
      <c r="K39" s="26">
        <f t="shared" si="0"/>
        <v>965.67123250931434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10420.020467233777</v>
      </c>
      <c r="V39" s="242">
        <f t="shared" si="0"/>
        <v>4520.0083067140558</v>
      </c>
      <c r="W39" s="242">
        <f t="shared" si="0"/>
        <v>2006.8625101114767</v>
      </c>
      <c r="X39" s="242">
        <f t="shared" si="0"/>
        <v>869.81252187158043</v>
      </c>
      <c r="Y39" s="242">
        <f t="shared" si="0"/>
        <v>5214.2214457073642</v>
      </c>
      <c r="Z39" s="242">
        <f t="shared" si="0"/>
        <v>2260.5882391414207</v>
      </c>
      <c r="AA39" s="250">
        <f t="shared" si="0"/>
        <v>0</v>
      </c>
      <c r="AB39" s="253">
        <f t="shared" si="0"/>
        <v>3098.2089444404264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SUM(AJ8:AJ38)</f>
        <v>7871.2329272747038</v>
      </c>
      <c r="AK39" s="253">
        <f t="shared" si="1"/>
        <v>26418.628003374735</v>
      </c>
      <c r="AL39" s="253">
        <f t="shared" si="1"/>
        <v>88582.012669652308</v>
      </c>
      <c r="AM39" s="253">
        <f t="shared" si="1"/>
        <v>16722.049402974444</v>
      </c>
      <c r="AN39" s="253">
        <f t="shared" si="1"/>
        <v>146880.31004394533</v>
      </c>
      <c r="AO39" s="253">
        <f t="shared" si="1"/>
        <v>85188.226688868221</v>
      </c>
      <c r="AP39" s="253">
        <f t="shared" si="1"/>
        <v>20794.247356646854</v>
      </c>
      <c r="AQ39" s="253">
        <f t="shared" si="1"/>
        <v>93105.250526873249</v>
      </c>
      <c r="AR39" s="253">
        <f t="shared" si="1"/>
        <v>15476.899050391512</v>
      </c>
      <c r="AS39" s="253">
        <f t="shared" si="1"/>
        <v>18348.541868565873</v>
      </c>
    </row>
    <row r="40" spans="1:45" ht="15.75" thickBot="1" x14ac:dyDescent="0.3">
      <c r="A40" s="43" t="s">
        <v>172</v>
      </c>
      <c r="B40" s="28">
        <f>Projection!$AA$30</f>
        <v>0.75949460999999996</v>
      </c>
      <c r="C40" s="29">
        <f>Projection!$AA$28</f>
        <v>1.9278243599999998</v>
      </c>
      <c r="D40" s="29">
        <f>Projection!$AA$31</f>
        <v>3.0975552300000002</v>
      </c>
      <c r="E40" s="29">
        <f>Projection!$AA$26</f>
        <v>4.4235360000000004</v>
      </c>
      <c r="F40" s="29">
        <f>Projection!$AA$23</f>
        <v>0</v>
      </c>
      <c r="G40" s="29">
        <f>Projection!$AA$24</f>
        <v>7.6444999999999999E-2</v>
      </c>
      <c r="H40" s="30">
        <f>Projection!$AA$29</f>
        <v>4.6146262499999997</v>
      </c>
      <c r="I40" s="28">
        <f>Projection!$AA$30</f>
        <v>0.75949460999999996</v>
      </c>
      <c r="J40" s="29">
        <f>Projection!$AA$28</f>
        <v>1.9278243599999998</v>
      </c>
      <c r="K40" s="29">
        <f>Projection!$AA$26</f>
        <v>4.4235360000000004</v>
      </c>
      <c r="L40" s="29">
        <f>Projection!$AA$25</f>
        <v>0</v>
      </c>
      <c r="M40" s="29">
        <f>Projection!$AA$23</f>
        <v>0</v>
      </c>
      <c r="N40" s="30">
        <f>Projection!$AA$23</f>
        <v>0</v>
      </c>
      <c r="O40" s="22">
        <v>15.77</v>
      </c>
      <c r="P40" s="23">
        <v>15.77</v>
      </c>
      <c r="Q40" s="23">
        <v>15.77</v>
      </c>
      <c r="R40" s="23">
        <v>15.77</v>
      </c>
      <c r="S40" s="23">
        <f>Projection!$AA$28</f>
        <v>1.9278243599999998</v>
      </c>
      <c r="T40" s="34">
        <f>Projection!$AA$28</f>
        <v>1.9278243599999998</v>
      </c>
      <c r="U40" s="22">
        <f>Projection!$AA$27</f>
        <v>0.41249999999999998</v>
      </c>
      <c r="V40" s="23">
        <f>Projection!$AA$27</f>
        <v>0.41249999999999998</v>
      </c>
      <c r="W40" s="23">
        <f>Projection!$AA$22</f>
        <v>1.5499056000000002</v>
      </c>
      <c r="X40" s="23">
        <f>Projection!$AA$22</f>
        <v>1.5499056000000002</v>
      </c>
      <c r="Y40" s="23">
        <f>Projection!$AA$31</f>
        <v>3.0975552300000002</v>
      </c>
      <c r="Z40" s="23">
        <f>Projection!$AA$31</f>
        <v>3.0975552300000002</v>
      </c>
      <c r="AA40" s="24">
        <v>0</v>
      </c>
      <c r="AB40" s="37">
        <f>Projection!$AA$27</f>
        <v>0.41249999999999998</v>
      </c>
      <c r="AC40" s="37">
        <f>Projection!$AA$30</f>
        <v>0.75949460999999996</v>
      </c>
      <c r="AD40" s="352">
        <f>SUM(AD8:AD38)</f>
        <v>492.08730696107375</v>
      </c>
      <c r="AE40" s="352">
        <f>SUM(AE8:AE38)</f>
        <v>207.74110969096071</v>
      </c>
      <c r="AF40" s="257">
        <f>SUM(AF8:AF38)</f>
        <v>686.4585454448063</v>
      </c>
      <c r="AG40" s="257">
        <f>SUM(AG8:AG38)</f>
        <v>473.43418163737465</v>
      </c>
      <c r="AH40" s="257">
        <f>SUM(AH8:AH38)</f>
        <v>205.33685601245952</v>
      </c>
      <c r="AI40" s="257">
        <f>IF(SUM(AG40:AH40)&gt;0, AG40/(AG40+AH40), 0)</f>
        <v>0.69748730481575272</v>
      </c>
      <c r="AJ40" s="286">
        <v>7.4999999999999997E-2</v>
      </c>
      <c r="AK40" s="286">
        <f t="shared" ref="AK40:AS40" si="2">$AJ$40</f>
        <v>7.4999999999999997E-2</v>
      </c>
      <c r="AL40" s="286">
        <f t="shared" si="2"/>
        <v>7.4999999999999997E-2</v>
      </c>
      <c r="AM40" s="286">
        <f t="shared" si="2"/>
        <v>7.4999999999999997E-2</v>
      </c>
      <c r="AN40" s="286">
        <f t="shared" si="2"/>
        <v>7.4999999999999997E-2</v>
      </c>
      <c r="AO40" s="286">
        <f t="shared" si="2"/>
        <v>7.4999999999999997E-2</v>
      </c>
      <c r="AP40" s="286">
        <f t="shared" si="2"/>
        <v>7.4999999999999997E-2</v>
      </c>
      <c r="AQ40" s="286">
        <f t="shared" si="2"/>
        <v>7.4999999999999997E-2</v>
      </c>
      <c r="AR40" s="286">
        <f t="shared" si="2"/>
        <v>7.4999999999999997E-2</v>
      </c>
      <c r="AS40" s="286">
        <f t="shared" si="2"/>
        <v>7.4999999999999997E-2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 t="shared" si="3"/>
        <v>4259.5845790503663</v>
      </c>
      <c r="D41" s="32">
        <f t="shared" si="3"/>
        <v>93921.748652437294</v>
      </c>
      <c r="E41" s="32">
        <f t="shared" si="3"/>
        <v>2263.7175436117914</v>
      </c>
      <c r="F41" s="32">
        <f t="shared" si="3"/>
        <v>0</v>
      </c>
      <c r="G41" s="32">
        <f t="shared" si="3"/>
        <v>4770.7242816755879</v>
      </c>
      <c r="H41" s="33">
        <f t="shared" si="3"/>
        <v>3919.1004635205554</v>
      </c>
      <c r="I41" s="31">
        <f t="shared" si="3"/>
        <v>4666.4688347654228</v>
      </c>
      <c r="J41" s="32">
        <f t="shared" si="3"/>
        <v>33951.126621697978</v>
      </c>
      <c r="K41" s="32">
        <f t="shared" si="3"/>
        <v>4271.6814611693226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4298.2584427339325</v>
      </c>
      <c r="V41" s="248">
        <f t="shared" si="3"/>
        <v>1864.5034265195479</v>
      </c>
      <c r="W41" s="248">
        <f t="shared" si="3"/>
        <v>3110.4474428518347</v>
      </c>
      <c r="X41" s="248">
        <f t="shared" si="3"/>
        <v>1348.1272985988851</v>
      </c>
      <c r="Y41" s="248">
        <f t="shared" si="3"/>
        <v>16151.338909529008</v>
      </c>
      <c r="Z41" s="248">
        <f t="shared" si="3"/>
        <v>7002.2969230289991</v>
      </c>
      <c r="AA41" s="252">
        <f t="shared" si="3"/>
        <v>0</v>
      </c>
      <c r="AB41" s="255">
        <f t="shared" si="3"/>
        <v>1278.0111895816758</v>
      </c>
      <c r="AC41" s="255">
        <f t="shared" si="3"/>
        <v>0</v>
      </c>
      <c r="AJ41" s="258">
        <f t="shared" ref="AJ41:AS41" si="4">AJ40*AJ39</f>
        <v>590.34246954560274</v>
      </c>
      <c r="AK41" s="258">
        <f t="shared" si="4"/>
        <v>1981.397100253105</v>
      </c>
      <c r="AL41" s="258">
        <f t="shared" si="4"/>
        <v>6643.6509502239232</v>
      </c>
      <c r="AM41" s="258">
        <f t="shared" si="4"/>
        <v>1254.1537052230833</v>
      </c>
      <c r="AN41" s="258">
        <f t="shared" si="4"/>
        <v>11016.0232532959</v>
      </c>
      <c r="AO41" s="258">
        <f t="shared" si="4"/>
        <v>6389.1170016651167</v>
      </c>
      <c r="AP41" s="258">
        <f t="shared" si="4"/>
        <v>1559.568551748514</v>
      </c>
      <c r="AQ41" s="258">
        <f t="shared" si="4"/>
        <v>6982.8937895154932</v>
      </c>
      <c r="AR41" s="258">
        <f t="shared" si="4"/>
        <v>1160.7674287793634</v>
      </c>
      <c r="AS41" s="258">
        <f t="shared" si="4"/>
        <v>1376.1406401424404</v>
      </c>
    </row>
    <row r="42" spans="1:45" ht="49.5" customHeight="1" thickTop="1" thickBot="1" x14ac:dyDescent="0.3">
      <c r="A42" s="587">
        <v>44562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2515.1799999999998</v>
      </c>
      <c r="AK42" s="258" t="s">
        <v>197</v>
      </c>
      <c r="AL42" s="258">
        <v>4244.8999999999996</v>
      </c>
      <c r="AM42" s="258">
        <v>1063.5999999999999</v>
      </c>
      <c r="AN42" s="258">
        <v>3329.04</v>
      </c>
      <c r="AO42" s="258">
        <v>10249.56</v>
      </c>
      <c r="AP42" s="258">
        <v>3041.66</v>
      </c>
      <c r="AQ42" s="258" t="s">
        <v>197</v>
      </c>
      <c r="AR42" s="258">
        <v>359.86</v>
      </c>
      <c r="AS42" s="258">
        <v>1023.11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187077.13607077222</v>
      </c>
      <c r="D44" s="262" t="s">
        <v>135</v>
      </c>
      <c r="E44" s="263">
        <f>SUM(B41:H41)+P41+R41+T41+V41+X41+Z41</f>
        <v>119349.80316844305</v>
      </c>
      <c r="G44" s="262" t="s">
        <v>135</v>
      </c>
      <c r="H44" s="263">
        <f>SUM(I41:N41)+O41+Q41+S41+U41+W41+Y41</f>
        <v>66449.321712747507</v>
      </c>
      <c r="J44" s="262" t="s">
        <v>198</v>
      </c>
      <c r="K44" s="263">
        <v>160704.48000000001</v>
      </c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38954.054890392537</v>
      </c>
      <c r="D45" s="264" t="s">
        <v>183</v>
      </c>
      <c r="E45" s="265">
        <f>AJ41*(1-$AI$40)+AK41+AL41*0.5+AN41+AO41*(1-$AI$40)+AP41*(1-$AI$40)+AQ41*(1-$AI$40)+AR41*0.5+AS41*0.5</f>
        <v>22283.278265052755</v>
      </c>
      <c r="F45" s="20"/>
      <c r="G45" s="264" t="s">
        <v>183</v>
      </c>
      <c r="H45" s="265">
        <f>AJ41*AI40+AL41*0.5+AM41+AO41*AI40+AP41*AI40+AQ41*AI40+AR41*0.5+AS41*0.5</f>
        <v>16670.776625339786</v>
      </c>
      <c r="K45" s="268"/>
      <c r="R45" s="278" t="s">
        <v>141</v>
      </c>
      <c r="S45" s="279"/>
      <c r="T45" s="234">
        <f>$W$39+$X$39</f>
        <v>2876.6750319830571</v>
      </c>
      <c r="U45" s="236">
        <f>(T45*8.34*0.895)/27000</f>
        <v>0.79527279411967156</v>
      </c>
    </row>
    <row r="46" spans="1:45" ht="32.25" thickBot="1" x14ac:dyDescent="0.3">
      <c r="A46" s="266" t="s">
        <v>184</v>
      </c>
      <c r="B46" s="267">
        <f>SUM(AJ42:AS42)</f>
        <v>25826.91</v>
      </c>
      <c r="D46" s="266" t="s">
        <v>184</v>
      </c>
      <c r="E46" s="267">
        <f>AJ42*(1-$AI$40)+AL42*0.5+AN42+AO42*(1-$AI$40)+AP42*(1-$AI$40)+AR42*0.5+AS42*0.5</f>
        <v>10924.611665160286</v>
      </c>
      <c r="F46" s="19"/>
      <c r="G46" s="266" t="s">
        <v>184</v>
      </c>
      <c r="H46" s="267">
        <f>AJ42*AI40+AL42*0.5+AM42+AO42*AI40+AP42*AI40+AR42*0.5+AS42*0.5</f>
        <v>14902.298334839714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160704.48000000001</v>
      </c>
      <c r="D47" s="266" t="s">
        <v>187</v>
      </c>
      <c r="E47" s="267">
        <f>K44*0.5</f>
        <v>80352.240000000005</v>
      </c>
      <c r="F47" s="20"/>
      <c r="G47" s="266" t="s">
        <v>185</v>
      </c>
      <c r="H47" s="267">
        <f>K44*0.5</f>
        <v>80352.240000000005</v>
      </c>
      <c r="J47" s="262" t="s">
        <v>198</v>
      </c>
      <c r="K47" s="263">
        <v>19838.12</v>
      </c>
      <c r="R47" s="278" t="s">
        <v>148</v>
      </c>
      <c r="S47" s="279"/>
      <c r="T47" s="234">
        <f>$G$39</f>
        <v>62407.276887639324</v>
      </c>
      <c r="U47" s="236">
        <f>T47/40000</f>
        <v>1.5601819221909832</v>
      </c>
    </row>
    <row r="48" spans="1:45" ht="24" thickBot="1" x14ac:dyDescent="0.3">
      <c r="A48" s="266" t="s">
        <v>186</v>
      </c>
      <c r="B48" s="267">
        <f>K47</f>
        <v>19838.12</v>
      </c>
      <c r="D48" s="266" t="s">
        <v>186</v>
      </c>
      <c r="E48" s="267">
        <f>K47*0.5</f>
        <v>9919.06</v>
      </c>
      <c r="F48" s="19"/>
      <c r="G48" s="266" t="s">
        <v>186</v>
      </c>
      <c r="H48" s="267">
        <f>K47*0.5</f>
        <v>9919.06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1" ht="48" thickTop="1" thickBot="1" x14ac:dyDescent="0.3">
      <c r="A49" s="271" t="s">
        <v>194</v>
      </c>
      <c r="B49" s="272">
        <f>AF40</f>
        <v>686.4585454448063</v>
      </c>
      <c r="D49" s="271" t="s">
        <v>195</v>
      </c>
      <c r="E49" s="272">
        <f>AH40</f>
        <v>205.33685601245952</v>
      </c>
      <c r="F49" s="19"/>
      <c r="G49" s="271" t="s">
        <v>196</v>
      </c>
      <c r="H49" s="272">
        <f>AG40</f>
        <v>473.43418163737465</v>
      </c>
      <c r="K49" s="71"/>
      <c r="R49" s="278" t="s">
        <v>152</v>
      </c>
      <c r="S49" s="279"/>
      <c r="T49" s="234">
        <f>$E$39+$K$39</f>
        <v>1477.4151278029869</v>
      </c>
      <c r="U49" s="236">
        <f>(T49*8.34*1.04)/45000</f>
        <v>0.28476684116693307</v>
      </c>
    </row>
    <row r="50" spans="1:21" ht="48" customHeight="1" thickTop="1" thickBot="1" x14ac:dyDescent="0.3">
      <c r="A50" s="271" t="s">
        <v>223</v>
      </c>
      <c r="B50" s="272">
        <f>SUM(E50,H50)</f>
        <v>699.82841665203443</v>
      </c>
      <c r="D50" s="271" t="s">
        <v>224</v>
      </c>
      <c r="E50" s="272">
        <f>AE40</f>
        <v>207.74110969096071</v>
      </c>
      <c r="F50" s="19"/>
      <c r="G50" s="271" t="s">
        <v>225</v>
      </c>
      <c r="H50" s="272">
        <f>AD40</f>
        <v>492.08730696107375</v>
      </c>
      <c r="K50" s="71"/>
      <c r="R50" s="278"/>
      <c r="S50" s="279"/>
      <c r="T50" s="234"/>
      <c r="U50" s="236"/>
    </row>
    <row r="51" spans="1:21" ht="48" thickTop="1" thickBot="1" x14ac:dyDescent="0.3">
      <c r="A51" s="271" t="s">
        <v>190</v>
      </c>
      <c r="B51" s="273">
        <f>(SUM(B44:B48)/B50)</f>
        <v>617.86673800666938</v>
      </c>
      <c r="D51" s="271" t="s">
        <v>188</v>
      </c>
      <c r="E51" s="273">
        <f>SUM(E44:E48)/E50</f>
        <v>1168.9019735183504</v>
      </c>
      <c r="F51" s="19"/>
      <c r="G51" s="271" t="s">
        <v>189</v>
      </c>
      <c r="H51" s="273">
        <f>SUM(H44:H48)/H50</f>
        <v>382.64286440499848</v>
      </c>
      <c r="K51" s="71"/>
      <c r="R51" s="278" t="s">
        <v>153</v>
      </c>
      <c r="S51" s="279"/>
      <c r="T51" s="234">
        <f>$U$39+$V$39+$AB$39</f>
        <v>18038.23771838826</v>
      </c>
      <c r="U51" s="236">
        <f>T51/2000/8</f>
        <v>1.1273898573992662</v>
      </c>
    </row>
    <row r="52" spans="1:21" ht="47.25" customHeight="1" thickTop="1" thickBot="1" x14ac:dyDescent="0.3">
      <c r="A52" s="261" t="s">
        <v>191</v>
      </c>
      <c r="B52" s="274">
        <f>B51/1000</f>
        <v>0.61786673800666936</v>
      </c>
      <c r="D52" s="261" t="s">
        <v>192</v>
      </c>
      <c r="E52" s="274">
        <f>E51/1000</f>
        <v>1.1689019735183503</v>
      </c>
      <c r="F52" s="333">
        <f>E44/E49</f>
        <v>581.2390697225884</v>
      </c>
      <c r="G52" s="261" t="s">
        <v>193</v>
      </c>
      <c r="H52" s="274">
        <f>H51/1000</f>
        <v>0.38264286440499845</v>
      </c>
      <c r="I52" s="333">
        <f>H44/H49</f>
        <v>140.35598672434713</v>
      </c>
      <c r="K52" s="71"/>
      <c r="R52" s="278" t="s">
        <v>154</v>
      </c>
      <c r="S52" s="279"/>
      <c r="T52" s="234">
        <f>$C$39+$J$39+$S$39+$T$39</f>
        <v>19820.639262359124</v>
      </c>
      <c r="U52" s="236">
        <f>(T52*8.34*1.4)/45000</f>
        <v>5.1427952006067805</v>
      </c>
    </row>
    <row r="53" spans="1:21" ht="16.5" thickTop="1" thickBot="1" x14ac:dyDescent="0.3">
      <c r="A53" s="282"/>
      <c r="K53" s="71"/>
      <c r="R53" s="278" t="s">
        <v>155</v>
      </c>
      <c r="S53" s="279"/>
      <c r="T53" s="234">
        <f>$H$39</f>
        <v>849.27798075099918</v>
      </c>
      <c r="U53" s="236">
        <f>(T53*8.34*1.135)/45000</f>
        <v>0.17864845417757516</v>
      </c>
    </row>
    <row r="54" spans="1:21" ht="48" customHeight="1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6144.1763685003943</v>
      </c>
      <c r="U54" s="236">
        <f>(T54*8.34*1.029*0.03)/3300</f>
        <v>0.47934964917980716</v>
      </c>
    </row>
    <row r="55" spans="1:21" ht="57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37796.060374037392</v>
      </c>
      <c r="U55" s="239">
        <f>(T55*1.54*8.34)/45000</f>
        <v>10.787499578221924</v>
      </c>
    </row>
    <row r="56" spans="1:21" ht="15.75" thickTop="1" x14ac:dyDescent="0.25">
      <c r="A56" s="283"/>
      <c r="B56" s="283"/>
      <c r="C56" s="283"/>
      <c r="D56" s="283"/>
      <c r="E56" s="283"/>
      <c r="R56" s="568"/>
      <c r="S56" s="568"/>
      <c r="T56" s="284"/>
      <c r="U56" s="285"/>
    </row>
    <row r="57" spans="1:21" x14ac:dyDescent="0.25">
      <c r="A57" s="287"/>
      <c r="B57" s="288"/>
    </row>
    <row r="58" spans="1:21" x14ac:dyDescent="0.25">
      <c r="A58" s="289"/>
      <c r="B58" s="288"/>
    </row>
    <row r="59" spans="1:21" x14ac:dyDescent="0.25">
      <c r="A59" s="288"/>
      <c r="B59" s="288"/>
    </row>
    <row r="60" spans="1:21" x14ac:dyDescent="0.25">
      <c r="A60" s="289"/>
      <c r="B60" s="288"/>
    </row>
    <row r="61" spans="1:21" x14ac:dyDescent="0.25">
      <c r="A61" s="288"/>
      <c r="B61" s="288"/>
    </row>
  </sheetData>
  <sheetProtection algorithmName="SHA-512" hashValue="Cv2aIIgXNjNrMVwFFnAFBjpxSD+95J9HQBfgwDPUZt9Z5bE3OMrv/46sgw1v5HU7CvzryF2wWKmHlpycU/Ix+w==" saltValue="8IjdOT+rjU7sukSzhSfgcQ==" spinCount="100000" sheet="1" selectLockedCells="1" selectUnlockedCells="1"/>
  <mergeCells count="33">
    <mergeCell ref="AP4:AP5"/>
    <mergeCell ref="AQ4:AQ5"/>
    <mergeCell ref="AR4:AR5"/>
    <mergeCell ref="AS4:AS5"/>
    <mergeCell ref="AJ4:AJ5"/>
    <mergeCell ref="AK4:AK5"/>
    <mergeCell ref="AL4:AL5"/>
    <mergeCell ref="AM4:AM5"/>
    <mergeCell ref="AO4:AO5"/>
    <mergeCell ref="AN4:AN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E4:AE5"/>
    <mergeCell ref="R56:S56"/>
    <mergeCell ref="R43:U43"/>
    <mergeCell ref="A54:E54"/>
    <mergeCell ref="AD4:AD5"/>
    <mergeCell ref="A55:E55"/>
    <mergeCell ref="J43:K43"/>
    <mergeCell ref="J46:K46"/>
    <mergeCell ref="A43:B43"/>
    <mergeCell ref="D43:E43"/>
    <mergeCell ref="G43:H43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W61"/>
  <sheetViews>
    <sheetView topLeftCell="C39" zoomScale="80" zoomScaleNormal="80" workbookViewId="0">
      <selection activeCell="AM44" sqref="AM44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21.5703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6" width="20.28515625" customWidth="1"/>
    <col min="47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</row>
    <row r="2" spans="1:49" ht="15" customHeight="1" x14ac:dyDescent="0.25">
      <c r="A2" s="1" t="s">
        <v>2</v>
      </c>
      <c r="B2" s="4"/>
    </row>
    <row r="3" spans="1:49" ht="15.75" thickBot="1" x14ac:dyDescent="0.3">
      <c r="A3" s="5"/>
    </row>
    <row r="4" spans="1:49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</row>
    <row r="5" spans="1:49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  <c r="AV5" t="s">
        <v>169</v>
      </c>
      <c r="AW5" s="302" t="s">
        <v>207</v>
      </c>
    </row>
    <row r="6" spans="1:49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49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49" x14ac:dyDescent="0.25">
      <c r="A8" s="9">
        <v>44593</v>
      </c>
      <c r="B8" s="45"/>
      <c r="C8" s="46">
        <v>71.395770676930823</v>
      </c>
      <c r="D8" s="46">
        <v>983.35270907083975</v>
      </c>
      <c r="E8" s="46">
        <v>16.890219955643005</v>
      </c>
      <c r="F8" s="46">
        <v>0</v>
      </c>
      <c r="G8" s="46">
        <v>1887.8553220113181</v>
      </c>
      <c r="H8" s="47">
        <v>27.138022587696732</v>
      </c>
      <c r="I8" s="45">
        <v>174.03818287054676</v>
      </c>
      <c r="J8" s="46">
        <v>475.12655464808091</v>
      </c>
      <c r="K8" s="46">
        <v>26.028705317775412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288.32020376303024</v>
      </c>
      <c r="V8" s="50">
        <v>149.70358702032087</v>
      </c>
      <c r="W8" s="50">
        <v>54.622744098549454</v>
      </c>
      <c r="X8" s="50">
        <v>28.361594566459026</v>
      </c>
      <c r="Y8" s="50">
        <v>128.0155189787744</v>
      </c>
      <c r="Z8" s="50">
        <v>66.469092818558281</v>
      </c>
      <c r="AA8" s="51">
        <v>0</v>
      </c>
      <c r="AB8" s="52">
        <v>86.337650256686629</v>
      </c>
      <c r="AC8" s="53">
        <v>0</v>
      </c>
      <c r="AD8" s="358">
        <v>13.445416016392429</v>
      </c>
      <c r="AE8" s="358">
        <v>6.7117557524635423</v>
      </c>
      <c r="AF8" s="53">
        <v>19.868352858887761</v>
      </c>
      <c r="AG8" s="53">
        <v>12.885447637181485</v>
      </c>
      <c r="AH8" s="53">
        <v>6.6904702010894317</v>
      </c>
      <c r="AI8" s="53">
        <v>0.6582295524345958</v>
      </c>
      <c r="AJ8" s="53">
        <v>265.58790054321281</v>
      </c>
      <c r="AK8" s="53">
        <v>896.27591110865285</v>
      </c>
      <c r="AL8" s="53">
        <v>2782.7270556132003</v>
      </c>
      <c r="AM8" s="53">
        <v>527.10845947265625</v>
      </c>
      <c r="AN8" s="53">
        <v>4738.0748291015625</v>
      </c>
      <c r="AO8" s="53">
        <v>2888.42525024414</v>
      </c>
      <c r="AP8" s="53">
        <v>761.37501279513037</v>
      </c>
      <c r="AQ8" s="53">
        <v>2851.4748453776037</v>
      </c>
      <c r="AR8" s="53">
        <v>521.39535004297898</v>
      </c>
      <c r="AS8" s="53">
        <v>596.63187863032022</v>
      </c>
    </row>
    <row r="9" spans="1:49" x14ac:dyDescent="0.25">
      <c r="A9" s="9">
        <v>44594</v>
      </c>
      <c r="B9" s="45"/>
      <c r="C9" s="46">
        <v>71.079902255535032</v>
      </c>
      <c r="D9" s="46">
        <v>982.89666042327678</v>
      </c>
      <c r="E9" s="46">
        <v>16.659927515188851</v>
      </c>
      <c r="F9" s="46">
        <v>0</v>
      </c>
      <c r="G9" s="46">
        <v>1964.6582445780411</v>
      </c>
      <c r="H9" s="47">
        <v>27.085942635933634</v>
      </c>
      <c r="I9" s="45">
        <v>173.90570025444009</v>
      </c>
      <c r="J9" s="46">
        <v>475.19179064432734</v>
      </c>
      <c r="K9" s="46">
        <v>26.113882410526266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279.47801649094316</v>
      </c>
      <c r="V9" s="54">
        <v>131.66686672845657</v>
      </c>
      <c r="W9" s="54">
        <v>53.648237730809015</v>
      </c>
      <c r="X9" s="54">
        <v>25.274601044507893</v>
      </c>
      <c r="Y9" s="54">
        <v>122.92351059708831</v>
      </c>
      <c r="Z9" s="54">
        <v>57.911365232926435</v>
      </c>
      <c r="AA9" s="57">
        <v>0</v>
      </c>
      <c r="AB9" s="58">
        <v>86.331950479083432</v>
      </c>
      <c r="AC9" s="52">
        <v>0</v>
      </c>
      <c r="AD9" s="359">
        <v>13.445764684776023</v>
      </c>
      <c r="AE9" s="359">
        <v>6.7074603957324141</v>
      </c>
      <c r="AF9" s="52">
        <v>18.940839084651735</v>
      </c>
      <c r="AG9" s="58">
        <v>12.671903655593804</v>
      </c>
      <c r="AH9" s="58">
        <v>5.9699502335310841</v>
      </c>
      <c r="AI9" s="58">
        <v>0.67975555065294335</v>
      </c>
      <c r="AJ9" s="52">
        <v>324.4375424305598</v>
      </c>
      <c r="AK9" s="52">
        <v>1008.6756122589112</v>
      </c>
      <c r="AL9" s="52">
        <v>2831.5583857218426</v>
      </c>
      <c r="AM9" s="52">
        <v>527.10845947265625</v>
      </c>
      <c r="AN9" s="52">
        <v>4738.0748291015625</v>
      </c>
      <c r="AO9" s="52">
        <v>3086.4424502054849</v>
      </c>
      <c r="AP9" s="52">
        <v>1140.5451916535694</v>
      </c>
      <c r="AQ9" s="52">
        <v>2796.968684005737</v>
      </c>
      <c r="AR9" s="52">
        <v>556.28229710261041</v>
      </c>
      <c r="AS9" s="52">
        <v>581.14794073104861</v>
      </c>
    </row>
    <row r="10" spans="1:49" x14ac:dyDescent="0.25">
      <c r="A10" s="9">
        <v>44595</v>
      </c>
      <c r="B10" s="45"/>
      <c r="C10" s="46">
        <v>70.975637336572191</v>
      </c>
      <c r="D10" s="46">
        <v>981.62020359039366</v>
      </c>
      <c r="E10" s="46">
        <v>16.05632122457024</v>
      </c>
      <c r="F10" s="46">
        <v>0</v>
      </c>
      <c r="G10" s="46">
        <v>2002.6353144327759</v>
      </c>
      <c r="H10" s="47">
        <v>27.100336221853937</v>
      </c>
      <c r="I10" s="45">
        <v>174.11120951175681</v>
      </c>
      <c r="J10" s="46">
        <v>475.60259240468326</v>
      </c>
      <c r="K10" s="46">
        <v>26.146626789371197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289.90841087506647</v>
      </c>
      <c r="V10" s="54">
        <v>151.29766809933415</v>
      </c>
      <c r="W10" s="54">
        <v>52.187642832537534</v>
      </c>
      <c r="X10" s="54">
        <v>27.235735038975861</v>
      </c>
      <c r="Y10" s="54">
        <v>122.88214130929464</v>
      </c>
      <c r="Z10" s="54">
        <v>64.129844922509363</v>
      </c>
      <c r="AA10" s="57">
        <v>0</v>
      </c>
      <c r="AB10" s="58">
        <v>86.419895325766646</v>
      </c>
      <c r="AC10" s="52">
        <v>0</v>
      </c>
      <c r="AD10" s="359">
        <v>13.458543198414052</v>
      </c>
      <c r="AE10" s="359">
        <v>6.6994901735785755</v>
      </c>
      <c r="AF10" s="52">
        <v>19.632205985652064</v>
      </c>
      <c r="AG10" s="58">
        <v>12.704017347606579</v>
      </c>
      <c r="AH10" s="58">
        <v>6.6299842573890366</v>
      </c>
      <c r="AI10" s="58">
        <v>0.65708163302955613</v>
      </c>
      <c r="AJ10" s="52">
        <v>326.23280752499903</v>
      </c>
      <c r="AK10" s="52">
        <v>1014.2541387240093</v>
      </c>
      <c r="AL10" s="52">
        <v>2733.2866395314536</v>
      </c>
      <c r="AM10" s="52">
        <v>527.10845947265625</v>
      </c>
      <c r="AN10" s="52">
        <v>4738.0748291015625</v>
      </c>
      <c r="AO10" s="52">
        <v>3125.3021101633703</v>
      </c>
      <c r="AP10" s="52">
        <v>1157.5077029863994</v>
      </c>
      <c r="AQ10" s="52">
        <v>2852.8205956776937</v>
      </c>
      <c r="AR10" s="52">
        <v>560.4439542134603</v>
      </c>
      <c r="AS10" s="52">
        <v>603.81140000025448</v>
      </c>
    </row>
    <row r="11" spans="1:49" x14ac:dyDescent="0.25">
      <c r="A11" s="9">
        <v>44596</v>
      </c>
      <c r="B11" s="45"/>
      <c r="C11" s="46">
        <v>71.012305963039267</v>
      </c>
      <c r="D11" s="46">
        <v>984.09220695495424</v>
      </c>
      <c r="E11" s="46">
        <v>16.470045036077494</v>
      </c>
      <c r="F11" s="46">
        <v>0</v>
      </c>
      <c r="G11" s="46">
        <v>1980.7134391784666</v>
      </c>
      <c r="H11" s="47">
        <v>26.931076689561248</v>
      </c>
      <c r="I11" s="45">
        <v>177.96569820245077</v>
      </c>
      <c r="J11" s="46">
        <v>475.27179285685173</v>
      </c>
      <c r="K11" s="46">
        <v>26.131539669632929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290.67065805516557</v>
      </c>
      <c r="V11" s="54">
        <v>150.95523625821508</v>
      </c>
      <c r="W11" s="54">
        <v>53.30241939977946</v>
      </c>
      <c r="X11" s="54">
        <v>27.681773480215178</v>
      </c>
      <c r="Y11" s="54">
        <v>125.66805713658465</v>
      </c>
      <c r="Z11" s="54">
        <v>65.263729686687867</v>
      </c>
      <c r="AA11" s="57">
        <v>0</v>
      </c>
      <c r="AB11" s="58">
        <v>86.363154813978355</v>
      </c>
      <c r="AC11" s="52">
        <v>0</v>
      </c>
      <c r="AD11" s="359">
        <v>13.449535718697339</v>
      </c>
      <c r="AE11" s="359">
        <v>6.6990465602394043</v>
      </c>
      <c r="AF11" s="52">
        <v>20.039605450630194</v>
      </c>
      <c r="AG11" s="58">
        <v>12.998649391998509</v>
      </c>
      <c r="AH11" s="58">
        <v>6.7506441934515307</v>
      </c>
      <c r="AI11" s="58">
        <v>0.65818300466073609</v>
      </c>
      <c r="AJ11" s="52">
        <v>286.7882854382197</v>
      </c>
      <c r="AK11" s="52">
        <v>943.46443255742395</v>
      </c>
      <c r="AL11" s="52">
        <v>2700.5987883249918</v>
      </c>
      <c r="AM11" s="52">
        <v>527.10845947265625</v>
      </c>
      <c r="AN11" s="52">
        <v>4738.0748291015625</v>
      </c>
      <c r="AO11" s="52">
        <v>3014.6901232401528</v>
      </c>
      <c r="AP11" s="52">
        <v>928.56357522010831</v>
      </c>
      <c r="AQ11" s="52">
        <v>2855.898335138957</v>
      </c>
      <c r="AR11" s="52">
        <v>530.65312169392905</v>
      </c>
      <c r="AS11" s="52">
        <v>596.27513497670486</v>
      </c>
    </row>
    <row r="12" spans="1:49" x14ac:dyDescent="0.25">
      <c r="A12" s="9">
        <v>44597</v>
      </c>
      <c r="B12" s="45"/>
      <c r="C12" s="46">
        <v>70.944709682464577</v>
      </c>
      <c r="D12" s="46">
        <v>993.90396340688267</v>
      </c>
      <c r="E12" s="46">
        <v>16.416126415133458</v>
      </c>
      <c r="F12" s="46">
        <v>0</v>
      </c>
      <c r="G12" s="46">
        <v>1998.7109291076649</v>
      </c>
      <c r="H12" s="47">
        <v>26.902129409710604</v>
      </c>
      <c r="I12" s="45">
        <v>178.43655676046995</v>
      </c>
      <c r="J12" s="46">
        <v>475.27303469975749</v>
      </c>
      <c r="K12" s="46">
        <v>26.241979082425452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294.16123584005771</v>
      </c>
      <c r="V12" s="54">
        <v>152.70473748419218</v>
      </c>
      <c r="W12" s="54">
        <v>52.925551768246649</v>
      </c>
      <c r="X12" s="54">
        <v>27.474668665624211</v>
      </c>
      <c r="Y12" s="54">
        <v>126.37045036551001</v>
      </c>
      <c r="Z12" s="54">
        <v>65.601323688063275</v>
      </c>
      <c r="AA12" s="57">
        <v>0</v>
      </c>
      <c r="AB12" s="58">
        <v>86.285703616671967</v>
      </c>
      <c r="AC12" s="52">
        <v>0</v>
      </c>
      <c r="AD12" s="359">
        <v>13.451716077087077</v>
      </c>
      <c r="AE12" s="359">
        <v>6.6935320314158204</v>
      </c>
      <c r="AF12" s="52">
        <v>20.040992661317212</v>
      </c>
      <c r="AG12" s="58">
        <v>13.00105207230358</v>
      </c>
      <c r="AH12" s="58">
        <v>6.7490954001801136</v>
      </c>
      <c r="AI12" s="58">
        <v>0.65827620226213046</v>
      </c>
      <c r="AJ12" s="52">
        <v>251.6122969786326</v>
      </c>
      <c r="AK12" s="52">
        <v>854.0938663800556</v>
      </c>
      <c r="AL12" s="52">
        <v>2723.7571534474696</v>
      </c>
      <c r="AM12" s="52">
        <v>527.10845947265625</v>
      </c>
      <c r="AN12" s="52">
        <v>4738.0748291015625</v>
      </c>
      <c r="AO12" s="52">
        <v>2954.7720152537026</v>
      </c>
      <c r="AP12" s="52">
        <v>601.83072484334309</v>
      </c>
      <c r="AQ12" s="52">
        <v>2888.2932549794505</v>
      </c>
      <c r="AR12" s="52">
        <v>498.43071301778156</v>
      </c>
      <c r="AS12" s="52">
        <v>555.19856278101599</v>
      </c>
    </row>
    <row r="13" spans="1:49" x14ac:dyDescent="0.25">
      <c r="A13" s="9">
        <v>44598</v>
      </c>
      <c r="B13" s="45"/>
      <c r="C13" s="46">
        <v>71.165015776952103</v>
      </c>
      <c r="D13" s="46">
        <v>995.09038079579523</v>
      </c>
      <c r="E13" s="46">
        <v>16.367620879411692</v>
      </c>
      <c r="F13" s="46">
        <v>0</v>
      </c>
      <c r="G13" s="46">
        <v>1997.724705505371</v>
      </c>
      <c r="H13" s="47">
        <v>27.058190387487478</v>
      </c>
      <c r="I13" s="45">
        <v>179.25362301667514</v>
      </c>
      <c r="J13" s="46">
        <v>477.45751663843805</v>
      </c>
      <c r="K13" s="46">
        <v>26.237270543972656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288.10738487068426</v>
      </c>
      <c r="V13" s="54">
        <v>142.27841292661793</v>
      </c>
      <c r="W13" s="54">
        <v>52.647069176620356</v>
      </c>
      <c r="X13" s="54">
        <v>25.999130327914042</v>
      </c>
      <c r="Y13" s="54">
        <v>123.68078676596964</v>
      </c>
      <c r="Z13" s="54">
        <v>61.07828877234784</v>
      </c>
      <c r="AA13" s="57">
        <v>0</v>
      </c>
      <c r="AB13" s="58">
        <v>86.627893405490084</v>
      </c>
      <c r="AC13" s="52">
        <v>0</v>
      </c>
      <c r="AD13" s="359">
        <v>13.510657972784561</v>
      </c>
      <c r="AE13" s="359">
        <v>6.7031995637773818</v>
      </c>
      <c r="AF13" s="52">
        <v>19.198062468237325</v>
      </c>
      <c r="AG13" s="58">
        <v>12.673355277315183</v>
      </c>
      <c r="AH13" s="58">
        <v>6.2585861036533865</v>
      </c>
      <c r="AI13" s="58">
        <v>0.66941657077256422</v>
      </c>
      <c r="AJ13" s="52">
        <v>243.453035235405</v>
      </c>
      <c r="AK13" s="52">
        <v>842.30916668574014</v>
      </c>
      <c r="AL13" s="52">
        <v>3101.3201961517339</v>
      </c>
      <c r="AM13" s="52">
        <v>527.10845947265625</v>
      </c>
      <c r="AN13" s="52">
        <v>4738.0748291015625</v>
      </c>
      <c r="AO13" s="52">
        <v>3051.5826137542722</v>
      </c>
      <c r="AP13" s="52">
        <v>706.07011288007106</v>
      </c>
      <c r="AQ13" s="52">
        <v>2869.4918792724611</v>
      </c>
      <c r="AR13" s="52">
        <v>505.37435617446897</v>
      </c>
      <c r="AS13" s="52">
        <v>531.20429442723605</v>
      </c>
    </row>
    <row r="14" spans="1:49" x14ac:dyDescent="0.25">
      <c r="A14" s="9">
        <v>44599</v>
      </c>
      <c r="B14" s="45"/>
      <c r="C14" s="46">
        <v>71.351680982112882</v>
      </c>
      <c r="D14" s="46">
        <v>994.80482247670534</v>
      </c>
      <c r="E14" s="46">
        <v>16.533516392111778</v>
      </c>
      <c r="F14" s="46">
        <v>0</v>
      </c>
      <c r="G14" s="46">
        <v>1928.4462839762402</v>
      </c>
      <c r="H14" s="47">
        <v>27.083374657233612</v>
      </c>
      <c r="I14" s="45">
        <v>177.42587941487602</v>
      </c>
      <c r="J14" s="46">
        <v>472.5437264442445</v>
      </c>
      <c r="K14" s="46">
        <v>25.927181895573931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284.43288595974076</v>
      </c>
      <c r="V14" s="54">
        <v>147.68577049540502</v>
      </c>
      <c r="W14" s="54">
        <v>52.158092019730162</v>
      </c>
      <c r="X14" s="54">
        <v>27.081988011029026</v>
      </c>
      <c r="Y14" s="54">
        <v>130.95624662856861</v>
      </c>
      <c r="Z14" s="54">
        <v>67.996266040994712</v>
      </c>
      <c r="AA14" s="57">
        <v>0</v>
      </c>
      <c r="AB14" s="58">
        <v>86.052103143268425</v>
      </c>
      <c r="AC14" s="52">
        <v>0</v>
      </c>
      <c r="AD14" s="359">
        <v>13.371950708805386</v>
      </c>
      <c r="AE14" s="359">
        <v>6.701377033953106</v>
      </c>
      <c r="AF14" s="52">
        <v>19.633563863568874</v>
      </c>
      <c r="AG14" s="58">
        <v>12.789166966044375</v>
      </c>
      <c r="AH14" s="58">
        <v>6.6405049156024338</v>
      </c>
      <c r="AI14" s="58">
        <v>0.65822866407357972</v>
      </c>
      <c r="AJ14" s="52">
        <v>240.58067192236587</v>
      </c>
      <c r="AK14" s="52">
        <v>844.98832222620649</v>
      </c>
      <c r="AL14" s="52">
        <v>2884.5701934814447</v>
      </c>
      <c r="AM14" s="52">
        <v>527.10845947265625</v>
      </c>
      <c r="AN14" s="52">
        <v>4738.0748291015625</v>
      </c>
      <c r="AO14" s="52">
        <v>2983.0703451792397</v>
      </c>
      <c r="AP14" s="52">
        <v>608.8829169432322</v>
      </c>
      <c r="AQ14" s="52">
        <v>2881.6622259775795</v>
      </c>
      <c r="AR14" s="52">
        <v>493.14455849329624</v>
      </c>
      <c r="AS14" s="52">
        <v>579.41128508249903</v>
      </c>
    </row>
    <row r="15" spans="1:49" x14ac:dyDescent="0.25">
      <c r="A15" s="9">
        <v>44600</v>
      </c>
      <c r="B15" s="45"/>
      <c r="C15" s="46">
        <v>71.051651680469604</v>
      </c>
      <c r="D15" s="46">
        <v>995.08753236134714</v>
      </c>
      <c r="E15" s="46">
        <v>16.905390828847885</v>
      </c>
      <c r="F15" s="46">
        <v>0</v>
      </c>
      <c r="G15" s="46">
        <v>1879.8967550913508</v>
      </c>
      <c r="H15" s="47">
        <v>26.847909261783009</v>
      </c>
      <c r="I15" s="45">
        <v>177.55887564023325</v>
      </c>
      <c r="J15" s="46">
        <v>472.71528863906832</v>
      </c>
      <c r="K15" s="46">
        <v>25.826610875626418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287.41203012348547</v>
      </c>
      <c r="V15" s="54">
        <v>149.1886537457714</v>
      </c>
      <c r="W15" s="54">
        <v>52.841611293000696</v>
      </c>
      <c r="X15" s="54">
        <v>27.428806119121273</v>
      </c>
      <c r="Y15" s="54">
        <v>126.26680213600648</v>
      </c>
      <c r="Z15" s="54">
        <v>65.542051998870789</v>
      </c>
      <c r="AA15" s="57">
        <v>0</v>
      </c>
      <c r="AB15" s="58">
        <v>86.042234394285899</v>
      </c>
      <c r="AC15" s="52">
        <v>0</v>
      </c>
      <c r="AD15" s="359">
        <v>13.375433663401292</v>
      </c>
      <c r="AE15" s="359">
        <v>6.6993987767323464</v>
      </c>
      <c r="AF15" s="52">
        <v>19.768208828899592</v>
      </c>
      <c r="AG15" s="58">
        <v>12.873619152858032</v>
      </c>
      <c r="AH15" s="58">
        <v>6.6823852481939996</v>
      </c>
      <c r="AI15" s="58">
        <v>0.65829496091571171</v>
      </c>
      <c r="AJ15" s="52">
        <v>225.0192287047704</v>
      </c>
      <c r="AK15" s="52">
        <v>809.98385190963756</v>
      </c>
      <c r="AL15" s="52">
        <v>2867.8586736043299</v>
      </c>
      <c r="AM15" s="52">
        <v>555.21511510213213</v>
      </c>
      <c r="AN15" s="52">
        <v>4738.0748291015625</v>
      </c>
      <c r="AO15" s="52">
        <v>2832.872829055786</v>
      </c>
      <c r="AP15" s="52">
        <v>563.74858784675587</v>
      </c>
      <c r="AQ15" s="52">
        <v>2871.7112009684247</v>
      </c>
      <c r="AR15" s="52">
        <v>476.56245416005459</v>
      </c>
      <c r="AS15" s="52">
        <v>586.02777309417718</v>
      </c>
    </row>
    <row r="16" spans="1:49" x14ac:dyDescent="0.25">
      <c r="A16" s="9">
        <v>44601</v>
      </c>
      <c r="B16" s="45"/>
      <c r="C16" s="46">
        <v>71.152742330233281</v>
      </c>
      <c r="D16" s="46">
        <v>1002.3607767105093</v>
      </c>
      <c r="E16" s="46">
        <v>16.977533853054055</v>
      </c>
      <c r="F16" s="46">
        <v>0</v>
      </c>
      <c r="G16" s="46">
        <v>1919.2253789265962</v>
      </c>
      <c r="H16" s="47">
        <v>27.050039629141512</v>
      </c>
      <c r="I16" s="45">
        <v>195.0855848312379</v>
      </c>
      <c r="J16" s="46">
        <v>535.7419670422878</v>
      </c>
      <c r="K16" s="46">
        <v>29.352607241272871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326.03231883974735</v>
      </c>
      <c r="V16" s="54">
        <v>149.69541820554304</v>
      </c>
      <c r="W16" s="54">
        <v>59.961487285398093</v>
      </c>
      <c r="X16" s="54">
        <v>27.53089002758011</v>
      </c>
      <c r="Y16" s="54">
        <v>142.59680646844612</v>
      </c>
      <c r="Z16" s="54">
        <v>65.47230855834583</v>
      </c>
      <c r="AA16" s="57">
        <v>0</v>
      </c>
      <c r="AB16" s="58">
        <v>93.927704652149984</v>
      </c>
      <c r="AC16" s="52">
        <v>0</v>
      </c>
      <c r="AD16" s="359">
        <v>15.157999727168367</v>
      </c>
      <c r="AE16" s="359">
        <v>6.7141107933988957</v>
      </c>
      <c r="AF16" s="52">
        <v>21.490553272432731</v>
      </c>
      <c r="AG16" s="58">
        <v>14.578872698614527</v>
      </c>
      <c r="AH16" s="58">
        <v>6.6937856141101522</v>
      </c>
      <c r="AI16" s="58">
        <v>0.68533384423769328</v>
      </c>
      <c r="AJ16" s="52">
        <v>225.10008749167125</v>
      </c>
      <c r="AK16" s="52">
        <v>818.4957931200662</v>
      </c>
      <c r="AL16" s="52">
        <v>2877.5348196665445</v>
      </c>
      <c r="AM16" s="52">
        <v>583.01119995117188</v>
      </c>
      <c r="AN16" s="52">
        <v>4738.0748291015625</v>
      </c>
      <c r="AO16" s="52">
        <v>2826.239015833537</v>
      </c>
      <c r="AP16" s="52">
        <v>575.10027162233985</v>
      </c>
      <c r="AQ16" s="52">
        <v>2934.7217104593915</v>
      </c>
      <c r="AR16" s="52">
        <v>483.58427028656001</v>
      </c>
      <c r="AS16" s="52">
        <v>593.24810555775969</v>
      </c>
    </row>
    <row r="17" spans="1:45" x14ac:dyDescent="0.25">
      <c r="A17" s="9">
        <v>44602</v>
      </c>
      <c r="B17" s="45"/>
      <c r="C17" s="46">
        <v>71.243881837527027</v>
      </c>
      <c r="D17" s="46">
        <v>1019.9403291702258</v>
      </c>
      <c r="E17" s="46">
        <v>16.793504963318501</v>
      </c>
      <c r="F17" s="46">
        <v>0</v>
      </c>
      <c r="G17" s="46">
        <v>1947.8165267944285</v>
      </c>
      <c r="H17" s="47">
        <v>27.177242497603125</v>
      </c>
      <c r="I17" s="45">
        <v>206.32124319076544</v>
      </c>
      <c r="J17" s="46">
        <v>578.49503316879441</v>
      </c>
      <c r="K17" s="46">
        <v>31.68632845878593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349.31117933271389</v>
      </c>
      <c r="V17" s="54">
        <v>147.87628959869758</v>
      </c>
      <c r="W17" s="54">
        <v>65.597584012482955</v>
      </c>
      <c r="X17" s="54">
        <v>27.769873695240083</v>
      </c>
      <c r="Y17" s="54">
        <v>163.02084675536972</v>
      </c>
      <c r="Z17" s="54">
        <v>69.012729542390218</v>
      </c>
      <c r="AA17" s="57">
        <v>0</v>
      </c>
      <c r="AB17" s="58">
        <v>99.307749689949318</v>
      </c>
      <c r="AC17" s="52">
        <v>0</v>
      </c>
      <c r="AD17" s="359">
        <v>16.371625018385295</v>
      </c>
      <c r="AE17" s="359">
        <v>6.7208997401820376</v>
      </c>
      <c r="AF17" s="52">
        <v>22.753123417827787</v>
      </c>
      <c r="AG17" s="58">
        <v>15.839175085295228</v>
      </c>
      <c r="AH17" s="58">
        <v>6.7053062727392527</v>
      </c>
      <c r="AI17" s="58">
        <v>0.70257438322706889</v>
      </c>
      <c r="AJ17" s="52">
        <v>225.75808102289838</v>
      </c>
      <c r="AK17" s="52">
        <v>818.27415205637624</v>
      </c>
      <c r="AL17" s="52">
        <v>2931.1067738850911</v>
      </c>
      <c r="AM17" s="52">
        <v>549.48396275838218</v>
      </c>
      <c r="AN17" s="52">
        <v>5501.5648002624512</v>
      </c>
      <c r="AO17" s="52">
        <v>2841.9526175181072</v>
      </c>
      <c r="AP17" s="52">
        <v>574.29993522961945</v>
      </c>
      <c r="AQ17" s="52">
        <v>3005.4642929077145</v>
      </c>
      <c r="AR17" s="52">
        <v>455.8323258082072</v>
      </c>
      <c r="AS17" s="52">
        <v>603.76607446670516</v>
      </c>
    </row>
    <row r="18" spans="1:45" x14ac:dyDescent="0.25">
      <c r="A18" s="9">
        <v>44603</v>
      </c>
      <c r="B18" s="45"/>
      <c r="C18" s="46">
        <v>71.069095710913302</v>
      </c>
      <c r="D18" s="46">
        <v>1017.6900607426944</v>
      </c>
      <c r="E18" s="46">
        <v>16.242242392897598</v>
      </c>
      <c r="F18" s="46">
        <v>0</v>
      </c>
      <c r="G18" s="46">
        <v>1949.8949394226067</v>
      </c>
      <c r="H18" s="47">
        <v>27.184555212656651</v>
      </c>
      <c r="I18" s="45">
        <v>206.5240555286411</v>
      </c>
      <c r="J18" s="46">
        <v>578.72198553085366</v>
      </c>
      <c r="K18" s="46">
        <v>31.758895914753218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351.13001241154012</v>
      </c>
      <c r="V18" s="54">
        <v>148.14423431290592</v>
      </c>
      <c r="W18" s="54">
        <v>65.788050711413248</v>
      </c>
      <c r="X18" s="54">
        <v>27.756443639337931</v>
      </c>
      <c r="Y18" s="54">
        <v>164.27422666980209</v>
      </c>
      <c r="Z18" s="54">
        <v>69.308457457687695</v>
      </c>
      <c r="AA18" s="57">
        <v>0</v>
      </c>
      <c r="AB18" s="58">
        <v>99.330215247471941</v>
      </c>
      <c r="AC18" s="52">
        <v>0</v>
      </c>
      <c r="AD18" s="359">
        <v>16.373523597289129</v>
      </c>
      <c r="AE18" s="359">
        <v>6.7071813017497011</v>
      </c>
      <c r="AF18" s="52">
        <v>22.956448364257817</v>
      </c>
      <c r="AG18" s="58">
        <v>15.999058851952544</v>
      </c>
      <c r="AH18" s="58">
        <v>6.7501160241799143</v>
      </c>
      <c r="AI18" s="58">
        <v>0.70328084157189052</v>
      </c>
      <c r="AJ18" s="52">
        <v>235.59793344338738</v>
      </c>
      <c r="AK18" s="52">
        <v>844.231288941701</v>
      </c>
      <c r="AL18" s="52">
        <v>2795.3098576863604</v>
      </c>
      <c r="AM18" s="52">
        <v>510.30152893066406</v>
      </c>
      <c r="AN18" s="52">
        <v>6515.7802734375</v>
      </c>
      <c r="AO18" s="52">
        <v>2837.6662203470873</v>
      </c>
      <c r="AP18" s="52">
        <v>613.19532388051357</v>
      </c>
      <c r="AQ18" s="52">
        <v>3001.3676209767659</v>
      </c>
      <c r="AR18" s="52">
        <v>484.02154812812807</v>
      </c>
      <c r="AS18" s="52">
        <v>619.13167292277024</v>
      </c>
    </row>
    <row r="19" spans="1:45" x14ac:dyDescent="0.25">
      <c r="A19" s="9">
        <v>44604</v>
      </c>
      <c r="B19" s="45"/>
      <c r="C19" s="46">
        <v>71.258008011182213</v>
      </c>
      <c r="D19" s="46">
        <v>1019.9974114100162</v>
      </c>
      <c r="E19" s="46">
        <v>16.767860985795611</v>
      </c>
      <c r="F19" s="46">
        <v>0</v>
      </c>
      <c r="G19" s="46">
        <v>2017.0236793518072</v>
      </c>
      <c r="H19" s="47">
        <v>26.998780198892021</v>
      </c>
      <c r="I19" s="45">
        <v>215.32225470542878</v>
      </c>
      <c r="J19" s="46">
        <v>578.55534582138046</v>
      </c>
      <c r="K19" s="46">
        <v>31.661495978633511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343.5027090055454</v>
      </c>
      <c r="V19" s="54">
        <v>139.80848674945838</v>
      </c>
      <c r="W19" s="54">
        <v>64.834874148212222</v>
      </c>
      <c r="X19" s="54">
        <v>26.388338157492662</v>
      </c>
      <c r="Y19" s="54">
        <v>156.11186824575762</v>
      </c>
      <c r="Z19" s="54">
        <v>63.538841152830187</v>
      </c>
      <c r="AA19" s="57">
        <v>0</v>
      </c>
      <c r="AB19" s="58">
        <v>99.375554884804671</v>
      </c>
      <c r="AC19" s="52">
        <v>0</v>
      </c>
      <c r="AD19" s="359">
        <v>16.370446432491399</v>
      </c>
      <c r="AE19" s="359">
        <v>6.7197786955816943</v>
      </c>
      <c r="AF19" s="52">
        <v>22.265026603142431</v>
      </c>
      <c r="AG19" s="58">
        <v>15.676753680255549</v>
      </c>
      <c r="AH19" s="58">
        <v>6.3805703760698682</v>
      </c>
      <c r="AI19" s="58">
        <v>0.71072781268586838</v>
      </c>
      <c r="AJ19" s="52">
        <v>266.07899494171147</v>
      </c>
      <c r="AK19" s="52">
        <v>892.17281668980911</v>
      </c>
      <c r="AL19" s="52">
        <v>2766.6513236999517</v>
      </c>
      <c r="AM19" s="52">
        <v>510.30152893066406</v>
      </c>
      <c r="AN19" s="52">
        <v>6515.7802734375</v>
      </c>
      <c r="AO19" s="52">
        <v>2904.8484066009519</v>
      </c>
      <c r="AP19" s="52">
        <v>832.09288849830625</v>
      </c>
      <c r="AQ19" s="52">
        <v>3100.5423366546634</v>
      </c>
      <c r="AR19" s="52">
        <v>493.4031306584676</v>
      </c>
      <c r="AS19" s="52">
        <v>584.15114593505859</v>
      </c>
    </row>
    <row r="20" spans="1:45" x14ac:dyDescent="0.25">
      <c r="A20" s="9">
        <v>44605</v>
      </c>
      <c r="B20" s="45"/>
      <c r="C20" s="46">
        <v>71.102589046955146</v>
      </c>
      <c r="D20" s="46">
        <v>1018.3398183186855</v>
      </c>
      <c r="E20" s="46">
        <v>16.248352851470287</v>
      </c>
      <c r="F20" s="46">
        <v>0</v>
      </c>
      <c r="G20" s="46">
        <v>1996.8456862131764</v>
      </c>
      <c r="H20" s="47">
        <v>26.987882520755178</v>
      </c>
      <c r="I20" s="45">
        <v>227.86262278556828</v>
      </c>
      <c r="J20" s="46">
        <v>578.62516021728641</v>
      </c>
      <c r="K20" s="46">
        <v>31.646943969527825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349.12619012360994</v>
      </c>
      <c r="V20" s="54">
        <v>147.28608177868657</v>
      </c>
      <c r="W20" s="54">
        <v>64.774850689114771</v>
      </c>
      <c r="X20" s="54">
        <v>27.326606326558689</v>
      </c>
      <c r="Y20" s="54">
        <v>159.04561480912756</v>
      </c>
      <c r="Z20" s="54">
        <v>67.096671896842878</v>
      </c>
      <c r="AA20" s="57">
        <v>0</v>
      </c>
      <c r="AB20" s="58">
        <v>99.361390368143233</v>
      </c>
      <c r="AC20" s="52">
        <v>0</v>
      </c>
      <c r="AD20" s="359">
        <v>16.37291900806698</v>
      </c>
      <c r="AE20" s="359">
        <v>6.7099328299134129</v>
      </c>
      <c r="AF20" s="52">
        <v>22.777806627750412</v>
      </c>
      <c r="AG20" s="58">
        <v>15.869535002650665</v>
      </c>
      <c r="AH20" s="58">
        <v>6.6948905476343068</v>
      </c>
      <c r="AI20" s="58">
        <v>0.70329887048466178</v>
      </c>
      <c r="AJ20" s="52">
        <v>235.57936832110087</v>
      </c>
      <c r="AK20" s="52">
        <v>841.53586489359509</v>
      </c>
      <c r="AL20" s="52">
        <v>2844.6713820139566</v>
      </c>
      <c r="AM20" s="52">
        <v>510.30152893066406</v>
      </c>
      <c r="AN20" s="52">
        <v>6515.7802734375</v>
      </c>
      <c r="AO20" s="52">
        <v>2744.5954641977951</v>
      </c>
      <c r="AP20" s="52">
        <v>610.86178698539732</v>
      </c>
      <c r="AQ20" s="52">
        <v>3187.3986034393311</v>
      </c>
      <c r="AR20" s="52">
        <v>471.30698199272149</v>
      </c>
      <c r="AS20" s="52">
        <v>585.29363644917828</v>
      </c>
    </row>
    <row r="21" spans="1:45" x14ac:dyDescent="0.25">
      <c r="A21" s="9">
        <v>44606</v>
      </c>
      <c r="B21" s="45"/>
      <c r="C21" s="46">
        <v>71.330956474940066</v>
      </c>
      <c r="D21" s="46">
        <v>1018.3338262557996</v>
      </c>
      <c r="E21" s="46">
        <v>16.620061503847406</v>
      </c>
      <c r="F21" s="46">
        <v>0</v>
      </c>
      <c r="G21" s="46">
        <v>1973.3205567677801</v>
      </c>
      <c r="H21" s="47">
        <v>26.810455097754815</v>
      </c>
      <c r="I21" s="45">
        <v>227.68639361063646</v>
      </c>
      <c r="J21" s="46">
        <v>578.41819750467982</v>
      </c>
      <c r="K21" s="46">
        <v>31.574841940402955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354.03015763086677</v>
      </c>
      <c r="V21" s="54">
        <v>149.85150605186251</v>
      </c>
      <c r="W21" s="54">
        <v>65.665882366297694</v>
      </c>
      <c r="X21" s="54">
        <v>27.794613415600789</v>
      </c>
      <c r="Y21" s="54">
        <v>162.14137273742199</v>
      </c>
      <c r="Z21" s="54">
        <v>68.630110668009081</v>
      </c>
      <c r="AA21" s="57">
        <v>0</v>
      </c>
      <c r="AB21" s="58">
        <v>99.231421544816712</v>
      </c>
      <c r="AC21" s="52">
        <v>0</v>
      </c>
      <c r="AD21" s="359">
        <v>16.365121972391748</v>
      </c>
      <c r="AE21" s="359">
        <v>6.710521375985814</v>
      </c>
      <c r="AF21" s="52">
        <v>22.714908686611366</v>
      </c>
      <c r="AG21" s="58">
        <v>15.815566428919514</v>
      </c>
      <c r="AH21" s="58">
        <v>6.6943066779863347</v>
      </c>
      <c r="AI21" s="58">
        <v>0.70260575676312564</v>
      </c>
      <c r="AJ21" s="52">
        <v>220.19747333526612</v>
      </c>
      <c r="AK21" s="52">
        <v>807.40491828918448</v>
      </c>
      <c r="AL21" s="52">
        <v>2844.983728281657</v>
      </c>
      <c r="AM21" s="52">
        <v>510.30152893066406</v>
      </c>
      <c r="AN21" s="52">
        <v>6515.7802734375</v>
      </c>
      <c r="AO21" s="52">
        <v>2687.9374468485516</v>
      </c>
      <c r="AP21" s="52">
        <v>555.53806540171308</v>
      </c>
      <c r="AQ21" s="52">
        <v>3160.1461493174238</v>
      </c>
      <c r="AR21" s="52">
        <v>449.40576279958094</v>
      </c>
      <c r="AS21" s="52">
        <v>614.19732815424607</v>
      </c>
    </row>
    <row r="22" spans="1:45" x14ac:dyDescent="0.25">
      <c r="A22" s="9">
        <v>44607</v>
      </c>
      <c r="B22" s="45"/>
      <c r="C22" s="46">
        <v>71.099999999999994</v>
      </c>
      <c r="D22" s="46">
        <v>1017.85</v>
      </c>
      <c r="E22" s="46">
        <v>17.059999999999999</v>
      </c>
      <c r="F22" s="46">
        <v>0</v>
      </c>
      <c r="G22" s="46">
        <v>1995.76</v>
      </c>
      <c r="H22" s="47">
        <v>26.88</v>
      </c>
      <c r="I22" s="45">
        <v>227.96</v>
      </c>
      <c r="J22" s="46">
        <v>578.08000000000004</v>
      </c>
      <c r="K22" s="46">
        <v>31.76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356.58</v>
      </c>
      <c r="V22" s="54">
        <v>150.44</v>
      </c>
      <c r="W22" s="54">
        <v>66.63</v>
      </c>
      <c r="X22" s="54">
        <v>28.11</v>
      </c>
      <c r="Y22" s="54">
        <v>160.43</v>
      </c>
      <c r="Z22" s="54">
        <v>67.69</v>
      </c>
      <c r="AA22" s="57">
        <v>0</v>
      </c>
      <c r="AB22" s="58">
        <v>99.27</v>
      </c>
      <c r="AC22" s="52">
        <v>0</v>
      </c>
      <c r="AD22" s="359">
        <v>16.36</v>
      </c>
      <c r="AE22" s="359">
        <v>6.71</v>
      </c>
      <c r="AF22" s="52">
        <v>22.84</v>
      </c>
      <c r="AG22" s="58">
        <v>15.92</v>
      </c>
      <c r="AH22" s="58">
        <v>6.72</v>
      </c>
      <c r="AI22" s="58">
        <v>0.7</v>
      </c>
      <c r="AJ22" s="52">
        <v>214.23</v>
      </c>
      <c r="AK22" s="52">
        <v>801.34</v>
      </c>
      <c r="AL22" s="52">
        <v>2847.39</v>
      </c>
      <c r="AM22" s="52">
        <v>510.3</v>
      </c>
      <c r="AN22" s="52">
        <v>6515.78</v>
      </c>
      <c r="AO22" s="52">
        <v>2675.44</v>
      </c>
      <c r="AP22" s="52">
        <v>543.19000000000005</v>
      </c>
      <c r="AQ22" s="52">
        <v>3121</v>
      </c>
      <c r="AR22" s="52">
        <v>454.25</v>
      </c>
      <c r="AS22" s="52">
        <v>598.97</v>
      </c>
    </row>
    <row r="23" spans="1:45" x14ac:dyDescent="0.25">
      <c r="A23" s="9">
        <v>44608</v>
      </c>
      <c r="B23" s="45"/>
      <c r="C23" s="46">
        <v>74.470795536041379</v>
      </c>
      <c r="D23" s="46">
        <v>1068.6569671630887</v>
      </c>
      <c r="E23" s="46">
        <v>16.151543314258248</v>
      </c>
      <c r="F23" s="46">
        <v>0</v>
      </c>
      <c r="G23" s="46">
        <v>2189.7654891967741</v>
      </c>
      <c r="H23" s="47">
        <v>28.380268134673482</v>
      </c>
      <c r="I23" s="45">
        <v>220.37777482668545</v>
      </c>
      <c r="J23" s="46">
        <v>559.9540940284727</v>
      </c>
      <c r="K23" s="46">
        <v>30.565181214610718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340.58701971036453</v>
      </c>
      <c r="V23" s="54">
        <v>155.67981764280765</v>
      </c>
      <c r="W23" s="54">
        <v>63.326479554502384</v>
      </c>
      <c r="X23" s="54">
        <v>28.946067285211651</v>
      </c>
      <c r="Y23" s="54">
        <v>155.58016675186249</v>
      </c>
      <c r="Z23" s="54">
        <v>71.114548080443157</v>
      </c>
      <c r="AA23" s="57">
        <v>0</v>
      </c>
      <c r="AB23" s="58">
        <v>98.343203449248819</v>
      </c>
      <c r="AC23" s="52">
        <v>0</v>
      </c>
      <c r="AD23" s="359">
        <v>15.845015479735277</v>
      </c>
      <c r="AE23" s="359">
        <v>7.0436157202331486</v>
      </c>
      <c r="AF23" s="52">
        <v>22.39534807470115</v>
      </c>
      <c r="AG23" s="58">
        <v>15.229726374590573</v>
      </c>
      <c r="AH23" s="58">
        <v>6.9613957301202651</v>
      </c>
      <c r="AI23" s="58">
        <v>0.68629816476732075</v>
      </c>
      <c r="AJ23" s="52">
        <v>247.85545682112382</v>
      </c>
      <c r="AK23" s="52">
        <v>848.8109278678894</v>
      </c>
      <c r="AL23" s="52">
        <v>2849.7043455759685</v>
      </c>
      <c r="AM23" s="52">
        <v>504.86736106872559</v>
      </c>
      <c r="AN23" s="52">
        <v>6515.7802734375</v>
      </c>
      <c r="AO23" s="52">
        <v>2774.7226903279625</v>
      </c>
      <c r="AP23" s="52">
        <v>645.72410602569585</v>
      </c>
      <c r="AQ23" s="52">
        <v>3023.9904647827157</v>
      </c>
      <c r="AR23" s="52">
        <v>495.2188560167948</v>
      </c>
      <c r="AS23" s="52">
        <v>562.92428849538169</v>
      </c>
    </row>
    <row r="24" spans="1:45" x14ac:dyDescent="0.25">
      <c r="A24" s="9">
        <v>44609</v>
      </c>
      <c r="B24" s="45"/>
      <c r="C24" s="46">
        <v>79.248046827316259</v>
      </c>
      <c r="D24" s="46">
        <v>1134.666549237571</v>
      </c>
      <c r="E24" s="46">
        <v>18.475280198454854</v>
      </c>
      <c r="F24" s="46">
        <v>0</v>
      </c>
      <c r="G24" s="46">
        <v>2395.3978377024305</v>
      </c>
      <c r="H24" s="47">
        <v>30.197870693604219</v>
      </c>
      <c r="I24" s="45">
        <v>218.00648725827534</v>
      </c>
      <c r="J24" s="46">
        <v>551.44992456436091</v>
      </c>
      <c r="K24" s="46">
        <v>30.197856644789336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339.25653944128629</v>
      </c>
      <c r="V24" s="54">
        <v>161.13992316874655</v>
      </c>
      <c r="W24" s="54">
        <v>61.100529094298821</v>
      </c>
      <c r="X24" s="54">
        <v>29.02150266591703</v>
      </c>
      <c r="Y24" s="54">
        <v>144.1502499354529</v>
      </c>
      <c r="Z24" s="54">
        <v>68.468422856663992</v>
      </c>
      <c r="AA24" s="57">
        <v>0</v>
      </c>
      <c r="AB24" s="58">
        <v>99.148136165406029</v>
      </c>
      <c r="AC24" s="52">
        <v>0</v>
      </c>
      <c r="AD24" s="359">
        <v>15.604581802689861</v>
      </c>
      <c r="AE24" s="359">
        <v>7.4787339157348658</v>
      </c>
      <c r="AF24" s="52">
        <v>22.394959763685847</v>
      </c>
      <c r="AG24" s="58">
        <v>15.041592519503777</v>
      </c>
      <c r="AH24" s="58">
        <v>7.1444490559272138</v>
      </c>
      <c r="AI24" s="58">
        <v>0.67797549501398946</v>
      </c>
      <c r="AJ24" s="52">
        <v>277.33305252393086</v>
      </c>
      <c r="AK24" s="52">
        <v>906.13749424616515</v>
      </c>
      <c r="AL24" s="52">
        <v>2799.6964207967121</v>
      </c>
      <c r="AM24" s="52">
        <v>496.45161437988281</v>
      </c>
      <c r="AN24" s="52">
        <v>6515.7802734375</v>
      </c>
      <c r="AO24" s="52">
        <v>2946.1523756663</v>
      </c>
      <c r="AP24" s="52">
        <v>959.30724700291967</v>
      </c>
      <c r="AQ24" s="52">
        <v>3024.3218121846521</v>
      </c>
      <c r="AR24" s="52">
        <v>508.16211363474525</v>
      </c>
      <c r="AS24" s="52">
        <v>622.34283024470005</v>
      </c>
    </row>
    <row r="25" spans="1:45" x14ac:dyDescent="0.25">
      <c r="A25" s="9">
        <v>44610</v>
      </c>
      <c r="B25" s="45"/>
      <c r="C25" s="46">
        <v>79.133400984605146</v>
      </c>
      <c r="D25" s="46">
        <v>1132.683406130473</v>
      </c>
      <c r="E25" s="46">
        <v>19.028499251604089</v>
      </c>
      <c r="F25" s="46">
        <v>0</v>
      </c>
      <c r="G25" s="46">
        <v>2333.2124341328963</v>
      </c>
      <c r="H25" s="47">
        <v>29.97728039622309</v>
      </c>
      <c r="I25" s="45">
        <v>217.68189368247999</v>
      </c>
      <c r="J25" s="46">
        <v>551.9878574053447</v>
      </c>
      <c r="K25" s="46">
        <v>30.292837961514753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337.817501314955</v>
      </c>
      <c r="V25" s="54">
        <v>166.89893566454924</v>
      </c>
      <c r="W25" s="54">
        <v>61.640452575955024</v>
      </c>
      <c r="X25" s="54">
        <v>30.453501931554854</v>
      </c>
      <c r="Y25" s="54">
        <v>143.14575281469192</v>
      </c>
      <c r="Z25" s="54">
        <v>70.72124356102772</v>
      </c>
      <c r="AA25" s="57">
        <v>0</v>
      </c>
      <c r="AB25" s="58">
        <v>99.02161576482959</v>
      </c>
      <c r="AC25" s="52">
        <v>0</v>
      </c>
      <c r="AD25" s="359">
        <v>15.622238293474281</v>
      </c>
      <c r="AE25" s="359">
        <v>7.4623238080447685</v>
      </c>
      <c r="AF25" s="52">
        <v>22.524471080303169</v>
      </c>
      <c r="AG25" s="58">
        <v>14.943082488794889</v>
      </c>
      <c r="AH25" s="58">
        <v>7.3826387123804773</v>
      </c>
      <c r="AI25" s="58">
        <v>0.66932137842911832</v>
      </c>
      <c r="AJ25" s="52">
        <v>248.17825340429945</v>
      </c>
      <c r="AK25" s="52">
        <v>850.11391846338893</v>
      </c>
      <c r="AL25" s="52">
        <v>2800.1576955159503</v>
      </c>
      <c r="AM25" s="52">
        <v>522.13296623229985</v>
      </c>
      <c r="AN25" s="52">
        <v>6515.7802734375</v>
      </c>
      <c r="AO25" s="52">
        <v>2846.5312820434569</v>
      </c>
      <c r="AP25" s="52">
        <v>766.63322372436528</v>
      </c>
      <c r="AQ25" s="52">
        <v>3111.5239134470617</v>
      </c>
      <c r="AR25" s="52">
        <v>486.21763728459683</v>
      </c>
      <c r="AS25" s="52">
        <v>623.51716807683317</v>
      </c>
    </row>
    <row r="26" spans="1:45" x14ac:dyDescent="0.25">
      <c r="A26" s="9">
        <v>44611</v>
      </c>
      <c r="B26" s="45"/>
      <c r="C26" s="46">
        <v>79.07707388401036</v>
      </c>
      <c r="D26" s="46">
        <v>1132.0547674814882</v>
      </c>
      <c r="E26" s="46">
        <v>19.010306981205957</v>
      </c>
      <c r="F26" s="46">
        <v>0</v>
      </c>
      <c r="G26" s="46">
        <v>2349.4185201009122</v>
      </c>
      <c r="H26" s="47">
        <v>30.061766797304184</v>
      </c>
      <c r="I26" s="45">
        <v>217.42613374392209</v>
      </c>
      <c r="J26" s="46">
        <v>551.87557964324935</v>
      </c>
      <c r="K26" s="46">
        <v>30.257179367542236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343.41948063649983</v>
      </c>
      <c r="V26" s="54">
        <v>168.91175575774645</v>
      </c>
      <c r="W26" s="54">
        <v>64.322041763291736</v>
      </c>
      <c r="X26" s="54">
        <v>31.636961852087659</v>
      </c>
      <c r="Y26" s="54">
        <v>143.99709234827921</v>
      </c>
      <c r="Z26" s="54">
        <v>70.825340622721455</v>
      </c>
      <c r="AA26" s="57">
        <v>0</v>
      </c>
      <c r="AB26" s="52">
        <v>99.07000968191322</v>
      </c>
      <c r="AC26" s="52">
        <v>0</v>
      </c>
      <c r="AD26" s="359">
        <v>15.618293419083127</v>
      </c>
      <c r="AE26" s="359">
        <v>7.458108366391933</v>
      </c>
      <c r="AF26" s="52">
        <v>22.967256764570855</v>
      </c>
      <c r="AG26" s="52">
        <v>15.24857839328017</v>
      </c>
      <c r="AH26" s="52">
        <v>7.5000525434515461</v>
      </c>
      <c r="AI26" s="52">
        <v>0.67030752029383112</v>
      </c>
      <c r="AJ26" s="52">
        <v>224.3180301507314</v>
      </c>
      <c r="AK26" s="52">
        <v>812.54902636210113</v>
      </c>
      <c r="AL26" s="52">
        <v>2849.4097287495933</v>
      </c>
      <c r="AM26" s="52">
        <v>660.08500671386719</v>
      </c>
      <c r="AN26" s="52">
        <v>6515.7802734375</v>
      </c>
      <c r="AO26" s="52">
        <v>2759.7902402242034</v>
      </c>
      <c r="AP26" s="52">
        <v>563.4023015499115</v>
      </c>
      <c r="AQ26" s="52">
        <v>3161.152098592122</v>
      </c>
      <c r="AR26" s="52">
        <v>466.76604509353643</v>
      </c>
      <c r="AS26" s="52">
        <v>576.89923648834224</v>
      </c>
    </row>
    <row r="27" spans="1:45" x14ac:dyDescent="0.25">
      <c r="A27" s="9">
        <v>44612</v>
      </c>
      <c r="B27" s="45"/>
      <c r="C27" s="46">
        <v>79.075719734032944</v>
      </c>
      <c r="D27" s="46">
        <v>1131.7853923797595</v>
      </c>
      <c r="E27" s="46">
        <v>19.054744229714093</v>
      </c>
      <c r="F27" s="46">
        <v>0</v>
      </c>
      <c r="G27" s="46">
        <v>2323.7738718668666</v>
      </c>
      <c r="H27" s="47">
        <v>29.863026279211102</v>
      </c>
      <c r="I27" s="45">
        <v>218.84795482953382</v>
      </c>
      <c r="J27" s="46">
        <v>555.67000970840479</v>
      </c>
      <c r="K27" s="46">
        <v>30.377137629191054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340.46065958776603</v>
      </c>
      <c r="V27" s="54">
        <v>167.35813631575877</v>
      </c>
      <c r="W27" s="54">
        <v>62.846436289441584</v>
      </c>
      <c r="X27" s="54">
        <v>30.893033175178505</v>
      </c>
      <c r="Y27" s="54">
        <v>142.69332498702616</v>
      </c>
      <c r="Z27" s="54">
        <v>70.142873374688463</v>
      </c>
      <c r="AA27" s="57">
        <v>0</v>
      </c>
      <c r="AB27" s="58">
        <v>99.524934445486537</v>
      </c>
      <c r="AC27" s="52">
        <v>0</v>
      </c>
      <c r="AD27" s="359">
        <v>15.724084776348725</v>
      </c>
      <c r="AE27" s="359">
        <v>7.4561564857133611</v>
      </c>
      <c r="AF27" s="52">
        <v>22.624426990085144</v>
      </c>
      <c r="AG27" s="58">
        <v>15.001662788871078</v>
      </c>
      <c r="AH27" s="58">
        <v>7.3742743993472173</v>
      </c>
      <c r="AI27" s="58">
        <v>0.67043729443296662</v>
      </c>
      <c r="AJ27" s="52">
        <v>212.15926918188734</v>
      </c>
      <c r="AK27" s="52">
        <v>801.68452018102005</v>
      </c>
      <c r="AL27" s="52">
        <v>2891.276218795776</v>
      </c>
      <c r="AM27" s="52">
        <v>660.08500671386719</v>
      </c>
      <c r="AN27" s="52">
        <v>6515.7802734375</v>
      </c>
      <c r="AO27" s="52">
        <v>2711.6832590738932</v>
      </c>
      <c r="AP27" s="52">
        <v>531.50350869496663</v>
      </c>
      <c r="AQ27" s="52">
        <v>3186.8730467478431</v>
      </c>
      <c r="AR27" s="52">
        <v>452.31838412284844</v>
      </c>
      <c r="AS27" s="52">
        <v>576.93362588882451</v>
      </c>
    </row>
    <row r="28" spans="1:45" s="19" customFormat="1" ht="15" customHeight="1" x14ac:dyDescent="0.25">
      <c r="A28" s="353">
        <v>44613</v>
      </c>
      <c r="B28" s="326"/>
      <c r="C28" s="327">
        <v>79.280399088064883</v>
      </c>
      <c r="D28" s="327">
        <v>1134.6457323074337</v>
      </c>
      <c r="E28" s="327">
        <v>19.097009437779604</v>
      </c>
      <c r="F28" s="327">
        <v>0</v>
      </c>
      <c r="G28" s="327">
        <v>2382.4470932006816</v>
      </c>
      <c r="H28" s="328">
        <v>30.025454262892499</v>
      </c>
      <c r="I28" s="326">
        <v>218.89538326263428</v>
      </c>
      <c r="J28" s="327">
        <v>555.78781210581406</v>
      </c>
      <c r="K28" s="327">
        <v>30.363323966662051</v>
      </c>
      <c r="L28" s="46">
        <v>0</v>
      </c>
      <c r="M28" s="327">
        <v>0</v>
      </c>
      <c r="N28" s="328">
        <v>0</v>
      </c>
      <c r="O28" s="326">
        <v>0</v>
      </c>
      <c r="P28" s="327">
        <v>0</v>
      </c>
      <c r="Q28" s="327">
        <v>0</v>
      </c>
      <c r="R28" s="327">
        <v>0</v>
      </c>
      <c r="S28" s="327">
        <v>0</v>
      </c>
      <c r="T28" s="328">
        <v>0</v>
      </c>
      <c r="U28" s="326">
        <v>336.22748633824597</v>
      </c>
      <c r="V28" s="327">
        <v>159.58797469335039</v>
      </c>
      <c r="W28" s="327">
        <v>62.646020810789523</v>
      </c>
      <c r="X28" s="327">
        <v>29.734486292812509</v>
      </c>
      <c r="Y28" s="327">
        <v>142.43500522289443</v>
      </c>
      <c r="Z28" s="327">
        <v>67.605757805568373</v>
      </c>
      <c r="AA28" s="328">
        <v>0</v>
      </c>
      <c r="AB28" s="330">
        <v>99.646565262476088</v>
      </c>
      <c r="AC28" s="331">
        <v>0</v>
      </c>
      <c r="AD28" s="359">
        <v>15.726341216600353</v>
      </c>
      <c r="AE28" s="359">
        <v>7.4772728808005251</v>
      </c>
      <c r="AF28" s="331">
        <v>22.390359833505407</v>
      </c>
      <c r="AG28" s="331">
        <v>14.961559419334113</v>
      </c>
      <c r="AH28" s="331">
        <v>7.1013973068927871</v>
      </c>
      <c r="AI28" s="331">
        <v>0.67813029799169477</v>
      </c>
      <c r="AJ28" s="331">
        <v>234.83114352226258</v>
      </c>
      <c r="AK28" s="331">
        <v>834.36192547480266</v>
      </c>
      <c r="AL28" s="331">
        <v>2898.5088057200114</v>
      </c>
      <c r="AM28" s="331">
        <v>495.39365943272907</v>
      </c>
      <c r="AN28" s="331">
        <v>6515.7802734375</v>
      </c>
      <c r="AO28" s="331">
        <v>2750.2467542012532</v>
      </c>
      <c r="AP28" s="331">
        <v>587.51088864008602</v>
      </c>
      <c r="AQ28" s="331">
        <v>3128.5136829376229</v>
      </c>
      <c r="AR28" s="331">
        <v>489.48454516728714</v>
      </c>
      <c r="AS28" s="331">
        <v>591.20973889032996</v>
      </c>
    </row>
    <row r="29" spans="1:45" x14ac:dyDescent="0.25">
      <c r="A29" s="9">
        <v>44614</v>
      </c>
      <c r="B29" s="45"/>
      <c r="C29" s="46">
        <v>79.137932320435993</v>
      </c>
      <c r="D29" s="46">
        <v>1132.7295466105131</v>
      </c>
      <c r="E29" s="46">
        <v>18.531000169118201</v>
      </c>
      <c r="F29" s="46">
        <v>0</v>
      </c>
      <c r="G29" s="46">
        <v>2489.8598771413222</v>
      </c>
      <c r="H29" s="47">
        <v>29.960693544149475</v>
      </c>
      <c r="I29" s="45">
        <v>220.07505413691194</v>
      </c>
      <c r="J29" s="46">
        <v>555.31297232309896</v>
      </c>
      <c r="K29" s="46">
        <v>30.339927404125469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340.87324944238947</v>
      </c>
      <c r="V29" s="54">
        <v>167.62189491423067</v>
      </c>
      <c r="W29" s="54">
        <v>63.02594827612927</v>
      </c>
      <c r="X29" s="54">
        <v>30.99254311123811</v>
      </c>
      <c r="Y29" s="54">
        <v>135.15980146915518</v>
      </c>
      <c r="Z29" s="54">
        <v>66.463830985716669</v>
      </c>
      <c r="AA29" s="57">
        <v>0</v>
      </c>
      <c r="AB29" s="58">
        <v>99.559557930627975</v>
      </c>
      <c r="AC29" s="52">
        <v>0</v>
      </c>
      <c r="AD29" s="359">
        <v>15.713198907347824</v>
      </c>
      <c r="AE29" s="359">
        <v>7.4670583919035787</v>
      </c>
      <c r="AF29" s="52">
        <v>22.950546122259556</v>
      </c>
      <c r="AG29" s="58">
        <v>15.17295089410208</v>
      </c>
      <c r="AH29" s="58">
        <v>7.4611861871543077</v>
      </c>
      <c r="AI29" s="58">
        <v>0.67035694091766329</v>
      </c>
      <c r="AJ29" s="52">
        <v>339.60507818857832</v>
      </c>
      <c r="AK29" s="52">
        <v>1042.7075152397158</v>
      </c>
      <c r="AL29" s="52">
        <v>2757.8706583658859</v>
      </c>
      <c r="AM29" s="52">
        <v>466.4886474609375</v>
      </c>
      <c r="AN29" s="52">
        <v>6515.7802734375</v>
      </c>
      <c r="AO29" s="52">
        <v>3028.8318013509111</v>
      </c>
      <c r="AP29" s="52">
        <v>1200.3149355888365</v>
      </c>
      <c r="AQ29" s="52">
        <v>3168.6383333841959</v>
      </c>
      <c r="AR29" s="52">
        <v>579.37460975646968</v>
      </c>
      <c r="AS29" s="52">
        <v>645.95970417658498</v>
      </c>
    </row>
    <row r="30" spans="1:45" x14ac:dyDescent="0.25">
      <c r="A30" s="9">
        <v>44615</v>
      </c>
      <c r="B30" s="45"/>
      <c r="C30" s="46">
        <v>79.400363047917864</v>
      </c>
      <c r="D30" s="46">
        <v>1135.2384046554541</v>
      </c>
      <c r="E30" s="46">
        <v>17.801467845837248</v>
      </c>
      <c r="F30" s="46">
        <v>0</v>
      </c>
      <c r="G30" s="46">
        <v>2569.9637830098482</v>
      </c>
      <c r="H30" s="47">
        <v>29.994170117378296</v>
      </c>
      <c r="I30" s="45">
        <v>220.43663078943871</v>
      </c>
      <c r="J30" s="46">
        <v>559.25238599777174</v>
      </c>
      <c r="K30" s="46">
        <v>30.53929649988806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333.96163191503143</v>
      </c>
      <c r="V30" s="54">
        <v>151.46155120823863</v>
      </c>
      <c r="W30" s="54">
        <v>61.584942698995825</v>
      </c>
      <c r="X30" s="54">
        <v>27.930606575289527</v>
      </c>
      <c r="Y30" s="54">
        <v>128.7167365504242</v>
      </c>
      <c r="Z30" s="54">
        <v>58.376875429060171</v>
      </c>
      <c r="AA30" s="57">
        <v>0</v>
      </c>
      <c r="AB30" s="58">
        <v>100.06645172437065</v>
      </c>
      <c r="AC30" s="52">
        <v>0</v>
      </c>
      <c r="AD30" s="359">
        <v>15.826027244935382</v>
      </c>
      <c r="AE30" s="359">
        <v>7.4824009292892795</v>
      </c>
      <c r="AF30" s="52">
        <v>21.786520226134215</v>
      </c>
      <c r="AG30" s="58">
        <v>14.770811667641327</v>
      </c>
      <c r="AH30" s="58">
        <v>6.6990032206900674</v>
      </c>
      <c r="AI30" s="58">
        <v>0.68798039221423846</v>
      </c>
      <c r="AJ30" s="52">
        <v>354.70953795909878</v>
      </c>
      <c r="AK30" s="52">
        <v>1086.6814960161844</v>
      </c>
      <c r="AL30" s="52">
        <v>2865.1099793752037</v>
      </c>
      <c r="AM30" s="52">
        <v>466.4886474609375</v>
      </c>
      <c r="AN30" s="52">
        <v>6515.7802734375</v>
      </c>
      <c r="AO30" s="52">
        <v>3138.2295839945473</v>
      </c>
      <c r="AP30" s="52">
        <v>1230.8937265396119</v>
      </c>
      <c r="AQ30" s="52">
        <v>3138.3186515808106</v>
      </c>
      <c r="AR30" s="52">
        <v>564.24337320327754</v>
      </c>
      <c r="AS30" s="52">
        <v>662.63905042012539</v>
      </c>
    </row>
    <row r="31" spans="1:45" x14ac:dyDescent="0.25">
      <c r="A31" s="9">
        <v>44616</v>
      </c>
      <c r="B31" s="45"/>
      <c r="C31" s="46">
        <v>79.209999999999994</v>
      </c>
      <c r="D31" s="46">
        <v>1133.28</v>
      </c>
      <c r="E31" s="46">
        <v>18.579999999999998</v>
      </c>
      <c r="F31" s="46">
        <v>0</v>
      </c>
      <c r="G31" s="46">
        <v>2542.9699999999998</v>
      </c>
      <c r="H31" s="47">
        <v>29.97</v>
      </c>
      <c r="I31" s="45">
        <v>219.96</v>
      </c>
      <c r="J31" s="46">
        <v>558.48</v>
      </c>
      <c r="K31" s="46">
        <v>30.61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342.83</v>
      </c>
      <c r="V31" s="54">
        <v>168.65</v>
      </c>
      <c r="W31" s="54">
        <v>63.76</v>
      </c>
      <c r="X31" s="54">
        <v>31.37</v>
      </c>
      <c r="Y31" s="54">
        <v>131.58000000000001</v>
      </c>
      <c r="Z31" s="54">
        <v>64.73</v>
      </c>
      <c r="AA31" s="57">
        <v>0</v>
      </c>
      <c r="AB31" s="58">
        <v>99.93</v>
      </c>
      <c r="AC31" s="52">
        <v>0</v>
      </c>
      <c r="AD31" s="359">
        <v>15.81</v>
      </c>
      <c r="AE31" s="359">
        <v>7.46</v>
      </c>
      <c r="AF31" s="52">
        <v>22.71</v>
      </c>
      <c r="AG31" s="58">
        <v>15.01</v>
      </c>
      <c r="AH31" s="58">
        <v>7.38</v>
      </c>
      <c r="AI31" s="58">
        <v>0.67</v>
      </c>
      <c r="AJ31" s="52">
        <v>327.32</v>
      </c>
      <c r="AK31" s="52">
        <v>1022.92</v>
      </c>
      <c r="AL31" s="52">
        <v>2890.49</v>
      </c>
      <c r="AM31" s="52">
        <v>466.49</v>
      </c>
      <c r="AN31" s="52">
        <v>6515.78</v>
      </c>
      <c r="AO31" s="52">
        <v>3103.79</v>
      </c>
      <c r="AP31" s="52">
        <v>1189.6199999999999</v>
      </c>
      <c r="AQ31" s="52">
        <v>3188.82</v>
      </c>
      <c r="AR31" s="52">
        <v>540.15</v>
      </c>
      <c r="AS31" s="52">
        <v>643.13</v>
      </c>
    </row>
    <row r="32" spans="1:45" x14ac:dyDescent="0.25">
      <c r="A32" s="9">
        <v>44617</v>
      </c>
      <c r="B32" s="45"/>
      <c r="C32" s="46">
        <v>78.6077520747981</v>
      </c>
      <c r="D32" s="46">
        <v>1118.4476440986014</v>
      </c>
      <c r="E32" s="46">
        <v>17.594955894847725</v>
      </c>
      <c r="F32" s="46">
        <v>0</v>
      </c>
      <c r="G32" s="46">
        <v>2445.7607168197628</v>
      </c>
      <c r="H32" s="47">
        <v>29.894787293672611</v>
      </c>
      <c r="I32" s="45">
        <v>203.59529312451676</v>
      </c>
      <c r="J32" s="46">
        <v>530.35363823572743</v>
      </c>
      <c r="K32" s="46">
        <v>28.875726409256462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253.75846190013374</v>
      </c>
      <c r="V32" s="54">
        <v>133.50155386304459</v>
      </c>
      <c r="W32" s="54">
        <v>46.398952438072349</v>
      </c>
      <c r="X32" s="54">
        <v>24.410347547495498</v>
      </c>
      <c r="Y32" s="54">
        <v>95.417104671173888</v>
      </c>
      <c r="Z32" s="54">
        <v>50.198648129131698</v>
      </c>
      <c r="AA32" s="57">
        <v>0</v>
      </c>
      <c r="AB32" s="58">
        <v>95.63235281043562</v>
      </c>
      <c r="AC32" s="52">
        <v>0</v>
      </c>
      <c r="AD32" s="359">
        <v>15.147852259126307</v>
      </c>
      <c r="AE32" s="359">
        <v>7.4622855662805723</v>
      </c>
      <c r="AF32" s="52">
        <v>16.178998271293107</v>
      </c>
      <c r="AG32" s="58">
        <v>11.124906140609657</v>
      </c>
      <c r="AH32" s="58">
        <v>5.8527792343587395</v>
      </c>
      <c r="AI32" s="58">
        <v>0.65526636257566806</v>
      </c>
      <c r="AJ32" s="52">
        <v>301.16896378199266</v>
      </c>
      <c r="AK32" s="52">
        <v>977.62987381617222</v>
      </c>
      <c r="AL32" s="52">
        <v>2769.0625398000084</v>
      </c>
      <c r="AM32" s="52">
        <v>426.21556838353479</v>
      </c>
      <c r="AN32" s="52">
        <v>6515.7802734375</v>
      </c>
      <c r="AO32" s="52">
        <v>2919.7551923116048</v>
      </c>
      <c r="AP32" s="52">
        <v>1151.1235792795817</v>
      </c>
      <c r="AQ32" s="52">
        <v>2541.8171351432802</v>
      </c>
      <c r="AR32" s="52">
        <v>521.47797571818035</v>
      </c>
      <c r="AS32" s="52">
        <v>613.58238693873079</v>
      </c>
    </row>
    <row r="33" spans="1:45" x14ac:dyDescent="0.25">
      <c r="A33" s="9">
        <v>44618</v>
      </c>
      <c r="B33" s="45"/>
      <c r="C33" s="46">
        <v>79.096160312493623</v>
      </c>
      <c r="D33" s="46">
        <v>1137.4149699529009</v>
      </c>
      <c r="E33" s="46">
        <v>18.081648061672848</v>
      </c>
      <c r="F33" s="46">
        <v>0</v>
      </c>
      <c r="G33" s="46">
        <v>2376.1489045461021</v>
      </c>
      <c r="H33" s="47">
        <v>29.220428423086858</v>
      </c>
      <c r="I33" s="45">
        <v>181.21294581890118</v>
      </c>
      <c r="J33" s="46">
        <v>465.03824717203781</v>
      </c>
      <c r="K33" s="46">
        <v>25.393853019177893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246.3506498812001</v>
      </c>
      <c r="V33" s="54">
        <v>168.5333722804979</v>
      </c>
      <c r="W33" s="54">
        <v>44.403310370253315</v>
      </c>
      <c r="X33" s="54">
        <v>30.377186505191695</v>
      </c>
      <c r="Y33" s="54">
        <v>82.381540916075835</v>
      </c>
      <c r="Z33" s="54">
        <v>56.358848295896536</v>
      </c>
      <c r="AA33" s="57">
        <v>0</v>
      </c>
      <c r="AB33" s="58">
        <v>88.216498555077351</v>
      </c>
      <c r="AC33" s="52">
        <v>0</v>
      </c>
      <c r="AD33" s="359">
        <v>13.157749940255233</v>
      </c>
      <c r="AE33" s="359">
        <v>7.459603925108981</v>
      </c>
      <c r="AF33" s="52">
        <v>18.219808844725282</v>
      </c>
      <c r="AG33" s="58">
        <v>10.674266736341771</v>
      </c>
      <c r="AH33" s="58">
        <v>7.3024778727588373</v>
      </c>
      <c r="AI33" s="58">
        <v>0.5937819648913516</v>
      </c>
      <c r="AJ33" s="52">
        <v>277.71636418501538</v>
      </c>
      <c r="AK33" s="52">
        <v>920.55453100204465</v>
      </c>
      <c r="AL33" s="52">
        <v>2793.6352701822921</v>
      </c>
      <c r="AM33" s="52">
        <v>624.9722900390625</v>
      </c>
      <c r="AN33" s="52">
        <v>6515.7802734375</v>
      </c>
      <c r="AO33" s="52">
        <v>2997.8923722585037</v>
      </c>
      <c r="AP33" s="52">
        <v>912.41905396779384</v>
      </c>
      <c r="AQ33" s="52">
        <v>2374.170132954916</v>
      </c>
      <c r="AR33" s="52">
        <v>520.2065511067708</v>
      </c>
      <c r="AS33" s="52">
        <v>606.50162185033162</v>
      </c>
    </row>
    <row r="34" spans="1:45" x14ac:dyDescent="0.25">
      <c r="A34" s="9">
        <v>44620</v>
      </c>
      <c r="B34" s="45"/>
      <c r="C34" s="46">
        <v>79.145244483153263</v>
      </c>
      <c r="D34" s="46">
        <v>1170.7435976028423</v>
      </c>
      <c r="E34" s="46">
        <v>17.95656932791071</v>
      </c>
      <c r="F34" s="46">
        <v>0</v>
      </c>
      <c r="G34" s="46">
        <v>2423.6570481618223</v>
      </c>
      <c r="H34" s="47">
        <v>29.130501927932162</v>
      </c>
      <c r="I34" s="45">
        <v>193.98899672826127</v>
      </c>
      <c r="J34" s="46">
        <v>552.96621494293254</v>
      </c>
      <c r="K34" s="46">
        <v>30.321754685044251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330.69625741057536</v>
      </c>
      <c r="V34" s="54">
        <v>162.65364650143511</v>
      </c>
      <c r="W34" s="54">
        <v>62.669601063972166</v>
      </c>
      <c r="X34" s="54">
        <v>30.82417447860513</v>
      </c>
      <c r="Y34" s="54">
        <v>124.22175631723299</v>
      </c>
      <c r="Z34" s="54">
        <v>61.098730895901831</v>
      </c>
      <c r="AA34" s="57">
        <v>0</v>
      </c>
      <c r="AB34" s="58">
        <v>99.219561529159662</v>
      </c>
      <c r="AC34" s="52">
        <v>0</v>
      </c>
      <c r="AD34" s="359">
        <v>15.647259015165648</v>
      </c>
      <c r="AE34" s="359">
        <v>7.4556957477382237</v>
      </c>
      <c r="AF34" s="52">
        <v>22.711109933588226</v>
      </c>
      <c r="AG34" s="58">
        <v>15.052900885399513</v>
      </c>
      <c r="AH34" s="58">
        <v>7.4038008128864119</v>
      </c>
      <c r="AI34" s="58">
        <v>0.67030773653409981</v>
      </c>
      <c r="AJ34" s="52">
        <v>218.29115537802377</v>
      </c>
      <c r="AK34" s="52">
        <v>797.41651976903302</v>
      </c>
      <c r="AL34" s="52">
        <v>3028.5860534667972</v>
      </c>
      <c r="AM34" s="52">
        <v>483.53583755493162</v>
      </c>
      <c r="AN34" s="52">
        <v>6545.0105224609379</v>
      </c>
      <c r="AO34" s="52">
        <v>2849.7755884806315</v>
      </c>
      <c r="AP34" s="52">
        <v>539.41088012059538</v>
      </c>
      <c r="AQ34" s="52">
        <v>2971.6046063741055</v>
      </c>
      <c r="AR34" s="52">
        <v>475.51428966522212</v>
      </c>
      <c r="AS34" s="52">
        <v>628.98052088419593</v>
      </c>
    </row>
    <row r="35" spans="1:45" x14ac:dyDescent="0.25">
      <c r="A35" s="9"/>
      <c r="B35" s="45"/>
      <c r="C35" s="46"/>
      <c r="D35" s="46"/>
      <c r="E35" s="46"/>
      <c r="F35" s="46"/>
      <c r="G35" s="46"/>
      <c r="H35" s="47"/>
      <c r="I35" s="45"/>
      <c r="J35" s="46"/>
      <c r="K35" s="46"/>
      <c r="L35" s="46"/>
      <c r="M35" s="46"/>
      <c r="N35" s="47"/>
      <c r="O35" s="45"/>
      <c r="P35" s="46"/>
      <c r="Q35" s="46"/>
      <c r="R35" s="55"/>
      <c r="S35" s="46"/>
      <c r="T35" s="48"/>
      <c r="U35" s="56"/>
      <c r="V35" s="54"/>
      <c r="W35" s="54"/>
      <c r="X35" s="54"/>
      <c r="Y35" s="54"/>
      <c r="Z35" s="54"/>
      <c r="AA35" s="57"/>
      <c r="AB35" s="58"/>
      <c r="AC35" s="52"/>
      <c r="AD35" s="359"/>
      <c r="AE35" s="359"/>
      <c r="AF35" s="52"/>
      <c r="AG35" s="58"/>
      <c r="AH35" s="58"/>
      <c r="AI35" s="58"/>
      <c r="AJ35" s="52"/>
      <c r="AK35" s="52"/>
      <c r="AL35" s="52"/>
      <c r="AM35" s="52"/>
      <c r="AN35" s="52"/>
      <c r="AO35" s="52"/>
      <c r="AP35" s="52"/>
      <c r="AQ35" s="52"/>
      <c r="AR35" s="52"/>
      <c r="AS35" s="52"/>
    </row>
    <row r="36" spans="1:45" x14ac:dyDescent="0.25">
      <c r="A36" s="9"/>
      <c r="B36" s="45"/>
      <c r="C36" s="46"/>
      <c r="D36" s="46"/>
      <c r="E36" s="46"/>
      <c r="F36" s="46"/>
      <c r="G36" s="46"/>
      <c r="H36" s="47"/>
      <c r="I36" s="45"/>
      <c r="J36" s="46"/>
      <c r="K36" s="46"/>
      <c r="L36" s="46"/>
      <c r="M36" s="46"/>
      <c r="N36" s="47"/>
      <c r="O36" s="45"/>
      <c r="P36" s="46"/>
      <c r="Q36" s="46"/>
      <c r="R36" s="55"/>
      <c r="S36" s="46"/>
      <c r="T36" s="48"/>
      <c r="U36" s="56"/>
      <c r="V36" s="54"/>
      <c r="W36" s="54"/>
      <c r="X36" s="54"/>
      <c r="Y36" s="54"/>
      <c r="Z36" s="54"/>
      <c r="AA36" s="57"/>
      <c r="AB36" s="58"/>
      <c r="AC36" s="52"/>
      <c r="AD36" s="359"/>
      <c r="AE36" s="359"/>
      <c r="AF36" s="52"/>
      <c r="AG36" s="58"/>
      <c r="AH36" s="58"/>
      <c r="AI36" s="58"/>
      <c r="AJ36" s="52"/>
      <c r="AK36" s="52"/>
      <c r="AL36" s="52"/>
      <c r="AM36" s="52"/>
      <c r="AN36" s="52"/>
      <c r="AO36" s="52"/>
      <c r="AP36" s="52"/>
      <c r="AQ36" s="52"/>
      <c r="AR36" s="52"/>
      <c r="AS36" s="52"/>
    </row>
    <row r="37" spans="1:45" x14ac:dyDescent="0.25">
      <c r="A37" s="9"/>
      <c r="B37" s="56"/>
      <c r="C37" s="343"/>
      <c r="D37" s="343"/>
      <c r="E37" s="343"/>
      <c r="F37" s="343"/>
      <c r="G37" s="343"/>
      <c r="H37" s="344"/>
      <c r="I37" s="342"/>
      <c r="J37" s="343"/>
      <c r="K37" s="343"/>
      <c r="L37" s="343"/>
      <c r="M37" s="343"/>
      <c r="N37" s="344"/>
      <c r="O37" s="342"/>
      <c r="P37" s="343"/>
      <c r="Q37" s="343"/>
      <c r="R37" s="345"/>
      <c r="S37" s="343"/>
      <c r="T37" s="346"/>
      <c r="U37" s="65"/>
      <c r="V37" s="66"/>
      <c r="W37" s="66"/>
      <c r="X37" s="66"/>
      <c r="Y37" s="66"/>
      <c r="Z37" s="66"/>
      <c r="AA37" s="67"/>
      <c r="AB37" s="349"/>
      <c r="AC37" s="58"/>
      <c r="AD37" s="359"/>
      <c r="AE37" s="359"/>
      <c r="AF37" s="58"/>
      <c r="AG37" s="349"/>
      <c r="AH37" s="349"/>
      <c r="AI37" s="349"/>
      <c r="AJ37" s="58"/>
      <c r="AK37" s="58"/>
      <c r="AL37" s="58"/>
      <c r="AM37" s="58"/>
      <c r="AN37" s="58"/>
      <c r="AO37" s="58"/>
      <c r="AP37" s="58"/>
      <c r="AQ37" s="58"/>
      <c r="AR37" s="58"/>
      <c r="AS37" s="58"/>
    </row>
    <row r="38" spans="1:45" ht="15.75" thickBot="1" x14ac:dyDescent="0.3">
      <c r="A38" s="9"/>
      <c r="B38" s="59"/>
      <c r="C38" s="60"/>
      <c r="D38" s="60"/>
      <c r="E38" s="60"/>
      <c r="F38" s="60"/>
      <c r="G38" s="60"/>
      <c r="H38" s="61"/>
      <c r="I38" s="62"/>
      <c r="J38" s="60"/>
      <c r="K38" s="60"/>
      <c r="L38" s="60"/>
      <c r="M38" s="60"/>
      <c r="N38" s="61"/>
      <c r="O38" s="62"/>
      <c r="P38" s="60"/>
      <c r="Q38" s="60"/>
      <c r="R38" s="63"/>
      <c r="S38" s="60"/>
      <c r="T38" s="64"/>
      <c r="U38" s="65"/>
      <c r="V38" s="66"/>
      <c r="W38" s="66"/>
      <c r="X38" s="66"/>
      <c r="Y38" s="66"/>
      <c r="Z38" s="66"/>
      <c r="AA38" s="67"/>
      <c r="AB38" s="68"/>
      <c r="AC38" s="69"/>
      <c r="AD38" s="359"/>
      <c r="AE38" s="359"/>
      <c r="AF38" s="70"/>
      <c r="AG38" s="68"/>
      <c r="AH38" s="68"/>
      <c r="AI38" s="68"/>
      <c r="AJ38" s="69"/>
      <c r="AK38" s="69"/>
      <c r="AL38" s="69"/>
      <c r="AM38" s="69"/>
      <c r="AN38" s="69"/>
      <c r="AO38" s="69"/>
      <c r="AP38" s="69"/>
      <c r="AQ38" s="69"/>
      <c r="AR38" s="69"/>
      <c r="AS38" s="69"/>
    </row>
    <row r="39" spans="1:45" ht="15.75" thickTop="1" x14ac:dyDescent="0.25">
      <c r="A39" s="42" t="s">
        <v>171</v>
      </c>
      <c r="B39" s="25">
        <f t="shared" ref="B39:AC39" si="0">SUM(B8:B38)</f>
        <v>0</v>
      </c>
      <c r="C39" s="26">
        <f>SUM(C8:C38)</f>
        <v>2012.1168360586971</v>
      </c>
      <c r="D39" s="26">
        <f t="shared" si="0"/>
        <v>28587.707679308252</v>
      </c>
      <c r="E39" s="26">
        <f t="shared" si="0"/>
        <v>468.37174950977146</v>
      </c>
      <c r="F39" s="26">
        <f t="shared" si="0"/>
        <v>0</v>
      </c>
      <c r="G39" s="26">
        <f t="shared" si="0"/>
        <v>58262.903337237047</v>
      </c>
      <c r="H39" s="27">
        <f t="shared" si="0"/>
        <v>761.91218487819151</v>
      </c>
      <c r="I39" s="25">
        <f t="shared" si="0"/>
        <v>5469.9624285252867</v>
      </c>
      <c r="J39" s="26">
        <f t="shared" si="0"/>
        <v>14353.94872238795</v>
      </c>
      <c r="K39" s="26">
        <f t="shared" si="0"/>
        <v>786.22898489008276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8618.4423309006434</v>
      </c>
      <c r="V39" s="242">
        <f t="shared" si="0"/>
        <v>4140.5815114658744</v>
      </c>
      <c r="W39" s="242">
        <f t="shared" si="0"/>
        <v>1595.310812467894</v>
      </c>
      <c r="X39" s="242">
        <f t="shared" si="0"/>
        <v>765.80547393623897</v>
      </c>
      <c r="Y39" s="242">
        <f t="shared" si="0"/>
        <v>3683.8627815879913</v>
      </c>
      <c r="Z39" s="242">
        <f t="shared" si="0"/>
        <v>1760.8462024738844</v>
      </c>
      <c r="AA39" s="250">
        <f t="shared" si="0"/>
        <v>0</v>
      </c>
      <c r="AB39" s="253">
        <f t="shared" si="0"/>
        <v>2557.6435091415992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SUM(AJ8:AJ38)</f>
        <v>7049.7400124311462</v>
      </c>
      <c r="AK39" s="253">
        <f t="shared" si="1"/>
        <v>23939.067884279881</v>
      </c>
      <c r="AL39" s="253">
        <f t="shared" si="1"/>
        <v>76726.83268745424</v>
      </c>
      <c r="AM39" s="253">
        <f t="shared" si="1"/>
        <v>14202.182215283712</v>
      </c>
      <c r="AN39" s="253">
        <f t="shared" si="1"/>
        <v>158941.73261276245</v>
      </c>
      <c r="AO39" s="253">
        <f t="shared" si="1"/>
        <v>78283.238048375439</v>
      </c>
      <c r="AP39" s="253">
        <f t="shared" si="1"/>
        <v>21050.665547920864</v>
      </c>
      <c r="AQ39" s="253">
        <f t="shared" si="1"/>
        <v>80398.705613282524</v>
      </c>
      <c r="AR39" s="253">
        <f t="shared" si="1"/>
        <v>13533.225205341972</v>
      </c>
      <c r="AS39" s="253">
        <f t="shared" si="1"/>
        <v>16183.086405563352</v>
      </c>
    </row>
    <row r="40" spans="1:45" ht="15.75" thickBot="1" x14ac:dyDescent="0.3">
      <c r="A40" s="43" t="s">
        <v>172</v>
      </c>
      <c r="B40" s="28">
        <f>Projection!$AA$30</f>
        <v>0.75949460999999996</v>
      </c>
      <c r="C40" s="29">
        <f>Projection!$AA$28</f>
        <v>1.9278243599999998</v>
      </c>
      <c r="D40" s="29">
        <f>Projection!$AA$31</f>
        <v>3.0975552300000002</v>
      </c>
      <c r="E40" s="29">
        <f>Projection!$AA$26</f>
        <v>4.4235360000000004</v>
      </c>
      <c r="F40" s="29">
        <f>Projection!$AA$23</f>
        <v>0</v>
      </c>
      <c r="G40" s="29">
        <f>Projection!$AA$24</f>
        <v>7.6444999999999999E-2</v>
      </c>
      <c r="H40" s="30">
        <f>Projection!$AA$29</f>
        <v>4.6146262499999997</v>
      </c>
      <c r="I40" s="28">
        <f>Projection!$AA$30</f>
        <v>0.75949460999999996</v>
      </c>
      <c r="J40" s="29">
        <f>Projection!$AA$28</f>
        <v>1.9278243599999998</v>
      </c>
      <c r="K40" s="29">
        <f>Projection!$AA$26</f>
        <v>4.4235360000000004</v>
      </c>
      <c r="L40" s="29">
        <f>Projection!$AA$25</f>
        <v>0</v>
      </c>
      <c r="M40" s="29">
        <f>Projection!$AA$23</f>
        <v>0</v>
      </c>
      <c r="N40" s="30">
        <f>Projection!$AA$23</f>
        <v>0</v>
      </c>
      <c r="O40" s="22">
        <v>15.77</v>
      </c>
      <c r="P40" s="23">
        <v>15.77</v>
      </c>
      <c r="Q40" s="23">
        <v>15.77</v>
      </c>
      <c r="R40" s="23">
        <v>15.77</v>
      </c>
      <c r="S40" s="23">
        <f>Projection!$AA$28</f>
        <v>1.9278243599999998</v>
      </c>
      <c r="T40" s="34">
        <f>Projection!$AA$28</f>
        <v>1.9278243599999998</v>
      </c>
      <c r="U40" s="22">
        <f>Projection!$AA$27</f>
        <v>0.41249999999999998</v>
      </c>
      <c r="V40" s="23">
        <f>Projection!$AA$27</f>
        <v>0.41249999999999998</v>
      </c>
      <c r="W40" s="23">
        <f>Projection!$AA$22</f>
        <v>1.5499056000000002</v>
      </c>
      <c r="X40" s="23">
        <f>Projection!$AA$22</f>
        <v>1.5499056000000002</v>
      </c>
      <c r="Y40" s="23">
        <f>Projection!$AA$31</f>
        <v>3.0975552300000002</v>
      </c>
      <c r="Z40" s="23">
        <f>Projection!$AA$31</f>
        <v>3.0975552300000002</v>
      </c>
      <c r="AA40" s="24">
        <v>0</v>
      </c>
      <c r="AB40" s="37">
        <f>Projection!$AA$27</f>
        <v>0.41249999999999998</v>
      </c>
      <c r="AC40" s="37">
        <f>Projection!$AA$30</f>
        <v>0.75949460999999996</v>
      </c>
      <c r="AD40" s="352">
        <f>SUM(AD8:AD38)</f>
        <v>406.32329615091311</v>
      </c>
      <c r="AE40" s="352">
        <f>SUM(AE8:AE38)</f>
        <v>189.77094076194336</v>
      </c>
      <c r="AF40" s="257">
        <f>SUM(AF8:AF38)</f>
        <v>574.77350407871927</v>
      </c>
      <c r="AG40" s="257">
        <f>SUM(AG8:AG38)</f>
        <v>384.52821155705857</v>
      </c>
      <c r="AH40" s="257">
        <f>SUM(AH8:AH38)</f>
        <v>184.57405114177868</v>
      </c>
      <c r="AI40" s="257">
        <f>IF(SUM(AG40:AH40)&gt;0, AG40/(AG40+AH40), 0)</f>
        <v>0.67567507065166388</v>
      </c>
      <c r="AJ40" s="286">
        <v>7.4999999999999997E-2</v>
      </c>
      <c r="AK40" s="286">
        <f t="shared" ref="AK40:AS40" si="2">$AJ$40</f>
        <v>7.4999999999999997E-2</v>
      </c>
      <c r="AL40" s="286">
        <f t="shared" si="2"/>
        <v>7.4999999999999997E-2</v>
      </c>
      <c r="AM40" s="286">
        <f t="shared" si="2"/>
        <v>7.4999999999999997E-2</v>
      </c>
      <c r="AN40" s="286">
        <f t="shared" si="2"/>
        <v>7.4999999999999997E-2</v>
      </c>
      <c r="AO40" s="286">
        <f t="shared" si="2"/>
        <v>7.4999999999999997E-2</v>
      </c>
      <c r="AP40" s="286">
        <f t="shared" si="2"/>
        <v>7.4999999999999997E-2</v>
      </c>
      <c r="AQ40" s="286">
        <f t="shared" si="2"/>
        <v>7.4999999999999997E-2</v>
      </c>
      <c r="AR40" s="286">
        <f t="shared" si="2"/>
        <v>7.4999999999999997E-2</v>
      </c>
      <c r="AS40" s="286">
        <f t="shared" si="2"/>
        <v>7.4999999999999997E-2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 t="shared" si="3"/>
        <v>3879.0078517200823</v>
      </c>
      <c r="D41" s="32">
        <f t="shared" si="3"/>
        <v>88552.003435752442</v>
      </c>
      <c r="E41" s="32">
        <f t="shared" si="3"/>
        <v>2071.8592953394564</v>
      </c>
      <c r="F41" s="32">
        <f t="shared" si="3"/>
        <v>0</v>
      </c>
      <c r="G41" s="32">
        <f t="shared" si="3"/>
        <v>4453.907645615086</v>
      </c>
      <c r="H41" s="33">
        <f t="shared" si="3"/>
        <v>3515.9399685337553</v>
      </c>
      <c r="I41" s="31">
        <f t="shared" si="3"/>
        <v>4154.4069813674651</v>
      </c>
      <c r="J41" s="32">
        <f t="shared" si="3"/>
        <v>27671.892009210365</v>
      </c>
      <c r="K41" s="32">
        <f t="shared" si="3"/>
        <v>3477.9122189047375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3555.107461496515</v>
      </c>
      <c r="V41" s="248">
        <f t="shared" si="3"/>
        <v>1707.9898734796732</v>
      </c>
      <c r="W41" s="248">
        <f t="shared" si="3"/>
        <v>2472.581161984539</v>
      </c>
      <c r="X41" s="248">
        <f t="shared" si="3"/>
        <v>1186.9261925644309</v>
      </c>
      <c r="Y41" s="248">
        <f t="shared" si="3"/>
        <v>11410.968425710231</v>
      </c>
      <c r="Z41" s="248">
        <f t="shared" si="3"/>
        <v>5454.3183636986205</v>
      </c>
      <c r="AA41" s="252">
        <f t="shared" si="3"/>
        <v>0</v>
      </c>
      <c r="AB41" s="255">
        <f t="shared" si="3"/>
        <v>1055.0279475209097</v>
      </c>
      <c r="AC41" s="255">
        <f t="shared" si="3"/>
        <v>0</v>
      </c>
      <c r="AJ41" s="258">
        <f t="shared" ref="AJ41:AS41" si="4">AJ40*AJ39</f>
        <v>528.73050093233599</v>
      </c>
      <c r="AK41" s="258">
        <f t="shared" si="4"/>
        <v>1795.4300913209911</v>
      </c>
      <c r="AL41" s="258">
        <f t="shared" si="4"/>
        <v>5754.5124515590678</v>
      </c>
      <c r="AM41" s="258">
        <f t="shared" si="4"/>
        <v>1065.1636661462783</v>
      </c>
      <c r="AN41" s="258">
        <f t="shared" si="4"/>
        <v>11920.629945957184</v>
      </c>
      <c r="AO41" s="258">
        <f t="shared" si="4"/>
        <v>5871.2428536281577</v>
      </c>
      <c r="AP41" s="258">
        <f t="shared" si="4"/>
        <v>1578.7999160940647</v>
      </c>
      <c r="AQ41" s="258">
        <f t="shared" si="4"/>
        <v>6029.9029209961891</v>
      </c>
      <c r="AR41" s="258">
        <f t="shared" si="4"/>
        <v>1014.9918904006479</v>
      </c>
      <c r="AS41" s="258">
        <f t="shared" si="4"/>
        <v>1213.7314804172513</v>
      </c>
    </row>
    <row r="42" spans="1:45" ht="49.5" customHeight="1" thickTop="1" thickBot="1" x14ac:dyDescent="0.3">
      <c r="A42" s="587">
        <f>JANUARY!$A$42+31</f>
        <v>44593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468.39</v>
      </c>
      <c r="AK42" s="258" t="s">
        <v>197</v>
      </c>
      <c r="AL42" s="258">
        <v>4013.27</v>
      </c>
      <c r="AM42" s="258">
        <v>1240.26</v>
      </c>
      <c r="AN42" s="258">
        <v>2189.39</v>
      </c>
      <c r="AO42" s="258">
        <v>10663.19</v>
      </c>
      <c r="AP42" s="258">
        <v>3260.19</v>
      </c>
      <c r="AQ42" s="258" t="s">
        <v>197</v>
      </c>
      <c r="AR42" s="258">
        <v>898.64</v>
      </c>
      <c r="AS42" s="258">
        <v>319.94</v>
      </c>
    </row>
    <row r="43" spans="1:45" ht="38.25" customHeight="1" thickTop="1" thickBot="1" x14ac:dyDescent="0.3">
      <c r="A43" s="584" t="s">
        <v>234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164619.84883289825</v>
      </c>
      <c r="D44" s="262" t="s">
        <v>135</v>
      </c>
      <c r="E44" s="263">
        <f>SUM(B41:H41)+P41+R41+T41+V41+X41+Z41</f>
        <v>110821.95262670354</v>
      </c>
      <c r="G44" s="262" t="s">
        <v>135</v>
      </c>
      <c r="H44" s="263">
        <f>SUM(I41:N41)+O41+Q41+S41+U41+W41+Y41</f>
        <v>52742.868258673858</v>
      </c>
      <c r="J44" s="262" t="s">
        <v>198</v>
      </c>
      <c r="K44" s="263">
        <v>135002.26</v>
      </c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36773.135717452169</v>
      </c>
      <c r="D45" s="264" t="s">
        <v>183</v>
      </c>
      <c r="E45" s="265">
        <f>AJ41*(1-$AI$40)+AK41+AL41*0.5+AN41+AO41*(1-$AI$40)+AP41*(1-$AI$40)+AQ41*(1-$AI$40)+AR41*0.5+AS41*0.5</f>
        <v>22251.040864587507</v>
      </c>
      <c r="F45" s="20"/>
      <c r="G45" s="264" t="s">
        <v>183</v>
      </c>
      <c r="H45" s="265">
        <f>AJ41*AI40+AL41*0.5+AM41+AO41*AI40+AP41*AI40+AQ41*AI40+AR41*0.5+AS41*0.5</f>
        <v>14522.094852864664</v>
      </c>
      <c r="K45" s="268"/>
      <c r="R45" s="278" t="s">
        <v>141</v>
      </c>
      <c r="S45" s="279"/>
      <c r="T45" s="234">
        <f>$W$39+$X$39</f>
        <v>2361.116286404133</v>
      </c>
      <c r="U45" s="236">
        <f>(T45*8.34*0.895)/27000</f>
        <v>0.65274371468912484</v>
      </c>
    </row>
    <row r="46" spans="1:45" ht="32.25" thickBot="1" x14ac:dyDescent="0.3">
      <c r="A46" s="266" t="s">
        <v>184</v>
      </c>
      <c r="B46" s="267">
        <f>SUM(AJ42:AS42)</f>
        <v>23053.269999999997</v>
      </c>
      <c r="D46" s="266" t="s">
        <v>184</v>
      </c>
      <c r="E46" s="267">
        <f>AJ42*(1-$AI$40)+AL42*0.5+AN42+AO42*(1-$AI$40)+AP42*(1-$AI$40)+AR42*0.5+AS42*0.5</f>
        <v>9472.9247884475026</v>
      </c>
      <c r="F46" s="19"/>
      <c r="G46" s="266" t="s">
        <v>184</v>
      </c>
      <c r="H46" s="267">
        <f>AJ42*AI40+AL42*0.5+AM42+AO42*AI40+AP42*AI40+AR42*0.5+AS42*0.5</f>
        <v>13580.345211552496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135002.26</v>
      </c>
      <c r="D47" s="266" t="s">
        <v>187</v>
      </c>
      <c r="E47" s="267">
        <f>K44*0.5</f>
        <v>67501.13</v>
      </c>
      <c r="F47" s="20"/>
      <c r="G47" s="266" t="s">
        <v>185</v>
      </c>
      <c r="H47" s="267">
        <f>K44*0.5</f>
        <v>67501.13</v>
      </c>
      <c r="J47" s="262" t="s">
        <v>198</v>
      </c>
      <c r="K47" s="263">
        <v>296480.21999999997</v>
      </c>
      <c r="R47" s="278" t="s">
        <v>148</v>
      </c>
      <c r="S47" s="279"/>
      <c r="T47" s="234">
        <f>$G$39</f>
        <v>58262.903337237047</v>
      </c>
      <c r="U47" s="236">
        <f>T47/40000</f>
        <v>1.4565725834309262</v>
      </c>
    </row>
    <row r="48" spans="1:45" ht="24" thickBot="1" x14ac:dyDescent="0.3">
      <c r="A48" s="266" t="s">
        <v>186</v>
      </c>
      <c r="B48" s="267">
        <f>K47</f>
        <v>296480.21999999997</v>
      </c>
      <c r="D48" s="266" t="s">
        <v>186</v>
      </c>
      <c r="E48" s="267">
        <f>K47*0.5</f>
        <v>148240.10999999999</v>
      </c>
      <c r="F48" s="19"/>
      <c r="G48" s="266" t="s">
        <v>186</v>
      </c>
      <c r="H48" s="267">
        <f>K47*0.5</f>
        <v>148240.10999999999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1" ht="48" thickTop="1" thickBot="1" x14ac:dyDescent="0.3">
      <c r="A49" s="271" t="s">
        <v>194</v>
      </c>
      <c r="B49" s="272">
        <f>AF40</f>
        <v>574.77350407871927</v>
      </c>
      <c r="D49" s="271" t="s">
        <v>195</v>
      </c>
      <c r="E49" s="272">
        <f>AH40</f>
        <v>184.57405114177868</v>
      </c>
      <c r="F49" s="19"/>
      <c r="G49" s="271" t="s">
        <v>196</v>
      </c>
      <c r="H49" s="272">
        <f>AG40</f>
        <v>384.52821155705857</v>
      </c>
      <c r="K49" s="71"/>
      <c r="R49" s="278" t="s">
        <v>152</v>
      </c>
      <c r="S49" s="279"/>
      <c r="T49" s="234">
        <f>$E$39+$K$39</f>
        <v>1254.6007343998542</v>
      </c>
      <c r="U49" s="236">
        <f>(T49*8.34*1.04)/45000</f>
        <v>0.24182010955312391</v>
      </c>
    </row>
    <row r="50" spans="1:21" ht="48" customHeight="1" thickTop="1" thickBot="1" x14ac:dyDescent="0.3">
      <c r="A50" s="271" t="s">
        <v>223</v>
      </c>
      <c r="B50" s="272">
        <f>SUM(E50+H50)</f>
        <v>596.09423691285645</v>
      </c>
      <c r="D50" s="271" t="s">
        <v>224</v>
      </c>
      <c r="E50" s="272">
        <f>AE40</f>
        <v>189.77094076194336</v>
      </c>
      <c r="F50" s="19"/>
      <c r="G50" s="271" t="s">
        <v>225</v>
      </c>
      <c r="H50" s="272">
        <f>AD40</f>
        <v>406.32329615091311</v>
      </c>
      <c r="K50" s="71"/>
      <c r="R50" s="278"/>
      <c r="S50" s="279"/>
      <c r="T50" s="234"/>
      <c r="U50" s="236"/>
    </row>
    <row r="51" spans="1:21" ht="48" thickTop="1" thickBot="1" x14ac:dyDescent="0.3">
      <c r="A51" s="271" t="s">
        <v>190</v>
      </c>
      <c r="B51" s="273">
        <f>(SUM(B44:B48)/B50)</f>
        <v>1100.3775811478633</v>
      </c>
      <c r="D51" s="271" t="s">
        <v>188</v>
      </c>
      <c r="E51" s="351">
        <f>SUM(E44:E48)/E50</f>
        <v>1887.9980087635702</v>
      </c>
      <c r="F51" s="19"/>
      <c r="G51" s="271" t="s">
        <v>189</v>
      </c>
      <c r="H51" s="351">
        <f>SUM(H44:H48)/H50</f>
        <v>729.92750140748853</v>
      </c>
      <c r="K51" s="71"/>
      <c r="R51" s="278" t="s">
        <v>153</v>
      </c>
      <c r="S51" s="279"/>
      <c r="T51" s="234">
        <f>$U$39+$V$39+$AB$39</f>
        <v>15316.667351508117</v>
      </c>
      <c r="U51" s="236">
        <f>T51/2000/8</f>
        <v>0.95729170946925723</v>
      </c>
    </row>
    <row r="52" spans="1:21" ht="47.25" customHeight="1" thickTop="1" thickBot="1" x14ac:dyDescent="0.3">
      <c r="A52" s="261" t="s">
        <v>191</v>
      </c>
      <c r="B52" s="274">
        <f>B51/1000</f>
        <v>1.1003775811478633</v>
      </c>
      <c r="D52" s="261" t="s">
        <v>192</v>
      </c>
      <c r="E52" s="274">
        <f>E51/1000</f>
        <v>1.8879980087635702</v>
      </c>
      <c r="F52" s="333">
        <f>E44/E49</f>
        <v>600.42000455186837</v>
      </c>
      <c r="G52" s="261" t="s">
        <v>193</v>
      </c>
      <c r="H52" s="274">
        <f>H51/1000</f>
        <v>0.72992750140748852</v>
      </c>
      <c r="I52" s="333">
        <f>H44/H49</f>
        <v>137.16254535682504</v>
      </c>
      <c r="K52" s="71"/>
      <c r="R52" s="278" t="s">
        <v>154</v>
      </c>
      <c r="S52" s="279"/>
      <c r="T52" s="234">
        <f>$C$39+$J$39+$S$39+$T$39</f>
        <v>16366.065558446648</v>
      </c>
      <c r="U52" s="236">
        <f>(T52*8.34*1.4)/45000</f>
        <v>4.2464484768982897</v>
      </c>
    </row>
    <row r="53" spans="1:21" ht="16.5" thickTop="1" thickBot="1" x14ac:dyDescent="0.3">
      <c r="A53" s="282"/>
      <c r="K53" s="71"/>
      <c r="R53" s="278" t="s">
        <v>155</v>
      </c>
      <c r="S53" s="279"/>
      <c r="T53" s="234">
        <f>$H$39</f>
        <v>761.91218487819151</v>
      </c>
      <c r="U53" s="236">
        <f>(T53*8.34*1.135)/45000</f>
        <v>0.1602707677964105</v>
      </c>
    </row>
    <row r="54" spans="1:21" ht="48" customHeight="1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5469.9624285252867</v>
      </c>
      <c r="U54" s="236">
        <f>(T54*8.34*1.029*0.03)/3300</f>
        <v>0.42674956151694554</v>
      </c>
    </row>
    <row r="55" spans="1:21" ht="42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34032.416663370132</v>
      </c>
      <c r="U55" s="239">
        <f>(T55*1.54*8.34)/45000</f>
        <v>9.7133054812813455</v>
      </c>
    </row>
    <row r="56" spans="1:21" ht="24" thickTop="1" x14ac:dyDescent="0.25">
      <c r="A56" s="615"/>
      <c r="B56" s="616"/>
    </row>
    <row r="57" spans="1:21" x14ac:dyDescent="0.25">
      <c r="A57" s="617"/>
      <c r="B57" s="618"/>
    </row>
    <row r="58" spans="1:21" x14ac:dyDescent="0.25">
      <c r="A58" s="613"/>
      <c r="B58" s="614"/>
    </row>
    <row r="59" spans="1:21" x14ac:dyDescent="0.25">
      <c r="A59" s="614"/>
      <c r="B59" s="614"/>
    </row>
    <row r="60" spans="1:21" x14ac:dyDescent="0.25">
      <c r="A60" s="613"/>
      <c r="B60" s="614"/>
    </row>
    <row r="61" spans="1:21" x14ac:dyDescent="0.25">
      <c r="A61" s="614"/>
      <c r="B61" s="614"/>
    </row>
  </sheetData>
  <sheetProtection algorithmName="SHA-512" hashValue="zVvMHlrlzZSibzJnxG47HFV9iFwaO/QMab6pc7H6+CtzjFg7BjCpnJ44gbMDv+2erLoYurVuyGbsrzN8NLAh7Q==" saltValue="3L6npGH9kOSZuYYi1OT0Xg==" spinCount="100000" sheet="1" selectLockedCells="1" selectUnlockedCells="1"/>
  <mergeCells count="36">
    <mergeCell ref="AR4:AR5"/>
    <mergeCell ref="AS4:AS5"/>
    <mergeCell ref="AJ4:AJ5"/>
    <mergeCell ref="AK4:AK5"/>
    <mergeCell ref="AL4:AL5"/>
    <mergeCell ref="AM4:AM5"/>
    <mergeCell ref="AN4:AN5"/>
    <mergeCell ref="AO4:AO5"/>
    <mergeCell ref="I4:N5"/>
    <mergeCell ref="AQ4:AQ5"/>
    <mergeCell ref="AP4:AP5"/>
    <mergeCell ref="R43:U43"/>
    <mergeCell ref="AF4:AF5"/>
    <mergeCell ref="AG4:AG5"/>
    <mergeCell ref="AH4:AH5"/>
    <mergeCell ref="AI4:AI5"/>
    <mergeCell ref="O4:T5"/>
    <mergeCell ref="AD4:AD5"/>
    <mergeCell ref="AE4:AE5"/>
    <mergeCell ref="AC4:AC5"/>
    <mergeCell ref="A58:B59"/>
    <mergeCell ref="A60:B61"/>
    <mergeCell ref="A56:B56"/>
    <mergeCell ref="A57:B57"/>
    <mergeCell ref="AB4:AB5"/>
    <mergeCell ref="A54:E54"/>
    <mergeCell ref="A55:E55"/>
    <mergeCell ref="R55:S55"/>
    <mergeCell ref="U4:AA5"/>
    <mergeCell ref="J43:K43"/>
    <mergeCell ref="J46:K46"/>
    <mergeCell ref="A42:K42"/>
    <mergeCell ref="A43:B43"/>
    <mergeCell ref="D43:E43"/>
    <mergeCell ref="G43:H43"/>
    <mergeCell ref="B4:H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W61"/>
  <sheetViews>
    <sheetView topLeftCell="AI20" zoomScale="75" zoomScaleNormal="75" workbookViewId="0">
      <selection activeCell="K47" sqref="K47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</row>
    <row r="2" spans="1:49" ht="15" customHeight="1" x14ac:dyDescent="0.25">
      <c r="A2" s="1" t="s">
        <v>2</v>
      </c>
      <c r="B2" s="4"/>
    </row>
    <row r="3" spans="1:49" ht="15.75" thickBot="1" x14ac:dyDescent="0.3">
      <c r="A3" s="5"/>
    </row>
    <row r="4" spans="1:49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  <c r="AV4" t="s">
        <v>169</v>
      </c>
      <c r="AW4" s="302" t="s">
        <v>207</v>
      </c>
    </row>
    <row r="5" spans="1:49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49" ht="15.75" customHeight="1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49" ht="15.75" customHeight="1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49" x14ac:dyDescent="0.25">
      <c r="A8" s="9">
        <v>44621</v>
      </c>
      <c r="B8" s="45"/>
      <c r="C8" s="46">
        <v>78.976838548978336</v>
      </c>
      <c r="D8" s="46">
        <v>1170.9313159306835</v>
      </c>
      <c r="E8" s="46">
        <v>17.839230986436196</v>
      </c>
      <c r="F8" s="46">
        <v>0</v>
      </c>
      <c r="G8" s="46">
        <v>2357.2352030436177</v>
      </c>
      <c r="H8" s="47">
        <v>29.132160580158306</v>
      </c>
      <c r="I8" s="45">
        <v>182.15881354014078</v>
      </c>
      <c r="J8" s="46">
        <v>552.17286275227775</v>
      </c>
      <c r="K8" s="46">
        <v>30.204869495828923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331.1562958759551</v>
      </c>
      <c r="V8" s="50">
        <v>163.61539936703244</v>
      </c>
      <c r="W8" s="50">
        <v>62.808410463075127</v>
      </c>
      <c r="X8" s="50">
        <v>31.031942588746343</v>
      </c>
      <c r="Y8" s="50">
        <v>124.28425416470813</v>
      </c>
      <c r="Z8" s="50">
        <v>61.405499860433054</v>
      </c>
      <c r="AA8" s="51">
        <v>0</v>
      </c>
      <c r="AB8" s="52">
        <v>99.130777268939823</v>
      </c>
      <c r="AC8" s="53">
        <v>0</v>
      </c>
      <c r="AD8" s="358">
        <v>15.623621124303824</v>
      </c>
      <c r="AE8" s="358">
        <v>7.4571898355545159</v>
      </c>
      <c r="AF8" s="53">
        <v>22.748197369443073</v>
      </c>
      <c r="AG8" s="53">
        <v>15.061515138671757</v>
      </c>
      <c r="AH8" s="53">
        <v>7.4414886419959902</v>
      </c>
      <c r="AI8" s="53">
        <v>0.66931131885650974</v>
      </c>
      <c r="AJ8" s="53">
        <v>221.78410897254943</v>
      </c>
      <c r="AK8" s="53">
        <v>804.00373214085914</v>
      </c>
      <c r="AL8" s="53">
        <v>2891.1203408559168</v>
      </c>
      <c r="AM8" s="53">
        <v>449.99935913085938</v>
      </c>
      <c r="AN8" s="53">
        <v>6551.94140625</v>
      </c>
      <c r="AO8" s="53">
        <v>2786.1700628916419</v>
      </c>
      <c r="AP8" s="53">
        <v>525.88998505274458</v>
      </c>
      <c r="AQ8" s="53">
        <v>2932.2820077260344</v>
      </c>
      <c r="AR8" s="53">
        <v>451.59256862004599</v>
      </c>
      <c r="AS8" s="53">
        <v>676.89484421412158</v>
      </c>
    </row>
    <row r="9" spans="1:49" x14ac:dyDescent="0.25">
      <c r="A9" s="9">
        <v>44622</v>
      </c>
      <c r="B9" s="45"/>
      <c r="C9" s="46">
        <v>79.022891108195182</v>
      </c>
      <c r="D9" s="46">
        <v>1169.7859516779577</v>
      </c>
      <c r="E9" s="46">
        <v>18.007311315337819</v>
      </c>
      <c r="F9" s="46">
        <v>0</v>
      </c>
      <c r="G9" s="46">
        <v>2355.6730439503981</v>
      </c>
      <c r="H9" s="47">
        <v>29.112684766451622</v>
      </c>
      <c r="I9" s="45">
        <v>188.78858447869632</v>
      </c>
      <c r="J9" s="46">
        <v>552.2318898518879</v>
      </c>
      <c r="K9" s="46">
        <v>30.242028048634495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332.39349421613775</v>
      </c>
      <c r="V9" s="54">
        <v>163.47403132962006</v>
      </c>
      <c r="W9" s="54">
        <v>63.369319713275033</v>
      </c>
      <c r="X9" s="54">
        <v>31.165586380004701</v>
      </c>
      <c r="Y9" s="54">
        <v>124.8369129235317</v>
      </c>
      <c r="Z9" s="54">
        <v>61.395887011809279</v>
      </c>
      <c r="AA9" s="57">
        <v>0</v>
      </c>
      <c r="AB9" s="58">
        <v>99.097633197572648</v>
      </c>
      <c r="AC9" s="52">
        <v>0</v>
      </c>
      <c r="AD9" s="359">
        <v>15.626236112676818</v>
      </c>
      <c r="AE9" s="359">
        <v>7.4506698814871397</v>
      </c>
      <c r="AF9" s="52">
        <v>22.864614566167187</v>
      </c>
      <c r="AG9" s="58">
        <v>15.163889481519606</v>
      </c>
      <c r="AH9" s="58">
        <v>7.4577336419494857</v>
      </c>
      <c r="AI9" s="58">
        <v>0.67032720856301575</v>
      </c>
      <c r="AJ9" s="52">
        <v>230.48289631207783</v>
      </c>
      <c r="AK9" s="52">
        <v>796.76686712900801</v>
      </c>
      <c r="AL9" s="52">
        <v>2905.6908677419024</v>
      </c>
      <c r="AM9" s="52">
        <v>450.14723882675173</v>
      </c>
      <c r="AN9" s="52">
        <v>6551.94140625</v>
      </c>
      <c r="AO9" s="52">
        <v>2789.6576310475662</v>
      </c>
      <c r="AP9" s="52">
        <v>504.41645598411566</v>
      </c>
      <c r="AQ9" s="52">
        <v>2921.0026100158693</v>
      </c>
      <c r="AR9" s="52">
        <v>412.2918499946594</v>
      </c>
      <c r="AS9" s="52">
        <v>753.03672253290824</v>
      </c>
    </row>
    <row r="10" spans="1:49" x14ac:dyDescent="0.25">
      <c r="A10" s="9">
        <v>44623</v>
      </c>
      <c r="B10" s="45"/>
      <c r="C10" s="46">
        <v>78.937529091040602</v>
      </c>
      <c r="D10" s="46">
        <v>1168.560437774659</v>
      </c>
      <c r="E10" s="46">
        <v>17.84733193814753</v>
      </c>
      <c r="F10" s="46">
        <v>0</v>
      </c>
      <c r="G10" s="46">
        <v>2381.0852466583237</v>
      </c>
      <c r="H10" s="47">
        <v>29.074980384111448</v>
      </c>
      <c r="I10" s="45">
        <v>194.30815492471103</v>
      </c>
      <c r="J10" s="46">
        <v>552.03763933181824</v>
      </c>
      <c r="K10" s="46">
        <v>30.182007857163725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347.34881822823866</v>
      </c>
      <c r="V10" s="54">
        <v>170.84844707886657</v>
      </c>
      <c r="W10" s="54">
        <v>63.418611292498987</v>
      </c>
      <c r="X10" s="54">
        <v>31.193344230992018</v>
      </c>
      <c r="Y10" s="54">
        <v>124.40336997449381</v>
      </c>
      <c r="Z10" s="54">
        <v>61.18956350545043</v>
      </c>
      <c r="AA10" s="57">
        <v>0</v>
      </c>
      <c r="AB10" s="58">
        <v>99.01697177886976</v>
      </c>
      <c r="AC10" s="52">
        <v>0</v>
      </c>
      <c r="AD10" s="359">
        <v>15.620076063058949</v>
      </c>
      <c r="AE10" s="359">
        <v>7.4410142123608027</v>
      </c>
      <c r="AF10" s="52">
        <v>22.988781350188809</v>
      </c>
      <c r="AG10" s="58">
        <v>15.249873910817804</v>
      </c>
      <c r="AH10" s="58">
        <v>7.5008669645156401</v>
      </c>
      <c r="AI10" s="58">
        <v>0.67030229891773996</v>
      </c>
      <c r="AJ10" s="52">
        <v>226.72775421142578</v>
      </c>
      <c r="AK10" s="52">
        <v>800.32846024831133</v>
      </c>
      <c r="AL10" s="52">
        <v>2943.2499748229984</v>
      </c>
      <c r="AM10" s="52">
        <v>520.98161315917969</v>
      </c>
      <c r="AN10" s="52">
        <v>6551.94140625</v>
      </c>
      <c r="AO10" s="52">
        <v>2788.2648272196452</v>
      </c>
      <c r="AP10" s="52">
        <v>503.81688712437943</v>
      </c>
      <c r="AQ10" s="52">
        <v>2882.7404132843012</v>
      </c>
      <c r="AR10" s="52">
        <v>406.7616750717163</v>
      </c>
      <c r="AS10" s="52">
        <v>743.29495525360119</v>
      </c>
    </row>
    <row r="11" spans="1:49" x14ac:dyDescent="0.25">
      <c r="A11" s="9">
        <v>44624</v>
      </c>
      <c r="B11" s="45"/>
      <c r="C11" s="46">
        <v>78.97</v>
      </c>
      <c r="D11" s="46">
        <v>1168.8800000000001</v>
      </c>
      <c r="E11" s="46">
        <v>18.18</v>
      </c>
      <c r="F11" s="46">
        <v>0</v>
      </c>
      <c r="G11" s="46">
        <v>2425.9499999999998</v>
      </c>
      <c r="H11" s="47">
        <v>29.11</v>
      </c>
      <c r="I11" s="45">
        <v>197.17</v>
      </c>
      <c r="J11" s="46">
        <v>551.92999999999995</v>
      </c>
      <c r="K11" s="46">
        <v>30.28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342.09</v>
      </c>
      <c r="V11" s="54">
        <v>162.25</v>
      </c>
      <c r="W11" s="54">
        <v>64.34</v>
      </c>
      <c r="X11" s="54">
        <v>30.52</v>
      </c>
      <c r="Y11" s="54">
        <v>118.99</v>
      </c>
      <c r="Z11" s="54">
        <v>56.44</v>
      </c>
      <c r="AA11" s="57">
        <v>0</v>
      </c>
      <c r="AB11" s="58">
        <v>99</v>
      </c>
      <c r="AC11" s="52">
        <v>0</v>
      </c>
      <c r="AD11" s="359">
        <v>15.62</v>
      </c>
      <c r="AE11" s="359">
        <v>7.45</v>
      </c>
      <c r="AF11" s="52">
        <v>22.41</v>
      </c>
      <c r="AG11" s="58">
        <v>15.04</v>
      </c>
      <c r="AH11" s="58">
        <v>7.13</v>
      </c>
      <c r="AI11" s="58">
        <v>0.68</v>
      </c>
      <c r="AJ11" s="52">
        <v>204.17</v>
      </c>
      <c r="AK11" s="52">
        <v>775.73</v>
      </c>
      <c r="AL11" s="52">
        <v>2962.26</v>
      </c>
      <c r="AM11" s="52">
        <v>520.98</v>
      </c>
      <c r="AN11" s="52">
        <v>6551.94</v>
      </c>
      <c r="AO11" s="52">
        <v>2762.52</v>
      </c>
      <c r="AP11" s="52">
        <v>509.18</v>
      </c>
      <c r="AQ11" s="52">
        <v>2816.65</v>
      </c>
      <c r="AR11" s="52">
        <v>409.54</v>
      </c>
      <c r="AS11" s="52">
        <v>735.58</v>
      </c>
    </row>
    <row r="12" spans="1:49" x14ac:dyDescent="0.25">
      <c r="A12" s="9">
        <v>44625</v>
      </c>
      <c r="B12" s="45"/>
      <c r="C12" s="46">
        <v>78.807082084814468</v>
      </c>
      <c r="D12" s="46">
        <v>1162.1140485127767</v>
      </c>
      <c r="E12" s="46">
        <v>18.127269510428107</v>
      </c>
      <c r="F12" s="46">
        <v>0</v>
      </c>
      <c r="G12" s="46">
        <v>2422.6887830098481</v>
      </c>
      <c r="H12" s="47">
        <v>29.041841691732436</v>
      </c>
      <c r="I12" s="45">
        <v>197.1625377655034</v>
      </c>
      <c r="J12" s="46">
        <v>551.90061931610148</v>
      </c>
      <c r="K12" s="46">
        <v>30.216810386379507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337.02303928414875</v>
      </c>
      <c r="V12" s="54">
        <v>165.7204045440111</v>
      </c>
      <c r="W12" s="54">
        <v>64.624038863904801</v>
      </c>
      <c r="X12" s="54">
        <v>31.776824179562553</v>
      </c>
      <c r="Y12" s="54">
        <v>121.18292299707728</v>
      </c>
      <c r="Z12" s="54">
        <v>59.58786397973693</v>
      </c>
      <c r="AA12" s="57">
        <v>0</v>
      </c>
      <c r="AB12" s="58">
        <v>98.93133853276565</v>
      </c>
      <c r="AC12" s="52">
        <v>0</v>
      </c>
      <c r="AD12" s="359">
        <v>15.616412092633325</v>
      </c>
      <c r="AE12" s="359">
        <v>7.4314819320067382</v>
      </c>
      <c r="AF12" s="52">
        <v>22.986075497998144</v>
      </c>
      <c r="AG12" s="58">
        <v>15.250256961920702</v>
      </c>
      <c r="AH12" s="58">
        <v>7.498830817316426</v>
      </c>
      <c r="AI12" s="58">
        <v>0.67036784551156647</v>
      </c>
      <c r="AJ12" s="52">
        <v>232.77688432534532</v>
      </c>
      <c r="AK12" s="52">
        <v>824.76574440002435</v>
      </c>
      <c r="AL12" s="52">
        <v>2933.4800301869709</v>
      </c>
      <c r="AM12" s="52">
        <v>520.98161315917969</v>
      </c>
      <c r="AN12" s="52">
        <v>6551.94140625</v>
      </c>
      <c r="AO12" s="52">
        <v>2804.512640380859</v>
      </c>
      <c r="AP12" s="52">
        <v>636.92877788543683</v>
      </c>
      <c r="AQ12" s="52">
        <v>2856.4068241119385</v>
      </c>
      <c r="AR12" s="52">
        <v>473.10351379712415</v>
      </c>
      <c r="AS12" s="52">
        <v>595.39132391611724</v>
      </c>
    </row>
    <row r="13" spans="1:49" x14ac:dyDescent="0.25">
      <c r="A13" s="9">
        <v>44626</v>
      </c>
      <c r="B13" s="45"/>
      <c r="C13" s="46">
        <v>78.873678664366622</v>
      </c>
      <c r="D13" s="46">
        <v>1157.5601704915348</v>
      </c>
      <c r="E13" s="46">
        <v>18.184341496229155</v>
      </c>
      <c r="F13" s="46">
        <v>0</v>
      </c>
      <c r="G13" s="46">
        <v>2461.5576670328755</v>
      </c>
      <c r="H13" s="47">
        <v>29.101662200689368</v>
      </c>
      <c r="I13" s="45">
        <v>194.65307819048553</v>
      </c>
      <c r="J13" s="46">
        <v>537.58781563440914</v>
      </c>
      <c r="K13" s="46">
        <v>29.404774511853891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316.17186457720055</v>
      </c>
      <c r="V13" s="54">
        <v>160.58191941174957</v>
      </c>
      <c r="W13" s="54">
        <v>60.701300088883684</v>
      </c>
      <c r="X13" s="54">
        <v>30.829850379306805</v>
      </c>
      <c r="Y13" s="54">
        <v>115.57651071133789</v>
      </c>
      <c r="Z13" s="54">
        <v>58.70066254553636</v>
      </c>
      <c r="AA13" s="57">
        <v>0</v>
      </c>
      <c r="AB13" s="58">
        <v>97.187662251790641</v>
      </c>
      <c r="AC13" s="52">
        <v>0</v>
      </c>
      <c r="AD13" s="359">
        <v>15.214834419768675</v>
      </c>
      <c r="AE13" s="359">
        <v>7.4359511937789859</v>
      </c>
      <c r="AF13" s="52">
        <v>22.14244317213695</v>
      </c>
      <c r="AG13" s="58">
        <v>14.532162555354715</v>
      </c>
      <c r="AH13" s="58">
        <v>7.3808039797058322</v>
      </c>
      <c r="AI13" s="58">
        <v>0.66317641347662293</v>
      </c>
      <c r="AJ13" s="52">
        <v>289.26057608127593</v>
      </c>
      <c r="AK13" s="52">
        <v>917.05632858276351</v>
      </c>
      <c r="AL13" s="52">
        <v>2797.7093569437657</v>
      </c>
      <c r="AM13" s="52">
        <v>520.98161315917969</v>
      </c>
      <c r="AN13" s="52">
        <v>6551.94140625</v>
      </c>
      <c r="AO13" s="52">
        <v>2975.850833384196</v>
      </c>
      <c r="AP13" s="52">
        <v>943.36551392873116</v>
      </c>
      <c r="AQ13" s="52">
        <v>2805.6277528127039</v>
      </c>
      <c r="AR13" s="52">
        <v>519.31255235671995</v>
      </c>
      <c r="AS13" s="52">
        <v>517.49142713546757</v>
      </c>
    </row>
    <row r="14" spans="1:49" x14ac:dyDescent="0.25">
      <c r="A14" s="9">
        <v>44627</v>
      </c>
      <c r="B14" s="45"/>
      <c r="C14" s="46">
        <v>78.19</v>
      </c>
      <c r="D14" s="46">
        <v>1157.7</v>
      </c>
      <c r="E14" s="46">
        <v>18.25</v>
      </c>
      <c r="F14" s="46">
        <v>0</v>
      </c>
      <c r="G14" s="46">
        <v>2466.62</v>
      </c>
      <c r="H14" s="47">
        <v>29.15</v>
      </c>
      <c r="I14" s="45">
        <v>189.45</v>
      </c>
      <c r="J14" s="46">
        <v>516.17999999999995</v>
      </c>
      <c r="K14" s="46">
        <v>28.21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309.77999999999997</v>
      </c>
      <c r="V14" s="54">
        <v>163.02000000000001</v>
      </c>
      <c r="W14" s="54">
        <v>59.83</v>
      </c>
      <c r="X14" s="54">
        <v>31.48</v>
      </c>
      <c r="Y14" s="54">
        <v>113.98</v>
      </c>
      <c r="Z14" s="54">
        <v>59.98</v>
      </c>
      <c r="AA14" s="57">
        <v>0</v>
      </c>
      <c r="AB14" s="58">
        <v>94.58</v>
      </c>
      <c r="AC14" s="52">
        <v>0</v>
      </c>
      <c r="AD14" s="359">
        <v>14.61</v>
      </c>
      <c r="AE14" s="359">
        <v>7.44</v>
      </c>
      <c r="AF14" s="52">
        <v>21.85</v>
      </c>
      <c r="AG14" s="58">
        <v>14.16</v>
      </c>
      <c r="AH14" s="58">
        <v>7.45</v>
      </c>
      <c r="AI14" s="58">
        <v>0.66</v>
      </c>
      <c r="AJ14" s="52">
        <v>288.72000000000003</v>
      </c>
      <c r="AK14" s="52">
        <v>918.33</v>
      </c>
      <c r="AL14" s="52">
        <v>2918.75</v>
      </c>
      <c r="AM14" s="52">
        <v>520.98</v>
      </c>
      <c r="AN14" s="52">
        <v>6551.94</v>
      </c>
      <c r="AO14" s="52">
        <v>3026.8</v>
      </c>
      <c r="AP14" s="52">
        <v>841.82</v>
      </c>
      <c r="AQ14" s="52">
        <v>2748.8</v>
      </c>
      <c r="AR14" s="52">
        <v>512.04999999999995</v>
      </c>
      <c r="AS14" s="52">
        <v>589.16</v>
      </c>
    </row>
    <row r="15" spans="1:49" x14ac:dyDescent="0.25">
      <c r="A15" s="9">
        <v>44628</v>
      </c>
      <c r="B15" s="45"/>
      <c r="C15" s="46">
        <v>78.842217946052557</v>
      </c>
      <c r="D15" s="46">
        <v>1157.8190567652389</v>
      </c>
      <c r="E15" s="46">
        <v>18.085422059893634</v>
      </c>
      <c r="F15" s="46">
        <v>0</v>
      </c>
      <c r="G15" s="46">
        <v>2431.2463942209888</v>
      </c>
      <c r="H15" s="47">
        <v>29.159217395385173</v>
      </c>
      <c r="I15" s="45">
        <v>195.98077019055697</v>
      </c>
      <c r="J15" s="46">
        <v>533.09938195546488</v>
      </c>
      <c r="K15" s="46">
        <v>29.076085250576313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310.12400913710309</v>
      </c>
      <c r="V15" s="54">
        <v>152.41172315338108</v>
      </c>
      <c r="W15" s="54">
        <v>59.283087141006064</v>
      </c>
      <c r="X15" s="54">
        <v>29.134917641988483</v>
      </c>
      <c r="Y15" s="54">
        <v>109.08296779543043</v>
      </c>
      <c r="Z15" s="54">
        <v>53.609274350107896</v>
      </c>
      <c r="AA15" s="57">
        <v>0</v>
      </c>
      <c r="AB15" s="58">
        <v>96.593478589587292</v>
      </c>
      <c r="AC15" s="52">
        <v>0</v>
      </c>
      <c r="AD15" s="359">
        <v>15.085538863010434</v>
      </c>
      <c r="AE15" s="359">
        <v>7.4352723257239202</v>
      </c>
      <c r="AF15" s="52">
        <v>21.393997861279392</v>
      </c>
      <c r="AG15" s="58">
        <v>14.184100114035449</v>
      </c>
      <c r="AH15" s="58">
        <v>6.9708344922256211</v>
      </c>
      <c r="AI15" s="58">
        <v>0.6704865970059527</v>
      </c>
      <c r="AJ15" s="52">
        <v>267.71702679793037</v>
      </c>
      <c r="AK15" s="52">
        <v>876.98525355656943</v>
      </c>
      <c r="AL15" s="52">
        <v>2858.1594476064047</v>
      </c>
      <c r="AM15" s="52">
        <v>520.98161315917969</v>
      </c>
      <c r="AN15" s="52">
        <v>6551.94140625</v>
      </c>
      <c r="AO15" s="52">
        <v>3058.666749191284</v>
      </c>
      <c r="AP15" s="52">
        <v>895.98196894327816</v>
      </c>
      <c r="AQ15" s="52">
        <v>2796.6777716318766</v>
      </c>
      <c r="AR15" s="52">
        <v>492.92270151774085</v>
      </c>
      <c r="AS15" s="52">
        <v>624.65311304728198</v>
      </c>
    </row>
    <row r="16" spans="1:49" x14ac:dyDescent="0.25">
      <c r="A16" s="9">
        <v>44629</v>
      </c>
      <c r="B16" s="45"/>
      <c r="C16" s="46">
        <v>77.997811043262516</v>
      </c>
      <c r="D16" s="46">
        <v>1151.1955736160314</v>
      </c>
      <c r="E16" s="46">
        <v>18.514823257923105</v>
      </c>
      <c r="F16" s="46">
        <v>0</v>
      </c>
      <c r="G16" s="46">
        <v>2461.2873541514105</v>
      </c>
      <c r="H16" s="47">
        <v>29.299012460311289</v>
      </c>
      <c r="I16" s="45">
        <v>201.90416458447817</v>
      </c>
      <c r="J16" s="46">
        <v>551.25738747914636</v>
      </c>
      <c r="K16" s="46">
        <v>30.127907346685699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329.33703223955263</v>
      </c>
      <c r="V16" s="54">
        <v>162.74394685336424</v>
      </c>
      <c r="W16" s="54">
        <v>63.210669633008095</v>
      </c>
      <c r="X16" s="54">
        <v>31.235946317258307</v>
      </c>
      <c r="Y16" s="54">
        <v>113.51342931439254</v>
      </c>
      <c r="Z16" s="54">
        <v>56.093368492029477</v>
      </c>
      <c r="AA16" s="57">
        <v>0</v>
      </c>
      <c r="AB16" s="58">
        <v>98.826606697506605</v>
      </c>
      <c r="AC16" s="52">
        <v>0</v>
      </c>
      <c r="AD16" s="359">
        <v>15.60027960140248</v>
      </c>
      <c r="AE16" s="359">
        <v>7.424657284587818</v>
      </c>
      <c r="AF16" s="52">
        <v>22.580839945210322</v>
      </c>
      <c r="AG16" s="58">
        <v>14.974556670966845</v>
      </c>
      <c r="AH16" s="58">
        <v>7.3997704978402918</v>
      </c>
      <c r="AI16" s="58">
        <v>0.66927405494648429</v>
      </c>
      <c r="AJ16" s="52">
        <v>313.03744518756866</v>
      </c>
      <c r="AK16" s="52">
        <v>955.92598454157508</v>
      </c>
      <c r="AL16" s="52">
        <v>2943.1695837656657</v>
      </c>
      <c r="AM16" s="52">
        <v>520.98161315917969</v>
      </c>
      <c r="AN16" s="52">
        <v>6551.94140625</v>
      </c>
      <c r="AO16" s="52">
        <v>3093.2314046223955</v>
      </c>
      <c r="AP16" s="52">
        <v>1133.513613065084</v>
      </c>
      <c r="AQ16" s="52">
        <v>2868.6416423797605</v>
      </c>
      <c r="AR16" s="52">
        <v>533.26377906799326</v>
      </c>
      <c r="AS16" s="52">
        <v>626.2231330871582</v>
      </c>
    </row>
    <row r="17" spans="1:45" x14ac:dyDescent="0.25">
      <c r="A17" s="9">
        <v>44630</v>
      </c>
      <c r="B17" s="45"/>
      <c r="C17" s="46">
        <v>78.362404831250771</v>
      </c>
      <c r="D17" s="46">
        <v>1120.6773960749322</v>
      </c>
      <c r="E17" s="46">
        <v>18.245599428812703</v>
      </c>
      <c r="F17" s="46">
        <v>0</v>
      </c>
      <c r="G17" s="46">
        <v>2383.1520767211946</v>
      </c>
      <c r="H17" s="47">
        <v>29.394022291898761</v>
      </c>
      <c r="I17" s="45">
        <v>201.84021215438881</v>
      </c>
      <c r="J17" s="46">
        <v>551.23790960311919</v>
      </c>
      <c r="K17" s="46">
        <v>30.232543153564116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332.79331277167893</v>
      </c>
      <c r="V17" s="54">
        <v>163.65435411708756</v>
      </c>
      <c r="W17" s="54">
        <v>64.235440830397664</v>
      </c>
      <c r="X17" s="54">
        <v>31.588403904430081</v>
      </c>
      <c r="Y17" s="54">
        <v>113.39473110996089</v>
      </c>
      <c r="Z17" s="54">
        <v>55.762963881468742</v>
      </c>
      <c r="AA17" s="57">
        <v>0</v>
      </c>
      <c r="AB17" s="58">
        <v>98.855730448828865</v>
      </c>
      <c r="AC17" s="52">
        <v>0</v>
      </c>
      <c r="AD17" s="359">
        <v>15.59842561311028</v>
      </c>
      <c r="AE17" s="359">
        <v>7.4219715651600788</v>
      </c>
      <c r="AF17" s="52">
        <v>22.915951196021545</v>
      </c>
      <c r="AG17" s="58">
        <v>15.173033443704576</v>
      </c>
      <c r="AH17" s="58">
        <v>7.4614870339358541</v>
      </c>
      <c r="AI17" s="58">
        <v>0.67034923309699879</v>
      </c>
      <c r="AJ17" s="52">
        <v>325.00791811943049</v>
      </c>
      <c r="AK17" s="52">
        <v>991.61771672566726</v>
      </c>
      <c r="AL17" s="52">
        <v>2985.9591962178552</v>
      </c>
      <c r="AM17" s="52">
        <v>520.98161315917969</v>
      </c>
      <c r="AN17" s="52">
        <v>6551.94140625</v>
      </c>
      <c r="AO17" s="52">
        <v>3115.2881969451905</v>
      </c>
      <c r="AP17" s="52">
        <v>1160.2277417500813</v>
      </c>
      <c r="AQ17" s="52">
        <v>3051.965348688761</v>
      </c>
      <c r="AR17" s="52">
        <v>540.4553981463115</v>
      </c>
      <c r="AS17" s="52">
        <v>560.99179477691632</v>
      </c>
    </row>
    <row r="18" spans="1:45" x14ac:dyDescent="0.25">
      <c r="A18" s="9">
        <v>44631</v>
      </c>
      <c r="B18" s="45"/>
      <c r="C18" s="46">
        <v>78.901859939098529</v>
      </c>
      <c r="D18" s="46">
        <v>1105.5993618647276</v>
      </c>
      <c r="E18" s="46">
        <v>17.836022414763786</v>
      </c>
      <c r="F18" s="46">
        <v>0</v>
      </c>
      <c r="G18" s="46">
        <v>2192.1874388376859</v>
      </c>
      <c r="H18" s="47">
        <v>29.45296864310907</v>
      </c>
      <c r="I18" s="45">
        <v>201.93395802180007</v>
      </c>
      <c r="J18" s="46">
        <v>551.37124834060626</v>
      </c>
      <c r="K18" s="46">
        <v>30.136866220831848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318.16732824853602</v>
      </c>
      <c r="V18" s="54">
        <v>151.64442729210336</v>
      </c>
      <c r="W18" s="54">
        <v>60.876067546271443</v>
      </c>
      <c r="X18" s="54">
        <v>29.014658574995309</v>
      </c>
      <c r="Y18" s="54">
        <v>106.64398499944463</v>
      </c>
      <c r="Z18" s="54">
        <v>50.828493668450243</v>
      </c>
      <c r="AA18" s="57">
        <v>0</v>
      </c>
      <c r="AB18" s="58">
        <v>98.892791403664177</v>
      </c>
      <c r="AC18" s="52">
        <v>0</v>
      </c>
      <c r="AD18" s="359">
        <v>15.601111330882379</v>
      </c>
      <c r="AE18" s="359">
        <v>7.4378789165184749</v>
      </c>
      <c r="AF18" s="52">
        <v>21.785809061262388</v>
      </c>
      <c r="AG18" s="58">
        <v>14.612727668732733</v>
      </c>
      <c r="AH18" s="58">
        <v>6.9646960003683054</v>
      </c>
      <c r="AI18" s="58">
        <v>0.67722300367389188</v>
      </c>
      <c r="AJ18" s="52">
        <v>285.55629922548934</v>
      </c>
      <c r="AK18" s="52">
        <v>927.64041153589892</v>
      </c>
      <c r="AL18" s="52">
        <v>2764.1984497070316</v>
      </c>
      <c r="AM18" s="52">
        <v>520.98161315917969</v>
      </c>
      <c r="AN18" s="52">
        <v>6551.94140625</v>
      </c>
      <c r="AO18" s="52">
        <v>3062.4960831960038</v>
      </c>
      <c r="AP18" s="52">
        <v>1037.7018157482148</v>
      </c>
      <c r="AQ18" s="52">
        <v>3125.1807651519775</v>
      </c>
      <c r="AR18" s="52">
        <v>516.76712554295852</v>
      </c>
      <c r="AS18" s="52">
        <v>552.96358168919869</v>
      </c>
    </row>
    <row r="19" spans="1:45" x14ac:dyDescent="0.25">
      <c r="A19" s="9">
        <v>44632</v>
      </c>
      <c r="B19" s="45"/>
      <c r="C19" s="46">
        <v>78.83583199977879</v>
      </c>
      <c r="D19" s="46">
        <v>1114.9060908635433</v>
      </c>
      <c r="E19" s="46">
        <v>18.385496054093061</v>
      </c>
      <c r="F19" s="46">
        <v>0</v>
      </c>
      <c r="G19" s="46">
        <v>2231.0300043741859</v>
      </c>
      <c r="H19" s="47">
        <v>29.414479762315818</v>
      </c>
      <c r="I19" s="45">
        <v>201.85091482798322</v>
      </c>
      <c r="J19" s="46">
        <v>550.98060715993256</v>
      </c>
      <c r="K19" s="46">
        <v>30.172772614161147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323.19695399622998</v>
      </c>
      <c r="V19" s="54">
        <v>158.90468397119631</v>
      </c>
      <c r="W19" s="54">
        <v>63.576335947472295</v>
      </c>
      <c r="X19" s="54">
        <v>31.258269754292105</v>
      </c>
      <c r="Y19" s="54">
        <v>107.34134068709956</v>
      </c>
      <c r="Z19" s="54">
        <v>52.775998065647109</v>
      </c>
      <c r="AA19" s="57">
        <v>0</v>
      </c>
      <c r="AB19" s="58">
        <v>98.854793972439367</v>
      </c>
      <c r="AC19" s="52">
        <v>0</v>
      </c>
      <c r="AD19" s="359">
        <v>15.593215018015016</v>
      </c>
      <c r="AE19" s="359">
        <v>7.4334174317780661</v>
      </c>
      <c r="AF19" s="52">
        <v>22.970484133561456</v>
      </c>
      <c r="AG19" s="58">
        <v>15.252358396318577</v>
      </c>
      <c r="AH19" s="58">
        <v>7.4990533197002129</v>
      </c>
      <c r="AI19" s="58">
        <v>0.67039173598092427</v>
      </c>
      <c r="AJ19" s="52">
        <v>248.57394340833028</v>
      </c>
      <c r="AK19" s="52">
        <v>840.96933905283606</v>
      </c>
      <c r="AL19" s="52">
        <v>2766.5989339192706</v>
      </c>
      <c r="AM19" s="52">
        <v>530.42652384440112</v>
      </c>
      <c r="AN19" s="52">
        <v>6551.94140625</v>
      </c>
      <c r="AO19" s="52">
        <v>2891.6971731821695</v>
      </c>
      <c r="AP19" s="52">
        <v>584.76778082847591</v>
      </c>
      <c r="AQ19" s="52">
        <v>2976.8740019480397</v>
      </c>
      <c r="AR19" s="52">
        <v>466.26244589487709</v>
      </c>
      <c r="AS19" s="52">
        <v>535.47177448272714</v>
      </c>
    </row>
    <row r="20" spans="1:45" x14ac:dyDescent="0.25">
      <c r="A20" s="9">
        <v>44633</v>
      </c>
      <c r="B20" s="45"/>
      <c r="C20" s="46">
        <v>78.709806946913105</v>
      </c>
      <c r="D20" s="46">
        <v>1131.4195306142162</v>
      </c>
      <c r="E20" s="46">
        <v>18.521645545959458</v>
      </c>
      <c r="F20" s="46">
        <v>0</v>
      </c>
      <c r="G20" s="46">
        <v>2278.2973192850709</v>
      </c>
      <c r="H20" s="47">
        <v>29.6590757886568</v>
      </c>
      <c r="I20" s="45">
        <v>210.54420034090657</v>
      </c>
      <c r="J20" s="46">
        <v>550.93698638279932</v>
      </c>
      <c r="K20" s="46">
        <v>30.190807903806324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319.96390597895817</v>
      </c>
      <c r="V20" s="54">
        <v>157.38995307476682</v>
      </c>
      <c r="W20" s="54">
        <v>61.808213767846176</v>
      </c>
      <c r="X20" s="54">
        <v>30.403403892675975</v>
      </c>
      <c r="Y20" s="54">
        <v>106.93357070567674</v>
      </c>
      <c r="Z20" s="54">
        <v>52.600525749896718</v>
      </c>
      <c r="AA20" s="57">
        <v>0</v>
      </c>
      <c r="AB20" s="58">
        <v>98.760235955981059</v>
      </c>
      <c r="AC20" s="52">
        <v>0</v>
      </c>
      <c r="AD20" s="359">
        <v>15.595553794602569</v>
      </c>
      <c r="AE20" s="359">
        <v>7.4112996844050878</v>
      </c>
      <c r="AF20" s="52">
        <v>22.8365111092726</v>
      </c>
      <c r="AG20" s="58">
        <v>15.177084708445054</v>
      </c>
      <c r="AH20" s="58">
        <v>7.4655941043269358</v>
      </c>
      <c r="AI20" s="58">
        <v>0.67028662261835203</v>
      </c>
      <c r="AJ20" s="52">
        <v>221.70483536720275</v>
      </c>
      <c r="AK20" s="52">
        <v>795.60235392252605</v>
      </c>
      <c r="AL20" s="52">
        <v>3098.5703447977703</v>
      </c>
      <c r="AM20" s="52">
        <v>623.88862733840938</v>
      </c>
      <c r="AN20" s="52">
        <v>6551.94140625</v>
      </c>
      <c r="AO20" s="52">
        <v>2776.2541193644206</v>
      </c>
      <c r="AP20" s="52">
        <v>521.98648034731559</v>
      </c>
      <c r="AQ20" s="52">
        <v>2958.1022621154789</v>
      </c>
      <c r="AR20" s="52">
        <v>426.51838685671493</v>
      </c>
      <c r="AS20" s="52">
        <v>563.63639898300164</v>
      </c>
    </row>
    <row r="21" spans="1:45" x14ac:dyDescent="0.25">
      <c r="A21" s="9">
        <v>44634</v>
      </c>
      <c r="B21" s="45"/>
      <c r="C21" s="46">
        <v>78.780257399876817</v>
      </c>
      <c r="D21" s="46">
        <v>1154.9164688746123</v>
      </c>
      <c r="E21" s="46">
        <v>18.463066384196292</v>
      </c>
      <c r="F21" s="46">
        <v>0</v>
      </c>
      <c r="G21" s="46">
        <v>2344.9246158599844</v>
      </c>
      <c r="H21" s="47">
        <v>29.730400594075576</v>
      </c>
      <c r="I21" s="45">
        <v>214.0759347438817</v>
      </c>
      <c r="J21" s="46">
        <v>551.03454132080026</v>
      </c>
      <c r="K21" s="46">
        <v>30.160234238704007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322.17817937919546</v>
      </c>
      <c r="V21" s="54">
        <v>158.47260774120048</v>
      </c>
      <c r="W21" s="54">
        <v>62.251116140060326</v>
      </c>
      <c r="X21" s="54">
        <v>30.620002659785122</v>
      </c>
      <c r="Y21" s="54">
        <v>107.89882056924448</v>
      </c>
      <c r="Z21" s="54">
        <v>53.073139530293766</v>
      </c>
      <c r="AA21" s="57">
        <v>0</v>
      </c>
      <c r="AB21" s="58">
        <v>98.783577945497299</v>
      </c>
      <c r="AC21" s="52">
        <v>0</v>
      </c>
      <c r="AD21" s="359">
        <v>15.593422795165562</v>
      </c>
      <c r="AE21" s="359">
        <v>7.4272623753417717</v>
      </c>
      <c r="AF21" s="52">
        <v>22.85749859611191</v>
      </c>
      <c r="AG21" s="58">
        <v>15.172457589801734</v>
      </c>
      <c r="AH21" s="58">
        <v>7.4630098311801261</v>
      </c>
      <c r="AI21" s="58">
        <v>0.67029574903930111</v>
      </c>
      <c r="AJ21" s="52">
        <v>221.80518635908763</v>
      </c>
      <c r="AK21" s="52">
        <v>795.95468711853005</v>
      </c>
      <c r="AL21" s="52">
        <v>2914.6631661732995</v>
      </c>
      <c r="AM21" s="52">
        <v>439.34646606445313</v>
      </c>
      <c r="AN21" s="52">
        <v>6551.94140625</v>
      </c>
      <c r="AO21" s="52">
        <v>2720.7929314931234</v>
      </c>
      <c r="AP21" s="52">
        <v>526.83902703921001</v>
      </c>
      <c r="AQ21" s="52">
        <v>3012.5554275512695</v>
      </c>
      <c r="AR21" s="52">
        <v>448.72994017601019</v>
      </c>
      <c r="AS21" s="52">
        <v>559.49053192138672</v>
      </c>
    </row>
    <row r="22" spans="1:45" x14ac:dyDescent="0.25">
      <c r="A22" s="9">
        <v>44635</v>
      </c>
      <c r="B22" s="45"/>
      <c r="C22" s="46">
        <v>78.66</v>
      </c>
      <c r="D22" s="46">
        <v>1149.0899999999999</v>
      </c>
      <c r="E22" s="46">
        <v>18.309999999999999</v>
      </c>
      <c r="F22" s="46">
        <v>0</v>
      </c>
      <c r="G22" s="46">
        <v>2401.25</v>
      </c>
      <c r="H22" s="47">
        <v>29.73</v>
      </c>
      <c r="I22" s="45">
        <v>182.71</v>
      </c>
      <c r="J22" s="46">
        <v>496.84</v>
      </c>
      <c r="K22" s="46">
        <v>27.18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289.43</v>
      </c>
      <c r="V22" s="54">
        <v>159.94</v>
      </c>
      <c r="W22" s="54">
        <v>55.24</v>
      </c>
      <c r="X22" s="54">
        <v>30.52</v>
      </c>
      <c r="Y22" s="54">
        <v>92.73</v>
      </c>
      <c r="Z22" s="54">
        <v>51.24</v>
      </c>
      <c r="AA22" s="57">
        <v>0</v>
      </c>
      <c r="AB22" s="58">
        <v>92.07</v>
      </c>
      <c r="AC22" s="52">
        <v>0</v>
      </c>
      <c r="AD22" s="359">
        <v>14.06</v>
      </c>
      <c r="AE22" s="359">
        <v>7.42</v>
      </c>
      <c r="AF22" s="52">
        <v>20.93</v>
      </c>
      <c r="AG22" s="58">
        <v>13.33</v>
      </c>
      <c r="AH22" s="58">
        <v>7.37</v>
      </c>
      <c r="AI22" s="58">
        <v>0.64</v>
      </c>
      <c r="AJ22" s="52">
        <v>237.91</v>
      </c>
      <c r="AK22" s="52">
        <v>800.45</v>
      </c>
      <c r="AL22" s="52">
        <v>3000.19</v>
      </c>
      <c r="AM22" s="52">
        <v>439.35</v>
      </c>
      <c r="AN22" s="52">
        <v>6551.94</v>
      </c>
      <c r="AO22" s="52">
        <v>2718.91</v>
      </c>
      <c r="AP22" s="52">
        <v>507.84</v>
      </c>
      <c r="AQ22" s="52">
        <v>2936.92</v>
      </c>
      <c r="AR22" s="52">
        <v>431.04</v>
      </c>
      <c r="AS22" s="52">
        <v>664.48</v>
      </c>
    </row>
    <row r="23" spans="1:45" x14ac:dyDescent="0.25">
      <c r="A23" s="9">
        <v>44636</v>
      </c>
      <c r="B23" s="45"/>
      <c r="C23" s="46">
        <v>78.900716539224234</v>
      </c>
      <c r="D23" s="46">
        <v>1144.1686386108393</v>
      </c>
      <c r="E23" s="46">
        <v>18.360907989740369</v>
      </c>
      <c r="F23" s="46">
        <v>0</v>
      </c>
      <c r="G23" s="46">
        <v>2418.3399740854929</v>
      </c>
      <c r="H23" s="47">
        <v>29.899891755978359</v>
      </c>
      <c r="I23" s="45">
        <v>164.52016758918748</v>
      </c>
      <c r="J23" s="46">
        <v>438.26049909591671</v>
      </c>
      <c r="K23" s="46">
        <v>24.052324601014444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258.55168195843493</v>
      </c>
      <c r="V23" s="54">
        <v>155.86230712983379</v>
      </c>
      <c r="W23" s="54">
        <v>48.464772081125787</v>
      </c>
      <c r="X23" s="54">
        <v>29.215942955266428</v>
      </c>
      <c r="Y23" s="54">
        <v>85.466996905196808</v>
      </c>
      <c r="Z23" s="54">
        <v>51.521936427564427</v>
      </c>
      <c r="AA23" s="57">
        <v>0</v>
      </c>
      <c r="AB23" s="58">
        <v>84.883716011047753</v>
      </c>
      <c r="AC23" s="52">
        <v>0</v>
      </c>
      <c r="AD23" s="359">
        <v>12.401173132531296</v>
      </c>
      <c r="AE23" s="359">
        <v>7.4434216338538741</v>
      </c>
      <c r="AF23" s="52">
        <v>18.857593668169415</v>
      </c>
      <c r="AG23" s="58">
        <v>11.593944809099396</v>
      </c>
      <c r="AH23" s="58">
        <v>6.9891596643053253</v>
      </c>
      <c r="AI23" s="58">
        <v>0.62389709026778128</v>
      </c>
      <c r="AJ23" s="52">
        <v>211.39246900876361</v>
      </c>
      <c r="AK23" s="52">
        <v>779.06908740997324</v>
      </c>
      <c r="AL23" s="52">
        <v>2851.1915823618569</v>
      </c>
      <c r="AM23" s="52">
        <v>439.34646606445313</v>
      </c>
      <c r="AN23" s="52">
        <v>6551.94140625</v>
      </c>
      <c r="AO23" s="52">
        <v>2729.4879829406741</v>
      </c>
      <c r="AP23" s="52">
        <v>525.43668665885923</v>
      </c>
      <c r="AQ23" s="52">
        <v>2786.7800139109295</v>
      </c>
      <c r="AR23" s="52">
        <v>450.51803266207378</v>
      </c>
      <c r="AS23" s="52">
        <v>583.89979019165037</v>
      </c>
    </row>
    <row r="24" spans="1:45" x14ac:dyDescent="0.25">
      <c r="A24" s="9">
        <v>44637</v>
      </c>
      <c r="B24" s="45"/>
      <c r="C24" s="46">
        <v>78.810508441924938</v>
      </c>
      <c r="D24" s="46">
        <v>1135.6322820663461</v>
      </c>
      <c r="E24" s="46">
        <v>18.422708106040975</v>
      </c>
      <c r="F24" s="46">
        <v>0</v>
      </c>
      <c r="G24" s="46">
        <v>2477.8491580963132</v>
      </c>
      <c r="H24" s="47">
        <v>30.121623448530887</v>
      </c>
      <c r="I24" s="45">
        <v>162.91069131692245</v>
      </c>
      <c r="J24" s="46">
        <v>438.01834754943866</v>
      </c>
      <c r="K24" s="46">
        <v>23.985487707455931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261.67689973379356</v>
      </c>
      <c r="V24" s="54">
        <v>163.52554843295093</v>
      </c>
      <c r="W24" s="54">
        <v>49.779150372119943</v>
      </c>
      <c r="X24" s="54">
        <v>31.107686132816127</v>
      </c>
      <c r="Y24" s="54">
        <v>79.217693723939007</v>
      </c>
      <c r="Z24" s="54">
        <v>49.504242923158316</v>
      </c>
      <c r="AA24" s="57">
        <v>0</v>
      </c>
      <c r="AB24" s="58">
        <v>84.797896756066464</v>
      </c>
      <c r="AC24" s="52">
        <v>0</v>
      </c>
      <c r="AD24" s="359">
        <v>12.395224099886804</v>
      </c>
      <c r="AE24" s="359">
        <v>7.4372598944551305</v>
      </c>
      <c r="AF24" s="52">
        <v>19.643966034385869</v>
      </c>
      <c r="AG24" s="58">
        <v>11.920067248565417</v>
      </c>
      <c r="AH24" s="58">
        <v>7.4490164632884772</v>
      </c>
      <c r="AI24" s="58">
        <v>0.61541719917655824</v>
      </c>
      <c r="AJ24" s="52">
        <v>240.54472773869833</v>
      </c>
      <c r="AK24" s="52">
        <v>841.76284968058269</v>
      </c>
      <c r="AL24" s="52">
        <v>2880.0399706522626</v>
      </c>
      <c r="AM24" s="52">
        <v>510.81432978312176</v>
      </c>
      <c r="AN24" s="52">
        <v>6551.94140625</v>
      </c>
      <c r="AO24" s="52">
        <v>2804.6365091959633</v>
      </c>
      <c r="AP24" s="52">
        <v>630.30346174240117</v>
      </c>
      <c r="AQ24" s="52">
        <v>2805.9924153645829</v>
      </c>
      <c r="AR24" s="52">
        <v>496.53093560536701</v>
      </c>
      <c r="AS24" s="52">
        <v>604.30838718414304</v>
      </c>
    </row>
    <row r="25" spans="1:45" x14ac:dyDescent="0.25">
      <c r="A25" s="9">
        <v>44638</v>
      </c>
      <c r="B25" s="45"/>
      <c r="C25" s="46">
        <v>78.844896523157601</v>
      </c>
      <c r="D25" s="46">
        <v>1135.4892066955574</v>
      </c>
      <c r="E25" s="46">
        <v>18.010710765918084</v>
      </c>
      <c r="F25" s="46">
        <v>0</v>
      </c>
      <c r="G25" s="46">
        <v>2247.8280815124485</v>
      </c>
      <c r="H25" s="47">
        <v>30.137728663285589</v>
      </c>
      <c r="I25" s="45">
        <v>160.34978119532261</v>
      </c>
      <c r="J25" s="46">
        <v>439.93324515024858</v>
      </c>
      <c r="K25" s="46">
        <v>24.193501775463378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262.02498223547394</v>
      </c>
      <c r="V25" s="54">
        <v>163.77344962724442</v>
      </c>
      <c r="W25" s="54">
        <v>49.503843263606306</v>
      </c>
      <c r="X25" s="54">
        <v>30.941382428189009</v>
      </c>
      <c r="Y25" s="54">
        <v>76.799122114644945</v>
      </c>
      <c r="Z25" s="54">
        <v>48.001747962170406</v>
      </c>
      <c r="AA25" s="57">
        <v>0</v>
      </c>
      <c r="AB25" s="58">
        <v>84.871453714371</v>
      </c>
      <c r="AC25" s="52">
        <v>0</v>
      </c>
      <c r="AD25" s="359">
        <v>12.405879885172752</v>
      </c>
      <c r="AE25" s="359">
        <v>7.4394829877771302</v>
      </c>
      <c r="AF25" s="52">
        <v>19.770926875538301</v>
      </c>
      <c r="AG25" s="58">
        <v>11.999316592014569</v>
      </c>
      <c r="AH25" s="58">
        <v>7.4999317037549442</v>
      </c>
      <c r="AI25" s="58">
        <v>0.61537329080618453</v>
      </c>
      <c r="AJ25" s="52">
        <v>245.63275585174563</v>
      </c>
      <c r="AK25" s="52">
        <v>840.92136697769183</v>
      </c>
      <c r="AL25" s="52">
        <v>2890.5533960978196</v>
      </c>
      <c r="AM25" s="52">
        <v>664.04891967773438</v>
      </c>
      <c r="AN25" s="52">
        <v>6551.94140625</v>
      </c>
      <c r="AO25" s="52">
        <v>2801.7369313557947</v>
      </c>
      <c r="AP25" s="52">
        <v>632.72405317624407</v>
      </c>
      <c r="AQ25" s="52">
        <v>2798.2799671173093</v>
      </c>
      <c r="AR25" s="52">
        <v>489.13720343907659</v>
      </c>
      <c r="AS25" s="52">
        <v>591.86926034291582</v>
      </c>
    </row>
    <row r="26" spans="1:45" x14ac:dyDescent="0.25">
      <c r="A26" s="9">
        <v>44639</v>
      </c>
      <c r="B26" s="45"/>
      <c r="C26" s="46">
        <v>79.143713112672359</v>
      </c>
      <c r="D26" s="46">
        <v>1159.9620614369699</v>
      </c>
      <c r="E26" s="46">
        <v>17.852256258328772</v>
      </c>
      <c r="F26" s="46">
        <v>0</v>
      </c>
      <c r="G26" s="46">
        <v>2386.6719476064031</v>
      </c>
      <c r="H26" s="47">
        <v>30.232382049163199</v>
      </c>
      <c r="I26" s="45">
        <v>160.64081188837707</v>
      </c>
      <c r="J26" s="46">
        <v>438.77570400238062</v>
      </c>
      <c r="K26" s="46">
        <v>24.21366836925349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258.56394665716664</v>
      </c>
      <c r="V26" s="54">
        <v>162.45624004259631</v>
      </c>
      <c r="W26" s="54">
        <v>48.601418810448308</v>
      </c>
      <c r="X26" s="54">
        <v>30.536367744841982</v>
      </c>
      <c r="Y26" s="54">
        <v>69.885533039624747</v>
      </c>
      <c r="Z26" s="54">
        <v>43.909218890612067</v>
      </c>
      <c r="AA26" s="57">
        <v>0</v>
      </c>
      <c r="AB26" s="58">
        <v>84.92970786094692</v>
      </c>
      <c r="AC26" s="52">
        <v>0</v>
      </c>
      <c r="AD26" s="359">
        <v>12.414790176164541</v>
      </c>
      <c r="AE26" s="359">
        <v>7.4511588715519546</v>
      </c>
      <c r="AF26" s="52">
        <v>19.250259116623145</v>
      </c>
      <c r="AG26" s="58">
        <v>11.651714810300351</v>
      </c>
      <c r="AH26" s="58">
        <v>7.3207955037901744</v>
      </c>
      <c r="AI26" s="58">
        <v>0.61413669658921421</v>
      </c>
      <c r="AJ26" s="52">
        <v>224.01883672078452</v>
      </c>
      <c r="AK26" s="52">
        <v>815.30980119705214</v>
      </c>
      <c r="AL26" s="52">
        <v>2909.7132072448726</v>
      </c>
      <c r="AM26" s="52">
        <v>553.49020643234257</v>
      </c>
      <c r="AN26" s="52">
        <v>6551.94140625</v>
      </c>
      <c r="AO26" s="52">
        <v>2763.1905155181876</v>
      </c>
      <c r="AP26" s="52">
        <v>568.49571696917212</v>
      </c>
      <c r="AQ26" s="52">
        <v>2838.2611354827882</v>
      </c>
      <c r="AR26" s="52">
        <v>468.90802666346229</v>
      </c>
      <c r="AS26" s="52">
        <v>550.62808341979974</v>
      </c>
    </row>
    <row r="27" spans="1:45" x14ac:dyDescent="0.25">
      <c r="A27" s="9">
        <v>44640</v>
      </c>
      <c r="B27" s="45"/>
      <c r="C27" s="46">
        <v>79.995568998654875</v>
      </c>
      <c r="D27" s="46">
        <v>1152.531817881267</v>
      </c>
      <c r="E27" s="46">
        <v>18.215698188543286</v>
      </c>
      <c r="F27" s="46">
        <v>0</v>
      </c>
      <c r="G27" s="46">
        <v>2451.3428292592398</v>
      </c>
      <c r="H27" s="47">
        <v>30.153888318936147</v>
      </c>
      <c r="I27" s="45">
        <v>160.63764593601226</v>
      </c>
      <c r="J27" s="46">
        <v>439.15324656168644</v>
      </c>
      <c r="K27" s="46">
        <v>24.108493952949829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263.54613658244187</v>
      </c>
      <c r="V27" s="54">
        <v>157.74774612663325</v>
      </c>
      <c r="W27" s="54">
        <v>49.877617965685197</v>
      </c>
      <c r="X27" s="54">
        <v>29.854665745748225</v>
      </c>
      <c r="Y27" s="54">
        <v>70.637939649275893</v>
      </c>
      <c r="Z27" s="54">
        <v>42.28093006863979</v>
      </c>
      <c r="AA27" s="57">
        <v>0</v>
      </c>
      <c r="AB27" s="58">
        <v>84.930452367994832</v>
      </c>
      <c r="AC27" s="52">
        <v>0</v>
      </c>
      <c r="AD27" s="359">
        <v>12.426635867849635</v>
      </c>
      <c r="AE27" s="359">
        <v>7.4368838514890632</v>
      </c>
      <c r="AF27" s="52">
        <v>19.19597384995885</v>
      </c>
      <c r="AG27" s="58">
        <v>11.826223101740188</v>
      </c>
      <c r="AH27" s="58">
        <v>7.0786848317416178</v>
      </c>
      <c r="AI27" s="58">
        <v>0.62556364428494182</v>
      </c>
      <c r="AJ27" s="52">
        <v>211.79066796302797</v>
      </c>
      <c r="AK27" s="52">
        <v>792.44754028320301</v>
      </c>
      <c r="AL27" s="52">
        <v>2923.2160343170167</v>
      </c>
      <c r="AM27" s="52">
        <v>537.39454650878906</v>
      </c>
      <c r="AN27" s="52">
        <v>6551.94140625</v>
      </c>
      <c r="AO27" s="52">
        <v>2710.7392999013268</v>
      </c>
      <c r="AP27" s="52">
        <v>529.84967460632333</v>
      </c>
      <c r="AQ27" s="52">
        <v>2839.1423849741618</v>
      </c>
      <c r="AR27" s="52">
        <v>454.11665363311766</v>
      </c>
      <c r="AS27" s="52">
        <v>614.91283512115479</v>
      </c>
    </row>
    <row r="28" spans="1:45" x14ac:dyDescent="0.25">
      <c r="A28" s="9">
        <v>44641</v>
      </c>
      <c r="B28" s="45"/>
      <c r="C28" s="46">
        <v>77.78963365554803</v>
      </c>
      <c r="D28" s="46">
        <v>1143.1841836929327</v>
      </c>
      <c r="E28" s="46">
        <v>18.158608416716273</v>
      </c>
      <c r="F28" s="46">
        <v>0</v>
      </c>
      <c r="G28" s="46">
        <v>2437.8899842580136</v>
      </c>
      <c r="H28" s="47">
        <v>30.486163957913696</v>
      </c>
      <c r="I28" s="45">
        <v>159.73826270898184</v>
      </c>
      <c r="J28" s="46">
        <v>439.47616844177247</v>
      </c>
      <c r="K28" s="46">
        <v>24.196107524136725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266.142432096444</v>
      </c>
      <c r="V28" s="54">
        <v>166.33671914189236</v>
      </c>
      <c r="W28" s="54">
        <v>51.061194453228254</v>
      </c>
      <c r="X28" s="54">
        <v>31.912805086782939</v>
      </c>
      <c r="Y28" s="54">
        <v>68.551018270316774</v>
      </c>
      <c r="Z28" s="54">
        <v>42.843793765243667</v>
      </c>
      <c r="AA28" s="57">
        <v>0</v>
      </c>
      <c r="AB28" s="58">
        <v>85.055218823751147</v>
      </c>
      <c r="AC28" s="52">
        <v>0</v>
      </c>
      <c r="AD28" s="359">
        <v>12.436559475358557</v>
      </c>
      <c r="AE28" s="359">
        <v>7.4369146794763168</v>
      </c>
      <c r="AF28" s="52">
        <v>19.62555677559639</v>
      </c>
      <c r="AG28" s="58">
        <v>11.897776257489884</v>
      </c>
      <c r="AH28" s="58">
        <v>7.4360072994223358</v>
      </c>
      <c r="AI28" s="58">
        <v>0.61538788941475397</v>
      </c>
      <c r="AJ28" s="52">
        <v>236.24532796541854</v>
      </c>
      <c r="AK28" s="52">
        <v>829.38833389282229</v>
      </c>
      <c r="AL28" s="52">
        <v>2942.6606681823728</v>
      </c>
      <c r="AM28" s="52">
        <v>537.39454650878906</v>
      </c>
      <c r="AN28" s="52">
        <v>6551.94140625</v>
      </c>
      <c r="AO28" s="52">
        <v>2862.9560531616212</v>
      </c>
      <c r="AP28" s="52">
        <v>583.73083548545844</v>
      </c>
      <c r="AQ28" s="52">
        <v>2860.1627421061198</v>
      </c>
      <c r="AR28" s="52">
        <v>505.77015364964808</v>
      </c>
      <c r="AS28" s="52">
        <v>557.00028991699219</v>
      </c>
    </row>
    <row r="29" spans="1:45" x14ac:dyDescent="0.25">
      <c r="A29" s="9">
        <v>44642</v>
      </c>
      <c r="B29" s="45"/>
      <c r="C29" s="46">
        <v>79.120345910390228</v>
      </c>
      <c r="D29" s="46">
        <v>1142.9178066889417</v>
      </c>
      <c r="E29" s="46">
        <v>17.607204974691129</v>
      </c>
      <c r="F29" s="46">
        <v>0</v>
      </c>
      <c r="G29" s="46">
        <v>2503.33714358012</v>
      </c>
      <c r="H29" s="47">
        <v>30.115542117754682</v>
      </c>
      <c r="I29" s="45">
        <v>160.66452738444013</v>
      </c>
      <c r="J29" s="46">
        <v>439.36162236531544</v>
      </c>
      <c r="K29" s="46">
        <v>24.014721959332576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261.20183572568664</v>
      </c>
      <c r="V29" s="54">
        <v>164.00450023216007</v>
      </c>
      <c r="W29" s="54">
        <v>50.821456457238568</v>
      </c>
      <c r="X29" s="54">
        <v>31.909988473791703</v>
      </c>
      <c r="Y29" s="54">
        <v>67.137317015577878</v>
      </c>
      <c r="Z29" s="54">
        <v>42.154459188531419</v>
      </c>
      <c r="AA29" s="57">
        <v>0</v>
      </c>
      <c r="AB29" s="58">
        <v>84.989985836877736</v>
      </c>
      <c r="AC29" s="52">
        <v>0</v>
      </c>
      <c r="AD29" s="359">
        <v>12.433293220671398</v>
      </c>
      <c r="AE29" s="359">
        <v>7.4377198492964869</v>
      </c>
      <c r="AF29" s="52">
        <v>19.569789539443153</v>
      </c>
      <c r="AG29" s="58">
        <v>11.830201850101586</v>
      </c>
      <c r="AH29" s="58">
        <v>7.4279965785121229</v>
      </c>
      <c r="AI29" s="58">
        <v>0.61429431698680326</v>
      </c>
      <c r="AJ29" s="52">
        <v>272.33700633049011</v>
      </c>
      <c r="AK29" s="52">
        <v>901.59759267171216</v>
      </c>
      <c r="AL29" s="52">
        <v>2802.6219189961753</v>
      </c>
      <c r="AM29" s="52">
        <v>537.39454650878906</v>
      </c>
      <c r="AN29" s="52">
        <v>6551.94140625</v>
      </c>
      <c r="AO29" s="52">
        <v>2992.3482988993333</v>
      </c>
      <c r="AP29" s="52">
        <v>813.00170129140258</v>
      </c>
      <c r="AQ29" s="52">
        <v>2899.3825293223058</v>
      </c>
      <c r="AR29" s="52">
        <v>541.85867430369058</v>
      </c>
      <c r="AS29" s="52">
        <v>571.81304155985515</v>
      </c>
    </row>
    <row r="30" spans="1:45" x14ac:dyDescent="0.25">
      <c r="A30" s="9">
        <v>44643</v>
      </c>
      <c r="B30" s="45"/>
      <c r="C30" s="46">
        <v>78.760000000000005</v>
      </c>
      <c r="D30" s="46">
        <v>1143.3800000000001</v>
      </c>
      <c r="E30" s="46">
        <v>17.78</v>
      </c>
      <c r="F30" s="46">
        <v>0</v>
      </c>
      <c r="G30" s="46">
        <v>2573.63</v>
      </c>
      <c r="H30" s="47">
        <v>29.82</v>
      </c>
      <c r="I30" s="45">
        <v>182.22</v>
      </c>
      <c r="J30" s="46">
        <v>499.12</v>
      </c>
      <c r="K30" s="46">
        <v>27.34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297.32</v>
      </c>
      <c r="V30" s="54">
        <v>163</v>
      </c>
      <c r="W30" s="54">
        <v>59.06</v>
      </c>
      <c r="X30" s="54">
        <v>32.380000000000003</v>
      </c>
      <c r="Y30" s="54">
        <v>77.819999999999993</v>
      </c>
      <c r="Z30" s="54">
        <v>42.66</v>
      </c>
      <c r="AA30" s="57">
        <v>0</v>
      </c>
      <c r="AB30" s="58">
        <v>92.67</v>
      </c>
      <c r="AC30" s="52">
        <v>0</v>
      </c>
      <c r="AD30" s="359">
        <v>14.13</v>
      </c>
      <c r="AE30" s="359">
        <v>7.44</v>
      </c>
      <c r="AF30" s="52">
        <v>21.48</v>
      </c>
      <c r="AG30" s="58">
        <v>13.68</v>
      </c>
      <c r="AH30" s="58">
        <v>7.5</v>
      </c>
      <c r="AI30" s="58">
        <v>0.65</v>
      </c>
      <c r="AJ30" s="52">
        <v>261.26</v>
      </c>
      <c r="AK30" s="52">
        <v>869.03</v>
      </c>
      <c r="AL30" s="52">
        <v>2737.27</v>
      </c>
      <c r="AM30" s="52">
        <v>537.39</v>
      </c>
      <c r="AN30" s="52">
        <v>6551.94</v>
      </c>
      <c r="AO30" s="52">
        <v>2848.97</v>
      </c>
      <c r="AP30" s="52">
        <v>625.45000000000005</v>
      </c>
      <c r="AQ30" s="52">
        <v>3041.25</v>
      </c>
      <c r="AR30" s="52">
        <v>521.59</v>
      </c>
      <c r="AS30" s="52">
        <v>581.13</v>
      </c>
    </row>
    <row r="31" spans="1:45" x14ac:dyDescent="0.25">
      <c r="A31" s="9">
        <v>44644</v>
      </c>
      <c r="B31" s="45"/>
      <c r="C31" s="46">
        <v>78.897078522046513</v>
      </c>
      <c r="D31" s="46">
        <v>1127.8538510640449</v>
      </c>
      <c r="E31" s="46">
        <v>18.174144791563396</v>
      </c>
      <c r="F31" s="46">
        <v>0</v>
      </c>
      <c r="G31" s="46">
        <v>2405.0238984425864</v>
      </c>
      <c r="H31" s="47">
        <v>29.615271991491348</v>
      </c>
      <c r="I31" s="45">
        <v>182.46221973896033</v>
      </c>
      <c r="J31" s="46">
        <v>510.5173662185673</v>
      </c>
      <c r="K31" s="46">
        <v>27.901702489455573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300.83007269748856</v>
      </c>
      <c r="V31" s="54">
        <v>154.43218636199276</v>
      </c>
      <c r="W31" s="54">
        <v>59.358707450189584</v>
      </c>
      <c r="X31" s="54">
        <v>30.472003310562688</v>
      </c>
      <c r="Y31" s="54">
        <v>80.507681894074338</v>
      </c>
      <c r="Z31" s="54">
        <v>41.328904462088751</v>
      </c>
      <c r="AA31" s="57">
        <v>0</v>
      </c>
      <c r="AB31" s="58">
        <v>93.777509334353198</v>
      </c>
      <c r="AC31" s="52">
        <v>0</v>
      </c>
      <c r="AD31" s="359">
        <v>14.445228219426546</v>
      </c>
      <c r="AE31" s="359">
        <v>7.4545397836490732</v>
      </c>
      <c r="AF31" s="52">
        <v>21.107379228538889</v>
      </c>
      <c r="AG31" s="58">
        <v>13.731854114642781</v>
      </c>
      <c r="AH31" s="58">
        <v>7.0492960850383621</v>
      </c>
      <c r="AI31" s="58">
        <v>0.66078412324133429</v>
      </c>
      <c r="AJ31" s="52">
        <v>222.96386430263522</v>
      </c>
      <c r="AK31" s="52">
        <v>807.36113376617448</v>
      </c>
      <c r="AL31" s="52">
        <v>2761.5829892476395</v>
      </c>
      <c r="AM31" s="52">
        <v>515.72372531890869</v>
      </c>
      <c r="AN31" s="52">
        <v>6551.94140625</v>
      </c>
      <c r="AO31" s="52">
        <v>2769.9198827107748</v>
      </c>
      <c r="AP31" s="52">
        <v>570.29242293039954</v>
      </c>
      <c r="AQ31" s="52">
        <v>3015.6378349304205</v>
      </c>
      <c r="AR31" s="52">
        <v>464.79888537724804</v>
      </c>
      <c r="AS31" s="52">
        <v>643.95664091110245</v>
      </c>
    </row>
    <row r="32" spans="1:45" x14ac:dyDescent="0.25">
      <c r="A32" s="9">
        <v>44645</v>
      </c>
      <c r="B32" s="45"/>
      <c r="C32" s="46">
        <v>78.539975345134891</v>
      </c>
      <c r="D32" s="46">
        <v>1109.9625259399406</v>
      </c>
      <c r="E32" s="46">
        <v>18.246152241031353</v>
      </c>
      <c r="F32" s="46">
        <v>0</v>
      </c>
      <c r="G32" s="46">
        <v>2246.7352686564159</v>
      </c>
      <c r="H32" s="47">
        <v>29.667709008852722</v>
      </c>
      <c r="I32" s="45">
        <v>180.80424022674552</v>
      </c>
      <c r="J32" s="46">
        <v>503.39559634526609</v>
      </c>
      <c r="K32" s="46">
        <v>27.662578014532738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297.23372608127386</v>
      </c>
      <c r="V32" s="54">
        <v>161.85658265913025</v>
      </c>
      <c r="W32" s="54">
        <v>58.472346209039443</v>
      </c>
      <c r="X32" s="54">
        <v>31.840714249461907</v>
      </c>
      <c r="Y32" s="54">
        <v>81.290716242746058</v>
      </c>
      <c r="Z32" s="54">
        <v>44.266300821348374</v>
      </c>
      <c r="AA32" s="57">
        <v>0</v>
      </c>
      <c r="AB32" s="58">
        <v>92.716822120878462</v>
      </c>
      <c r="AC32" s="52">
        <v>0</v>
      </c>
      <c r="AD32" s="359">
        <v>14.258405717544475</v>
      </c>
      <c r="AE32" s="359">
        <v>7.443201261329099</v>
      </c>
      <c r="AF32" s="52">
        <v>21.222822021775809</v>
      </c>
      <c r="AG32" s="58">
        <v>13.536144748397158</v>
      </c>
      <c r="AH32" s="58">
        <v>7.3710145892254006</v>
      </c>
      <c r="AI32" s="58">
        <v>0.64744064603931073</v>
      </c>
      <c r="AJ32" s="52">
        <v>206.84161438941956</v>
      </c>
      <c r="AK32" s="52">
        <v>787.53738950093577</v>
      </c>
      <c r="AL32" s="52">
        <v>3030.5361288706458</v>
      </c>
      <c r="AM32" s="52">
        <v>474.35215759277344</v>
      </c>
      <c r="AN32" s="52">
        <v>6551.94140625</v>
      </c>
      <c r="AO32" s="52">
        <v>2753.1524808247887</v>
      </c>
      <c r="AP32" s="52">
        <v>542.07136727968862</v>
      </c>
      <c r="AQ32" s="52">
        <v>2992.1908857981366</v>
      </c>
      <c r="AR32" s="52">
        <v>442.67511863708489</v>
      </c>
      <c r="AS32" s="52">
        <v>629.06083548863728</v>
      </c>
    </row>
    <row r="33" spans="1:45" x14ac:dyDescent="0.25">
      <c r="A33" s="9">
        <v>44646</v>
      </c>
      <c r="B33" s="45"/>
      <c r="C33" s="46">
        <v>78.681555664539218</v>
      </c>
      <c r="D33" s="46">
        <v>1108.8357395172129</v>
      </c>
      <c r="E33" s="46">
        <v>18.269411608576792</v>
      </c>
      <c r="F33" s="46">
        <v>0</v>
      </c>
      <c r="G33" s="46">
        <v>2144.8205927530885</v>
      </c>
      <c r="H33" s="47">
        <v>29.686329017082937</v>
      </c>
      <c r="I33" s="45">
        <v>168.41943182945235</v>
      </c>
      <c r="J33" s="46">
        <v>444.26997578938796</v>
      </c>
      <c r="K33" s="46">
        <v>24.387800354758902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263.13660055196607</v>
      </c>
      <c r="V33" s="54">
        <v>161.89071772433491</v>
      </c>
      <c r="W33" s="54">
        <v>50.720495915746916</v>
      </c>
      <c r="X33" s="54">
        <v>31.204999494218459</v>
      </c>
      <c r="Y33" s="54">
        <v>71.86102932442013</v>
      </c>
      <c r="Z33" s="54">
        <v>44.211385224771725</v>
      </c>
      <c r="AA33" s="57">
        <v>0</v>
      </c>
      <c r="AB33" s="58">
        <v>85.531448878184008</v>
      </c>
      <c r="AC33" s="52">
        <v>0</v>
      </c>
      <c r="AD33" s="359">
        <v>12.571972299118997</v>
      </c>
      <c r="AE33" s="359">
        <v>7.4369581326399219</v>
      </c>
      <c r="AF33" s="52">
        <v>19.584337058332224</v>
      </c>
      <c r="AG33" s="58">
        <v>11.968007969754767</v>
      </c>
      <c r="AH33" s="58">
        <v>7.3631315289851775</v>
      </c>
      <c r="AI33" s="58">
        <v>0.61910514745056155</v>
      </c>
      <c r="AJ33" s="52">
        <v>223.74132478237152</v>
      </c>
      <c r="AK33" s="52">
        <v>807.45247847239159</v>
      </c>
      <c r="AL33" s="52">
        <v>2713.4097475687663</v>
      </c>
      <c r="AM33" s="52">
        <v>567.0111473719279</v>
      </c>
      <c r="AN33" s="52">
        <v>6551.94140625</v>
      </c>
      <c r="AO33" s="52">
        <v>2745.2728310902912</v>
      </c>
      <c r="AP33" s="52">
        <v>520.12581342061367</v>
      </c>
      <c r="AQ33" s="52">
        <v>2858.8853712717701</v>
      </c>
      <c r="AR33" s="52">
        <v>412.4294212977091</v>
      </c>
      <c r="AS33" s="52">
        <v>707.70423103968301</v>
      </c>
    </row>
    <row r="34" spans="1:45" x14ac:dyDescent="0.25">
      <c r="A34" s="9">
        <v>44647</v>
      </c>
      <c r="B34" s="45"/>
      <c r="C34" s="46">
        <v>78.758354214827079</v>
      </c>
      <c r="D34" s="46">
        <v>1109.4291732152287</v>
      </c>
      <c r="E34" s="46">
        <v>18.301107116540319</v>
      </c>
      <c r="F34" s="46">
        <v>0</v>
      </c>
      <c r="G34" s="46">
        <v>2175.189680480958</v>
      </c>
      <c r="H34" s="47">
        <v>29.710817515850167</v>
      </c>
      <c r="I34" s="45">
        <v>168.03610981305403</v>
      </c>
      <c r="J34" s="46">
        <v>437.25902570088698</v>
      </c>
      <c r="K34" s="46">
        <v>24.095390221476535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262.68986700624657</v>
      </c>
      <c r="V34" s="54">
        <v>164.1537331821159</v>
      </c>
      <c r="W34" s="54">
        <v>49.707633197583988</v>
      </c>
      <c r="X34" s="54">
        <v>31.062079592269374</v>
      </c>
      <c r="Y34" s="54">
        <v>71.476614339234089</v>
      </c>
      <c r="Z34" s="54">
        <v>44.665419388729703</v>
      </c>
      <c r="AA34" s="57">
        <v>0</v>
      </c>
      <c r="AB34" s="58">
        <v>84.390548573601833</v>
      </c>
      <c r="AC34" s="52">
        <v>0</v>
      </c>
      <c r="AD34" s="359">
        <v>12.373690242499876</v>
      </c>
      <c r="AE34" s="359">
        <v>7.4397935852620591</v>
      </c>
      <c r="AF34" s="52">
        <v>19.618868335750346</v>
      </c>
      <c r="AG34" s="58">
        <v>11.920348721665016</v>
      </c>
      <c r="AH34" s="58">
        <v>7.4489730639189249</v>
      </c>
      <c r="AI34" s="58">
        <v>0.61542416681502021</v>
      </c>
      <c r="AJ34" s="52">
        <v>240.63953811327616</v>
      </c>
      <c r="AK34" s="52">
        <v>814.80187508265158</v>
      </c>
      <c r="AL34" s="52">
        <v>2926.5485497792561</v>
      </c>
      <c r="AM34" s="52">
        <v>813.00430297851563</v>
      </c>
      <c r="AN34" s="52">
        <v>6551.94140625</v>
      </c>
      <c r="AO34" s="52">
        <v>2724.6334420522048</v>
      </c>
      <c r="AP34" s="52">
        <v>517.93599039713536</v>
      </c>
      <c r="AQ34" s="52">
        <v>2823.4748638153083</v>
      </c>
      <c r="AR34" s="52">
        <v>408.5571150461833</v>
      </c>
      <c r="AS34" s="52">
        <v>661.23389081954963</v>
      </c>
    </row>
    <row r="35" spans="1:45" x14ac:dyDescent="0.25">
      <c r="A35" s="9">
        <v>44648</v>
      </c>
      <c r="B35" s="45"/>
      <c r="C35" s="46">
        <v>78.935995829105366</v>
      </c>
      <c r="D35" s="46">
        <v>1110.3264336268103</v>
      </c>
      <c r="E35" s="46">
        <v>18.303243762254695</v>
      </c>
      <c r="F35" s="46">
        <v>0</v>
      </c>
      <c r="G35" s="46">
        <v>2085.3088208516388</v>
      </c>
      <c r="H35" s="47">
        <v>29.760257426897692</v>
      </c>
      <c r="I35" s="45">
        <v>165.2512392044066</v>
      </c>
      <c r="J35" s="46">
        <v>437.31565799713104</v>
      </c>
      <c r="K35" s="46">
        <v>23.862700723111629</v>
      </c>
      <c r="L35" s="46">
        <v>0</v>
      </c>
      <c r="M35" s="46">
        <v>0</v>
      </c>
      <c r="N35" s="47">
        <v>0</v>
      </c>
      <c r="O35" s="45">
        <v>0</v>
      </c>
      <c r="P35" s="46">
        <v>0</v>
      </c>
      <c r="Q35" s="46">
        <v>0</v>
      </c>
      <c r="R35" s="55">
        <v>0</v>
      </c>
      <c r="S35" s="46">
        <v>0</v>
      </c>
      <c r="T35" s="48">
        <v>0</v>
      </c>
      <c r="U35" s="56">
        <v>265.41710244149107</v>
      </c>
      <c r="V35" s="54">
        <v>165.89960408876274</v>
      </c>
      <c r="W35" s="54">
        <v>50.10149186623763</v>
      </c>
      <c r="X35" s="54">
        <v>31.316059094938915</v>
      </c>
      <c r="Y35" s="54">
        <v>71.574987331563179</v>
      </c>
      <c r="Z35" s="54">
        <v>44.738119554982788</v>
      </c>
      <c r="AA35" s="57">
        <v>0</v>
      </c>
      <c r="AB35" s="58">
        <v>84.527265559303814</v>
      </c>
      <c r="AC35" s="52">
        <v>0</v>
      </c>
      <c r="AD35" s="359">
        <v>12.374689635792208</v>
      </c>
      <c r="AE35" s="359">
        <v>7.4466865928105692</v>
      </c>
      <c r="AF35" s="52">
        <v>19.5799415482415</v>
      </c>
      <c r="AG35" s="58">
        <v>11.894886981735398</v>
      </c>
      <c r="AH35" s="58">
        <v>7.4349279786350246</v>
      </c>
      <c r="AI35" s="58">
        <v>0.61536476195566503</v>
      </c>
      <c r="AJ35" s="52">
        <v>221.34447389443716</v>
      </c>
      <c r="AK35" s="52">
        <v>803.58462769190476</v>
      </c>
      <c r="AL35" s="52">
        <v>2782.7814039866125</v>
      </c>
      <c r="AM35" s="52">
        <v>813.00430297851563</v>
      </c>
      <c r="AN35" s="52">
        <v>6551.94140625</v>
      </c>
      <c r="AO35" s="52">
        <v>2820.7818214416502</v>
      </c>
      <c r="AP35" s="52">
        <v>505.8411508878072</v>
      </c>
      <c r="AQ35" s="52">
        <v>2823.4241507212332</v>
      </c>
      <c r="AR35" s="52">
        <v>405.92533280054727</v>
      </c>
      <c r="AS35" s="52">
        <v>784.43357801437389</v>
      </c>
    </row>
    <row r="36" spans="1:45" x14ac:dyDescent="0.25">
      <c r="A36" s="9">
        <v>44649</v>
      </c>
      <c r="B36" s="45"/>
      <c r="C36" s="46">
        <v>78.394437106450212</v>
      </c>
      <c r="D36" s="46">
        <v>1114.3559559504208</v>
      </c>
      <c r="E36" s="46">
        <v>18.052383414904241</v>
      </c>
      <c r="F36" s="46">
        <v>0</v>
      </c>
      <c r="G36" s="46">
        <v>2057.7552593231171</v>
      </c>
      <c r="H36" s="47">
        <v>29.844869049390191</v>
      </c>
      <c r="I36" s="45">
        <v>163.60854582786547</v>
      </c>
      <c r="J36" s="46">
        <v>437.41107034683262</v>
      </c>
      <c r="K36" s="46">
        <v>23.82591847827036</v>
      </c>
      <c r="L36" s="46">
        <v>0</v>
      </c>
      <c r="M36" s="46">
        <v>0</v>
      </c>
      <c r="N36" s="47">
        <v>0</v>
      </c>
      <c r="O36" s="45">
        <v>0</v>
      </c>
      <c r="P36" s="46">
        <v>0</v>
      </c>
      <c r="Q36" s="46">
        <v>0</v>
      </c>
      <c r="R36" s="55">
        <v>0</v>
      </c>
      <c r="S36" s="46">
        <v>0</v>
      </c>
      <c r="T36" s="48">
        <v>0</v>
      </c>
      <c r="U36" s="56">
        <v>262.88371839849879</v>
      </c>
      <c r="V36" s="54">
        <v>157.28869956007915</v>
      </c>
      <c r="W36" s="54">
        <v>50.277017917805551</v>
      </c>
      <c r="X36" s="54">
        <v>30.081767004158419</v>
      </c>
      <c r="Y36" s="54">
        <v>71.165962113691521</v>
      </c>
      <c r="Z36" s="54">
        <v>42.58004908784919</v>
      </c>
      <c r="AA36" s="57">
        <v>0</v>
      </c>
      <c r="AB36" s="58">
        <v>85.192559512455844</v>
      </c>
      <c r="AC36" s="52">
        <v>0</v>
      </c>
      <c r="AD36" s="359">
        <v>12.377280224497779</v>
      </c>
      <c r="AE36" s="359">
        <v>7.4714340114045621</v>
      </c>
      <c r="AF36" s="52">
        <v>19.028051645888205</v>
      </c>
      <c r="AG36" s="58">
        <v>11.742123165490115</v>
      </c>
      <c r="AH36" s="58">
        <v>7.0255521872014404</v>
      </c>
      <c r="AI36" s="58">
        <v>0.62565677127434571</v>
      </c>
      <c r="AJ36" s="52">
        <v>237.29086705843605</v>
      </c>
      <c r="AK36" s="52">
        <v>813.42855825424203</v>
      </c>
      <c r="AL36" s="52">
        <v>2773.2463280995685</v>
      </c>
      <c r="AM36" s="52">
        <v>813.00430297851563</v>
      </c>
      <c r="AN36" s="52">
        <v>6551.94140625</v>
      </c>
      <c r="AO36" s="52">
        <v>2765.9488842010505</v>
      </c>
      <c r="AP36" s="52">
        <v>533.81450896263107</v>
      </c>
      <c r="AQ36" s="52">
        <v>2797.4474978129065</v>
      </c>
      <c r="AR36" s="52">
        <v>433.75283848444616</v>
      </c>
      <c r="AS36" s="52">
        <v>596.9392317136128</v>
      </c>
    </row>
    <row r="37" spans="1:45" x14ac:dyDescent="0.25">
      <c r="A37" s="9">
        <v>44650</v>
      </c>
      <c r="B37" s="45"/>
      <c r="C37" s="46">
        <v>78.759638480345686</v>
      </c>
      <c r="D37" s="46">
        <v>1111.0220410664854</v>
      </c>
      <c r="E37" s="46">
        <v>17.982760679721832</v>
      </c>
      <c r="F37" s="46">
        <v>0</v>
      </c>
      <c r="G37" s="46">
        <v>2019.7191052754733</v>
      </c>
      <c r="H37" s="47">
        <v>29.799816662073191</v>
      </c>
      <c r="I37" s="45">
        <v>163.61676350434618</v>
      </c>
      <c r="J37" s="46">
        <v>436.78427168528259</v>
      </c>
      <c r="K37" s="46">
        <v>23.860068201522019</v>
      </c>
      <c r="L37" s="46">
        <v>0</v>
      </c>
      <c r="M37" s="46">
        <v>0</v>
      </c>
      <c r="N37" s="47">
        <v>0</v>
      </c>
      <c r="O37" s="45">
        <v>0</v>
      </c>
      <c r="P37" s="46">
        <v>0</v>
      </c>
      <c r="Q37" s="46">
        <v>0</v>
      </c>
      <c r="R37" s="55">
        <v>0</v>
      </c>
      <c r="S37" s="46">
        <v>0</v>
      </c>
      <c r="T37" s="48">
        <v>0</v>
      </c>
      <c r="U37" s="56">
        <v>260.16537784110488</v>
      </c>
      <c r="V37" s="54">
        <v>163.77747150887461</v>
      </c>
      <c r="W37" s="54">
        <v>50.126347055074767</v>
      </c>
      <c r="X37" s="54">
        <v>31.555184032482732</v>
      </c>
      <c r="Y37" s="54">
        <v>72.462826195211562</v>
      </c>
      <c r="Z37" s="54">
        <v>45.616286652434596</v>
      </c>
      <c r="AA37" s="57">
        <v>0</v>
      </c>
      <c r="AB37" s="58">
        <v>85.00901013480329</v>
      </c>
      <c r="AC37" s="52">
        <v>0</v>
      </c>
      <c r="AD37" s="359">
        <v>12.358919854384858</v>
      </c>
      <c r="AE37" s="359">
        <v>7.4502603843037489</v>
      </c>
      <c r="AF37" s="52">
        <v>19.487827453348377</v>
      </c>
      <c r="AG37" s="58">
        <v>11.810457543626615</v>
      </c>
      <c r="AH37" s="58">
        <v>7.4348358336882194</v>
      </c>
      <c r="AI37" s="58">
        <v>0.6136803067677864</v>
      </c>
      <c r="AJ37" s="52">
        <v>242.80131958325705</v>
      </c>
      <c r="AK37" s="52">
        <v>846.97859169642118</v>
      </c>
      <c r="AL37" s="52">
        <v>2840.4767323811852</v>
      </c>
      <c r="AM37" s="52">
        <v>689.70282344818111</v>
      </c>
      <c r="AN37" s="52">
        <v>6551.94140625</v>
      </c>
      <c r="AO37" s="52">
        <v>2851.2859330495189</v>
      </c>
      <c r="AP37" s="52">
        <v>626.91998758316049</v>
      </c>
      <c r="AQ37" s="52">
        <v>2882.8617095947266</v>
      </c>
      <c r="AR37" s="52">
        <v>476.66426048278811</v>
      </c>
      <c r="AS37" s="52">
        <v>561.94581654866545</v>
      </c>
    </row>
    <row r="38" spans="1:45" ht="15.75" thickBot="1" x14ac:dyDescent="0.3">
      <c r="A38" s="9">
        <v>44651</v>
      </c>
      <c r="B38" s="45"/>
      <c r="C38" s="46">
        <v>78.462678913275212</v>
      </c>
      <c r="D38" s="46">
        <v>1109.0965755462632</v>
      </c>
      <c r="E38" s="46">
        <v>18.139513561129576</v>
      </c>
      <c r="F38" s="46">
        <v>0</v>
      </c>
      <c r="G38" s="46">
        <v>1980.3661104838043</v>
      </c>
      <c r="H38" s="47">
        <v>29.761059600114855</v>
      </c>
      <c r="I38" s="45">
        <v>164.49414234956083</v>
      </c>
      <c r="J38" s="46">
        <v>436.85622701644911</v>
      </c>
      <c r="K38" s="46">
        <v>23.958247483770037</v>
      </c>
      <c r="L38" s="46">
        <v>0</v>
      </c>
      <c r="M38" s="46">
        <v>0</v>
      </c>
      <c r="N38" s="47">
        <v>0</v>
      </c>
      <c r="O38" s="45">
        <v>0</v>
      </c>
      <c r="P38" s="46">
        <v>0</v>
      </c>
      <c r="Q38" s="46">
        <v>0</v>
      </c>
      <c r="R38" s="55">
        <v>0</v>
      </c>
      <c r="S38" s="46">
        <v>0</v>
      </c>
      <c r="T38" s="48">
        <v>0</v>
      </c>
      <c r="U38" s="56">
        <v>263.46661584686694</v>
      </c>
      <c r="V38" s="54">
        <v>164.71085550475701</v>
      </c>
      <c r="W38" s="54">
        <v>50.274181951869565</v>
      </c>
      <c r="X38" s="54">
        <v>31.429801808010438</v>
      </c>
      <c r="Y38" s="54">
        <v>72.630344036616705</v>
      </c>
      <c r="Z38" s="54">
        <v>45.406155400079783</v>
      </c>
      <c r="AA38" s="57">
        <v>0</v>
      </c>
      <c r="AB38" s="58">
        <v>85.035911824968181</v>
      </c>
      <c r="AC38" s="52">
        <v>0</v>
      </c>
      <c r="AD38" s="359">
        <v>12.363148945414004</v>
      </c>
      <c r="AE38" s="359">
        <v>7.4369893192461749</v>
      </c>
      <c r="AF38" s="52">
        <v>19.722700749503201</v>
      </c>
      <c r="AG38" s="58">
        <v>12.000743397213911</v>
      </c>
      <c r="AH38" s="58">
        <v>7.5024788445950374</v>
      </c>
      <c r="AI38" s="58">
        <v>0.61532106071621251</v>
      </c>
      <c r="AJ38" s="52">
        <v>230.31888354619346</v>
      </c>
      <c r="AK38" s="52">
        <v>820.51143350601194</v>
      </c>
      <c r="AL38" s="52">
        <v>2756.9087317148842</v>
      </c>
      <c r="AM38" s="52">
        <v>549.179443359375</v>
      </c>
      <c r="AN38" s="52">
        <v>6551.94140625</v>
      </c>
      <c r="AO38" s="52">
        <v>2861.0476319630943</v>
      </c>
      <c r="AP38" s="52">
        <v>587.73008956909177</v>
      </c>
      <c r="AQ38" s="52">
        <v>2890.888412221273</v>
      </c>
      <c r="AR38" s="52">
        <v>450.27286984125772</v>
      </c>
      <c r="AS38" s="52">
        <v>609.4708776473999</v>
      </c>
    </row>
    <row r="39" spans="1:45" ht="15.75" thickTop="1" x14ac:dyDescent="0.25">
      <c r="A39" s="42" t="s">
        <v>171</v>
      </c>
      <c r="B39" s="25">
        <f t="shared" ref="B39:AC39" si="0">SUM(B8:B38)</f>
        <v>0</v>
      </c>
      <c r="C39" s="26">
        <f t="shared" si="0"/>
        <v>2441.6633068609244</v>
      </c>
      <c r="D39" s="26">
        <f t="shared" si="0"/>
        <v>35299.303696060175</v>
      </c>
      <c r="E39" s="26">
        <f t="shared" si="0"/>
        <v>562.67437226792197</v>
      </c>
      <c r="F39" s="26">
        <f t="shared" si="0"/>
        <v>0</v>
      </c>
      <c r="G39" s="26">
        <f t="shared" si="0"/>
        <v>72205.993001810712</v>
      </c>
      <c r="H39" s="27">
        <f t="shared" si="0"/>
        <v>918.37585714221166</v>
      </c>
      <c r="I39" s="25">
        <f t="shared" si="0"/>
        <v>5622.9059042771687</v>
      </c>
      <c r="J39" s="26">
        <f t="shared" si="0"/>
        <v>15366.706913394924</v>
      </c>
      <c r="K39" s="26">
        <f t="shared" si="0"/>
        <v>841.6764188846945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9166.0052297873135</v>
      </c>
      <c r="V39" s="242">
        <f t="shared" si="0"/>
        <v>5005.3882592577365</v>
      </c>
      <c r="W39" s="242">
        <f t="shared" si="0"/>
        <v>1755.7802863946995</v>
      </c>
      <c r="X39" s="242">
        <f t="shared" si="0"/>
        <v>958.59459765757731</v>
      </c>
      <c r="Y39" s="242">
        <f t="shared" si="0"/>
        <v>2889.2785981485317</v>
      </c>
      <c r="Z39" s="242">
        <f t="shared" si="0"/>
        <v>1560.3721904590652</v>
      </c>
      <c r="AA39" s="250">
        <f t="shared" si="0"/>
        <v>0</v>
      </c>
      <c r="AB39" s="253">
        <f t="shared" si="0"/>
        <v>2851.8911053530474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SUM(AJ8:AJ38)</f>
        <v>7544.3985516166686</v>
      </c>
      <c r="AK39" s="253">
        <f t="shared" si="1"/>
        <v>25993.309539038335</v>
      </c>
      <c r="AL39" s="253">
        <f t="shared" si="1"/>
        <v>89206.527082239772</v>
      </c>
      <c r="AM39" s="253">
        <f t="shared" si="1"/>
        <v>17174.245274829864</v>
      </c>
      <c r="AN39" s="253">
        <f t="shared" si="1"/>
        <v>203110.17796875001</v>
      </c>
      <c r="AO39" s="253">
        <f t="shared" si="1"/>
        <v>88177.22115122476</v>
      </c>
      <c r="AP39" s="253">
        <f t="shared" si="1"/>
        <v>20147.999508657456</v>
      </c>
      <c r="AQ39" s="253">
        <f t="shared" si="1"/>
        <v>89644.488741861962</v>
      </c>
      <c r="AR39" s="253">
        <f t="shared" si="1"/>
        <v>14464.117458966573</v>
      </c>
      <c r="AS39" s="253">
        <f t="shared" si="1"/>
        <v>19149.066390959419</v>
      </c>
    </row>
    <row r="40" spans="1:45" ht="15.75" thickBot="1" x14ac:dyDescent="0.3">
      <c r="A40" s="43" t="s">
        <v>172</v>
      </c>
      <c r="B40" s="28">
        <f>Projection!$AA$30</f>
        <v>0.75949460999999996</v>
      </c>
      <c r="C40" s="29">
        <f>Projection!$AA$28</f>
        <v>1.9278243599999998</v>
      </c>
      <c r="D40" s="29">
        <f>Projection!$AA$31</f>
        <v>3.0975552300000002</v>
      </c>
      <c r="E40" s="29">
        <f>Projection!$AA$26</f>
        <v>4.4235360000000004</v>
      </c>
      <c r="F40" s="29">
        <f>Projection!$AA$23</f>
        <v>0</v>
      </c>
      <c r="G40" s="29">
        <f>Projection!$AA$24</f>
        <v>7.6444999999999999E-2</v>
      </c>
      <c r="H40" s="30">
        <f>Projection!$AA$29</f>
        <v>4.6146262499999997</v>
      </c>
      <c r="I40" s="28">
        <f>Projection!$AA$30</f>
        <v>0.75949460999999996</v>
      </c>
      <c r="J40" s="29">
        <f>Projection!$AA$28</f>
        <v>1.9278243599999998</v>
      </c>
      <c r="K40" s="29">
        <f>Projection!$AA$26</f>
        <v>4.4235360000000004</v>
      </c>
      <c r="L40" s="29">
        <f>Projection!$AA$25</f>
        <v>0</v>
      </c>
      <c r="M40" s="29">
        <f>Projection!$AA$23</f>
        <v>0</v>
      </c>
      <c r="N40" s="30">
        <f>Projection!$AA$23</f>
        <v>0</v>
      </c>
      <c r="O40" s="22">
        <v>15.77</v>
      </c>
      <c r="P40" s="23">
        <v>15.77</v>
      </c>
      <c r="Q40" s="23">
        <v>15.77</v>
      </c>
      <c r="R40" s="23">
        <v>15.77</v>
      </c>
      <c r="S40" s="245">
        <f>Projection!$AA$28</f>
        <v>1.9278243599999998</v>
      </c>
      <c r="T40" s="246">
        <f>Projection!$AA$28</f>
        <v>1.9278243599999998</v>
      </c>
      <c r="U40" s="244">
        <f>Projection!$AA$27</f>
        <v>0.41249999999999998</v>
      </c>
      <c r="V40" s="245">
        <f>Projection!$AA$27</f>
        <v>0.41249999999999998</v>
      </c>
      <c r="W40" s="245">
        <f>Projection!$AA$22</f>
        <v>1.5499056000000002</v>
      </c>
      <c r="X40" s="245">
        <f>Projection!$AA$22</f>
        <v>1.5499056000000002</v>
      </c>
      <c r="Y40" s="245">
        <f>Projection!$AA$31</f>
        <v>3.0975552300000002</v>
      </c>
      <c r="Z40" s="245">
        <f>Projection!$AA$31</f>
        <v>3.0975552300000002</v>
      </c>
      <c r="AA40" s="251">
        <v>0</v>
      </c>
      <c r="AB40" s="254">
        <f>Projection!$AA$27</f>
        <v>0.41249999999999998</v>
      </c>
      <c r="AC40" s="254">
        <f>Projection!$AA$30</f>
        <v>0.75949460999999996</v>
      </c>
      <c r="AD40" s="352">
        <f>SUM(AD8:AD38)</f>
        <v>434.82561782494412</v>
      </c>
      <c r="AE40" s="352">
        <f>SUM(AE8:AE38)</f>
        <v>230.62077147724858</v>
      </c>
      <c r="AF40" s="257">
        <f>SUM(AF8:AF38)</f>
        <v>653.00719775974756</v>
      </c>
      <c r="AG40" s="257">
        <f>SUM(AG8:AG38)</f>
        <v>417.33782795212664</v>
      </c>
      <c r="AH40" s="257">
        <f>SUM(AH8:AH38)</f>
        <v>227.7859714811633</v>
      </c>
      <c r="AI40" s="257">
        <f>IF(SUM(AG40:AH40)&gt;0, AG40/(AG40+AH40), 0)</f>
        <v>0.64691122590538086</v>
      </c>
      <c r="AJ40" s="286">
        <v>7.0999999999999994E-2</v>
      </c>
      <c r="AK40" s="286">
        <f t="shared" ref="AK40:AS40" si="2">$AJ$40</f>
        <v>7.0999999999999994E-2</v>
      </c>
      <c r="AL40" s="286">
        <f t="shared" si="2"/>
        <v>7.0999999999999994E-2</v>
      </c>
      <c r="AM40" s="286">
        <f t="shared" si="2"/>
        <v>7.0999999999999994E-2</v>
      </c>
      <c r="AN40" s="286">
        <f t="shared" si="2"/>
        <v>7.0999999999999994E-2</v>
      </c>
      <c r="AO40" s="286">
        <f t="shared" si="2"/>
        <v>7.0999999999999994E-2</v>
      </c>
      <c r="AP40" s="286">
        <f t="shared" si="2"/>
        <v>7.0999999999999994E-2</v>
      </c>
      <c r="AQ40" s="286">
        <f t="shared" si="2"/>
        <v>7.0999999999999994E-2</v>
      </c>
      <c r="AR40" s="286">
        <f t="shared" si="2"/>
        <v>7.0999999999999994E-2</v>
      </c>
      <c r="AS40" s="286">
        <f t="shared" si="2"/>
        <v>7.0999999999999994E-2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 t="shared" si="3"/>
        <v>4707.0980018846449</v>
      </c>
      <c r="D41" s="32">
        <f t="shared" si="3"/>
        <v>109341.54277908953</v>
      </c>
      <c r="E41" s="32">
        <f t="shared" si="3"/>
        <v>2489.0103420045548</v>
      </c>
      <c r="F41" s="32">
        <f t="shared" si="3"/>
        <v>0</v>
      </c>
      <c r="G41" s="32">
        <f t="shared" si="3"/>
        <v>5519.78713502342</v>
      </c>
      <c r="H41" s="33">
        <f t="shared" si="3"/>
        <v>4237.9613377346996</v>
      </c>
      <c r="I41" s="31">
        <f t="shared" si="3"/>
        <v>4270.5667268356856</v>
      </c>
      <c r="J41" s="32">
        <f t="shared" si="3"/>
        <v>29624.311920623142</v>
      </c>
      <c r="K41" s="32">
        <f t="shared" si="3"/>
        <v>3723.1859392875263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3780.9771572872664</v>
      </c>
      <c r="V41" s="248">
        <f t="shared" si="3"/>
        <v>2064.7226569438162</v>
      </c>
      <c r="W41" s="248">
        <f t="shared" si="3"/>
        <v>2721.293698252749</v>
      </c>
      <c r="X41" s="248">
        <f t="shared" si="3"/>
        <v>1485.7311350392263</v>
      </c>
      <c r="Y41" s="248">
        <f t="shared" si="3"/>
        <v>8949.7000326220532</v>
      </c>
      <c r="Z41" s="248">
        <f t="shared" si="3"/>
        <v>4833.339039303034</v>
      </c>
      <c r="AA41" s="252">
        <f t="shared" si="3"/>
        <v>0</v>
      </c>
      <c r="AB41" s="255">
        <f t="shared" si="3"/>
        <v>1176.405080958132</v>
      </c>
      <c r="AC41" s="255">
        <f t="shared" si="3"/>
        <v>0</v>
      </c>
      <c r="AJ41" s="258">
        <f t="shared" ref="AJ41:AS41" si="4">AJ40*AJ39</f>
        <v>535.65229716478348</v>
      </c>
      <c r="AK41" s="258">
        <f t="shared" si="4"/>
        <v>1845.5249772717216</v>
      </c>
      <c r="AL41" s="258">
        <f t="shared" si="4"/>
        <v>6333.663422839023</v>
      </c>
      <c r="AM41" s="258">
        <f t="shared" si="4"/>
        <v>1219.3714145129202</v>
      </c>
      <c r="AN41" s="258">
        <f t="shared" si="4"/>
        <v>14420.822635781249</v>
      </c>
      <c r="AO41" s="258">
        <f t="shared" si="4"/>
        <v>6260.5827017369575</v>
      </c>
      <c r="AP41" s="258">
        <f t="shared" si="4"/>
        <v>1430.5079651146793</v>
      </c>
      <c r="AQ41" s="258">
        <f t="shared" si="4"/>
        <v>6364.7587006721988</v>
      </c>
      <c r="AR41" s="258">
        <f t="shared" si="4"/>
        <v>1026.9523395866265</v>
      </c>
      <c r="AS41" s="258">
        <f t="shared" si="4"/>
        <v>1359.5837137581186</v>
      </c>
    </row>
    <row r="42" spans="1:45" ht="49.5" customHeight="1" thickTop="1" thickBot="1" x14ac:dyDescent="0.3">
      <c r="A42" s="587">
        <f>FEBRUARY!$A$42+29</f>
        <v>44622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2194.25</v>
      </c>
      <c r="AK42" s="258" t="s">
        <v>197</v>
      </c>
      <c r="AL42" s="258">
        <v>3416</v>
      </c>
      <c r="AM42" s="258">
        <v>806.88</v>
      </c>
      <c r="AN42" s="258">
        <v>1875.4</v>
      </c>
      <c r="AO42" s="258">
        <v>9199.7999999999993</v>
      </c>
      <c r="AP42" s="258">
        <v>4649.82</v>
      </c>
      <c r="AQ42" s="258" t="s">
        <v>197</v>
      </c>
      <c r="AR42" s="258">
        <v>311.05</v>
      </c>
      <c r="AS42" s="258">
        <v>872.57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188925.63298288948</v>
      </c>
      <c r="D44" s="262" t="s">
        <v>135</v>
      </c>
      <c r="E44" s="263">
        <f>SUM(B41:H41)+P41+R41+T41+V41+X41+Z41</f>
        <v>134679.19242702294</v>
      </c>
      <c r="G44" s="262" t="s">
        <v>135</v>
      </c>
      <c r="H44" s="263">
        <f>SUM(I41:N41)+O41+Q41+S41+U41+W41+Y41</f>
        <v>53070.035474908414</v>
      </c>
      <c r="J44" s="262" t="s">
        <v>198</v>
      </c>
      <c r="K44" s="263">
        <v>130076.68000000001</v>
      </c>
      <c r="M44" s="360"/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40797.420168438279</v>
      </c>
      <c r="D45" s="264" t="s">
        <v>183</v>
      </c>
      <c r="E45" s="265">
        <f>AJ41*(1-$AI$40)+AK41+AL41*0.5+AN41+AO41*(1-$AI$40)+AP41*(1-$AI$40)+AQ41*(1-$AI$40)+AR41*0.5+AS41*0.5</f>
        <v>25778.542786129357</v>
      </c>
      <c r="F45" s="20"/>
      <c r="G45" s="264" t="s">
        <v>183</v>
      </c>
      <c r="H45" s="265">
        <f>AJ41*AI40+AL41*0.5+AM41+AO41*AI40+AP41*AI40+AQ41*AI40+AR41*0.5+AS41*0.5</f>
        <v>15018.877382308925</v>
      </c>
      <c r="K45" s="268"/>
      <c r="R45" s="278" t="s">
        <v>141</v>
      </c>
      <c r="S45" s="279"/>
      <c r="T45" s="234">
        <f>$W$39+$X$39</f>
        <v>2714.3748840522767</v>
      </c>
      <c r="U45" s="236">
        <f>(T45*8.34*0.895)/27000</f>
        <v>0.75040401655671884</v>
      </c>
    </row>
    <row r="46" spans="1:45" ht="32.25" thickBot="1" x14ac:dyDescent="0.3">
      <c r="A46" s="266" t="s">
        <v>184</v>
      </c>
      <c r="B46" s="267">
        <f>SUM(AJ42:AS42)</f>
        <v>23325.77</v>
      </c>
      <c r="D46" s="266" t="s">
        <v>184</v>
      </c>
      <c r="E46" s="267">
        <f>AJ42*(1-$AI$40)+AL42*0.5+AN42+AO42*(1-$AI$40)+AP42*(1-$AI$40)+AR42*0.5+AS42*0.5</f>
        <v>9840.1203900334367</v>
      </c>
      <c r="F46" s="19"/>
      <c r="G46" s="266" t="s">
        <v>184</v>
      </c>
      <c r="H46" s="267">
        <f>AJ42*AI40+AL42*0.5+AM42+AO42*AI40+AP42*AI40+AR42*0.5+AS42*0.5</f>
        <v>13485.649609966562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130076.68000000001</v>
      </c>
      <c r="D47" s="266" t="s">
        <v>187</v>
      </c>
      <c r="E47" s="267">
        <f>K44*0.5</f>
        <v>65038.340000000004</v>
      </c>
      <c r="F47" s="20"/>
      <c r="G47" s="266" t="s">
        <v>185</v>
      </c>
      <c r="H47" s="267">
        <f>K44*0.5</f>
        <v>65038.340000000004</v>
      </c>
      <c r="J47" s="262" t="s">
        <v>198</v>
      </c>
      <c r="K47" s="263">
        <v>79526.99000000002</v>
      </c>
      <c r="R47" s="278" t="s">
        <v>148</v>
      </c>
      <c r="S47" s="279"/>
      <c r="T47" s="234">
        <f>$G$39</f>
        <v>72205.993001810712</v>
      </c>
      <c r="U47" s="236">
        <f>T47/40000</f>
        <v>1.8051498250452678</v>
      </c>
    </row>
    <row r="48" spans="1:45" ht="24" thickBot="1" x14ac:dyDescent="0.3">
      <c r="A48" s="266" t="s">
        <v>186</v>
      </c>
      <c r="B48" s="267">
        <f>K47</f>
        <v>79526.99000000002</v>
      </c>
      <c r="D48" s="266" t="s">
        <v>186</v>
      </c>
      <c r="E48" s="267">
        <f>K47*0.5</f>
        <v>39763.49500000001</v>
      </c>
      <c r="F48" s="19"/>
      <c r="G48" s="266" t="s">
        <v>186</v>
      </c>
      <c r="H48" s="267">
        <f>K47*0.5</f>
        <v>39763.49500000001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1" ht="48" thickTop="1" thickBot="1" x14ac:dyDescent="0.3">
      <c r="A49" s="271" t="s">
        <v>194</v>
      </c>
      <c r="B49" s="272">
        <f>AF40</f>
        <v>653.00719775974756</v>
      </c>
      <c r="D49" s="271" t="s">
        <v>195</v>
      </c>
      <c r="E49" s="272">
        <f>AH40</f>
        <v>227.7859714811633</v>
      </c>
      <c r="F49" s="19"/>
      <c r="G49" s="271" t="s">
        <v>196</v>
      </c>
      <c r="H49" s="272">
        <f>AG40</f>
        <v>417.33782795212664</v>
      </c>
      <c r="K49" s="71"/>
      <c r="R49" s="278" t="s">
        <v>152</v>
      </c>
      <c r="S49" s="279"/>
      <c r="T49" s="234">
        <f>$E$39+$K$39</f>
        <v>1404.3507911526165</v>
      </c>
      <c r="U49" s="236">
        <f>(T49*8.34*1.04)/45000</f>
        <v>0.27068393382536299</v>
      </c>
    </row>
    <row r="50" spans="1:21" ht="48" customHeight="1" thickTop="1" thickBot="1" x14ac:dyDescent="0.3">
      <c r="A50" s="271" t="s">
        <v>223</v>
      </c>
      <c r="B50" s="272">
        <f>SUM(E50+H50)</f>
        <v>665.44638930219276</v>
      </c>
      <c r="D50" s="271" t="s">
        <v>224</v>
      </c>
      <c r="E50" s="272">
        <f>AE40</f>
        <v>230.62077147724858</v>
      </c>
      <c r="F50" s="19"/>
      <c r="G50" s="271" t="s">
        <v>225</v>
      </c>
      <c r="H50" s="272">
        <f>AD40</f>
        <v>434.82561782494412</v>
      </c>
      <c r="K50" s="71"/>
      <c r="R50" s="278"/>
      <c r="S50" s="279"/>
      <c r="T50" s="234"/>
      <c r="U50" s="236"/>
    </row>
    <row r="51" spans="1:21" ht="48" thickTop="1" thickBot="1" x14ac:dyDescent="0.3">
      <c r="A51" s="271" t="s">
        <v>190</v>
      </c>
      <c r="B51" s="273">
        <f>(SUM(B44:B48)/B50)</f>
        <v>695.25133893427426</v>
      </c>
      <c r="D51" s="271" t="s">
        <v>188</v>
      </c>
      <c r="E51" s="273">
        <f>SUM(E44:E48)/E50</f>
        <v>1192.8660581656459</v>
      </c>
      <c r="F51" s="334">
        <f>E44/E49</f>
        <v>591.25323456611636</v>
      </c>
      <c r="G51" s="271" t="s">
        <v>189</v>
      </c>
      <c r="H51" s="273">
        <f>SUM(H44:H48)/H50</f>
        <v>428.62331432877301</v>
      </c>
      <c r="I51" s="333">
        <f>H44/H49</f>
        <v>127.16325221541179</v>
      </c>
      <c r="K51" s="71"/>
      <c r="R51" s="278" t="s">
        <v>153</v>
      </c>
      <c r="S51" s="279"/>
      <c r="T51" s="234">
        <f>$U$39+$V$39+$AB$39</f>
        <v>17023.284594398097</v>
      </c>
      <c r="U51" s="236">
        <f>T51/2000/8</f>
        <v>1.0639552871498812</v>
      </c>
    </row>
    <row r="52" spans="1:21" ht="47.25" customHeight="1" thickTop="1" thickBot="1" x14ac:dyDescent="0.3">
      <c r="A52" s="261" t="s">
        <v>191</v>
      </c>
      <c r="B52" s="274">
        <f>B51/1000</f>
        <v>0.69525133893427427</v>
      </c>
      <c r="D52" s="261" t="s">
        <v>192</v>
      </c>
      <c r="E52" s="274">
        <f>E51/1000</f>
        <v>1.1928660581656458</v>
      </c>
      <c r="G52" s="261" t="s">
        <v>193</v>
      </c>
      <c r="H52" s="274">
        <f>H51/1000</f>
        <v>0.42862331432877299</v>
      </c>
      <c r="K52" s="71"/>
      <c r="R52" s="278" t="s">
        <v>154</v>
      </c>
      <c r="S52" s="279"/>
      <c r="T52" s="234">
        <f>$C$39+$J$39+$S$39+$T$39</f>
        <v>17808.370220255849</v>
      </c>
      <c r="U52" s="236">
        <f>(T52*8.34*1.4)/45000</f>
        <v>4.6206784598157169</v>
      </c>
    </row>
    <row r="53" spans="1:21" ht="16.5" thickTop="1" thickBot="1" x14ac:dyDescent="0.3">
      <c r="A53" s="282"/>
      <c r="K53" s="71"/>
      <c r="R53" s="278" t="s">
        <v>155</v>
      </c>
      <c r="S53" s="279"/>
      <c r="T53" s="234">
        <f>$H$39</f>
        <v>918.37585714221166</v>
      </c>
      <c r="U53" s="236">
        <f>(T53*8.34*1.135)/45000</f>
        <v>0.19318342280272133</v>
      </c>
    </row>
    <row r="54" spans="1:21" ht="48" customHeight="1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5622.9059042771687</v>
      </c>
      <c r="U54" s="236">
        <f>(T54*8.34*1.029*0.03)/3300</f>
        <v>0.4386817387607278</v>
      </c>
    </row>
    <row r="55" spans="1:21" ht="45.75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39748.954484667767</v>
      </c>
      <c r="U55" s="239">
        <f>(T55*1.54*8.34)/45000</f>
        <v>11.344881595983978</v>
      </c>
    </row>
    <row r="56" spans="1:21" ht="24" thickTop="1" x14ac:dyDescent="0.25">
      <c r="A56" s="615"/>
      <c r="B56" s="615"/>
    </row>
    <row r="57" spans="1:21" ht="15.75" customHeight="1" x14ac:dyDescent="0.25">
      <c r="A57" s="617"/>
      <c r="B57" s="617"/>
    </row>
    <row r="58" spans="1:21" x14ac:dyDescent="0.25">
      <c r="A58" s="613"/>
      <c r="B58" s="614"/>
    </row>
    <row r="59" spans="1:21" x14ac:dyDescent="0.25">
      <c r="A59" s="614"/>
      <c r="B59" s="614"/>
    </row>
    <row r="60" spans="1:21" x14ac:dyDescent="0.25">
      <c r="A60" s="613"/>
      <c r="B60" s="614"/>
    </row>
    <row r="61" spans="1:21" x14ac:dyDescent="0.25">
      <c r="A61" s="614"/>
      <c r="B61" s="614"/>
    </row>
  </sheetData>
  <sheetProtection algorithmName="SHA-512" hashValue="1OYxQXnChqHyyNTzeeXUbzTgd/q6D/LehQm4plMv/UEaiKtnqUsDOEqnT8ml0f+vTvmrguC0HbY9BlNnt9+LNw==" saltValue="v2wnArLbvZuHtU/1+Znwcw==" spinCount="100000" sheet="1" selectLockedCells="1" selectUnlockedCells="1"/>
  <mergeCells count="36"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O4:AO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D4:AD5"/>
    <mergeCell ref="AE4:AE5"/>
    <mergeCell ref="R43:U43"/>
    <mergeCell ref="A54:E54"/>
    <mergeCell ref="A55:E55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61"/>
  <sheetViews>
    <sheetView topLeftCell="AH26" zoomScale="75" zoomScaleNormal="75" workbookViewId="0">
      <selection activeCell="AR43" sqref="AR43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425781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</row>
    <row r="2" spans="1:49" ht="15" customHeight="1" x14ac:dyDescent="0.25">
      <c r="A2" s="1" t="s">
        <v>2</v>
      </c>
      <c r="B2" s="4"/>
    </row>
    <row r="3" spans="1:49" ht="15.75" thickBot="1" x14ac:dyDescent="0.3">
      <c r="A3" s="5"/>
    </row>
    <row r="4" spans="1:49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  <c r="AV4" t="s">
        <v>169</v>
      </c>
      <c r="AW4" s="302" t="s">
        <v>207</v>
      </c>
    </row>
    <row r="5" spans="1:49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49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49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49" x14ac:dyDescent="0.25">
      <c r="A8" s="9">
        <v>44652</v>
      </c>
      <c r="B8" s="45"/>
      <c r="C8" s="46">
        <v>77.886733563741203</v>
      </c>
      <c r="D8" s="46">
        <v>1109.2237676620473</v>
      </c>
      <c r="E8" s="46">
        <v>18.177879605690688</v>
      </c>
      <c r="F8" s="46">
        <v>0</v>
      </c>
      <c r="G8" s="46">
        <v>2009.5588816324864</v>
      </c>
      <c r="H8" s="47">
        <v>29.658344590664001</v>
      </c>
      <c r="I8" s="45">
        <v>164.20589237213119</v>
      </c>
      <c r="J8" s="46">
        <v>436.84278558095332</v>
      </c>
      <c r="K8" s="46">
        <v>23.9696888849139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260.83811272405558</v>
      </c>
      <c r="V8" s="50">
        <v>164.07792720904601</v>
      </c>
      <c r="W8" s="50">
        <v>49.731864945446723</v>
      </c>
      <c r="X8" s="50">
        <v>31.283393485987965</v>
      </c>
      <c r="Y8" s="50">
        <v>69.261528361042863</v>
      </c>
      <c r="Z8" s="50">
        <v>43.568356978693949</v>
      </c>
      <c r="AA8" s="51">
        <v>0</v>
      </c>
      <c r="AB8" s="52">
        <v>85.040146965450361</v>
      </c>
      <c r="AC8" s="53">
        <v>0</v>
      </c>
      <c r="AD8" s="358">
        <v>12.36129256003704</v>
      </c>
      <c r="AE8" s="358">
        <v>7.436556440965969</v>
      </c>
      <c r="AF8" s="53">
        <v>19.341984054115063</v>
      </c>
      <c r="AG8" s="53">
        <v>11.715345003458044</v>
      </c>
      <c r="AH8" s="53">
        <v>7.3694350286141033</v>
      </c>
      <c r="AI8" s="53">
        <v>0.61385800537235946</v>
      </c>
      <c r="AJ8" s="53">
        <v>214.65396264394118</v>
      </c>
      <c r="AK8" s="53">
        <v>792.89277658462538</v>
      </c>
      <c r="AL8" s="53">
        <v>2774.1192258199058</v>
      </c>
      <c r="AM8" s="53">
        <v>549.179443359375</v>
      </c>
      <c r="AN8" s="53">
        <v>6551.94140625</v>
      </c>
      <c r="AO8" s="53">
        <v>2799.7550604502358</v>
      </c>
      <c r="AP8" s="53">
        <v>549.67336775461831</v>
      </c>
      <c r="AQ8" s="53">
        <v>2879.3209136962887</v>
      </c>
      <c r="AR8" s="53">
        <v>442.55074412028</v>
      </c>
      <c r="AS8" s="53">
        <v>566.5205218315125</v>
      </c>
    </row>
    <row r="9" spans="1:49" x14ac:dyDescent="0.25">
      <c r="A9" s="9">
        <v>44653</v>
      </c>
      <c r="B9" s="45"/>
      <c r="C9" s="46">
        <v>78.12</v>
      </c>
      <c r="D9" s="46">
        <v>1109.1099999999999</v>
      </c>
      <c r="E9" s="46">
        <v>18.25</v>
      </c>
      <c r="F9" s="46">
        <v>0</v>
      </c>
      <c r="G9" s="46">
        <v>2028.96</v>
      </c>
      <c r="H9" s="47">
        <v>29.82</v>
      </c>
      <c r="I9" s="45">
        <v>166.09</v>
      </c>
      <c r="J9" s="46">
        <v>436.58</v>
      </c>
      <c r="K9" s="46">
        <v>23.87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273.07</v>
      </c>
      <c r="V9" s="54">
        <v>170.7</v>
      </c>
      <c r="W9" s="54">
        <v>50.25</v>
      </c>
      <c r="X9" s="54">
        <v>31.41</v>
      </c>
      <c r="Y9" s="54">
        <v>73.17</v>
      </c>
      <c r="Z9" s="54">
        <v>45.74</v>
      </c>
      <c r="AA9" s="57">
        <v>0</v>
      </c>
      <c r="AB9" s="58">
        <v>85.04</v>
      </c>
      <c r="AC9" s="52">
        <v>0</v>
      </c>
      <c r="AD9" s="359">
        <v>12.36</v>
      </c>
      <c r="AE9" s="359">
        <v>7.43</v>
      </c>
      <c r="AF9" s="52">
        <v>19.47</v>
      </c>
      <c r="AG9" s="58">
        <v>11.84</v>
      </c>
      <c r="AH9" s="58">
        <v>7.4</v>
      </c>
      <c r="AI9" s="58">
        <v>0.62</v>
      </c>
      <c r="AJ9" s="52">
        <v>204.58</v>
      </c>
      <c r="AK9" s="52">
        <v>792.66</v>
      </c>
      <c r="AL9" s="52">
        <v>2862.92</v>
      </c>
      <c r="AM9" s="52">
        <v>549.17999999999995</v>
      </c>
      <c r="AN9" s="52">
        <v>6551.94</v>
      </c>
      <c r="AO9" s="52">
        <v>2833.74</v>
      </c>
      <c r="AP9" s="52">
        <v>544.22</v>
      </c>
      <c r="AQ9" s="52">
        <v>2875.48</v>
      </c>
      <c r="AR9" s="52">
        <v>426.25</v>
      </c>
      <c r="AS9" s="52">
        <v>616.5</v>
      </c>
    </row>
    <row r="10" spans="1:49" x14ac:dyDescent="0.25">
      <c r="A10" s="9">
        <v>44654</v>
      </c>
      <c r="B10" s="45"/>
      <c r="C10" s="46">
        <v>78.31</v>
      </c>
      <c r="D10" s="46">
        <v>1109.5999999999999</v>
      </c>
      <c r="E10" s="46">
        <v>18.309999999999999</v>
      </c>
      <c r="F10" s="46">
        <v>0</v>
      </c>
      <c r="G10" s="46">
        <v>2060.3000000000002</v>
      </c>
      <c r="H10" s="47">
        <v>29.63</v>
      </c>
      <c r="I10" s="45">
        <v>168.98</v>
      </c>
      <c r="J10" s="46">
        <v>436.55</v>
      </c>
      <c r="K10" s="46">
        <v>23.92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270.62</v>
      </c>
      <c r="V10" s="54">
        <v>169.14</v>
      </c>
      <c r="W10" s="54">
        <v>51.06</v>
      </c>
      <c r="X10" s="54">
        <v>31.91</v>
      </c>
      <c r="Y10" s="54">
        <v>73.05</v>
      </c>
      <c r="Z10" s="54">
        <v>45.66</v>
      </c>
      <c r="AA10" s="57">
        <v>0</v>
      </c>
      <c r="AB10" s="58">
        <v>85.04</v>
      </c>
      <c r="AC10" s="52">
        <v>0</v>
      </c>
      <c r="AD10" s="359">
        <v>12.35</v>
      </c>
      <c r="AE10" s="359">
        <v>7.44</v>
      </c>
      <c r="AF10" s="52">
        <v>19.57</v>
      </c>
      <c r="AG10" s="58">
        <v>11.89</v>
      </c>
      <c r="AH10" s="58">
        <v>7.43</v>
      </c>
      <c r="AI10" s="58">
        <v>0.62</v>
      </c>
      <c r="AJ10" s="52">
        <v>204.89</v>
      </c>
      <c r="AK10" s="52">
        <v>785.7</v>
      </c>
      <c r="AL10" s="52">
        <v>2876.61</v>
      </c>
      <c r="AM10" s="52">
        <v>549.17999999999995</v>
      </c>
      <c r="AN10" s="52">
        <v>6551.94</v>
      </c>
      <c r="AO10" s="52">
        <v>2780.65</v>
      </c>
      <c r="AP10" s="52">
        <v>545.28</v>
      </c>
      <c r="AQ10" s="52">
        <v>2842.71</v>
      </c>
      <c r="AR10" s="52">
        <v>437.14</v>
      </c>
      <c r="AS10" s="52">
        <v>559.6</v>
      </c>
    </row>
    <row r="11" spans="1:49" x14ac:dyDescent="0.25">
      <c r="A11" s="9">
        <v>44655</v>
      </c>
      <c r="B11" s="45"/>
      <c r="C11" s="46">
        <v>77.9074932773905</v>
      </c>
      <c r="D11" s="46">
        <v>1109.6192914326978</v>
      </c>
      <c r="E11" s="46">
        <v>17.982562697927147</v>
      </c>
      <c r="F11" s="46">
        <v>0</v>
      </c>
      <c r="G11" s="46">
        <v>2064.8952013651519</v>
      </c>
      <c r="H11" s="47">
        <v>29.66242931882547</v>
      </c>
      <c r="I11" s="45">
        <v>168.79406339327477</v>
      </c>
      <c r="J11" s="46">
        <v>436.82562294006334</v>
      </c>
      <c r="K11" s="46">
        <v>23.944738856951354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267.56913338851132</v>
      </c>
      <c r="V11" s="54">
        <v>159.07331245126389</v>
      </c>
      <c r="W11" s="54">
        <v>50.221373571387396</v>
      </c>
      <c r="X11" s="54">
        <v>29.857256510425184</v>
      </c>
      <c r="Y11" s="54">
        <v>71.647518078091267</v>
      </c>
      <c r="Z11" s="54">
        <v>42.595376698570846</v>
      </c>
      <c r="AA11" s="57">
        <v>0</v>
      </c>
      <c r="AB11" s="58">
        <v>84.989634985393479</v>
      </c>
      <c r="AC11" s="52">
        <v>0</v>
      </c>
      <c r="AD11" s="359">
        <v>12.361289591082475</v>
      </c>
      <c r="AE11" s="359">
        <v>7.4411238096999464</v>
      </c>
      <c r="AF11" s="52">
        <v>18.959521328078356</v>
      </c>
      <c r="AG11" s="58">
        <v>11.735607959660006</v>
      </c>
      <c r="AH11" s="58">
        <v>6.9769708042590377</v>
      </c>
      <c r="AI11" s="58">
        <v>0.62715075819951682</v>
      </c>
      <c r="AJ11" s="52">
        <v>208.15841279824573</v>
      </c>
      <c r="AK11" s="52">
        <v>798.78778031667071</v>
      </c>
      <c r="AL11" s="52">
        <v>2795.326653544108</v>
      </c>
      <c r="AM11" s="52">
        <v>549.179443359375</v>
      </c>
      <c r="AN11" s="52">
        <v>6551.94140625</v>
      </c>
      <c r="AO11" s="52">
        <v>2827.4372033437089</v>
      </c>
      <c r="AP11" s="52">
        <v>554.94907202720628</v>
      </c>
      <c r="AQ11" s="52">
        <v>2852.1248704274494</v>
      </c>
      <c r="AR11" s="52">
        <v>426.77097266515096</v>
      </c>
      <c r="AS11" s="52">
        <v>662.77704706192014</v>
      </c>
    </row>
    <row r="12" spans="1:49" x14ac:dyDescent="0.25">
      <c r="A12" s="9">
        <v>44656</v>
      </c>
      <c r="B12" s="45"/>
      <c r="C12" s="46">
        <v>77.699279101689967</v>
      </c>
      <c r="D12" s="46">
        <v>1108.8042792638146</v>
      </c>
      <c r="E12" s="46">
        <v>17.716092652082448</v>
      </c>
      <c r="F12" s="46">
        <v>0</v>
      </c>
      <c r="G12" s="46">
        <v>2065.7343854268383</v>
      </c>
      <c r="H12" s="47">
        <v>29.530642781655029</v>
      </c>
      <c r="I12" s="45">
        <v>168.59591767787899</v>
      </c>
      <c r="J12" s="46">
        <v>436.16937373479232</v>
      </c>
      <c r="K12" s="46">
        <v>23.83977139741183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266.55816830159182</v>
      </c>
      <c r="V12" s="54">
        <v>167.44241736040323</v>
      </c>
      <c r="W12" s="54">
        <v>50.630503479343638</v>
      </c>
      <c r="X12" s="54">
        <v>31.804292281764525</v>
      </c>
      <c r="Y12" s="54">
        <v>72.093910579165652</v>
      </c>
      <c r="Z12" s="54">
        <v>45.286845799008127</v>
      </c>
      <c r="AA12" s="57">
        <v>0</v>
      </c>
      <c r="AB12" s="58">
        <v>85.000678147209925</v>
      </c>
      <c r="AC12" s="52">
        <v>0</v>
      </c>
      <c r="AD12" s="359">
        <v>12.341724725433551</v>
      </c>
      <c r="AE12" s="359">
        <v>7.434652881794813</v>
      </c>
      <c r="AF12" s="52">
        <v>19.365487806664596</v>
      </c>
      <c r="AG12" s="58">
        <v>11.738686907788003</v>
      </c>
      <c r="AH12" s="58">
        <v>7.3738281028891723</v>
      </c>
      <c r="AI12" s="58">
        <v>0.61418849906619843</v>
      </c>
      <c r="AJ12" s="52">
        <v>215.15172884464266</v>
      </c>
      <c r="AK12" s="52">
        <v>794.7403808275858</v>
      </c>
      <c r="AL12" s="52">
        <v>2799.8397300720212</v>
      </c>
      <c r="AM12" s="52">
        <v>549.179443359375</v>
      </c>
      <c r="AN12" s="52">
        <v>6551.94140625</v>
      </c>
      <c r="AO12" s="52">
        <v>2818.4302361806231</v>
      </c>
      <c r="AP12" s="52">
        <v>541.56273266474398</v>
      </c>
      <c r="AQ12" s="52">
        <v>2847.6379627227784</v>
      </c>
      <c r="AR12" s="52">
        <v>429.58037252426152</v>
      </c>
      <c r="AS12" s="52">
        <v>575.14864892959577</v>
      </c>
    </row>
    <row r="13" spans="1:49" x14ac:dyDescent="0.25">
      <c r="A13" s="9">
        <v>44657</v>
      </c>
      <c r="B13" s="45"/>
      <c r="C13" s="46">
        <v>77.930712350209532</v>
      </c>
      <c r="D13" s="46">
        <v>1077.5292180379256</v>
      </c>
      <c r="E13" s="46">
        <v>17.765473903218904</v>
      </c>
      <c r="F13" s="46">
        <v>0</v>
      </c>
      <c r="G13" s="46">
        <v>2098.0585848490377</v>
      </c>
      <c r="H13" s="47">
        <v>29.72619138757392</v>
      </c>
      <c r="I13" s="45">
        <v>166.60063336292887</v>
      </c>
      <c r="J13" s="46">
        <v>435.53281675974557</v>
      </c>
      <c r="K13" s="46">
        <v>23.951787405709425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263.04201198081012</v>
      </c>
      <c r="V13" s="54">
        <v>164.36959584627505</v>
      </c>
      <c r="W13" s="54">
        <v>50.392469569671604</v>
      </c>
      <c r="X13" s="54">
        <v>31.489227878423122</v>
      </c>
      <c r="Y13" s="54">
        <v>72.371833543955177</v>
      </c>
      <c r="Z13" s="54">
        <v>45.223684766909557</v>
      </c>
      <c r="AA13" s="57">
        <v>0</v>
      </c>
      <c r="AB13" s="58">
        <v>84.377556477653627</v>
      </c>
      <c r="AC13" s="52">
        <v>0</v>
      </c>
      <c r="AD13" s="359">
        <v>12.324774845839684</v>
      </c>
      <c r="AE13" s="359">
        <v>7.4332491106630165</v>
      </c>
      <c r="AF13" s="52">
        <v>19.408514067199473</v>
      </c>
      <c r="AG13" s="58">
        <v>11.812220793523664</v>
      </c>
      <c r="AH13" s="58">
        <v>7.3812161915036452</v>
      </c>
      <c r="AI13" s="58">
        <v>0.61543020162247708</v>
      </c>
      <c r="AJ13" s="52">
        <v>255.07504266103106</v>
      </c>
      <c r="AK13" s="52">
        <v>858.99516248702992</v>
      </c>
      <c r="AL13" s="52">
        <v>2794.4274410247804</v>
      </c>
      <c r="AM13" s="52">
        <v>536.04599221547437</v>
      </c>
      <c r="AN13" s="52">
        <v>6551.94140625</v>
      </c>
      <c r="AO13" s="52">
        <v>2882.5027865091961</v>
      </c>
      <c r="AP13" s="52">
        <v>612.52968554496772</v>
      </c>
      <c r="AQ13" s="52">
        <v>2912.3638472239177</v>
      </c>
      <c r="AR13" s="52">
        <v>468.25684552192689</v>
      </c>
      <c r="AS13" s="52">
        <v>565.69387385050447</v>
      </c>
    </row>
    <row r="14" spans="1:49" x14ac:dyDescent="0.25">
      <c r="A14" s="9">
        <v>44658</v>
      </c>
      <c r="B14" s="45"/>
      <c r="C14" s="46">
        <v>78.3</v>
      </c>
      <c r="D14" s="46">
        <v>1045.8800000000001</v>
      </c>
      <c r="E14" s="46">
        <v>18.170000000000002</v>
      </c>
      <c r="F14" s="46">
        <v>0</v>
      </c>
      <c r="G14" s="46">
        <v>1940.64</v>
      </c>
      <c r="H14" s="47">
        <v>29.8</v>
      </c>
      <c r="I14" s="45">
        <v>168.81</v>
      </c>
      <c r="J14" s="46">
        <v>435.49</v>
      </c>
      <c r="K14" s="46">
        <v>23.86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266.77</v>
      </c>
      <c r="V14" s="54">
        <v>166.74</v>
      </c>
      <c r="W14" s="54">
        <v>51.09</v>
      </c>
      <c r="X14" s="54">
        <v>31.94</v>
      </c>
      <c r="Y14" s="54">
        <v>73.86</v>
      </c>
      <c r="Z14" s="54">
        <v>46.17</v>
      </c>
      <c r="AA14" s="57">
        <v>0</v>
      </c>
      <c r="AB14" s="58">
        <v>84.38</v>
      </c>
      <c r="AC14" s="52">
        <v>0</v>
      </c>
      <c r="AD14" s="359">
        <v>12.32</v>
      </c>
      <c r="AE14" s="359">
        <v>7.43</v>
      </c>
      <c r="AF14" s="52">
        <v>19.71</v>
      </c>
      <c r="AG14" s="58">
        <v>12</v>
      </c>
      <c r="AH14" s="58">
        <v>7.5</v>
      </c>
      <c r="AI14" s="58">
        <v>0.62</v>
      </c>
      <c r="AJ14" s="52">
        <v>241.21</v>
      </c>
      <c r="AK14" s="52">
        <v>846.5</v>
      </c>
      <c r="AL14" s="52">
        <v>2688.45</v>
      </c>
      <c r="AM14" s="52">
        <v>485.54</v>
      </c>
      <c r="AN14" s="52">
        <v>6551.94</v>
      </c>
      <c r="AO14" s="52">
        <v>2943.94</v>
      </c>
      <c r="AP14" s="52">
        <v>601.76</v>
      </c>
      <c r="AQ14" s="52">
        <v>2890.52</v>
      </c>
      <c r="AR14" s="52">
        <v>478.62</v>
      </c>
      <c r="AS14" s="52">
        <v>541.15</v>
      </c>
    </row>
    <row r="15" spans="1:49" x14ac:dyDescent="0.25">
      <c r="A15" s="9">
        <v>44659</v>
      </c>
      <c r="B15" s="45"/>
      <c r="C15" s="46">
        <v>78.030842359860685</v>
      </c>
      <c r="D15" s="46">
        <v>1034.3945255915332</v>
      </c>
      <c r="E15" s="46">
        <v>18.084096868832894</v>
      </c>
      <c r="F15" s="46">
        <v>0</v>
      </c>
      <c r="G15" s="46">
        <v>1818.4940535227463</v>
      </c>
      <c r="H15" s="47">
        <v>29.617893668015839</v>
      </c>
      <c r="I15" s="45">
        <v>167.37476863066351</v>
      </c>
      <c r="J15" s="46">
        <v>435.50824607213394</v>
      </c>
      <c r="K15" s="46">
        <v>23.881713332732538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261.74925118962875</v>
      </c>
      <c r="V15" s="54">
        <v>163.60062430289028</v>
      </c>
      <c r="W15" s="54">
        <v>49.530606419509517</v>
      </c>
      <c r="X15" s="54">
        <v>30.958018391662836</v>
      </c>
      <c r="Y15" s="54">
        <v>72.320801880630484</v>
      </c>
      <c r="Z15" s="54">
        <v>45.202529840993087</v>
      </c>
      <c r="AA15" s="57">
        <v>0</v>
      </c>
      <c r="AB15" s="58">
        <v>84.380313995151141</v>
      </c>
      <c r="AC15" s="52">
        <v>0</v>
      </c>
      <c r="AD15" s="359">
        <v>12.325291757521661</v>
      </c>
      <c r="AE15" s="359">
        <v>7.4378313370841589</v>
      </c>
      <c r="AF15" s="52">
        <v>19.32511330644293</v>
      </c>
      <c r="AG15" s="58">
        <v>11.745887418978752</v>
      </c>
      <c r="AH15" s="58">
        <v>7.3415091199028</v>
      </c>
      <c r="AI15" s="58">
        <v>0.6153739927313846</v>
      </c>
      <c r="AJ15" s="52">
        <v>226.12873520056408</v>
      </c>
      <c r="AK15" s="52">
        <v>808.10731779734283</v>
      </c>
      <c r="AL15" s="52">
        <v>2690.931386566162</v>
      </c>
      <c r="AM15" s="52">
        <v>531.04110717773438</v>
      </c>
      <c r="AN15" s="52">
        <v>6551.94140625</v>
      </c>
      <c r="AO15" s="52">
        <v>2912.1162906646732</v>
      </c>
      <c r="AP15" s="52">
        <v>561.48118969599398</v>
      </c>
      <c r="AQ15" s="52">
        <v>2882.8212224324548</v>
      </c>
      <c r="AR15" s="52">
        <v>433.22071536382043</v>
      </c>
      <c r="AS15" s="52">
        <v>599.28940788904833</v>
      </c>
    </row>
    <row r="16" spans="1:49" x14ac:dyDescent="0.25">
      <c r="A16" s="9">
        <v>44660</v>
      </c>
      <c r="B16" s="45"/>
      <c r="C16" s="46">
        <v>78.55695629119873</v>
      </c>
      <c r="D16" s="46">
        <v>1031.2898390452071</v>
      </c>
      <c r="E16" s="46">
        <v>18.077961384256671</v>
      </c>
      <c r="F16" s="46">
        <v>0</v>
      </c>
      <c r="G16" s="46">
        <v>1744.5258415222202</v>
      </c>
      <c r="H16" s="47">
        <v>29.606015485525166</v>
      </c>
      <c r="I16" s="45">
        <v>168.27320806980106</v>
      </c>
      <c r="J16" s="46">
        <v>435.64791927337677</v>
      </c>
      <c r="K16" s="46">
        <v>23.919077055652952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260.63531289926226</v>
      </c>
      <c r="V16" s="54">
        <v>150.69153814020143</v>
      </c>
      <c r="W16" s="54">
        <v>48.416500220266002</v>
      </c>
      <c r="X16" s="54">
        <v>27.99297151409883</v>
      </c>
      <c r="Y16" s="54">
        <v>70.884896416879485</v>
      </c>
      <c r="Z16" s="54">
        <v>40.983525805258054</v>
      </c>
      <c r="AA16" s="57">
        <v>0</v>
      </c>
      <c r="AB16" s="58">
        <v>84.386350425085837</v>
      </c>
      <c r="AC16" s="52">
        <v>0</v>
      </c>
      <c r="AD16" s="359">
        <v>12.328437927830658</v>
      </c>
      <c r="AE16" s="359">
        <v>7.4368719210334913</v>
      </c>
      <c r="AF16" s="52">
        <v>18.329581800434354</v>
      </c>
      <c r="AG16" s="58">
        <v>11.470225841975317</v>
      </c>
      <c r="AH16" s="58">
        <v>6.6317413235972902</v>
      </c>
      <c r="AI16" s="58">
        <v>0.63364526833249768</v>
      </c>
      <c r="AJ16" s="52">
        <v>207.91263445218402</v>
      </c>
      <c r="AK16" s="52">
        <v>778.05243752797458</v>
      </c>
      <c r="AL16" s="52">
        <v>2635.3366661071773</v>
      </c>
      <c r="AM16" s="52">
        <v>531.04110717773438</v>
      </c>
      <c r="AN16" s="52">
        <v>6551.94140625</v>
      </c>
      <c r="AO16" s="52">
        <v>2826.3957931518553</v>
      </c>
      <c r="AP16" s="52">
        <v>516.12886282602949</v>
      </c>
      <c r="AQ16" s="52">
        <v>2788.4207625071208</v>
      </c>
      <c r="AR16" s="52">
        <v>410.86433056195574</v>
      </c>
      <c r="AS16" s="52">
        <v>734.13654143015549</v>
      </c>
    </row>
    <row r="17" spans="1:45" x14ac:dyDescent="0.25">
      <c r="A17" s="9">
        <v>44661</v>
      </c>
      <c r="B17" s="45"/>
      <c r="C17" s="46">
        <v>77.862225166956605</v>
      </c>
      <c r="D17" s="46">
        <v>1037.3956876754771</v>
      </c>
      <c r="E17" s="46">
        <v>18.024139121174834</v>
      </c>
      <c r="F17" s="46">
        <v>0</v>
      </c>
      <c r="G17" s="46">
        <v>1695.1364905675289</v>
      </c>
      <c r="H17" s="47">
        <v>29.545356865724042</v>
      </c>
      <c r="I17" s="45">
        <v>169.85293646653471</v>
      </c>
      <c r="J17" s="46">
        <v>435.34160575866736</v>
      </c>
      <c r="K17" s="46">
        <v>23.907237801949183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271.22734904068909</v>
      </c>
      <c r="V17" s="54">
        <v>169.49941351899218</v>
      </c>
      <c r="W17" s="54">
        <v>50.598458346967725</v>
      </c>
      <c r="X17" s="54">
        <v>31.62073826666191</v>
      </c>
      <c r="Y17" s="54">
        <v>77.437647605441427</v>
      </c>
      <c r="Z17" s="54">
        <v>48.393482072649036</v>
      </c>
      <c r="AA17" s="57">
        <v>0</v>
      </c>
      <c r="AB17" s="58">
        <v>84.390340434182676</v>
      </c>
      <c r="AC17" s="52">
        <v>0</v>
      </c>
      <c r="AD17" s="359">
        <v>12.319430197444909</v>
      </c>
      <c r="AE17" s="359">
        <v>7.4392299405263156</v>
      </c>
      <c r="AF17" s="52">
        <v>19.737542556391848</v>
      </c>
      <c r="AG17" s="58">
        <v>11.999094309173163</v>
      </c>
      <c r="AH17" s="58">
        <v>7.4986517965738555</v>
      </c>
      <c r="AI17" s="58">
        <v>0.61540930136721772</v>
      </c>
      <c r="AJ17" s="52">
        <v>204.46415723164876</v>
      </c>
      <c r="AK17" s="52">
        <v>784.27851305007937</v>
      </c>
      <c r="AL17" s="52">
        <v>2779.3620422363279</v>
      </c>
      <c r="AM17" s="52">
        <v>531.04110717773438</v>
      </c>
      <c r="AN17" s="52">
        <v>6551.94140625</v>
      </c>
      <c r="AO17" s="52">
        <v>2742.0288420359293</v>
      </c>
      <c r="AP17" s="52">
        <v>528.27171703974398</v>
      </c>
      <c r="AQ17" s="52">
        <v>2842.0935962676999</v>
      </c>
      <c r="AR17" s="52">
        <v>417.70586064656567</v>
      </c>
      <c r="AS17" s="52">
        <v>552.68475948969513</v>
      </c>
    </row>
    <row r="18" spans="1:45" x14ac:dyDescent="0.25">
      <c r="A18" s="9">
        <v>44662</v>
      </c>
      <c r="B18" s="45"/>
      <c r="C18" s="46">
        <v>78.096085691452089</v>
      </c>
      <c r="D18" s="46">
        <v>1051.8925685246802</v>
      </c>
      <c r="E18" s="46">
        <v>18.013586222132044</v>
      </c>
      <c r="F18" s="46">
        <v>0</v>
      </c>
      <c r="G18" s="46">
        <v>1796.2434061686217</v>
      </c>
      <c r="H18" s="47">
        <v>29.732772757609759</v>
      </c>
      <c r="I18" s="45">
        <v>170.83801643053667</v>
      </c>
      <c r="J18" s="46">
        <v>435.31476589838661</v>
      </c>
      <c r="K18" s="46">
        <v>24.021171202262238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271.28940153617333</v>
      </c>
      <c r="V18" s="54">
        <v>169.55945096050041</v>
      </c>
      <c r="W18" s="54">
        <v>51.534745414644881</v>
      </c>
      <c r="X18" s="54">
        <v>32.2098949992752</v>
      </c>
      <c r="Y18" s="54">
        <v>78.133923736241002</v>
      </c>
      <c r="Z18" s="54">
        <v>48.834731969210821</v>
      </c>
      <c r="AA18" s="57">
        <v>0</v>
      </c>
      <c r="AB18" s="58">
        <v>84.385309802162652</v>
      </c>
      <c r="AC18" s="52">
        <v>0</v>
      </c>
      <c r="AD18" s="359">
        <v>12.319030913452039</v>
      </c>
      <c r="AE18" s="359">
        <v>7.4447525742051761</v>
      </c>
      <c r="AF18" s="52">
        <v>19.528299179342053</v>
      </c>
      <c r="AG18" s="58">
        <v>11.882814728115591</v>
      </c>
      <c r="AH18" s="58">
        <v>7.4269157945559154</v>
      </c>
      <c r="AI18" s="58">
        <v>0.61537962501154575</v>
      </c>
      <c r="AJ18" s="52">
        <v>213.72416613101959</v>
      </c>
      <c r="AK18" s="52">
        <v>800.71065553029359</v>
      </c>
      <c r="AL18" s="52">
        <v>2844.1127070109051</v>
      </c>
      <c r="AM18" s="52">
        <v>536.63477121988933</v>
      </c>
      <c r="AN18" s="52">
        <v>6551.94140625</v>
      </c>
      <c r="AO18" s="52">
        <v>2766.6034976959227</v>
      </c>
      <c r="AP18" s="52">
        <v>559.27915876706436</v>
      </c>
      <c r="AQ18" s="52">
        <v>2839.0009586334236</v>
      </c>
      <c r="AR18" s="52">
        <v>429.72454366683951</v>
      </c>
      <c r="AS18" s="52">
        <v>627.12547019322722</v>
      </c>
    </row>
    <row r="19" spans="1:45" x14ac:dyDescent="0.25">
      <c r="A19" s="9">
        <v>44663</v>
      </c>
      <c r="B19" s="45"/>
      <c r="C19" s="46">
        <v>78.989999999999995</v>
      </c>
      <c r="D19" s="46">
        <v>1050.53</v>
      </c>
      <c r="E19" s="46">
        <v>18</v>
      </c>
      <c r="F19" s="46">
        <v>0</v>
      </c>
      <c r="G19" s="46">
        <v>1788.84</v>
      </c>
      <c r="H19" s="47">
        <v>29.67</v>
      </c>
      <c r="I19" s="45">
        <v>171.68</v>
      </c>
      <c r="J19" s="46">
        <v>437.53</v>
      </c>
      <c r="K19" s="46">
        <v>24.22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272.44</v>
      </c>
      <c r="V19" s="54">
        <v>171.2</v>
      </c>
      <c r="W19" s="54">
        <v>51.11</v>
      </c>
      <c r="X19" s="54">
        <v>32.119999999999997</v>
      </c>
      <c r="Y19" s="54">
        <v>77.150000000000006</v>
      </c>
      <c r="Z19" s="54">
        <v>48.48</v>
      </c>
      <c r="AA19" s="57">
        <v>0</v>
      </c>
      <c r="AB19" s="58">
        <v>84.39</v>
      </c>
      <c r="AC19" s="52">
        <v>0</v>
      </c>
      <c r="AD19" s="359">
        <v>12.38</v>
      </c>
      <c r="AE19" s="359">
        <v>7.43</v>
      </c>
      <c r="AF19" s="52">
        <v>19.440000000000001</v>
      </c>
      <c r="AG19" s="58">
        <v>11.76</v>
      </c>
      <c r="AH19" s="58">
        <v>7.39</v>
      </c>
      <c r="AI19" s="58">
        <v>0.61</v>
      </c>
      <c r="AJ19" s="52">
        <v>205.42</v>
      </c>
      <c r="AK19" s="52">
        <v>794.75</v>
      </c>
      <c r="AL19" s="52">
        <v>2862.34</v>
      </c>
      <c r="AM19" s="52">
        <v>622.57000000000005</v>
      </c>
      <c r="AN19" s="52">
        <v>6551.94</v>
      </c>
      <c r="AO19" s="52">
        <v>2780.27</v>
      </c>
      <c r="AP19" s="52">
        <v>540.58000000000004</v>
      </c>
      <c r="AQ19" s="52">
        <v>2829.89</v>
      </c>
      <c r="AR19" s="52">
        <v>430.02</v>
      </c>
      <c r="AS19" s="52">
        <v>561.88</v>
      </c>
    </row>
    <row r="20" spans="1:45" x14ac:dyDescent="0.25">
      <c r="A20" s="9">
        <v>44664</v>
      </c>
      <c r="B20" s="45"/>
      <c r="C20" s="46">
        <v>78.007655096054137</v>
      </c>
      <c r="D20" s="46">
        <v>1049.9711398442605</v>
      </c>
      <c r="E20" s="46">
        <v>17.924927234649633</v>
      </c>
      <c r="F20" s="46">
        <v>0</v>
      </c>
      <c r="G20" s="46">
        <v>1812.3326585133846</v>
      </c>
      <c r="H20" s="47">
        <v>29.641063239177097</v>
      </c>
      <c r="I20" s="45">
        <v>167.90431153774247</v>
      </c>
      <c r="J20" s="46">
        <v>441.16269766489648</v>
      </c>
      <c r="K20" s="46">
        <v>24.361114693184675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270.80826667437384</v>
      </c>
      <c r="V20" s="54">
        <v>169.2408519610149</v>
      </c>
      <c r="W20" s="54">
        <v>52.425783914525141</v>
      </c>
      <c r="X20" s="54">
        <v>32.763343761167036</v>
      </c>
      <c r="Y20" s="54">
        <v>76.622383342214491</v>
      </c>
      <c r="Z20" s="54">
        <v>47.884939390393299</v>
      </c>
      <c r="AA20" s="57">
        <v>0</v>
      </c>
      <c r="AB20" s="58">
        <v>84.378314908346425</v>
      </c>
      <c r="AC20" s="52">
        <v>0</v>
      </c>
      <c r="AD20" s="359">
        <v>12.387934198807525</v>
      </c>
      <c r="AE20" s="359">
        <v>7.4317668917112272</v>
      </c>
      <c r="AF20" s="52">
        <v>19.352172915140788</v>
      </c>
      <c r="AG20" s="58">
        <v>11.73110121508895</v>
      </c>
      <c r="AH20" s="58">
        <v>7.331318162712587</v>
      </c>
      <c r="AI20" s="58">
        <v>0.61540463372398502</v>
      </c>
      <c r="AJ20" s="52">
        <v>249.13203611373896</v>
      </c>
      <c r="AK20" s="52">
        <v>852.94940652847276</v>
      </c>
      <c r="AL20" s="52">
        <v>2672.2195148468018</v>
      </c>
      <c r="AM20" s="52">
        <v>622.57379150390625</v>
      </c>
      <c r="AN20" s="52">
        <v>6551.94140625</v>
      </c>
      <c r="AO20" s="52">
        <v>2821.2428456624348</v>
      </c>
      <c r="AP20" s="52">
        <v>632.5872461001079</v>
      </c>
      <c r="AQ20" s="52">
        <v>2889.577661895752</v>
      </c>
      <c r="AR20" s="52">
        <v>470.85192820231117</v>
      </c>
      <c r="AS20" s="52">
        <v>566.43542890548702</v>
      </c>
    </row>
    <row r="21" spans="1:45" x14ac:dyDescent="0.25">
      <c r="A21" s="9">
        <v>44665</v>
      </c>
      <c r="B21" s="45"/>
      <c r="C21" s="46">
        <v>79.21861884593973</v>
      </c>
      <c r="D21" s="46">
        <v>1051.5199613571192</v>
      </c>
      <c r="E21" s="46">
        <v>18.087164852023133</v>
      </c>
      <c r="F21" s="46">
        <v>0</v>
      </c>
      <c r="G21" s="46">
        <v>1928.9586666107177</v>
      </c>
      <c r="H21" s="47">
        <v>29.687452991803539</v>
      </c>
      <c r="I21" s="45">
        <v>168.71341658433269</v>
      </c>
      <c r="J21" s="46">
        <v>437.55262629191145</v>
      </c>
      <c r="K21" s="46">
        <v>24.141127757231391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265.69766448225545</v>
      </c>
      <c r="V21" s="54">
        <v>155.16304042717729</v>
      </c>
      <c r="W21" s="54">
        <v>51.284942954046898</v>
      </c>
      <c r="X21" s="54">
        <v>29.949558240906935</v>
      </c>
      <c r="Y21" s="54">
        <v>75.729963187303028</v>
      </c>
      <c r="Z21" s="54">
        <v>44.225045645310523</v>
      </c>
      <c r="AA21" s="57">
        <v>0</v>
      </c>
      <c r="AB21" s="58">
        <v>84.626452906928094</v>
      </c>
      <c r="AC21" s="52">
        <v>0</v>
      </c>
      <c r="AD21" s="359">
        <v>12.38216504057111</v>
      </c>
      <c r="AE21" s="359">
        <v>7.442998012778026</v>
      </c>
      <c r="AF21" s="52">
        <v>18.65895359317458</v>
      </c>
      <c r="AG21" s="58">
        <v>11.587584629256588</v>
      </c>
      <c r="AH21" s="58">
        <v>6.7669577216127701</v>
      </c>
      <c r="AI21" s="58">
        <v>0.63131972498936995</v>
      </c>
      <c r="AJ21" s="52">
        <v>239.32413076559703</v>
      </c>
      <c r="AK21" s="52">
        <v>844.00897191365573</v>
      </c>
      <c r="AL21" s="52">
        <v>2787.5195051829019</v>
      </c>
      <c r="AM21" s="52">
        <v>622.57379150390625</v>
      </c>
      <c r="AN21" s="52">
        <v>6551.94140625</v>
      </c>
      <c r="AO21" s="52">
        <v>2831.0752936045328</v>
      </c>
      <c r="AP21" s="52">
        <v>712.327435318629</v>
      </c>
      <c r="AQ21" s="52">
        <v>2884.1388198852537</v>
      </c>
      <c r="AR21" s="52">
        <v>455.36564895311983</v>
      </c>
      <c r="AS21" s="52">
        <v>598.40844189325981</v>
      </c>
    </row>
    <row r="22" spans="1:45" x14ac:dyDescent="0.25">
      <c r="A22" s="9">
        <v>44666</v>
      </c>
      <c r="B22" s="45"/>
      <c r="C22" s="46">
        <v>78.77</v>
      </c>
      <c r="D22" s="46">
        <v>1049.9000000000001</v>
      </c>
      <c r="E22" s="46">
        <v>18.05</v>
      </c>
      <c r="F22" s="46">
        <v>0</v>
      </c>
      <c r="G22" s="46">
        <v>1893</v>
      </c>
      <c r="H22" s="47">
        <v>29.78</v>
      </c>
      <c r="I22" s="45">
        <v>168.47</v>
      </c>
      <c r="J22" s="46">
        <v>438.11</v>
      </c>
      <c r="K22" s="46">
        <v>24.06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269.02</v>
      </c>
      <c r="V22" s="54">
        <v>161.93</v>
      </c>
      <c r="W22" s="54">
        <v>52.36</v>
      </c>
      <c r="X22" s="54">
        <v>31.52</v>
      </c>
      <c r="Y22" s="54">
        <v>70.88</v>
      </c>
      <c r="Z22" s="54">
        <v>42.66</v>
      </c>
      <c r="AA22" s="57">
        <v>0</v>
      </c>
      <c r="AB22" s="58">
        <v>84.39</v>
      </c>
      <c r="AC22" s="52">
        <v>0</v>
      </c>
      <c r="AD22" s="359">
        <v>12.4</v>
      </c>
      <c r="AE22" s="359">
        <v>7.43</v>
      </c>
      <c r="AF22" s="52">
        <v>19.09</v>
      </c>
      <c r="AG22" s="58">
        <v>11.72</v>
      </c>
      <c r="AH22" s="58">
        <v>7.06</v>
      </c>
      <c r="AI22" s="58">
        <v>0.62</v>
      </c>
      <c r="AJ22" s="52">
        <v>209.54</v>
      </c>
      <c r="AK22" s="52">
        <v>795.64</v>
      </c>
      <c r="AL22" s="52">
        <v>2989.35</v>
      </c>
      <c r="AM22" s="52">
        <v>622.57000000000005</v>
      </c>
      <c r="AN22" s="52">
        <v>6551.94</v>
      </c>
      <c r="AO22" s="52">
        <v>2895.69</v>
      </c>
      <c r="AP22" s="52">
        <v>541.11</v>
      </c>
      <c r="AQ22" s="52">
        <v>2842.11</v>
      </c>
      <c r="AR22" s="52">
        <v>433.53</v>
      </c>
      <c r="AS22" s="52">
        <v>605.44000000000005</v>
      </c>
    </row>
    <row r="23" spans="1:45" x14ac:dyDescent="0.25">
      <c r="A23" s="9">
        <v>44667</v>
      </c>
      <c r="B23" s="45"/>
      <c r="C23" s="46">
        <v>78.709999999999994</v>
      </c>
      <c r="D23" s="46">
        <v>1050.1600000000001</v>
      </c>
      <c r="E23" s="46">
        <v>18.07</v>
      </c>
      <c r="F23" s="46">
        <v>0</v>
      </c>
      <c r="G23" s="46">
        <v>1850.38</v>
      </c>
      <c r="H23" s="47">
        <v>29.69</v>
      </c>
      <c r="I23" s="45">
        <v>168.43</v>
      </c>
      <c r="J23" s="46">
        <v>438.29</v>
      </c>
      <c r="K23" s="46">
        <v>24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266.79000000000002</v>
      </c>
      <c r="V23" s="54">
        <v>166.73</v>
      </c>
      <c r="W23" s="54">
        <v>53.2</v>
      </c>
      <c r="X23" s="54">
        <v>33.25</v>
      </c>
      <c r="Y23" s="54">
        <v>63.85</v>
      </c>
      <c r="Z23" s="54">
        <v>39.9</v>
      </c>
      <c r="AA23" s="57">
        <v>0</v>
      </c>
      <c r="AB23" s="58">
        <v>84.39</v>
      </c>
      <c r="AC23" s="52">
        <v>0</v>
      </c>
      <c r="AD23" s="359">
        <v>12.4</v>
      </c>
      <c r="AE23" s="359">
        <v>7.43</v>
      </c>
      <c r="AF23" s="52">
        <v>19.7</v>
      </c>
      <c r="AG23" s="58">
        <v>11.93</v>
      </c>
      <c r="AH23" s="58">
        <v>7.45</v>
      </c>
      <c r="AI23" s="58">
        <v>0.62</v>
      </c>
      <c r="AJ23" s="52">
        <v>216.06</v>
      </c>
      <c r="AK23" s="52">
        <v>804.3</v>
      </c>
      <c r="AL23" s="52">
        <v>2865.32</v>
      </c>
      <c r="AM23" s="52">
        <v>573.16</v>
      </c>
      <c r="AN23" s="52">
        <v>6778.75</v>
      </c>
      <c r="AO23" s="52">
        <v>2921.95</v>
      </c>
      <c r="AP23" s="52">
        <v>563.87</v>
      </c>
      <c r="AQ23" s="52">
        <v>2858.1</v>
      </c>
      <c r="AR23" s="52">
        <v>448.51</v>
      </c>
      <c r="AS23" s="52">
        <v>606.33000000000004</v>
      </c>
    </row>
    <row r="24" spans="1:45" x14ac:dyDescent="0.25">
      <c r="A24" s="9">
        <v>44668</v>
      </c>
      <c r="B24" s="45"/>
      <c r="C24" s="46">
        <v>78.05</v>
      </c>
      <c r="D24" s="46">
        <v>1060.94</v>
      </c>
      <c r="E24" s="46">
        <v>18.07</v>
      </c>
      <c r="F24" s="46">
        <v>0</v>
      </c>
      <c r="G24" s="46">
        <v>1853.81</v>
      </c>
      <c r="H24" s="47">
        <v>29.82</v>
      </c>
      <c r="I24" s="45">
        <v>168.61</v>
      </c>
      <c r="J24" s="46">
        <v>438.16</v>
      </c>
      <c r="K24" s="46">
        <v>24.07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266.39999999999998</v>
      </c>
      <c r="V24" s="54">
        <v>166.5</v>
      </c>
      <c r="W24" s="54">
        <v>52.69</v>
      </c>
      <c r="X24" s="54">
        <v>32.93</v>
      </c>
      <c r="Y24" s="54">
        <v>67.3</v>
      </c>
      <c r="Z24" s="54">
        <v>42.06</v>
      </c>
      <c r="AA24" s="57">
        <v>0</v>
      </c>
      <c r="AB24" s="58">
        <v>84.39</v>
      </c>
      <c r="AC24" s="52">
        <v>0</v>
      </c>
      <c r="AD24" s="359">
        <v>12.4</v>
      </c>
      <c r="AE24" s="359">
        <v>7.43</v>
      </c>
      <c r="AF24" s="52">
        <v>19.7</v>
      </c>
      <c r="AG24" s="58">
        <v>11.92</v>
      </c>
      <c r="AH24" s="58">
        <v>7.45</v>
      </c>
      <c r="AI24" s="58">
        <v>0.62</v>
      </c>
      <c r="AJ24" s="52">
        <v>211.28</v>
      </c>
      <c r="AK24" s="52">
        <v>799.28</v>
      </c>
      <c r="AL24" s="52">
        <v>2752.57</v>
      </c>
      <c r="AM24" s="52">
        <v>554.70000000000005</v>
      </c>
      <c r="AN24" s="52">
        <v>6874.04</v>
      </c>
      <c r="AO24" s="52">
        <v>2928.21</v>
      </c>
      <c r="AP24" s="52">
        <v>653.36</v>
      </c>
      <c r="AQ24" s="52">
        <v>2885.07</v>
      </c>
      <c r="AR24" s="52">
        <v>440.13</v>
      </c>
      <c r="AS24" s="52">
        <v>608.87</v>
      </c>
    </row>
    <row r="25" spans="1:45" x14ac:dyDescent="0.25">
      <c r="A25" s="9">
        <v>44669</v>
      </c>
      <c r="B25" s="45"/>
      <c r="C25" s="46">
        <v>28.782166788975381</v>
      </c>
      <c r="D25" s="46">
        <v>387.09535619417773</v>
      </c>
      <c r="E25" s="46">
        <v>6.9529312451680241</v>
      </c>
      <c r="F25" s="46">
        <v>0</v>
      </c>
      <c r="G25" s="46">
        <v>693.84537823995015</v>
      </c>
      <c r="H25" s="47">
        <v>10.807463334004073</v>
      </c>
      <c r="I25" s="45">
        <v>130.95368708769476</v>
      </c>
      <c r="J25" s="46">
        <v>348.21786857446074</v>
      </c>
      <c r="K25" s="46">
        <v>19.270426405966276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213.79349501512436</v>
      </c>
      <c r="V25" s="54">
        <v>60.846269505731996</v>
      </c>
      <c r="W25" s="54">
        <v>40.476370175336655</v>
      </c>
      <c r="X25" s="54">
        <v>11.519696275735978</v>
      </c>
      <c r="Y25" s="54">
        <v>63.388568662248083</v>
      </c>
      <c r="Z25" s="54">
        <v>18.040576642113887</v>
      </c>
      <c r="AA25" s="57">
        <v>0</v>
      </c>
      <c r="AB25" s="58">
        <v>54.369481815233343</v>
      </c>
      <c r="AC25" s="52">
        <v>0</v>
      </c>
      <c r="AD25" s="359">
        <v>9.6277786209631859</v>
      </c>
      <c r="AE25" s="359">
        <v>2.6800829005773363</v>
      </c>
      <c r="AF25" s="52">
        <v>11.674428700241767</v>
      </c>
      <c r="AG25" s="58">
        <v>8.8671431781890142</v>
      </c>
      <c r="AH25" s="58">
        <v>2.5236155268794942</v>
      </c>
      <c r="AI25" s="58">
        <v>0.77845062017189692</v>
      </c>
      <c r="AJ25" s="52">
        <v>207.21326305071514</v>
      </c>
      <c r="AK25" s="52">
        <v>756.1939481099447</v>
      </c>
      <c r="AL25" s="52">
        <v>1672.38432413737</v>
      </c>
      <c r="AM25" s="52">
        <v>554.69961547851563</v>
      </c>
      <c r="AN25" s="52">
        <v>6874.043701171875</v>
      </c>
      <c r="AO25" s="52">
        <v>2279.1898548126223</v>
      </c>
      <c r="AP25" s="52">
        <v>518.68760857582095</v>
      </c>
      <c r="AQ25" s="52">
        <v>1991.4911562601728</v>
      </c>
      <c r="AR25" s="52">
        <v>211.29358206987385</v>
      </c>
      <c r="AS25" s="52">
        <v>621.67845595677693</v>
      </c>
    </row>
    <row r="26" spans="1:45" x14ac:dyDescent="0.25">
      <c r="A26" s="9">
        <v>44670</v>
      </c>
      <c r="B26" s="45"/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7">
        <v>0</v>
      </c>
      <c r="AB26" s="58">
        <v>7.9730643275709951</v>
      </c>
      <c r="AC26" s="52">
        <v>0</v>
      </c>
      <c r="AD26" s="359">
        <v>4.877156097650528E-3</v>
      </c>
      <c r="AE26" s="359">
        <v>0</v>
      </c>
      <c r="AF26" s="52">
        <v>0</v>
      </c>
      <c r="AG26" s="58">
        <v>0</v>
      </c>
      <c r="AH26" s="58">
        <v>0</v>
      </c>
      <c r="AI26" s="58">
        <v>0</v>
      </c>
      <c r="AJ26" s="52">
        <v>211.64862954616547</v>
      </c>
      <c r="AK26" s="52">
        <v>777.2344047546386</v>
      </c>
      <c r="AL26" s="52">
        <v>914.68471533457443</v>
      </c>
      <c r="AM26" s="52">
        <v>554.69961547851563</v>
      </c>
      <c r="AN26" s="52">
        <v>6874.043701171875</v>
      </c>
      <c r="AO26" s="52">
        <v>1999.208104197184</v>
      </c>
      <c r="AP26" s="52">
        <v>468.73375126520796</v>
      </c>
      <c r="AQ26" s="52">
        <v>337.46221295992535</v>
      </c>
      <c r="AR26" s="52">
        <v>85.459011654059083</v>
      </c>
      <c r="AS26" s="52">
        <v>787.74284248352035</v>
      </c>
    </row>
    <row r="27" spans="1:45" x14ac:dyDescent="0.25">
      <c r="A27" s="9">
        <v>44671</v>
      </c>
      <c r="B27" s="45"/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7">
        <v>0</v>
      </c>
      <c r="I27" s="45">
        <v>0</v>
      </c>
      <c r="J27" s="46">
        <v>0</v>
      </c>
      <c r="K27" s="46">
        <v>0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7">
        <v>0</v>
      </c>
      <c r="AB27" s="52">
        <v>7.9731534901591292</v>
      </c>
      <c r="AC27" s="52">
        <v>0</v>
      </c>
      <c r="AD27" s="359">
        <v>0</v>
      </c>
      <c r="AE27" s="359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213.78487252394356</v>
      </c>
      <c r="AK27" s="52">
        <v>784.54914220174146</v>
      </c>
      <c r="AL27" s="52">
        <v>908.53851483662925</v>
      </c>
      <c r="AM27" s="52">
        <v>554.69961547851563</v>
      </c>
      <c r="AN27" s="52">
        <v>6874.043701171875</v>
      </c>
      <c r="AO27" s="52">
        <v>2076.0925937652587</v>
      </c>
      <c r="AP27" s="52">
        <v>449.90587816238406</v>
      </c>
      <c r="AQ27" s="52">
        <v>302.78016707102461</v>
      </c>
      <c r="AR27" s="52">
        <v>66.676817746957141</v>
      </c>
      <c r="AS27" s="52">
        <v>704.26431083679188</v>
      </c>
    </row>
    <row r="28" spans="1:45" x14ac:dyDescent="0.25">
      <c r="A28" s="9">
        <v>44672</v>
      </c>
      <c r="B28" s="45"/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7">
        <v>0</v>
      </c>
      <c r="I28" s="45">
        <v>0</v>
      </c>
      <c r="J28" s="46">
        <v>0</v>
      </c>
      <c r="K28" s="46">
        <v>0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7">
        <v>0</v>
      </c>
      <c r="AB28" s="58">
        <v>7.97</v>
      </c>
      <c r="AC28" s="52">
        <v>0</v>
      </c>
      <c r="AD28" s="359">
        <v>0</v>
      </c>
      <c r="AE28" s="359">
        <v>0</v>
      </c>
      <c r="AF28" s="52">
        <v>0</v>
      </c>
      <c r="AG28" s="58">
        <v>0</v>
      </c>
      <c r="AH28" s="58">
        <v>0</v>
      </c>
      <c r="AI28" s="58">
        <v>0</v>
      </c>
      <c r="AJ28" s="52">
        <v>185.7</v>
      </c>
      <c r="AK28" s="52">
        <v>722.04</v>
      </c>
      <c r="AL28" s="52">
        <v>1005.14</v>
      </c>
      <c r="AM28" s="52">
        <v>554.70000000000005</v>
      </c>
      <c r="AN28" s="52">
        <v>6874.04</v>
      </c>
      <c r="AO28" s="52">
        <v>2089.3200000000002</v>
      </c>
      <c r="AP28" s="52">
        <v>446.55</v>
      </c>
      <c r="AQ28" s="52">
        <v>370.07</v>
      </c>
      <c r="AR28" s="52">
        <v>63.42</v>
      </c>
      <c r="AS28" s="52">
        <v>794.52</v>
      </c>
    </row>
    <row r="29" spans="1:45" x14ac:dyDescent="0.25">
      <c r="A29" s="9">
        <v>44673</v>
      </c>
      <c r="B29" s="45"/>
      <c r="C29" s="46">
        <v>5.3134922583897923</v>
      </c>
      <c r="D29" s="46">
        <v>0</v>
      </c>
      <c r="E29" s="46">
        <v>0</v>
      </c>
      <c r="F29" s="46">
        <v>0</v>
      </c>
      <c r="G29" s="46">
        <v>0</v>
      </c>
      <c r="H29" s="47">
        <v>0</v>
      </c>
      <c r="I29" s="45">
        <v>0</v>
      </c>
      <c r="J29" s="46">
        <v>0</v>
      </c>
      <c r="K29" s="46">
        <v>0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7">
        <v>0</v>
      </c>
      <c r="AB29" s="58">
        <v>7.9785402629109079</v>
      </c>
      <c r="AC29" s="52">
        <v>0</v>
      </c>
      <c r="AD29" s="359">
        <v>0</v>
      </c>
      <c r="AE29" s="359">
        <v>0</v>
      </c>
      <c r="AF29" s="52">
        <v>0</v>
      </c>
      <c r="AG29" s="58">
        <v>0</v>
      </c>
      <c r="AH29" s="58">
        <v>0</v>
      </c>
      <c r="AI29" s="58">
        <v>0</v>
      </c>
      <c r="AJ29" s="52">
        <v>195.96933885415399</v>
      </c>
      <c r="AK29" s="52">
        <v>747.65775314966845</v>
      </c>
      <c r="AL29" s="52">
        <v>1011.0545586268107</v>
      </c>
      <c r="AM29" s="52">
        <v>554.69961547851563</v>
      </c>
      <c r="AN29" s="52">
        <v>6874.043701171875</v>
      </c>
      <c r="AO29" s="52">
        <v>1847.4833956400555</v>
      </c>
      <c r="AP29" s="52">
        <v>437.90306305885315</v>
      </c>
      <c r="AQ29" s="52">
        <v>295.95343826611833</v>
      </c>
      <c r="AR29" s="52">
        <v>62.703694995244341</v>
      </c>
      <c r="AS29" s="52">
        <v>758.48466409047444</v>
      </c>
    </row>
    <row r="30" spans="1:45" x14ac:dyDescent="0.25">
      <c r="A30" s="9">
        <v>44674</v>
      </c>
      <c r="B30" s="45"/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7">
        <v>0</v>
      </c>
      <c r="I30" s="45">
        <v>0</v>
      </c>
      <c r="J30" s="46">
        <v>0</v>
      </c>
      <c r="K30" s="46">
        <v>0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7">
        <v>0</v>
      </c>
      <c r="AB30" s="58">
        <v>7.9713925765619482</v>
      </c>
      <c r="AC30" s="52">
        <v>0</v>
      </c>
      <c r="AD30" s="359">
        <v>0</v>
      </c>
      <c r="AE30" s="359">
        <v>0</v>
      </c>
      <c r="AF30" s="52">
        <v>0</v>
      </c>
      <c r="AG30" s="58">
        <v>0</v>
      </c>
      <c r="AH30" s="58">
        <v>0</v>
      </c>
      <c r="AI30" s="58">
        <v>0</v>
      </c>
      <c r="AJ30" s="52">
        <v>177.53066209157311</v>
      </c>
      <c r="AK30" s="52">
        <v>715.83649450937924</v>
      </c>
      <c r="AL30" s="52">
        <v>957.6190952301024</v>
      </c>
      <c r="AM30" s="52">
        <v>554.69961547851563</v>
      </c>
      <c r="AN30" s="52">
        <v>6874.043701171875</v>
      </c>
      <c r="AO30" s="52">
        <v>1635.3564432144165</v>
      </c>
      <c r="AP30" s="52">
        <v>443.81488858858739</v>
      </c>
      <c r="AQ30" s="52">
        <v>300.24966621398926</v>
      </c>
      <c r="AR30" s="52">
        <v>67.451524114608773</v>
      </c>
      <c r="AS30" s="52">
        <v>513.2977959632874</v>
      </c>
    </row>
    <row r="31" spans="1:45" x14ac:dyDescent="0.25">
      <c r="A31" s="9">
        <v>44675</v>
      </c>
      <c r="B31" s="45"/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7">
        <v>0</v>
      </c>
      <c r="I31" s="45">
        <v>0</v>
      </c>
      <c r="J31" s="46">
        <v>0</v>
      </c>
      <c r="K31" s="46">
        <v>0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7">
        <v>0</v>
      </c>
      <c r="AB31" s="58">
        <v>7.9639848937590978</v>
      </c>
      <c r="AC31" s="52">
        <v>0</v>
      </c>
      <c r="AD31" s="359">
        <v>0</v>
      </c>
      <c r="AE31" s="359">
        <v>0</v>
      </c>
      <c r="AF31" s="52">
        <v>0</v>
      </c>
      <c r="AG31" s="58">
        <v>0</v>
      </c>
      <c r="AH31" s="58">
        <v>0</v>
      </c>
      <c r="AI31" s="58">
        <v>0</v>
      </c>
      <c r="AJ31" s="52">
        <v>168.00346512794496</v>
      </c>
      <c r="AK31" s="52">
        <v>707.80612665812191</v>
      </c>
      <c r="AL31" s="52">
        <v>929.57696418762202</v>
      </c>
      <c r="AM31" s="52">
        <v>554.69961547851563</v>
      </c>
      <c r="AN31" s="52">
        <v>6874.043701171875</v>
      </c>
      <c r="AO31" s="52">
        <v>1680.8569682439165</v>
      </c>
      <c r="AP31" s="52">
        <v>479.78801363309219</v>
      </c>
      <c r="AQ31" s="52">
        <v>338.24897904396062</v>
      </c>
      <c r="AR31" s="52">
        <v>101.48819322983422</v>
      </c>
      <c r="AS31" s="52">
        <v>497.6049336433411</v>
      </c>
    </row>
    <row r="32" spans="1:45" x14ac:dyDescent="0.25">
      <c r="A32" s="9">
        <v>44676</v>
      </c>
      <c r="B32" s="45"/>
      <c r="C32" s="46">
        <v>7.3801107605298384</v>
      </c>
      <c r="D32" s="46">
        <v>0</v>
      </c>
      <c r="E32" s="46">
        <v>0</v>
      </c>
      <c r="F32" s="46">
        <v>0</v>
      </c>
      <c r="G32" s="46">
        <v>0</v>
      </c>
      <c r="H32" s="47">
        <v>0</v>
      </c>
      <c r="I32" s="45">
        <v>0</v>
      </c>
      <c r="J32" s="46">
        <v>0</v>
      </c>
      <c r="K32" s="46">
        <v>0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7">
        <v>0</v>
      </c>
      <c r="AB32" s="58">
        <v>7.9612804336680227</v>
      </c>
      <c r="AC32" s="52">
        <v>0</v>
      </c>
      <c r="AD32" s="359">
        <v>0</v>
      </c>
      <c r="AE32" s="359">
        <v>5.6555233375911729E-2</v>
      </c>
      <c r="AF32" s="52">
        <v>0</v>
      </c>
      <c r="AG32" s="58">
        <v>0</v>
      </c>
      <c r="AH32" s="58">
        <v>0</v>
      </c>
      <c r="AI32" s="58">
        <v>0</v>
      </c>
      <c r="AJ32" s="52">
        <v>171.00440043608344</v>
      </c>
      <c r="AK32" s="52">
        <v>558.65698919296267</v>
      </c>
      <c r="AL32" s="52">
        <v>923.90664297739659</v>
      </c>
      <c r="AM32" s="52">
        <v>554.69961547851563</v>
      </c>
      <c r="AN32" s="52">
        <v>6874.043701171875</v>
      </c>
      <c r="AO32" s="52">
        <v>1713.0107009251917</v>
      </c>
      <c r="AP32" s="52">
        <v>496.05504924456272</v>
      </c>
      <c r="AQ32" s="52">
        <v>376.92499081293738</v>
      </c>
      <c r="AR32" s="52">
        <v>91.111493058999372</v>
      </c>
      <c r="AS32" s="52">
        <v>542.90469051996877</v>
      </c>
    </row>
    <row r="33" spans="1:45" x14ac:dyDescent="0.25">
      <c r="A33" s="9">
        <v>44677</v>
      </c>
      <c r="B33" s="45"/>
      <c r="C33" s="46">
        <v>2.29</v>
      </c>
      <c r="D33" s="46">
        <v>0</v>
      </c>
      <c r="E33" s="46">
        <v>0</v>
      </c>
      <c r="F33" s="46">
        <v>0</v>
      </c>
      <c r="G33" s="46">
        <v>0</v>
      </c>
      <c r="H33" s="47">
        <v>0</v>
      </c>
      <c r="I33" s="45">
        <v>0</v>
      </c>
      <c r="J33" s="46">
        <v>0</v>
      </c>
      <c r="K33" s="46">
        <v>0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7">
        <v>0</v>
      </c>
      <c r="AB33" s="58">
        <v>7.97</v>
      </c>
      <c r="AC33" s="52">
        <v>0</v>
      </c>
      <c r="AD33" s="359">
        <v>0</v>
      </c>
      <c r="AE33" s="359">
        <v>0</v>
      </c>
      <c r="AF33" s="52">
        <v>0</v>
      </c>
      <c r="AG33" s="58">
        <v>0</v>
      </c>
      <c r="AH33" s="58">
        <v>0</v>
      </c>
      <c r="AI33" s="58">
        <v>0</v>
      </c>
      <c r="AJ33" s="52">
        <v>169.97</v>
      </c>
      <c r="AK33" s="52">
        <v>557.46</v>
      </c>
      <c r="AL33" s="52">
        <v>1030.0999999999999</v>
      </c>
      <c r="AM33" s="52">
        <v>554.70000000000005</v>
      </c>
      <c r="AN33" s="52">
        <v>6874.04</v>
      </c>
      <c r="AO33" s="52">
        <v>1771.77</v>
      </c>
      <c r="AP33" s="52">
        <v>458.57</v>
      </c>
      <c r="AQ33" s="52">
        <v>475.98</v>
      </c>
      <c r="AR33" s="52">
        <v>84.99</v>
      </c>
      <c r="AS33" s="52">
        <v>664.43</v>
      </c>
    </row>
    <row r="34" spans="1:45" x14ac:dyDescent="0.25">
      <c r="A34" s="9">
        <v>44678</v>
      </c>
      <c r="B34" s="45"/>
      <c r="C34" s="46">
        <v>13.186206005016967</v>
      </c>
      <c r="D34" s="46">
        <v>0</v>
      </c>
      <c r="E34" s="46">
        <v>0</v>
      </c>
      <c r="F34" s="46">
        <v>0</v>
      </c>
      <c r="G34" s="46">
        <v>0</v>
      </c>
      <c r="H34" s="47">
        <v>0</v>
      </c>
      <c r="I34" s="45">
        <v>0</v>
      </c>
      <c r="J34" s="46">
        <v>0</v>
      </c>
      <c r="K34" s="46">
        <v>0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7">
        <v>0</v>
      </c>
      <c r="AB34" s="58">
        <v>8.1541046582989871</v>
      </c>
      <c r="AC34" s="52">
        <v>0</v>
      </c>
      <c r="AD34" s="359">
        <v>0</v>
      </c>
      <c r="AE34" s="359">
        <v>0</v>
      </c>
      <c r="AF34" s="52">
        <v>0</v>
      </c>
      <c r="AG34" s="58">
        <v>0</v>
      </c>
      <c r="AH34" s="58">
        <v>0</v>
      </c>
      <c r="AI34" s="58">
        <v>0</v>
      </c>
      <c r="AJ34" s="52">
        <v>166.72195816040039</v>
      </c>
      <c r="AK34" s="52">
        <v>397.37289330164583</v>
      </c>
      <c r="AL34" s="52">
        <v>974.73750877380371</v>
      </c>
      <c r="AM34" s="52">
        <v>554.69961547851563</v>
      </c>
      <c r="AN34" s="52">
        <v>6874.043701171875</v>
      </c>
      <c r="AO34" s="52">
        <v>1819.357626533508</v>
      </c>
      <c r="AP34" s="52">
        <v>433.62294842402133</v>
      </c>
      <c r="AQ34" s="52">
        <v>411.53110510508213</v>
      </c>
      <c r="AR34" s="52">
        <v>62.544350131352743</v>
      </c>
      <c r="AS34" s="52">
        <v>653.96836392084742</v>
      </c>
    </row>
    <row r="35" spans="1:45" x14ac:dyDescent="0.25">
      <c r="A35" s="9">
        <v>44679</v>
      </c>
      <c r="B35" s="45"/>
      <c r="C35" s="46">
        <v>6.3842095990975691</v>
      </c>
      <c r="D35" s="46">
        <v>0</v>
      </c>
      <c r="E35" s="46">
        <v>0</v>
      </c>
      <c r="F35" s="46">
        <v>0</v>
      </c>
      <c r="G35" s="46">
        <v>0</v>
      </c>
      <c r="H35" s="47">
        <v>0</v>
      </c>
      <c r="I35" s="45">
        <v>0</v>
      </c>
      <c r="J35" s="46">
        <v>0</v>
      </c>
      <c r="K35" s="46">
        <v>0</v>
      </c>
      <c r="L35" s="46">
        <v>0</v>
      </c>
      <c r="M35" s="46">
        <v>0</v>
      </c>
      <c r="N35" s="47">
        <v>0</v>
      </c>
      <c r="O35" s="45">
        <v>0</v>
      </c>
      <c r="P35" s="46">
        <v>0</v>
      </c>
      <c r="Q35" s="46">
        <v>0</v>
      </c>
      <c r="R35" s="55">
        <v>0</v>
      </c>
      <c r="S35" s="46">
        <v>0</v>
      </c>
      <c r="T35" s="48">
        <v>0</v>
      </c>
      <c r="U35" s="56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7">
        <v>0</v>
      </c>
      <c r="AB35" s="58">
        <v>8.138342262307722</v>
      </c>
      <c r="AC35" s="52">
        <v>0</v>
      </c>
      <c r="AD35" s="359">
        <v>0</v>
      </c>
      <c r="AE35" s="359">
        <v>0</v>
      </c>
      <c r="AF35" s="52">
        <v>0</v>
      </c>
      <c r="AG35" s="58">
        <v>0</v>
      </c>
      <c r="AH35" s="58">
        <v>0</v>
      </c>
      <c r="AI35" s="58">
        <v>0</v>
      </c>
      <c r="AJ35" s="52">
        <v>155.10987631479898</v>
      </c>
      <c r="AK35" s="52">
        <v>441.79250624974566</v>
      </c>
      <c r="AL35" s="52">
        <v>976.59915564854941</v>
      </c>
      <c r="AM35" s="52">
        <v>494.40270233154297</v>
      </c>
      <c r="AN35" s="52">
        <v>6874.043701171875</v>
      </c>
      <c r="AO35" s="52">
        <v>1767.2882775624594</v>
      </c>
      <c r="AP35" s="52">
        <v>448.61796526908876</v>
      </c>
      <c r="AQ35" s="52">
        <v>377.31316661834705</v>
      </c>
      <c r="AR35" s="52">
        <v>63.785794226328527</v>
      </c>
      <c r="AS35" s="52">
        <v>710.51171751022321</v>
      </c>
    </row>
    <row r="36" spans="1:45" x14ac:dyDescent="0.25">
      <c r="A36" s="9">
        <v>44680</v>
      </c>
      <c r="B36" s="45"/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7">
        <v>0</v>
      </c>
      <c r="I36" s="45">
        <v>0</v>
      </c>
      <c r="J36" s="46">
        <v>0</v>
      </c>
      <c r="K36" s="46">
        <v>0</v>
      </c>
      <c r="L36" s="46">
        <v>0</v>
      </c>
      <c r="M36" s="46">
        <v>0</v>
      </c>
      <c r="N36" s="47">
        <v>0</v>
      </c>
      <c r="O36" s="45">
        <v>0</v>
      </c>
      <c r="P36" s="46">
        <v>0</v>
      </c>
      <c r="Q36" s="46">
        <v>0</v>
      </c>
      <c r="R36" s="55">
        <v>0</v>
      </c>
      <c r="S36" s="46">
        <v>0</v>
      </c>
      <c r="T36" s="48">
        <v>0</v>
      </c>
      <c r="U36" s="56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7">
        <v>0</v>
      </c>
      <c r="AB36" s="58">
        <v>8.3409196691380654</v>
      </c>
      <c r="AC36" s="52">
        <v>0</v>
      </c>
      <c r="AD36" s="359">
        <v>0</v>
      </c>
      <c r="AE36" s="359">
        <v>0</v>
      </c>
      <c r="AF36" s="52">
        <v>0</v>
      </c>
      <c r="AG36" s="58">
        <v>0</v>
      </c>
      <c r="AH36" s="58">
        <v>0</v>
      </c>
      <c r="AI36" s="58">
        <v>0</v>
      </c>
      <c r="AJ36" s="52">
        <v>172.32487333615623</v>
      </c>
      <c r="AK36" s="52">
        <v>560.26849851608279</v>
      </c>
      <c r="AL36" s="52">
        <v>901.92787481943765</v>
      </c>
      <c r="AM36" s="52">
        <v>320.03054809570313</v>
      </c>
      <c r="AN36" s="52">
        <v>6874.043701171875</v>
      </c>
      <c r="AO36" s="52">
        <v>1848.5537902832029</v>
      </c>
      <c r="AP36" s="52">
        <v>445.27896374066665</v>
      </c>
      <c r="AQ36" s="52">
        <v>375.79813555081688</v>
      </c>
      <c r="AR36" s="52">
        <v>62.611840975284579</v>
      </c>
      <c r="AS36" s="52">
        <v>574.73330895105994</v>
      </c>
    </row>
    <row r="37" spans="1:45" x14ac:dyDescent="0.25">
      <c r="A37" s="9">
        <v>44681</v>
      </c>
      <c r="B37" s="45"/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7">
        <v>0</v>
      </c>
      <c r="I37" s="45">
        <v>0</v>
      </c>
      <c r="J37" s="46">
        <v>0</v>
      </c>
      <c r="K37" s="46">
        <v>0</v>
      </c>
      <c r="L37" s="46">
        <v>0</v>
      </c>
      <c r="M37" s="46">
        <v>0</v>
      </c>
      <c r="N37" s="47">
        <v>0</v>
      </c>
      <c r="O37" s="45">
        <v>0</v>
      </c>
      <c r="P37" s="46">
        <v>0</v>
      </c>
      <c r="Q37" s="46">
        <v>0</v>
      </c>
      <c r="R37" s="55">
        <v>0</v>
      </c>
      <c r="S37" s="46">
        <v>0</v>
      </c>
      <c r="T37" s="48">
        <v>0</v>
      </c>
      <c r="U37" s="56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7">
        <v>0</v>
      </c>
      <c r="AB37" s="58">
        <v>8.0071992301277888</v>
      </c>
      <c r="AC37" s="52">
        <v>0</v>
      </c>
      <c r="AD37" s="359">
        <v>0</v>
      </c>
      <c r="AE37" s="359">
        <v>0</v>
      </c>
      <c r="AF37" s="52">
        <v>0</v>
      </c>
      <c r="AG37" s="58">
        <v>0</v>
      </c>
      <c r="AH37" s="58">
        <v>0</v>
      </c>
      <c r="AI37" s="58">
        <v>0</v>
      </c>
      <c r="AJ37" s="52">
        <v>168.74904422760011</v>
      </c>
      <c r="AK37" s="52">
        <v>558.61212902069087</v>
      </c>
      <c r="AL37" s="52">
        <v>934.30121580759692</v>
      </c>
      <c r="AM37" s="52">
        <v>180.0197681427002</v>
      </c>
      <c r="AN37" s="52">
        <v>6874.043701171875</v>
      </c>
      <c r="AO37" s="52">
        <v>1903.99671681722</v>
      </c>
      <c r="AP37" s="52">
        <v>469.95244291623436</v>
      </c>
      <c r="AQ37" s="52">
        <v>399.40262098312382</v>
      </c>
      <c r="AR37" s="52">
        <v>63.479752242565155</v>
      </c>
      <c r="AS37" s="52">
        <v>527.92750043869012</v>
      </c>
    </row>
    <row r="38" spans="1:45" ht="15.75" thickBot="1" x14ac:dyDescent="0.3">
      <c r="A38" s="9"/>
      <c r="B38" s="59"/>
      <c r="C38" s="60"/>
      <c r="D38" s="60"/>
      <c r="E38" s="60"/>
      <c r="F38" s="60"/>
      <c r="G38" s="60"/>
      <c r="H38" s="61"/>
      <c r="I38" s="62"/>
      <c r="J38" s="60"/>
      <c r="K38" s="60"/>
      <c r="L38" s="60"/>
      <c r="M38" s="60"/>
      <c r="N38" s="61"/>
      <c r="O38" s="62"/>
      <c r="P38" s="60"/>
      <c r="Q38" s="60"/>
      <c r="R38" s="63"/>
      <c r="S38" s="60"/>
      <c r="T38" s="64"/>
      <c r="U38" s="65"/>
      <c r="V38" s="66"/>
      <c r="W38" s="66"/>
      <c r="X38" s="66"/>
      <c r="Y38" s="66"/>
      <c r="Z38" s="66"/>
      <c r="AA38" s="67"/>
      <c r="AB38" s="68"/>
      <c r="AC38" s="69"/>
      <c r="AD38" s="359"/>
      <c r="AE38" s="359"/>
      <c r="AF38" s="70"/>
      <c r="AG38" s="68"/>
      <c r="AH38" s="68"/>
      <c r="AI38" s="68"/>
      <c r="AJ38" s="69"/>
      <c r="AK38" s="69"/>
      <c r="AL38" s="69"/>
      <c r="AM38" s="69"/>
      <c r="AN38" s="69"/>
      <c r="AO38" s="69"/>
      <c r="AP38" s="69"/>
      <c r="AQ38" s="69"/>
      <c r="AR38" s="69"/>
      <c r="AS38" s="69"/>
    </row>
    <row r="39" spans="1:45" ht="15.75" thickTop="1" x14ac:dyDescent="0.25">
      <c r="A39" s="42" t="s">
        <v>171</v>
      </c>
      <c r="B39" s="25">
        <f>SUM(B8:B38)</f>
        <v>0</v>
      </c>
      <c r="C39" s="26">
        <f t="shared" ref="C39:AC39" si="0">SUM(C8:C38)</f>
        <v>1393.7827871565025</v>
      </c>
      <c r="D39" s="26">
        <f t="shared" si="0"/>
        <v>18524.855634628937</v>
      </c>
      <c r="E39" s="26">
        <f t="shared" si="0"/>
        <v>313.7268157871564</v>
      </c>
      <c r="F39" s="26">
        <f t="shared" si="0"/>
        <v>0</v>
      </c>
      <c r="G39" s="26">
        <f t="shared" si="0"/>
        <v>33143.713548418687</v>
      </c>
      <c r="H39" s="27">
        <f t="shared" si="0"/>
        <v>515.42562642057794</v>
      </c>
      <c r="I39" s="25">
        <f t="shared" si="0"/>
        <v>2993.1768516135194</v>
      </c>
      <c r="J39" s="26">
        <f t="shared" si="0"/>
        <v>7774.8263285493867</v>
      </c>
      <c r="K39" s="26">
        <f t="shared" si="0"/>
        <v>427.20785479396579</v>
      </c>
      <c r="L39" s="26">
        <f t="shared" si="0"/>
        <v>0</v>
      </c>
      <c r="M39" s="26">
        <f t="shared" si="0"/>
        <v>0</v>
      </c>
      <c r="N39" s="27">
        <f t="shared" si="0"/>
        <v>0</v>
      </c>
      <c r="O39" s="241">
        <f t="shared" si="0"/>
        <v>0</v>
      </c>
      <c r="P39" s="242">
        <f t="shared" si="0"/>
        <v>0</v>
      </c>
      <c r="Q39" s="242">
        <f t="shared" si="0"/>
        <v>0</v>
      </c>
      <c r="R39" s="242">
        <f t="shared" si="0"/>
        <v>0</v>
      </c>
      <c r="S39" s="242">
        <f t="shared" si="0"/>
        <v>0</v>
      </c>
      <c r="T39" s="243">
        <f t="shared" si="0"/>
        <v>0</v>
      </c>
      <c r="U39" s="241">
        <f t="shared" si="0"/>
        <v>4758.3181672324772</v>
      </c>
      <c r="V39" s="242">
        <f t="shared" si="0"/>
        <v>2866.5044416834967</v>
      </c>
      <c r="W39" s="242">
        <f t="shared" si="0"/>
        <v>907.00361901114627</v>
      </c>
      <c r="X39" s="242">
        <f t="shared" si="0"/>
        <v>546.52839160610961</v>
      </c>
      <c r="Y39" s="242">
        <f t="shared" si="0"/>
        <v>1299.1529753932127</v>
      </c>
      <c r="Z39" s="242">
        <f t="shared" si="0"/>
        <v>780.9090956091112</v>
      </c>
      <c r="AA39" s="250">
        <f t="shared" si="0"/>
        <v>0</v>
      </c>
      <c r="AB39" s="253">
        <f t="shared" si="0"/>
        <v>1588.7465626673004</v>
      </c>
      <c r="AC39" s="253">
        <f t="shared" si="0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1">SUM(AJ8:AJ38)</f>
        <v>6090.4353905121498</v>
      </c>
      <c r="AK39" s="253">
        <f t="shared" si="1"/>
        <v>22017.83428822835</v>
      </c>
      <c r="AL39" s="253">
        <f t="shared" si="1"/>
        <v>60611.325442790971</v>
      </c>
      <c r="AM39" s="253">
        <f t="shared" si="1"/>
        <v>16056.839940452577</v>
      </c>
      <c r="AN39" s="253">
        <f t="shared" si="1"/>
        <v>201294.46477539063</v>
      </c>
      <c r="AO39" s="253">
        <f t="shared" si="1"/>
        <v>72743.522321294135</v>
      </c>
      <c r="AP39" s="253">
        <f t="shared" si="1"/>
        <v>15756.451040617625</v>
      </c>
      <c r="AQ39" s="253">
        <f t="shared" si="1"/>
        <v>54994.586254577625</v>
      </c>
      <c r="AR39" s="253">
        <f t="shared" si="1"/>
        <v>8566.1080166713418</v>
      </c>
      <c r="AS39" s="253">
        <f t="shared" si="1"/>
        <v>18500.058725789393</v>
      </c>
    </row>
    <row r="40" spans="1:45" ht="15.75" thickBot="1" x14ac:dyDescent="0.3">
      <c r="A40" s="43" t="s">
        <v>172</v>
      </c>
      <c r="B40" s="28">
        <f>Projection!$AB$30</f>
        <v>0.75949460999999996</v>
      </c>
      <c r="C40" s="29">
        <f>Projection!$AB$28</f>
        <v>2.0387463599999998</v>
      </c>
      <c r="D40" s="29">
        <f>Projection!$AB$31</f>
        <v>3.6888745740000002</v>
      </c>
      <c r="E40" s="29">
        <f>Projection!$AB$26</f>
        <v>4.4235360000000004</v>
      </c>
      <c r="F40" s="29">
        <f>Projection!$AB$23</f>
        <v>0</v>
      </c>
      <c r="G40" s="29">
        <f>Projection!$AB$24</f>
        <v>7.6444999999999999E-2</v>
      </c>
      <c r="H40" s="30">
        <f>Projection!$AB$29</f>
        <v>4.6146262499999997</v>
      </c>
      <c r="I40" s="28">
        <f>Projection!$AB$30</f>
        <v>0.75949460999999996</v>
      </c>
      <c r="J40" s="29">
        <f>Projection!$AB$28</f>
        <v>2.0387463599999998</v>
      </c>
      <c r="K40" s="29">
        <f>Projection!$AB$26</f>
        <v>4.4235360000000004</v>
      </c>
      <c r="L40" s="29">
        <f>Projection!$AB$25</f>
        <v>0</v>
      </c>
      <c r="M40" s="29">
        <f>Projection!$AB$23</f>
        <v>0</v>
      </c>
      <c r="N40" s="30">
        <f>Projection!$AB$23</f>
        <v>0</v>
      </c>
      <c r="O40" s="22">
        <v>15.77</v>
      </c>
      <c r="P40" s="23">
        <v>15.77</v>
      </c>
      <c r="Q40" s="23">
        <v>15.77</v>
      </c>
      <c r="R40" s="23">
        <v>15.77</v>
      </c>
      <c r="S40" s="23">
        <f>Projection!$AB$28</f>
        <v>2.0387463599999998</v>
      </c>
      <c r="T40" s="34">
        <f>Projection!$AB$28</f>
        <v>2.0387463599999998</v>
      </c>
      <c r="U40" s="22">
        <f>Projection!$AB$27</f>
        <v>0.41249999999999998</v>
      </c>
      <c r="V40" s="23">
        <f>Projection!$AB$27</f>
        <v>0.41249999999999998</v>
      </c>
      <c r="W40" s="23">
        <f>Projection!$AB$22</f>
        <v>1.7800896000000002</v>
      </c>
      <c r="X40" s="23">
        <f>Projection!$AB$22</f>
        <v>1.7800896000000002</v>
      </c>
      <c r="Y40" s="23">
        <f>Projection!$AB$31</f>
        <v>3.6888745740000002</v>
      </c>
      <c r="Z40" s="23">
        <f>Projection!$AB$31</f>
        <v>3.6888745740000002</v>
      </c>
      <c r="AA40" s="24">
        <v>0</v>
      </c>
      <c r="AB40" s="37">
        <f>Projection!$AB$27</f>
        <v>0.41249999999999998</v>
      </c>
      <c r="AC40" s="37">
        <f>Projection!$AB$30</f>
        <v>0.75949460999999996</v>
      </c>
      <c r="AD40" s="352">
        <f>SUM(AD8:AD38)</f>
        <v>219.69402753508152</v>
      </c>
      <c r="AE40" s="352">
        <f>SUM(AE8:AE38)</f>
        <v>129.13567105441538</v>
      </c>
      <c r="AF40" s="257">
        <f>SUM(AF8:AF38)</f>
        <v>340.36159930722579</v>
      </c>
      <c r="AG40" s="257">
        <f>SUM(AG8:AG38)</f>
        <v>209.34571198520709</v>
      </c>
      <c r="AH40" s="257">
        <f>SUM(AH8:AH38)</f>
        <v>126.30215957310068</v>
      </c>
      <c r="AI40" s="257">
        <f>IF(SUM(AG40:AH40)&gt;0, AG40/(AG40+AH40), 0)</f>
        <v>0.62370635932616114</v>
      </c>
      <c r="AJ40" s="286">
        <v>7.4999999999999997E-2</v>
      </c>
      <c r="AK40" s="286">
        <f t="shared" ref="AK40:AS40" si="2">$AJ$40</f>
        <v>7.4999999999999997E-2</v>
      </c>
      <c r="AL40" s="286">
        <f t="shared" si="2"/>
        <v>7.4999999999999997E-2</v>
      </c>
      <c r="AM40" s="286">
        <f t="shared" si="2"/>
        <v>7.4999999999999997E-2</v>
      </c>
      <c r="AN40" s="286">
        <f t="shared" si="2"/>
        <v>7.4999999999999997E-2</v>
      </c>
      <c r="AO40" s="286">
        <f t="shared" si="2"/>
        <v>7.4999999999999997E-2</v>
      </c>
      <c r="AP40" s="286">
        <f t="shared" si="2"/>
        <v>7.4999999999999997E-2</v>
      </c>
      <c r="AQ40" s="286">
        <f t="shared" si="2"/>
        <v>7.4999999999999997E-2</v>
      </c>
      <c r="AR40" s="286">
        <f t="shared" si="2"/>
        <v>7.4999999999999997E-2</v>
      </c>
      <c r="AS40" s="286">
        <f t="shared" si="2"/>
        <v>7.4999999999999997E-2</v>
      </c>
    </row>
    <row r="41" spans="1:45" ht="16.5" thickTop="1" thickBot="1" x14ac:dyDescent="0.3">
      <c r="A41" s="44" t="s">
        <v>26</v>
      </c>
      <c r="B41" s="31">
        <f t="shared" ref="B41:AC41" si="3">B40*B39</f>
        <v>0</v>
      </c>
      <c r="C41" s="32">
        <f t="shared" si="3"/>
        <v>2841.569583945974</v>
      </c>
      <c r="D41" s="32">
        <f t="shared" si="3"/>
        <v>68335.868937603329</v>
      </c>
      <c r="E41" s="32">
        <f t="shared" si="3"/>
        <v>1387.7818637998548</v>
      </c>
      <c r="F41" s="32">
        <f t="shared" si="3"/>
        <v>0</v>
      </c>
      <c r="G41" s="32">
        <f t="shared" si="3"/>
        <v>2533.6711822088664</v>
      </c>
      <c r="H41" s="33">
        <f t="shared" si="3"/>
        <v>2378.4966256030925</v>
      </c>
      <c r="I41" s="31">
        <f t="shared" si="3"/>
        <v>2273.3016855772375</v>
      </c>
      <c r="J41" s="32">
        <f t="shared" si="3"/>
        <v>15850.898876962225</v>
      </c>
      <c r="K41" s="32">
        <f t="shared" si="3"/>
        <v>1889.7693251638805</v>
      </c>
      <c r="L41" s="32">
        <f t="shared" si="3"/>
        <v>0</v>
      </c>
      <c r="M41" s="32">
        <f t="shared" si="3"/>
        <v>0</v>
      </c>
      <c r="N41" s="33">
        <f t="shared" si="3"/>
        <v>0</v>
      </c>
      <c r="O41" s="247">
        <f t="shared" si="3"/>
        <v>0</v>
      </c>
      <c r="P41" s="248">
        <f t="shared" si="3"/>
        <v>0</v>
      </c>
      <c r="Q41" s="248">
        <f t="shared" si="3"/>
        <v>0</v>
      </c>
      <c r="R41" s="248">
        <f t="shared" si="3"/>
        <v>0</v>
      </c>
      <c r="S41" s="248">
        <f t="shared" si="3"/>
        <v>0</v>
      </c>
      <c r="T41" s="249">
        <f t="shared" si="3"/>
        <v>0</v>
      </c>
      <c r="U41" s="247">
        <f t="shared" si="3"/>
        <v>1962.8062439833968</v>
      </c>
      <c r="V41" s="248">
        <f t="shared" si="3"/>
        <v>1182.4330821944422</v>
      </c>
      <c r="W41" s="248">
        <f t="shared" si="3"/>
        <v>1614.5477093641039</v>
      </c>
      <c r="X41" s="248">
        <f t="shared" si="3"/>
        <v>972.86950600276305</v>
      </c>
      <c r="Y41" s="248">
        <f t="shared" si="3"/>
        <v>4792.4123786644705</v>
      </c>
      <c r="Z41" s="248">
        <f t="shared" si="3"/>
        <v>2880.6757073977856</v>
      </c>
      <c r="AA41" s="252">
        <f t="shared" si="3"/>
        <v>0</v>
      </c>
      <c r="AB41" s="255">
        <f t="shared" si="3"/>
        <v>655.35795710026139</v>
      </c>
      <c r="AC41" s="255">
        <f t="shared" si="3"/>
        <v>0</v>
      </c>
      <c r="AJ41" s="258">
        <f t="shared" ref="AJ41:AS41" si="4">AJ40*AJ39</f>
        <v>456.78265428841121</v>
      </c>
      <c r="AK41" s="258">
        <f t="shared" si="4"/>
        <v>1651.3375716171263</v>
      </c>
      <c r="AL41" s="258">
        <f t="shared" si="4"/>
        <v>4545.849408209323</v>
      </c>
      <c r="AM41" s="258">
        <f t="shared" si="4"/>
        <v>1204.2629955339432</v>
      </c>
      <c r="AN41" s="258">
        <f t="shared" si="4"/>
        <v>15097.084858154296</v>
      </c>
      <c r="AO41" s="258">
        <f t="shared" si="4"/>
        <v>5455.7641740970603</v>
      </c>
      <c r="AP41" s="258">
        <f t="shared" si="4"/>
        <v>1181.7338280463218</v>
      </c>
      <c r="AQ41" s="258">
        <f t="shared" si="4"/>
        <v>4124.5939690933219</v>
      </c>
      <c r="AR41" s="258">
        <f t="shared" si="4"/>
        <v>642.45810125035064</v>
      </c>
      <c r="AS41" s="258">
        <f t="shared" si="4"/>
        <v>1387.5044044342044</v>
      </c>
    </row>
    <row r="42" spans="1:45" ht="49.5" customHeight="1" thickTop="1" thickBot="1" x14ac:dyDescent="0.3">
      <c r="A42" s="587">
        <f>MARCH!$A$42+31</f>
        <v>44653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1756.53</v>
      </c>
      <c r="AK42" s="258" t="s">
        <v>197</v>
      </c>
      <c r="AL42" s="258">
        <v>3312.22</v>
      </c>
      <c r="AM42" s="258">
        <v>769.74</v>
      </c>
      <c r="AN42" s="258">
        <v>1394.29</v>
      </c>
      <c r="AO42" s="258">
        <v>8321.48</v>
      </c>
      <c r="AP42" s="258">
        <v>1959.08</v>
      </c>
      <c r="AQ42" s="258" t="s">
        <v>197</v>
      </c>
      <c r="AR42" s="258">
        <v>143.93</v>
      </c>
      <c r="AS42" s="258">
        <v>589.94000000000005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111552.46066557171</v>
      </c>
      <c r="D44" s="262" t="s">
        <v>135</v>
      </c>
      <c r="E44" s="263">
        <f>SUM(B41:H41)+P41+R41+T41+V41+X41+Z41</f>
        <v>82513.366488756117</v>
      </c>
      <c r="G44" s="262" t="s">
        <v>135</v>
      </c>
      <c r="H44" s="263">
        <f>SUM(I41:N41)+O41+Q41+S41+U41+W41+Y41</f>
        <v>28383.736219715312</v>
      </c>
      <c r="J44" s="262" t="s">
        <v>198</v>
      </c>
      <c r="K44" s="263">
        <v>117567.67</v>
      </c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35747.371964724356</v>
      </c>
      <c r="D45" s="264" t="s">
        <v>183</v>
      </c>
      <c r="E45" s="265">
        <f>AJ41*(1-$AI$40)+AK41+AL41*0.5+AN41+AO41*(1-$AI$40)+AP41*(1-$AI$40)+AQ41*(1-$AI$40)+AR41*0.5+AS41*0.5</f>
        <v>24257.91956382056</v>
      </c>
      <c r="F45" s="20"/>
      <c r="G45" s="264" t="s">
        <v>183</v>
      </c>
      <c r="H45" s="265">
        <f>AJ41*AI40+AL41*0.5+AM41+AO41*AI40+AP41*AI40+AQ41*AI40+AR41*0.5+AS41*0.5</f>
        <v>11489.452400903801</v>
      </c>
      <c r="K45" s="268"/>
      <c r="R45" s="278" t="s">
        <v>141</v>
      </c>
      <c r="S45" s="279"/>
      <c r="T45" s="234">
        <f>$W$39+$X$39</f>
        <v>1453.5320106172558</v>
      </c>
      <c r="U45" s="236">
        <f>(T45*8.34*0.895)/27000</f>
        <v>0.40183699951297713</v>
      </c>
    </row>
    <row r="46" spans="1:45" ht="32.25" thickBot="1" x14ac:dyDescent="0.3">
      <c r="A46" s="266" t="s">
        <v>184</v>
      </c>
      <c r="B46" s="267">
        <f>SUM(AJ42:AS42)</f>
        <v>18247.209999999995</v>
      </c>
      <c r="D46" s="266" t="s">
        <v>184</v>
      </c>
      <c r="E46" s="267">
        <f>AJ42*(1-$AI$40)+AL42*0.5+AN42+AO42*(1-$AI$40)+AP42*(1-$AI$40)+AR42*0.5+AS42*0.5</f>
        <v>7946.8154192186594</v>
      </c>
      <c r="F46" s="19"/>
      <c r="G46" s="266" t="s">
        <v>184</v>
      </c>
      <c r="H46" s="267">
        <f>AJ42*AI40+AL42*0.5+AM42+AO42*AI40+AP42*AI40+AR42*0.5+AS42*0.5</f>
        <v>10300.39458078134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117567.67</v>
      </c>
      <c r="D47" s="266" t="s">
        <v>187</v>
      </c>
      <c r="E47" s="267">
        <f>K44*0.5</f>
        <v>58783.834999999999</v>
      </c>
      <c r="F47" s="20"/>
      <c r="G47" s="266" t="s">
        <v>185</v>
      </c>
      <c r="H47" s="267">
        <f>K44*0.5</f>
        <v>58783.834999999999</v>
      </c>
      <c r="J47" s="262" t="s">
        <v>198</v>
      </c>
      <c r="K47" s="263">
        <v>141101.19999999998</v>
      </c>
      <c r="R47" s="278" t="s">
        <v>148</v>
      </c>
      <c r="S47" s="279"/>
      <c r="T47" s="234">
        <f>$G$39</f>
        <v>33143.713548418687</v>
      </c>
      <c r="U47" s="236">
        <f>T47/40000</f>
        <v>0.82859283871046718</v>
      </c>
    </row>
    <row r="48" spans="1:45" ht="24" thickBot="1" x14ac:dyDescent="0.3">
      <c r="A48" s="266" t="s">
        <v>186</v>
      </c>
      <c r="B48" s="267">
        <f>K47</f>
        <v>141101.19999999998</v>
      </c>
      <c r="D48" s="266" t="s">
        <v>186</v>
      </c>
      <c r="E48" s="267">
        <f>K47*0.5</f>
        <v>70550.599999999991</v>
      </c>
      <c r="F48" s="19"/>
      <c r="G48" s="266" t="s">
        <v>186</v>
      </c>
      <c r="H48" s="267">
        <f>K47*0.5</f>
        <v>70550.599999999991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1" ht="48" thickTop="1" thickBot="1" x14ac:dyDescent="0.3">
      <c r="A49" s="271" t="s">
        <v>194</v>
      </c>
      <c r="B49" s="272">
        <f>AF40</f>
        <v>340.36159930722579</v>
      </c>
      <c r="D49" s="271" t="s">
        <v>195</v>
      </c>
      <c r="E49" s="272">
        <f>AH40</f>
        <v>126.30215957310068</v>
      </c>
      <c r="F49" s="19"/>
      <c r="G49" s="271" t="s">
        <v>196</v>
      </c>
      <c r="H49" s="272">
        <f>AG40</f>
        <v>209.34571198520709</v>
      </c>
      <c r="K49" s="71"/>
      <c r="R49" s="278" t="s">
        <v>152</v>
      </c>
      <c r="S49" s="279"/>
      <c r="T49" s="234">
        <f>$E$39+$K$39</f>
        <v>740.93467058112219</v>
      </c>
      <c r="U49" s="236">
        <f>(T49*8.34*1.04)/45000</f>
        <v>0.14281268797227603</v>
      </c>
    </row>
    <row r="50" spans="1:21" ht="48" customHeight="1" thickTop="1" thickBot="1" x14ac:dyDescent="0.3">
      <c r="A50" s="271" t="s">
        <v>223</v>
      </c>
      <c r="B50" s="272">
        <f>SUM(E50+H50)</f>
        <v>348.8296985894969</v>
      </c>
      <c r="D50" s="271" t="s">
        <v>224</v>
      </c>
      <c r="E50" s="272">
        <f>AE40</f>
        <v>129.13567105441538</v>
      </c>
      <c r="F50" s="19"/>
      <c r="G50" s="271" t="s">
        <v>225</v>
      </c>
      <c r="H50" s="272">
        <f>AD40</f>
        <v>219.69402753508152</v>
      </c>
      <c r="K50" s="71"/>
      <c r="R50" s="278"/>
      <c r="S50" s="279"/>
      <c r="T50" s="234"/>
      <c r="U50" s="236"/>
    </row>
    <row r="51" spans="1:21" ht="48" thickTop="1" thickBot="1" x14ac:dyDescent="0.3">
      <c r="A51" s="271" t="s">
        <v>190</v>
      </c>
      <c r="B51" s="273">
        <f>(SUM(B44:B48)/B50)</f>
        <v>1216.1117999574737</v>
      </c>
      <c r="D51" s="271" t="s">
        <v>188</v>
      </c>
      <c r="E51" s="274">
        <f>SUM(E44:E48)/E50</f>
        <v>1889.8925020411759</v>
      </c>
      <c r="F51" s="19"/>
      <c r="G51" s="271" t="s">
        <v>189</v>
      </c>
      <c r="H51" s="274">
        <f>SUM(H44:H48)/H50</f>
        <v>817.08192168645087</v>
      </c>
      <c r="K51" s="71"/>
      <c r="R51" s="278" t="s">
        <v>153</v>
      </c>
      <c r="S51" s="279"/>
      <c r="T51" s="234">
        <f>$U$39+$V$39+$AB$39</f>
        <v>9213.5691715832745</v>
      </c>
      <c r="U51" s="236">
        <f>T51/2000/8</f>
        <v>0.5758480732239547</v>
      </c>
    </row>
    <row r="52" spans="1:21" ht="47.25" customHeight="1" thickTop="1" thickBot="1" x14ac:dyDescent="0.3">
      <c r="A52" s="261" t="s">
        <v>191</v>
      </c>
      <c r="B52" s="274">
        <f>B51/1000</f>
        <v>1.2161117999574738</v>
      </c>
      <c r="D52" s="261" t="s">
        <v>192</v>
      </c>
      <c r="E52" s="274">
        <f>E51/1000</f>
        <v>1.8898925020411759</v>
      </c>
      <c r="F52" s="333">
        <f>E44/E49</f>
        <v>653.3013114554019</v>
      </c>
      <c r="G52" s="261" t="s">
        <v>193</v>
      </c>
      <c r="H52" s="274">
        <f>H51/1000</f>
        <v>0.81708192168645088</v>
      </c>
      <c r="I52" s="333">
        <f>H44/H49</f>
        <v>135.58307906359687</v>
      </c>
      <c r="K52" s="71"/>
      <c r="R52" s="278" t="s">
        <v>154</v>
      </c>
      <c r="S52" s="279"/>
      <c r="T52" s="234">
        <f>$C$39+$J$39+$S$39+$T$39</f>
        <v>9168.6091157058891</v>
      </c>
      <c r="U52" s="236">
        <f>(T52*8.34*1.4)/45000</f>
        <v>2.3789484452218215</v>
      </c>
    </row>
    <row r="53" spans="1:21" ht="16.5" thickTop="1" thickBot="1" x14ac:dyDescent="0.3">
      <c r="A53" s="282"/>
      <c r="K53" s="71"/>
      <c r="R53" s="278" t="s">
        <v>155</v>
      </c>
      <c r="S53" s="279"/>
      <c r="T53" s="234">
        <f>$H$39</f>
        <v>515.42562642057794</v>
      </c>
      <c r="U53" s="236">
        <f>(T53*8.34*1.135)/45000</f>
        <v>0.10842149860298995</v>
      </c>
    </row>
    <row r="54" spans="1:21" ht="48" customHeight="1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2993.1768516135194</v>
      </c>
      <c r="U54" s="236">
        <f>(T54*8.34*1.029*0.03)/3300</f>
        <v>0.23351840632534537</v>
      </c>
    </row>
    <row r="55" spans="1:21" ht="45.75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20604.917705631258</v>
      </c>
      <c r="U55" s="239">
        <f>(T55*1.54*8.34)/45000</f>
        <v>5.8809182454232358</v>
      </c>
    </row>
    <row r="56" spans="1:21" ht="24" thickTop="1" x14ac:dyDescent="0.25">
      <c r="A56" s="615"/>
      <c r="B56" s="616"/>
    </row>
    <row r="57" spans="1:21" x14ac:dyDescent="0.25">
      <c r="A57" s="617"/>
      <c r="B57" s="618"/>
    </row>
    <row r="58" spans="1:21" x14ac:dyDescent="0.25">
      <c r="A58" s="613"/>
      <c r="B58" s="614"/>
    </row>
    <row r="59" spans="1:21" x14ac:dyDescent="0.25">
      <c r="A59" s="614"/>
      <c r="B59" s="614"/>
    </row>
    <row r="60" spans="1:21" x14ac:dyDescent="0.25">
      <c r="A60" s="613"/>
      <c r="B60" s="614"/>
    </row>
    <row r="61" spans="1:21" x14ac:dyDescent="0.25">
      <c r="A61" s="614"/>
      <c r="B61" s="614"/>
    </row>
  </sheetData>
  <sheetProtection algorithmName="SHA-512" hashValue="aZCkVvyXOiMJKmf/4LM0pHGvCLZ92eMkbgs1X3ibMPdt/QgHTX+5qn6S0izkWcFIY9ywNKgFvVRySa4X6nBOSg==" saltValue="K7Bj5ok/0iaAEEtH2nD1DQ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61"/>
  <sheetViews>
    <sheetView topLeftCell="AI23" zoomScale="80" zoomScaleNormal="80" workbookViewId="0">
      <selection activeCell="AL43" sqref="AL43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8.28515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</row>
    <row r="2" spans="1:49" ht="15" customHeight="1" x14ac:dyDescent="0.25">
      <c r="A2" s="1" t="s">
        <v>2</v>
      </c>
      <c r="B2" s="4"/>
    </row>
    <row r="3" spans="1:49" ht="15.75" thickBot="1" x14ac:dyDescent="0.3">
      <c r="A3" s="5"/>
    </row>
    <row r="4" spans="1:49" ht="30" customHeight="1" thickTop="1" x14ac:dyDescent="0.25">
      <c r="A4" s="5"/>
      <c r="B4" s="591" t="s">
        <v>3</v>
      </c>
      <c r="C4" s="592"/>
      <c r="D4" s="592"/>
      <c r="E4" s="592"/>
      <c r="F4" s="592"/>
      <c r="G4" s="592"/>
      <c r="H4" s="593"/>
      <c r="I4" s="591" t="s">
        <v>4</v>
      </c>
      <c r="J4" s="592"/>
      <c r="K4" s="592"/>
      <c r="L4" s="592"/>
      <c r="M4" s="592"/>
      <c r="N4" s="593"/>
      <c r="O4" s="597" t="s">
        <v>5</v>
      </c>
      <c r="P4" s="598"/>
      <c r="Q4" s="599"/>
      <c r="R4" s="599"/>
      <c r="S4" s="599"/>
      <c r="T4" s="600"/>
      <c r="U4" s="591" t="s">
        <v>6</v>
      </c>
      <c r="V4" s="604"/>
      <c r="W4" s="604"/>
      <c r="X4" s="604"/>
      <c r="Y4" s="604"/>
      <c r="Z4" s="604"/>
      <c r="AA4" s="605"/>
      <c r="AB4" s="609" t="s">
        <v>7</v>
      </c>
      <c r="AC4" s="611" t="s">
        <v>8</v>
      </c>
      <c r="AD4" s="575" t="s">
        <v>222</v>
      </c>
      <c r="AE4" s="575" t="s">
        <v>221</v>
      </c>
      <c r="AF4" s="575" t="s">
        <v>27</v>
      </c>
      <c r="AG4" s="575" t="s">
        <v>31</v>
      </c>
      <c r="AH4" s="575" t="s">
        <v>32</v>
      </c>
      <c r="AI4" s="575" t="s">
        <v>33</v>
      </c>
      <c r="AJ4" s="609" t="s">
        <v>173</v>
      </c>
      <c r="AK4" s="609" t="s">
        <v>174</v>
      </c>
      <c r="AL4" s="609" t="s">
        <v>175</v>
      </c>
      <c r="AM4" s="609" t="s">
        <v>176</v>
      </c>
      <c r="AN4" s="609" t="s">
        <v>177</v>
      </c>
      <c r="AO4" s="609" t="s">
        <v>178</v>
      </c>
      <c r="AP4" s="609" t="s">
        <v>179</v>
      </c>
      <c r="AQ4" s="609" t="s">
        <v>182</v>
      </c>
      <c r="AR4" s="609" t="s">
        <v>180</v>
      </c>
      <c r="AS4" s="609" t="s">
        <v>181</v>
      </c>
      <c r="AV4" t="s">
        <v>169</v>
      </c>
      <c r="AW4" s="302" t="s">
        <v>207</v>
      </c>
    </row>
    <row r="5" spans="1:49" ht="30" customHeight="1" thickBot="1" x14ac:dyDescent="0.3">
      <c r="A5" s="5"/>
      <c r="B5" s="594"/>
      <c r="C5" s="595"/>
      <c r="D5" s="595"/>
      <c r="E5" s="595"/>
      <c r="F5" s="595"/>
      <c r="G5" s="595"/>
      <c r="H5" s="596"/>
      <c r="I5" s="594"/>
      <c r="J5" s="595"/>
      <c r="K5" s="595"/>
      <c r="L5" s="595"/>
      <c r="M5" s="595"/>
      <c r="N5" s="596"/>
      <c r="O5" s="601"/>
      <c r="P5" s="602"/>
      <c r="Q5" s="602"/>
      <c r="R5" s="602"/>
      <c r="S5" s="602"/>
      <c r="T5" s="603"/>
      <c r="U5" s="606"/>
      <c r="V5" s="607"/>
      <c r="W5" s="607"/>
      <c r="X5" s="607"/>
      <c r="Y5" s="607"/>
      <c r="Z5" s="607"/>
      <c r="AA5" s="608"/>
      <c r="AB5" s="610"/>
      <c r="AC5" s="612"/>
      <c r="AD5" s="576"/>
      <c r="AE5" s="576"/>
      <c r="AF5" s="590"/>
      <c r="AG5" s="590"/>
      <c r="AH5" s="590"/>
      <c r="AI5" s="590"/>
      <c r="AJ5" s="576"/>
      <c r="AK5" s="576"/>
      <c r="AL5" s="576"/>
      <c r="AM5" s="576"/>
      <c r="AN5" s="576"/>
      <c r="AO5" s="576"/>
      <c r="AP5" s="576"/>
      <c r="AQ5" s="576"/>
      <c r="AR5" s="576"/>
      <c r="AS5" s="576"/>
    </row>
    <row r="6" spans="1:49" ht="18" x14ac:dyDescent="0.25">
      <c r="A6" s="5"/>
      <c r="B6" s="10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11" t="s">
        <v>15</v>
      </c>
      <c r="I6" s="12" t="s">
        <v>9</v>
      </c>
      <c r="J6" s="6" t="s">
        <v>16</v>
      </c>
      <c r="K6" s="6" t="s">
        <v>17</v>
      </c>
      <c r="L6" s="7" t="s">
        <v>18</v>
      </c>
      <c r="M6" s="6" t="s">
        <v>19</v>
      </c>
      <c r="N6" s="11" t="s">
        <v>13</v>
      </c>
      <c r="O6" s="10" t="s">
        <v>35</v>
      </c>
      <c r="P6" s="7" t="s">
        <v>36</v>
      </c>
      <c r="Q6" s="7" t="s">
        <v>37</v>
      </c>
      <c r="R6" s="7" t="s">
        <v>38</v>
      </c>
      <c r="S6" s="6" t="s">
        <v>39</v>
      </c>
      <c r="T6" s="35" t="s">
        <v>40</v>
      </c>
      <c r="U6" s="13" t="s">
        <v>41</v>
      </c>
      <c r="V6" s="6" t="s">
        <v>42</v>
      </c>
      <c r="W6" s="6" t="s">
        <v>43</v>
      </c>
      <c r="X6" s="6" t="s">
        <v>44</v>
      </c>
      <c r="Y6" s="6" t="s">
        <v>45</v>
      </c>
      <c r="Z6" s="6" t="s">
        <v>46</v>
      </c>
      <c r="AA6" s="14" t="s">
        <v>20</v>
      </c>
      <c r="AB6" s="15" t="s">
        <v>21</v>
      </c>
      <c r="AC6" s="15" t="s">
        <v>22</v>
      </c>
      <c r="AD6" s="38"/>
      <c r="AE6" s="38"/>
      <c r="AF6" s="38" t="s">
        <v>30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</row>
    <row r="7" spans="1:49" ht="15.75" thickBot="1" x14ac:dyDescent="0.3">
      <c r="A7" s="5"/>
      <c r="B7" s="16" t="s">
        <v>23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24</v>
      </c>
      <c r="H7" s="17" t="s">
        <v>23</v>
      </c>
      <c r="I7" s="16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17" t="s">
        <v>23</v>
      </c>
      <c r="O7" s="16" t="s">
        <v>23</v>
      </c>
      <c r="P7" s="8" t="s">
        <v>23</v>
      </c>
      <c r="Q7" s="8" t="s">
        <v>23</v>
      </c>
      <c r="R7" s="8" t="s">
        <v>23</v>
      </c>
      <c r="S7" s="8" t="s">
        <v>23</v>
      </c>
      <c r="T7" s="36" t="s">
        <v>23</v>
      </c>
      <c r="U7" s="16" t="s">
        <v>25</v>
      </c>
      <c r="V7" s="8" t="s">
        <v>25</v>
      </c>
      <c r="W7" s="8" t="s">
        <v>23</v>
      </c>
      <c r="X7" s="8" t="s">
        <v>23</v>
      </c>
      <c r="Y7" s="8" t="s">
        <v>23</v>
      </c>
      <c r="Z7" s="8" t="s">
        <v>23</v>
      </c>
      <c r="AA7" s="17" t="s">
        <v>23</v>
      </c>
      <c r="AB7" s="18" t="s">
        <v>25</v>
      </c>
      <c r="AC7" s="21" t="s">
        <v>23</v>
      </c>
      <c r="AD7" s="350" t="s">
        <v>28</v>
      </c>
      <c r="AE7" s="350" t="s">
        <v>28</v>
      </c>
      <c r="AF7" s="18" t="s">
        <v>28</v>
      </c>
      <c r="AG7" s="18" t="s">
        <v>28</v>
      </c>
      <c r="AH7" s="18" t="s">
        <v>28</v>
      </c>
      <c r="AI7" s="18" t="s">
        <v>34</v>
      </c>
      <c r="AJ7" s="18" t="s">
        <v>170</v>
      </c>
      <c r="AK7" s="18" t="s">
        <v>170</v>
      </c>
      <c r="AL7" s="18" t="s">
        <v>170</v>
      </c>
      <c r="AM7" s="18" t="s">
        <v>170</v>
      </c>
      <c r="AN7" s="18" t="s">
        <v>170</v>
      </c>
      <c r="AO7" s="18" t="s">
        <v>170</v>
      </c>
      <c r="AP7" s="18" t="s">
        <v>170</v>
      </c>
      <c r="AQ7" s="18" t="s">
        <v>170</v>
      </c>
      <c r="AR7" s="18" t="s">
        <v>170</v>
      </c>
      <c r="AS7" s="18" t="s">
        <v>170</v>
      </c>
    </row>
    <row r="8" spans="1:49" x14ac:dyDescent="0.25">
      <c r="A8" s="9">
        <v>44682</v>
      </c>
      <c r="B8" s="45"/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7">
        <v>0</v>
      </c>
      <c r="I8" s="45">
        <v>0</v>
      </c>
      <c r="J8" s="46">
        <v>0</v>
      </c>
      <c r="K8" s="46">
        <v>0</v>
      </c>
      <c r="L8" s="46">
        <v>0</v>
      </c>
      <c r="M8" s="46">
        <v>0</v>
      </c>
      <c r="N8" s="47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8">
        <v>0</v>
      </c>
      <c r="U8" s="49">
        <v>0</v>
      </c>
      <c r="V8" s="50">
        <v>0</v>
      </c>
      <c r="W8" s="50">
        <v>0</v>
      </c>
      <c r="X8" s="50">
        <v>0</v>
      </c>
      <c r="Y8" s="50">
        <v>0</v>
      </c>
      <c r="Z8" s="50">
        <v>0</v>
      </c>
      <c r="AA8" s="51">
        <v>0</v>
      </c>
      <c r="AB8" s="53">
        <v>8.52</v>
      </c>
      <c r="AC8" s="53">
        <v>0</v>
      </c>
      <c r="AD8" s="358">
        <v>0</v>
      </c>
      <c r="AE8" s="358">
        <v>0</v>
      </c>
      <c r="AF8" s="53">
        <v>0</v>
      </c>
      <c r="AG8" s="53">
        <v>0</v>
      </c>
      <c r="AH8" s="53">
        <v>0</v>
      </c>
      <c r="AI8" s="53">
        <v>0</v>
      </c>
      <c r="AJ8" s="53">
        <v>165.05</v>
      </c>
      <c r="AK8" s="53">
        <v>580.13</v>
      </c>
      <c r="AL8" s="53">
        <v>896.03</v>
      </c>
      <c r="AM8" s="53">
        <v>155.85</v>
      </c>
      <c r="AN8" s="53">
        <v>6874.04</v>
      </c>
      <c r="AO8" s="53">
        <v>1852.79</v>
      </c>
      <c r="AP8" s="53">
        <v>464.39</v>
      </c>
      <c r="AQ8" s="53">
        <v>459.24</v>
      </c>
      <c r="AR8" s="53">
        <v>62.19</v>
      </c>
      <c r="AS8" s="53">
        <v>567.33000000000004</v>
      </c>
    </row>
    <row r="9" spans="1:49" x14ac:dyDescent="0.25">
      <c r="A9" s="9">
        <v>44683</v>
      </c>
      <c r="B9" s="45"/>
      <c r="C9" s="46">
        <v>10.930060680707296</v>
      </c>
      <c r="D9" s="46">
        <v>0</v>
      </c>
      <c r="E9" s="46">
        <v>0</v>
      </c>
      <c r="F9" s="46">
        <v>0</v>
      </c>
      <c r="G9" s="46">
        <v>0</v>
      </c>
      <c r="H9" s="47">
        <v>0</v>
      </c>
      <c r="I9" s="45">
        <v>93.879545680681886</v>
      </c>
      <c r="J9" s="46">
        <v>284.18407476743113</v>
      </c>
      <c r="K9" s="46">
        <v>15.300903899470965</v>
      </c>
      <c r="L9" s="46">
        <v>0</v>
      </c>
      <c r="M9" s="46">
        <v>0</v>
      </c>
      <c r="N9" s="47">
        <v>0</v>
      </c>
      <c r="O9" s="45">
        <v>0</v>
      </c>
      <c r="P9" s="46">
        <v>0</v>
      </c>
      <c r="Q9" s="54">
        <v>0</v>
      </c>
      <c r="R9" s="55">
        <v>0</v>
      </c>
      <c r="S9" s="46">
        <v>0</v>
      </c>
      <c r="T9" s="48">
        <v>0</v>
      </c>
      <c r="U9" s="56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7">
        <v>0</v>
      </c>
      <c r="AB9" s="58">
        <v>33.440875009033213</v>
      </c>
      <c r="AC9" s="52">
        <v>0</v>
      </c>
      <c r="AD9" s="359">
        <v>6.7359075671005799</v>
      </c>
      <c r="AE9" s="359">
        <v>0</v>
      </c>
      <c r="AF9" s="52">
        <v>0</v>
      </c>
      <c r="AG9" s="58">
        <v>0</v>
      </c>
      <c r="AH9" s="58">
        <v>0</v>
      </c>
      <c r="AI9" s="58">
        <v>0</v>
      </c>
      <c r="AJ9" s="52">
        <v>196.19054461320238</v>
      </c>
      <c r="AK9" s="52">
        <v>614.56242551803587</v>
      </c>
      <c r="AL9" s="52">
        <v>887.39415467580159</v>
      </c>
      <c r="AM9" s="52">
        <v>155.84852600097656</v>
      </c>
      <c r="AN9" s="52">
        <v>6874.043701171875</v>
      </c>
      <c r="AO9" s="52">
        <v>2005.6109107971185</v>
      </c>
      <c r="AP9" s="52">
        <v>532.26212304433193</v>
      </c>
      <c r="AQ9" s="52">
        <v>507.80001856486001</v>
      </c>
      <c r="AR9" s="52">
        <v>153.66087371110916</v>
      </c>
      <c r="AS9" s="52">
        <v>561.46582152048757</v>
      </c>
    </row>
    <row r="10" spans="1:49" x14ac:dyDescent="0.25">
      <c r="A10" s="9">
        <v>44684</v>
      </c>
      <c r="B10" s="45"/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7">
        <v>0</v>
      </c>
      <c r="I10" s="45">
        <v>203.80510565439891</v>
      </c>
      <c r="J10" s="46">
        <v>524.74118048350033</v>
      </c>
      <c r="K10" s="46">
        <v>29.163053036729487</v>
      </c>
      <c r="L10" s="46">
        <v>0</v>
      </c>
      <c r="M10" s="46">
        <v>0</v>
      </c>
      <c r="N10" s="47">
        <v>0</v>
      </c>
      <c r="O10" s="45">
        <v>0</v>
      </c>
      <c r="P10" s="46">
        <v>0</v>
      </c>
      <c r="Q10" s="46">
        <v>0</v>
      </c>
      <c r="R10" s="55">
        <v>0</v>
      </c>
      <c r="S10" s="46">
        <v>0</v>
      </c>
      <c r="T10" s="48">
        <v>0</v>
      </c>
      <c r="U10" s="56">
        <v>179.46334559122769</v>
      </c>
      <c r="V10" s="54">
        <v>0</v>
      </c>
      <c r="W10" s="54">
        <v>24.629998278617848</v>
      </c>
      <c r="X10" s="54">
        <v>0</v>
      </c>
      <c r="Y10" s="54">
        <v>77.04916423956557</v>
      </c>
      <c r="Z10" s="54">
        <v>0</v>
      </c>
      <c r="AA10" s="57">
        <v>0</v>
      </c>
      <c r="AB10" s="58">
        <v>53.675288632180383</v>
      </c>
      <c r="AC10" s="52">
        <v>0</v>
      </c>
      <c r="AD10" s="359">
        <v>12.42780726364429</v>
      </c>
      <c r="AE10" s="359">
        <v>0</v>
      </c>
      <c r="AF10" s="52">
        <v>4.5841746899816727</v>
      </c>
      <c r="AG10" s="58">
        <v>6.7773139412614682</v>
      </c>
      <c r="AH10" s="58">
        <v>0</v>
      </c>
      <c r="AI10" s="58">
        <v>1</v>
      </c>
      <c r="AJ10" s="52">
        <v>196.28304899533589</v>
      </c>
      <c r="AK10" s="52">
        <v>571.76955471038821</v>
      </c>
      <c r="AL10" s="52">
        <v>981.94927132924386</v>
      </c>
      <c r="AM10" s="52">
        <v>155.84852600097656</v>
      </c>
      <c r="AN10" s="52">
        <v>6874.043701171875</v>
      </c>
      <c r="AO10" s="52">
        <v>1995.6155943552653</v>
      </c>
      <c r="AP10" s="52">
        <v>535.9398393789927</v>
      </c>
      <c r="AQ10" s="52">
        <v>1336.1668968836466</v>
      </c>
      <c r="AR10" s="52">
        <v>233.62441767056785</v>
      </c>
      <c r="AS10" s="52">
        <v>545.45903158187855</v>
      </c>
    </row>
    <row r="11" spans="1:49" x14ac:dyDescent="0.25">
      <c r="A11" s="9">
        <v>44685</v>
      </c>
      <c r="B11" s="45"/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7">
        <v>0</v>
      </c>
      <c r="I11" s="45">
        <v>208.43766668637613</v>
      </c>
      <c r="J11" s="46">
        <v>526.6490103085838</v>
      </c>
      <c r="K11" s="46">
        <v>29.062039734919878</v>
      </c>
      <c r="L11" s="46">
        <v>0</v>
      </c>
      <c r="M11" s="46">
        <v>0</v>
      </c>
      <c r="N11" s="47">
        <v>0</v>
      </c>
      <c r="O11" s="45">
        <v>0</v>
      </c>
      <c r="P11" s="46">
        <v>0</v>
      </c>
      <c r="Q11" s="46">
        <v>0</v>
      </c>
      <c r="R11" s="55">
        <v>0</v>
      </c>
      <c r="S11" s="46">
        <v>0</v>
      </c>
      <c r="T11" s="48">
        <v>0</v>
      </c>
      <c r="U11" s="56">
        <v>280.80435592863273</v>
      </c>
      <c r="V11" s="54">
        <v>0</v>
      </c>
      <c r="W11" s="54">
        <v>52.817842793464671</v>
      </c>
      <c r="X11" s="54">
        <v>0</v>
      </c>
      <c r="Y11" s="54">
        <v>153.36088338692974</v>
      </c>
      <c r="Z11" s="54">
        <v>0</v>
      </c>
      <c r="AA11" s="57">
        <v>0</v>
      </c>
      <c r="AB11" s="58">
        <v>53.705714196629792</v>
      </c>
      <c r="AC11" s="52">
        <v>0</v>
      </c>
      <c r="AD11" s="359">
        <v>12.409193099159296</v>
      </c>
      <c r="AE11" s="359">
        <v>0</v>
      </c>
      <c r="AF11" s="52">
        <v>11.975596824288369</v>
      </c>
      <c r="AG11" s="58">
        <v>11.769155954142889</v>
      </c>
      <c r="AH11" s="58">
        <v>0</v>
      </c>
      <c r="AI11" s="58">
        <v>1</v>
      </c>
      <c r="AJ11" s="52">
        <v>201.62491205533343</v>
      </c>
      <c r="AK11" s="52">
        <v>365.72439080874119</v>
      </c>
      <c r="AL11" s="52">
        <v>880.40896577835076</v>
      </c>
      <c r="AM11" s="52">
        <v>155.84852600097656</v>
      </c>
      <c r="AN11" s="52">
        <v>6874.043701171875</v>
      </c>
      <c r="AO11" s="52">
        <v>1957.2061551411946</v>
      </c>
      <c r="AP11" s="52">
        <v>523.99851501782734</v>
      </c>
      <c r="AQ11" s="52">
        <v>1804.0733034133916</v>
      </c>
      <c r="AR11" s="52">
        <v>233.77920165061951</v>
      </c>
      <c r="AS11" s="52">
        <v>571.41726859410596</v>
      </c>
    </row>
    <row r="12" spans="1:49" x14ac:dyDescent="0.25">
      <c r="A12" s="9">
        <v>44686</v>
      </c>
      <c r="B12" s="45"/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7">
        <v>0</v>
      </c>
      <c r="I12" s="45">
        <v>228.69</v>
      </c>
      <c r="J12" s="46">
        <v>576.51</v>
      </c>
      <c r="K12" s="46">
        <v>31.74</v>
      </c>
      <c r="L12" s="46">
        <v>0</v>
      </c>
      <c r="M12" s="46">
        <v>0</v>
      </c>
      <c r="N12" s="47">
        <v>0</v>
      </c>
      <c r="O12" s="45">
        <v>0</v>
      </c>
      <c r="P12" s="46">
        <v>0</v>
      </c>
      <c r="Q12" s="46">
        <v>0</v>
      </c>
      <c r="R12" s="55">
        <v>0</v>
      </c>
      <c r="S12" s="46">
        <v>0</v>
      </c>
      <c r="T12" s="48">
        <v>0</v>
      </c>
      <c r="U12" s="56">
        <v>308.10000000000002</v>
      </c>
      <c r="V12" s="54">
        <v>0</v>
      </c>
      <c r="W12" s="54">
        <v>57.74</v>
      </c>
      <c r="X12" s="54">
        <v>0</v>
      </c>
      <c r="Y12" s="54">
        <v>182.19</v>
      </c>
      <c r="Z12" s="54">
        <v>0</v>
      </c>
      <c r="AA12" s="57">
        <v>0</v>
      </c>
      <c r="AB12" s="58">
        <v>59.04</v>
      </c>
      <c r="AC12" s="52">
        <v>0</v>
      </c>
      <c r="AD12" s="359">
        <v>13.59</v>
      </c>
      <c r="AE12" s="359">
        <v>0</v>
      </c>
      <c r="AF12" s="52">
        <v>13.14</v>
      </c>
      <c r="AG12" s="58">
        <v>12.92</v>
      </c>
      <c r="AH12" s="58">
        <v>0</v>
      </c>
      <c r="AI12" s="58">
        <v>1</v>
      </c>
      <c r="AJ12" s="52">
        <v>198.84</v>
      </c>
      <c r="AK12" s="52">
        <v>367.39</v>
      </c>
      <c r="AL12" s="52">
        <v>937.5</v>
      </c>
      <c r="AM12" s="52">
        <v>764.85</v>
      </c>
      <c r="AN12" s="52">
        <v>6874.04</v>
      </c>
      <c r="AO12" s="52">
        <v>1984.69</v>
      </c>
      <c r="AP12" s="52">
        <v>508.59</v>
      </c>
      <c r="AQ12" s="52">
        <v>1935.78</v>
      </c>
      <c r="AR12" s="52">
        <v>231.57</v>
      </c>
      <c r="AS12" s="52">
        <v>634.1</v>
      </c>
    </row>
    <row r="13" spans="1:49" x14ac:dyDescent="0.25">
      <c r="A13" s="9">
        <v>44687</v>
      </c>
      <c r="B13" s="45"/>
      <c r="C13" s="46">
        <v>20.020240819454198</v>
      </c>
      <c r="D13" s="46">
        <v>0</v>
      </c>
      <c r="E13" s="46">
        <v>1.7197514538963627</v>
      </c>
      <c r="F13" s="46">
        <v>0</v>
      </c>
      <c r="G13" s="46">
        <v>0</v>
      </c>
      <c r="H13" s="47">
        <v>0</v>
      </c>
      <c r="I13" s="45">
        <v>267.98607261975627</v>
      </c>
      <c r="J13" s="46">
        <v>701.0575301806125</v>
      </c>
      <c r="K13" s="46">
        <v>38.509519955515884</v>
      </c>
      <c r="L13" s="46">
        <v>0</v>
      </c>
      <c r="M13" s="46">
        <v>0</v>
      </c>
      <c r="N13" s="47">
        <v>0</v>
      </c>
      <c r="O13" s="45">
        <v>0</v>
      </c>
      <c r="P13" s="46">
        <v>0</v>
      </c>
      <c r="Q13" s="46">
        <v>0</v>
      </c>
      <c r="R13" s="55">
        <v>0</v>
      </c>
      <c r="S13" s="46">
        <v>0</v>
      </c>
      <c r="T13" s="48">
        <v>0</v>
      </c>
      <c r="U13" s="56">
        <v>357.32443584865638</v>
      </c>
      <c r="V13" s="54">
        <v>0</v>
      </c>
      <c r="W13" s="54">
        <v>70.111590051651007</v>
      </c>
      <c r="X13" s="54">
        <v>0</v>
      </c>
      <c r="Y13" s="54">
        <v>233.29462114175183</v>
      </c>
      <c r="Z13" s="54">
        <v>0</v>
      </c>
      <c r="AA13" s="57">
        <v>0</v>
      </c>
      <c r="AB13" s="58">
        <v>71.873914718627745</v>
      </c>
      <c r="AC13" s="52">
        <v>0</v>
      </c>
      <c r="AD13" s="359">
        <v>16.52757752485461</v>
      </c>
      <c r="AE13" s="359">
        <v>0</v>
      </c>
      <c r="AF13" s="52">
        <v>16.125936048560682</v>
      </c>
      <c r="AG13" s="58">
        <v>15.886938390848975</v>
      </c>
      <c r="AH13" s="58">
        <v>0</v>
      </c>
      <c r="AI13" s="58">
        <v>1</v>
      </c>
      <c r="AJ13" s="52">
        <v>184.66969464619953</v>
      </c>
      <c r="AK13" s="52">
        <v>366.57691857020063</v>
      </c>
      <c r="AL13" s="52">
        <v>2124.4077551523847</v>
      </c>
      <c r="AM13" s="52">
        <v>920.4188232421875</v>
      </c>
      <c r="AN13" s="52">
        <v>6874.043701171875</v>
      </c>
      <c r="AO13" s="52">
        <v>1813.6243560155235</v>
      </c>
      <c r="AP13" s="52">
        <v>471.41043866475417</v>
      </c>
      <c r="AQ13" s="52">
        <v>2140.4574247996011</v>
      </c>
      <c r="AR13" s="52">
        <v>202.66082710425061</v>
      </c>
      <c r="AS13" s="52">
        <v>771.3103960037231</v>
      </c>
    </row>
    <row r="14" spans="1:49" x14ac:dyDescent="0.25">
      <c r="A14" s="9">
        <v>44688</v>
      </c>
      <c r="B14" s="45"/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7">
        <v>0</v>
      </c>
      <c r="I14" s="45">
        <v>270.54878206253028</v>
      </c>
      <c r="J14" s="46">
        <v>700.86421950658007</v>
      </c>
      <c r="K14" s="46">
        <v>38.398162002364792</v>
      </c>
      <c r="L14" s="46">
        <v>0</v>
      </c>
      <c r="M14" s="46">
        <v>0</v>
      </c>
      <c r="N14" s="47">
        <v>0</v>
      </c>
      <c r="O14" s="45">
        <v>0</v>
      </c>
      <c r="P14" s="46">
        <v>0</v>
      </c>
      <c r="Q14" s="46">
        <v>0</v>
      </c>
      <c r="R14" s="55">
        <v>0</v>
      </c>
      <c r="S14" s="46">
        <v>0</v>
      </c>
      <c r="T14" s="48">
        <v>0</v>
      </c>
      <c r="U14" s="56">
        <v>355.154941622416</v>
      </c>
      <c r="V14" s="54">
        <v>0</v>
      </c>
      <c r="W14" s="54">
        <v>68.041183662414568</v>
      </c>
      <c r="X14" s="54">
        <v>0</v>
      </c>
      <c r="Y14" s="54">
        <v>238.32868338425948</v>
      </c>
      <c r="Z14" s="54">
        <v>0</v>
      </c>
      <c r="AA14" s="57">
        <v>0</v>
      </c>
      <c r="AB14" s="58">
        <v>72.430002880097263</v>
      </c>
      <c r="AC14" s="52">
        <v>0</v>
      </c>
      <c r="AD14" s="359">
        <v>16.522014427837803</v>
      </c>
      <c r="AE14" s="359">
        <v>0</v>
      </c>
      <c r="AF14" s="52">
        <v>16.109196080764136</v>
      </c>
      <c r="AG14" s="58">
        <v>15.870719373874051</v>
      </c>
      <c r="AH14" s="58">
        <v>0</v>
      </c>
      <c r="AI14" s="58">
        <v>1</v>
      </c>
      <c r="AJ14" s="52">
        <v>221.06459439595542</v>
      </c>
      <c r="AK14" s="52">
        <v>402.04393558502204</v>
      </c>
      <c r="AL14" s="52">
        <v>2820.7052228291827</v>
      </c>
      <c r="AM14" s="52">
        <v>920.4188232421875</v>
      </c>
      <c r="AN14" s="52">
        <v>6874.043701171875</v>
      </c>
      <c r="AO14" s="52">
        <v>1827.2079421997071</v>
      </c>
      <c r="AP14" s="52">
        <v>480.96687377293898</v>
      </c>
      <c r="AQ14" s="52">
        <v>2209.8401948293044</v>
      </c>
      <c r="AR14" s="52">
        <v>207.28242723147073</v>
      </c>
      <c r="AS14" s="52">
        <v>733.32233203252156</v>
      </c>
    </row>
    <row r="15" spans="1:49" x14ac:dyDescent="0.25">
      <c r="A15" s="9">
        <v>44689</v>
      </c>
      <c r="B15" s="45"/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7">
        <v>0</v>
      </c>
      <c r="I15" s="45">
        <v>272.64200259844483</v>
      </c>
      <c r="J15" s="46">
        <v>700.64617064793742</v>
      </c>
      <c r="K15" s="46">
        <v>38.391373784343415</v>
      </c>
      <c r="L15" s="46">
        <v>0</v>
      </c>
      <c r="M15" s="46">
        <v>0</v>
      </c>
      <c r="N15" s="47">
        <v>0</v>
      </c>
      <c r="O15" s="45">
        <v>0</v>
      </c>
      <c r="P15" s="46">
        <v>0</v>
      </c>
      <c r="Q15" s="46">
        <v>0</v>
      </c>
      <c r="R15" s="55">
        <v>0</v>
      </c>
      <c r="S15" s="46">
        <v>0</v>
      </c>
      <c r="T15" s="48">
        <v>0</v>
      </c>
      <c r="U15" s="56">
        <v>356.61955536736639</v>
      </c>
      <c r="V15" s="54">
        <v>0</v>
      </c>
      <c r="W15" s="54">
        <v>68.391091195742291</v>
      </c>
      <c r="X15" s="54">
        <v>0</v>
      </c>
      <c r="Y15" s="54">
        <v>236.94287083943675</v>
      </c>
      <c r="Z15" s="54">
        <v>0</v>
      </c>
      <c r="AA15" s="57">
        <v>0</v>
      </c>
      <c r="AB15" s="58">
        <v>72.276474867927121</v>
      </c>
      <c r="AC15" s="52">
        <v>0</v>
      </c>
      <c r="AD15" s="359">
        <v>16.514324036376379</v>
      </c>
      <c r="AE15" s="359">
        <v>0</v>
      </c>
      <c r="AF15" s="52">
        <v>15.937481543090591</v>
      </c>
      <c r="AG15" s="58">
        <v>15.696706177363104</v>
      </c>
      <c r="AH15" s="58">
        <v>0</v>
      </c>
      <c r="AI15" s="58">
        <v>1</v>
      </c>
      <c r="AJ15" s="52">
        <v>211.1060313065847</v>
      </c>
      <c r="AK15" s="52">
        <v>384.45339010556535</v>
      </c>
      <c r="AL15" s="52">
        <v>2776.5313444773356</v>
      </c>
      <c r="AM15" s="52">
        <v>920.4188232421875</v>
      </c>
      <c r="AN15" s="52">
        <v>6874.043701171875</v>
      </c>
      <c r="AO15" s="52">
        <v>1805.9693250656126</v>
      </c>
      <c r="AP15" s="52">
        <v>477.30471131006874</v>
      </c>
      <c r="AQ15" s="52">
        <v>2329.227533467611</v>
      </c>
      <c r="AR15" s="52">
        <v>196.18802312215169</v>
      </c>
      <c r="AS15" s="52">
        <v>666.4768792152405</v>
      </c>
    </row>
    <row r="16" spans="1:49" x14ac:dyDescent="0.25">
      <c r="A16" s="9">
        <v>44690</v>
      </c>
      <c r="B16" s="45"/>
      <c r="C16" s="46">
        <v>33.998060810565946</v>
      </c>
      <c r="D16" s="46">
        <v>272.76049836079318</v>
      </c>
      <c r="E16" s="46">
        <v>8.3645371705293723</v>
      </c>
      <c r="F16" s="46">
        <v>0</v>
      </c>
      <c r="G16" s="46">
        <v>1206.4189676920571</v>
      </c>
      <c r="H16" s="47">
        <v>0</v>
      </c>
      <c r="I16" s="45">
        <v>277.94755039215079</v>
      </c>
      <c r="J16" s="46">
        <v>701.57735560734943</v>
      </c>
      <c r="K16" s="46">
        <v>38.365476639072028</v>
      </c>
      <c r="L16" s="46">
        <v>0</v>
      </c>
      <c r="M16" s="46">
        <v>0</v>
      </c>
      <c r="N16" s="47">
        <v>0</v>
      </c>
      <c r="O16" s="45">
        <v>0</v>
      </c>
      <c r="P16" s="46">
        <v>0</v>
      </c>
      <c r="Q16" s="46">
        <v>0</v>
      </c>
      <c r="R16" s="55">
        <v>0</v>
      </c>
      <c r="S16" s="46">
        <v>0</v>
      </c>
      <c r="T16" s="48">
        <v>0</v>
      </c>
      <c r="U16" s="56">
        <v>357.60465660095451</v>
      </c>
      <c r="V16" s="54">
        <v>0</v>
      </c>
      <c r="W16" s="54">
        <v>67.787299847602782</v>
      </c>
      <c r="X16" s="54">
        <v>0</v>
      </c>
      <c r="Y16" s="54">
        <v>239.70849215984362</v>
      </c>
      <c r="Z16" s="54">
        <v>0</v>
      </c>
      <c r="AA16" s="57">
        <v>0</v>
      </c>
      <c r="AB16" s="58">
        <v>85.815277083715259</v>
      </c>
      <c r="AC16" s="52">
        <v>0</v>
      </c>
      <c r="AD16" s="359">
        <v>16.538190971347284</v>
      </c>
      <c r="AE16" s="359">
        <v>3.2206307233490166</v>
      </c>
      <c r="AF16" s="52">
        <v>15.984986861546863</v>
      </c>
      <c r="AG16" s="58">
        <v>15.879948305961189</v>
      </c>
      <c r="AH16" s="58">
        <v>0</v>
      </c>
      <c r="AI16" s="58">
        <v>1</v>
      </c>
      <c r="AJ16" s="52">
        <v>216.0924835364024</v>
      </c>
      <c r="AK16" s="52">
        <v>560.20691661834712</v>
      </c>
      <c r="AL16" s="52">
        <v>2775.3295576731362</v>
      </c>
      <c r="AM16" s="52">
        <v>920.4188232421875</v>
      </c>
      <c r="AN16" s="52">
        <v>6874.043701171875</v>
      </c>
      <c r="AO16" s="52">
        <v>1833.9935586293539</v>
      </c>
      <c r="AP16" s="52">
        <v>480.7113236586253</v>
      </c>
      <c r="AQ16" s="52">
        <v>2423.4184392293291</v>
      </c>
      <c r="AR16" s="52">
        <v>314.90314923922216</v>
      </c>
      <c r="AS16" s="52">
        <v>654.36364208857231</v>
      </c>
    </row>
    <row r="17" spans="1:45" ht="15.75" customHeight="1" x14ac:dyDescent="0.25">
      <c r="A17" s="9">
        <v>44691</v>
      </c>
      <c r="B17" s="45"/>
      <c r="C17" s="46">
        <v>69.19</v>
      </c>
      <c r="D17" s="46">
        <v>542.6</v>
      </c>
      <c r="E17" s="46">
        <v>16.739999999999998</v>
      </c>
      <c r="F17" s="46">
        <v>0</v>
      </c>
      <c r="G17" s="46">
        <v>3174.3</v>
      </c>
      <c r="H17" s="47">
        <v>12.07</v>
      </c>
      <c r="I17" s="45">
        <v>243.28</v>
      </c>
      <c r="J17" s="46">
        <v>599.73</v>
      </c>
      <c r="K17" s="46">
        <v>32.9</v>
      </c>
      <c r="L17" s="46">
        <v>0</v>
      </c>
      <c r="M17" s="46">
        <v>0</v>
      </c>
      <c r="N17" s="47">
        <v>0</v>
      </c>
      <c r="O17" s="45">
        <v>0</v>
      </c>
      <c r="P17" s="46">
        <v>0</v>
      </c>
      <c r="Q17" s="46">
        <v>0</v>
      </c>
      <c r="R17" s="55">
        <v>0</v>
      </c>
      <c r="S17" s="46">
        <v>0</v>
      </c>
      <c r="T17" s="48">
        <v>0</v>
      </c>
      <c r="U17" s="56">
        <v>320.48</v>
      </c>
      <c r="V17" s="54">
        <v>49.6</v>
      </c>
      <c r="W17" s="54">
        <v>58.16</v>
      </c>
      <c r="X17" s="54">
        <v>9</v>
      </c>
      <c r="Y17" s="54">
        <v>189.24</v>
      </c>
      <c r="Z17" s="54">
        <v>29.29</v>
      </c>
      <c r="AA17" s="57">
        <v>0</v>
      </c>
      <c r="AB17" s="58">
        <v>89</v>
      </c>
      <c r="AC17" s="52">
        <v>0</v>
      </c>
      <c r="AD17" s="359">
        <v>14.14</v>
      </c>
      <c r="AE17" s="359">
        <v>6.57</v>
      </c>
      <c r="AF17" s="52">
        <v>15.74</v>
      </c>
      <c r="AG17" s="58">
        <v>13.42</v>
      </c>
      <c r="AH17" s="58">
        <v>2.08</v>
      </c>
      <c r="AI17" s="58">
        <v>0.87</v>
      </c>
      <c r="AJ17" s="52">
        <v>203.23</v>
      </c>
      <c r="AK17" s="52">
        <v>767.16</v>
      </c>
      <c r="AL17" s="52">
        <v>2792.88</v>
      </c>
      <c r="AM17" s="52">
        <v>920.42</v>
      </c>
      <c r="AN17" s="52">
        <v>6874.04</v>
      </c>
      <c r="AO17" s="52">
        <v>2179.29</v>
      </c>
      <c r="AP17" s="52">
        <v>488.94</v>
      </c>
      <c r="AQ17" s="52">
        <v>2360.69</v>
      </c>
      <c r="AR17" s="52">
        <v>427.91</v>
      </c>
      <c r="AS17" s="52">
        <v>660.21</v>
      </c>
    </row>
    <row r="18" spans="1:45" x14ac:dyDescent="0.25">
      <c r="A18" s="9">
        <v>44692</v>
      </c>
      <c r="B18" s="45"/>
      <c r="C18" s="46">
        <v>68.680000000000007</v>
      </c>
      <c r="D18" s="46">
        <v>666.09</v>
      </c>
      <c r="E18" s="46">
        <v>16.73</v>
      </c>
      <c r="F18" s="46">
        <v>0</v>
      </c>
      <c r="G18" s="46">
        <v>3344.57</v>
      </c>
      <c r="H18" s="47">
        <v>26.03</v>
      </c>
      <c r="I18" s="45">
        <v>236.04</v>
      </c>
      <c r="J18" s="46">
        <v>562.54999999999995</v>
      </c>
      <c r="K18" s="46">
        <v>30.82</v>
      </c>
      <c r="L18" s="46">
        <v>0</v>
      </c>
      <c r="M18" s="46">
        <v>0</v>
      </c>
      <c r="N18" s="47">
        <v>0</v>
      </c>
      <c r="O18" s="45">
        <v>0</v>
      </c>
      <c r="P18" s="46">
        <v>0</v>
      </c>
      <c r="Q18" s="46">
        <v>0</v>
      </c>
      <c r="R18" s="55">
        <v>0</v>
      </c>
      <c r="S18" s="46">
        <v>0</v>
      </c>
      <c r="T18" s="48">
        <v>0</v>
      </c>
      <c r="U18" s="56">
        <v>277.51</v>
      </c>
      <c r="V18" s="54">
        <v>143.11000000000001</v>
      </c>
      <c r="W18" s="54">
        <v>52.96</v>
      </c>
      <c r="X18" s="54">
        <v>27.31</v>
      </c>
      <c r="Y18" s="54">
        <v>174.96</v>
      </c>
      <c r="Z18" s="54">
        <v>90.23</v>
      </c>
      <c r="AA18" s="57">
        <v>0</v>
      </c>
      <c r="AB18" s="58">
        <v>84.68</v>
      </c>
      <c r="AC18" s="52">
        <v>0</v>
      </c>
      <c r="AD18" s="359">
        <v>13.27</v>
      </c>
      <c r="AE18" s="359">
        <v>6.5</v>
      </c>
      <c r="AF18" s="52">
        <v>18.91</v>
      </c>
      <c r="AG18" s="58">
        <v>12.28</v>
      </c>
      <c r="AH18" s="58">
        <v>6.33</v>
      </c>
      <c r="AI18" s="58">
        <v>0.66</v>
      </c>
      <c r="AJ18" s="52">
        <v>209.81</v>
      </c>
      <c r="AK18" s="52">
        <v>812.51</v>
      </c>
      <c r="AL18" s="52">
        <v>2809.31</v>
      </c>
      <c r="AM18" s="52">
        <v>920.42</v>
      </c>
      <c r="AN18" s="52">
        <v>6874.04</v>
      </c>
      <c r="AO18" s="52">
        <v>2401.46</v>
      </c>
      <c r="AP18" s="52">
        <v>493.02</v>
      </c>
      <c r="AQ18" s="52">
        <v>2453.3000000000002</v>
      </c>
      <c r="AR18" s="52">
        <v>441.32</v>
      </c>
      <c r="AS18" s="52">
        <v>777.54</v>
      </c>
    </row>
    <row r="19" spans="1:45" x14ac:dyDescent="0.25">
      <c r="A19" s="9">
        <v>44693</v>
      </c>
      <c r="B19" s="45"/>
      <c r="C19" s="46">
        <v>68.691722671191172</v>
      </c>
      <c r="D19" s="46">
        <v>724.82783711751165</v>
      </c>
      <c r="E19" s="46">
        <v>16.749603211879705</v>
      </c>
      <c r="F19" s="46">
        <v>0</v>
      </c>
      <c r="G19" s="46">
        <v>3382.7019981384337</v>
      </c>
      <c r="H19" s="47">
        <v>26.028777652978949</v>
      </c>
      <c r="I19" s="45">
        <v>241.42462310790989</v>
      </c>
      <c r="J19" s="46">
        <v>575.3405817031869</v>
      </c>
      <c r="K19" s="46">
        <v>31.582536255319877</v>
      </c>
      <c r="L19" s="46">
        <v>0</v>
      </c>
      <c r="M19" s="46">
        <v>0</v>
      </c>
      <c r="N19" s="47">
        <v>0</v>
      </c>
      <c r="O19" s="45">
        <v>0</v>
      </c>
      <c r="P19" s="46">
        <v>0</v>
      </c>
      <c r="Q19" s="46">
        <v>0</v>
      </c>
      <c r="R19" s="55">
        <v>0</v>
      </c>
      <c r="S19" s="46">
        <v>0</v>
      </c>
      <c r="T19" s="48">
        <v>0</v>
      </c>
      <c r="U19" s="56">
        <v>283.3072200809421</v>
      </c>
      <c r="V19" s="54">
        <v>141.64989030283431</v>
      </c>
      <c r="W19" s="54">
        <v>54.194422025152811</v>
      </c>
      <c r="X19" s="54">
        <v>27.096499456297497</v>
      </c>
      <c r="Y19" s="54">
        <v>235.69242906045307</v>
      </c>
      <c r="Z19" s="54">
        <v>117.84311996031468</v>
      </c>
      <c r="AA19" s="57">
        <v>0</v>
      </c>
      <c r="AB19" s="58">
        <v>86.357649893231908</v>
      </c>
      <c r="AC19" s="52">
        <v>0</v>
      </c>
      <c r="AD19" s="359">
        <v>13.567216212202165</v>
      </c>
      <c r="AE19" s="359">
        <v>6.4903773044165654</v>
      </c>
      <c r="AF19" s="52">
        <v>19.501507702138692</v>
      </c>
      <c r="AG19" s="58">
        <v>12.802087872678026</v>
      </c>
      <c r="AH19" s="58">
        <v>6.4008758488187754</v>
      </c>
      <c r="AI19" s="58">
        <v>0.6666725021381309</v>
      </c>
      <c r="AJ19" s="52">
        <v>227.1020550568899</v>
      </c>
      <c r="AK19" s="52">
        <v>838.14346488316858</v>
      </c>
      <c r="AL19" s="52">
        <v>2750.66096458435</v>
      </c>
      <c r="AM19" s="52">
        <v>920.4188232421875</v>
      </c>
      <c r="AN19" s="52">
        <v>6874.043701171875</v>
      </c>
      <c r="AO19" s="52">
        <v>2386.4006421407066</v>
      </c>
      <c r="AP19" s="52">
        <v>502.89830876986184</v>
      </c>
      <c r="AQ19" s="52">
        <v>2509.268693161011</v>
      </c>
      <c r="AR19" s="52">
        <v>413.74845666885375</v>
      </c>
      <c r="AS19" s="52">
        <v>751.7283935546875</v>
      </c>
    </row>
    <row r="20" spans="1:45" x14ac:dyDescent="0.25">
      <c r="A20" s="9">
        <v>44694</v>
      </c>
      <c r="B20" s="45"/>
      <c r="C20" s="46">
        <v>68.726820286114716</v>
      </c>
      <c r="D20" s="46">
        <v>798.17686971028627</v>
      </c>
      <c r="E20" s="46">
        <v>16.399648685753306</v>
      </c>
      <c r="F20" s="46">
        <v>0</v>
      </c>
      <c r="G20" s="46">
        <v>3449.0795043945268</v>
      </c>
      <c r="H20" s="47">
        <v>25.888127293189363</v>
      </c>
      <c r="I20" s="45">
        <v>284.44659031232254</v>
      </c>
      <c r="J20" s="46">
        <v>677.75064926147479</v>
      </c>
      <c r="K20" s="46">
        <v>37.093223171432776</v>
      </c>
      <c r="L20" s="46">
        <v>0</v>
      </c>
      <c r="M20" s="46">
        <v>0</v>
      </c>
      <c r="N20" s="47">
        <v>0</v>
      </c>
      <c r="O20" s="45">
        <v>0</v>
      </c>
      <c r="P20" s="46">
        <v>0</v>
      </c>
      <c r="Q20" s="46">
        <v>0</v>
      </c>
      <c r="R20" s="55">
        <v>0</v>
      </c>
      <c r="S20" s="46">
        <v>0</v>
      </c>
      <c r="T20" s="48">
        <v>0</v>
      </c>
      <c r="U20" s="56">
        <v>326.28973716863351</v>
      </c>
      <c r="V20" s="54">
        <v>139.30091820059403</v>
      </c>
      <c r="W20" s="54">
        <v>63.25348316694631</v>
      </c>
      <c r="X20" s="54">
        <v>27.004429747012196</v>
      </c>
      <c r="Y20" s="54">
        <v>312.27175382208623</v>
      </c>
      <c r="Z20" s="54">
        <v>133.31630474496006</v>
      </c>
      <c r="AA20" s="57">
        <v>0</v>
      </c>
      <c r="AB20" s="58">
        <v>96.747064685821655</v>
      </c>
      <c r="AC20" s="52">
        <v>0</v>
      </c>
      <c r="AD20" s="359">
        <v>15.983153486243939</v>
      </c>
      <c r="AE20" s="359">
        <v>6.4773860654807338</v>
      </c>
      <c r="AF20" s="52">
        <v>21.557646411657355</v>
      </c>
      <c r="AG20" s="58">
        <v>14.871841449772337</v>
      </c>
      <c r="AH20" s="58">
        <v>6.3491459684380471</v>
      </c>
      <c r="AI20" s="58">
        <v>0.70080817431757914</v>
      </c>
      <c r="AJ20" s="52">
        <v>205.90071853001908</v>
      </c>
      <c r="AK20" s="52">
        <v>814.56642344792681</v>
      </c>
      <c r="AL20" s="52">
        <v>2784.6870566050211</v>
      </c>
      <c r="AM20" s="52">
        <v>920.4188232421875</v>
      </c>
      <c r="AN20" s="52">
        <v>6874.043701171875</v>
      </c>
      <c r="AO20" s="52">
        <v>2360.6050017038979</v>
      </c>
      <c r="AP20" s="52">
        <v>493.55322033564249</v>
      </c>
      <c r="AQ20" s="52">
        <v>2825.1210491180418</v>
      </c>
      <c r="AR20" s="52">
        <v>441.28708690007528</v>
      </c>
      <c r="AS20" s="52">
        <v>751.11514698664359</v>
      </c>
    </row>
    <row r="21" spans="1:45" x14ac:dyDescent="0.25">
      <c r="A21" s="9">
        <v>44695</v>
      </c>
      <c r="B21" s="45"/>
      <c r="C21" s="46">
        <v>68.47</v>
      </c>
      <c r="D21" s="46">
        <v>836.69</v>
      </c>
      <c r="E21" s="46">
        <v>16.399999999999999</v>
      </c>
      <c r="F21" s="46">
        <v>0</v>
      </c>
      <c r="G21" s="46">
        <v>3449.43</v>
      </c>
      <c r="H21" s="47">
        <v>26.02</v>
      </c>
      <c r="I21" s="45">
        <v>316.37</v>
      </c>
      <c r="J21" s="46">
        <v>748.11</v>
      </c>
      <c r="K21" s="46">
        <v>40.98</v>
      </c>
      <c r="L21" s="46">
        <v>0</v>
      </c>
      <c r="M21" s="46">
        <v>0</v>
      </c>
      <c r="N21" s="47">
        <v>0</v>
      </c>
      <c r="O21" s="45">
        <v>0</v>
      </c>
      <c r="P21" s="46">
        <v>0</v>
      </c>
      <c r="Q21" s="46">
        <v>0</v>
      </c>
      <c r="R21" s="55">
        <v>0</v>
      </c>
      <c r="S21" s="46">
        <v>0</v>
      </c>
      <c r="T21" s="48">
        <v>0</v>
      </c>
      <c r="U21" s="56">
        <v>372.78</v>
      </c>
      <c r="V21" s="54">
        <v>142.55000000000001</v>
      </c>
      <c r="W21" s="54">
        <v>72.989999999999995</v>
      </c>
      <c r="X21" s="54">
        <v>27.91</v>
      </c>
      <c r="Y21" s="54">
        <v>363.5</v>
      </c>
      <c r="Z21" s="54">
        <v>139</v>
      </c>
      <c r="AA21" s="57">
        <v>0</v>
      </c>
      <c r="AB21" s="58">
        <v>103.9</v>
      </c>
      <c r="AC21" s="52">
        <v>0</v>
      </c>
      <c r="AD21" s="359">
        <v>17.64</v>
      </c>
      <c r="AE21" s="359">
        <v>6.49</v>
      </c>
      <c r="AF21" s="52">
        <v>23.89</v>
      </c>
      <c r="AG21" s="58">
        <v>17</v>
      </c>
      <c r="AH21" s="58">
        <v>6.5</v>
      </c>
      <c r="AI21" s="58">
        <v>0.72</v>
      </c>
      <c r="AJ21" s="52">
        <v>213.36</v>
      </c>
      <c r="AK21" s="52">
        <v>822.72</v>
      </c>
      <c r="AL21" s="52">
        <v>2801.64</v>
      </c>
      <c r="AM21" s="52">
        <v>920.42</v>
      </c>
      <c r="AN21" s="52">
        <v>6874.04</v>
      </c>
      <c r="AO21" s="52">
        <v>2367.06</v>
      </c>
      <c r="AP21" s="52">
        <v>496.13</v>
      </c>
      <c r="AQ21" s="52">
        <v>3168.79</v>
      </c>
      <c r="AR21" s="52">
        <v>475.01</v>
      </c>
      <c r="AS21" s="52">
        <v>738.33</v>
      </c>
    </row>
    <row r="22" spans="1:45" x14ac:dyDescent="0.25">
      <c r="A22" s="9">
        <v>44696</v>
      </c>
      <c r="B22" s="45"/>
      <c r="C22" s="46">
        <v>68.57704472541829</v>
      </c>
      <c r="D22" s="46">
        <v>870.59494775136432</v>
      </c>
      <c r="E22" s="46">
        <v>16.379346426824693</v>
      </c>
      <c r="F22" s="46">
        <v>0</v>
      </c>
      <c r="G22" s="46">
        <v>3449.4692509969127</v>
      </c>
      <c r="H22" s="47">
        <v>26.030133348703426</v>
      </c>
      <c r="I22" s="45">
        <v>319.96461671193475</v>
      </c>
      <c r="J22" s="46">
        <v>748.60381186803158</v>
      </c>
      <c r="K22" s="46">
        <v>41.042961567640319</v>
      </c>
      <c r="L22" s="46">
        <v>0</v>
      </c>
      <c r="M22" s="46">
        <v>0</v>
      </c>
      <c r="N22" s="47">
        <v>0</v>
      </c>
      <c r="O22" s="45">
        <v>0</v>
      </c>
      <c r="P22" s="46">
        <v>0</v>
      </c>
      <c r="Q22" s="46">
        <v>0</v>
      </c>
      <c r="R22" s="55">
        <v>0</v>
      </c>
      <c r="S22" s="46">
        <v>0</v>
      </c>
      <c r="T22" s="48">
        <v>0</v>
      </c>
      <c r="U22" s="56">
        <v>369.88036420365626</v>
      </c>
      <c r="V22" s="54">
        <v>141.45098788188145</v>
      </c>
      <c r="W22" s="54">
        <v>72.358686620827029</v>
      </c>
      <c r="X22" s="54">
        <v>27.671670883064106</v>
      </c>
      <c r="Y22" s="54">
        <v>374.20161268981519</v>
      </c>
      <c r="Z22" s="54">
        <v>143.10353537130081</v>
      </c>
      <c r="AA22" s="57">
        <v>0</v>
      </c>
      <c r="AB22" s="58">
        <v>104.14768289460093</v>
      </c>
      <c r="AC22" s="52">
        <v>0</v>
      </c>
      <c r="AD22" s="359">
        <v>17.65260587191397</v>
      </c>
      <c r="AE22" s="359">
        <v>6.4760911363696261</v>
      </c>
      <c r="AF22" s="52">
        <v>23.719255023532437</v>
      </c>
      <c r="AG22" s="58">
        <v>16.874544169683038</v>
      </c>
      <c r="AH22" s="58">
        <v>6.4532242688716179</v>
      </c>
      <c r="AI22" s="58">
        <v>0.72336726996114464</v>
      </c>
      <c r="AJ22" s="52">
        <v>210.3763125260671</v>
      </c>
      <c r="AK22" s="52">
        <v>818.83955074946073</v>
      </c>
      <c r="AL22" s="52">
        <v>2715.7074761708577</v>
      </c>
      <c r="AM22" s="52">
        <v>920.4188232421875</v>
      </c>
      <c r="AN22" s="52">
        <v>6874.043701171875</v>
      </c>
      <c r="AO22" s="52">
        <v>2364.477353286743</v>
      </c>
      <c r="AP22" s="52">
        <v>495.63996268908181</v>
      </c>
      <c r="AQ22" s="52">
        <v>3309.3205973307286</v>
      </c>
      <c r="AR22" s="52">
        <v>421.8677770932515</v>
      </c>
      <c r="AS22" s="52">
        <v>742.32934974034629</v>
      </c>
    </row>
    <row r="23" spans="1:45" x14ac:dyDescent="0.25">
      <c r="A23" s="9">
        <v>44697</v>
      </c>
      <c r="B23" s="45"/>
      <c r="C23" s="46">
        <v>68.648203114668192</v>
      </c>
      <c r="D23" s="46">
        <v>874.82881959279393</v>
      </c>
      <c r="E23" s="46">
        <v>16.367439401646401</v>
      </c>
      <c r="F23" s="46">
        <v>0</v>
      </c>
      <c r="G23" s="46">
        <v>3448.4021397908577</v>
      </c>
      <c r="H23" s="47">
        <v>26.035377013683334</v>
      </c>
      <c r="I23" s="45">
        <v>319.99029959042912</v>
      </c>
      <c r="J23" s="46">
        <v>740.17767820358233</v>
      </c>
      <c r="K23" s="46">
        <v>40.582167952259411</v>
      </c>
      <c r="L23" s="46">
        <v>0</v>
      </c>
      <c r="M23" s="46">
        <v>0</v>
      </c>
      <c r="N23" s="47">
        <v>0</v>
      </c>
      <c r="O23" s="45">
        <v>0</v>
      </c>
      <c r="P23" s="46">
        <v>0</v>
      </c>
      <c r="Q23" s="46">
        <v>0</v>
      </c>
      <c r="R23" s="55">
        <v>0</v>
      </c>
      <c r="S23" s="46">
        <v>0</v>
      </c>
      <c r="T23" s="48">
        <v>0</v>
      </c>
      <c r="U23" s="56">
        <v>365.51973804455514</v>
      </c>
      <c r="V23" s="54">
        <v>140.28572377540962</v>
      </c>
      <c r="W23" s="54">
        <v>71.526503924807301</v>
      </c>
      <c r="X23" s="54">
        <v>27.451725113113191</v>
      </c>
      <c r="Y23" s="54">
        <v>371.24895427249857</v>
      </c>
      <c r="Z23" s="54">
        <v>142.48458518164344</v>
      </c>
      <c r="AA23" s="57">
        <v>0</v>
      </c>
      <c r="AB23" s="58">
        <v>104.31940958234961</v>
      </c>
      <c r="AC23" s="52">
        <v>0</v>
      </c>
      <c r="AD23" s="359">
        <v>17.657180927611069</v>
      </c>
      <c r="AE23" s="359">
        <v>6.4945809119740652</v>
      </c>
      <c r="AF23" s="52">
        <v>23.353716959555911</v>
      </c>
      <c r="AG23" s="58">
        <v>16.598486312785898</v>
      </c>
      <c r="AH23" s="58">
        <v>6.370464912298563</v>
      </c>
      <c r="AI23" s="58">
        <v>0.72264885541045698</v>
      </c>
      <c r="AJ23" s="52">
        <v>217.05279515584311</v>
      </c>
      <c r="AK23" s="52">
        <v>827.24832245508833</v>
      </c>
      <c r="AL23" s="52">
        <v>2706.5498196919757</v>
      </c>
      <c r="AM23" s="52">
        <v>920.4188232421875</v>
      </c>
      <c r="AN23" s="52">
        <v>6874.043701171875</v>
      </c>
      <c r="AO23" s="52">
        <v>2396.4503021240239</v>
      </c>
      <c r="AP23" s="52">
        <v>497.54620588620503</v>
      </c>
      <c r="AQ23" s="52">
        <v>3073.7304898579914</v>
      </c>
      <c r="AR23" s="52">
        <v>404.72528605461122</v>
      </c>
      <c r="AS23" s="52">
        <v>826.72788616816206</v>
      </c>
    </row>
    <row r="24" spans="1:45" x14ac:dyDescent="0.25">
      <c r="A24" s="9">
        <v>44698</v>
      </c>
      <c r="B24" s="45"/>
      <c r="C24" s="46">
        <v>69.135182571410951</v>
      </c>
      <c r="D24" s="46">
        <v>879.431093660991</v>
      </c>
      <c r="E24" s="46">
        <v>16.417544811467309</v>
      </c>
      <c r="F24" s="46">
        <v>0</v>
      </c>
      <c r="G24" s="46">
        <v>3384.1280817667671</v>
      </c>
      <c r="H24" s="47">
        <v>26.196823650598539</v>
      </c>
      <c r="I24" s="45">
        <v>320.00100097656264</v>
      </c>
      <c r="J24" s="46">
        <v>748.71639261245662</v>
      </c>
      <c r="K24" s="46">
        <v>40.972423762083054</v>
      </c>
      <c r="L24" s="46">
        <v>0</v>
      </c>
      <c r="M24" s="46">
        <v>0</v>
      </c>
      <c r="N24" s="47">
        <v>0</v>
      </c>
      <c r="O24" s="45">
        <v>0</v>
      </c>
      <c r="P24" s="46">
        <v>0</v>
      </c>
      <c r="Q24" s="46">
        <v>0</v>
      </c>
      <c r="R24" s="55">
        <v>0</v>
      </c>
      <c r="S24" s="46">
        <v>0</v>
      </c>
      <c r="T24" s="48">
        <v>0</v>
      </c>
      <c r="U24" s="56">
        <v>369.48678588898991</v>
      </c>
      <c r="V24" s="54">
        <v>134.52073972458251</v>
      </c>
      <c r="W24" s="54">
        <v>71.930212994112523</v>
      </c>
      <c r="X24" s="54">
        <v>26.187960787918197</v>
      </c>
      <c r="Y24" s="54">
        <v>372.84148415511845</v>
      </c>
      <c r="Z24" s="54">
        <v>135.74210002634976</v>
      </c>
      <c r="AA24" s="57">
        <v>0</v>
      </c>
      <c r="AB24" s="58">
        <v>104.32241344981595</v>
      </c>
      <c r="AC24" s="52">
        <v>0</v>
      </c>
      <c r="AD24" s="359">
        <v>17.654109411310696</v>
      </c>
      <c r="AE24" s="359">
        <v>6.5356912101578528</v>
      </c>
      <c r="AF24" s="52">
        <v>23.276344148317953</v>
      </c>
      <c r="AG24" s="58">
        <v>16.776877758411814</v>
      </c>
      <c r="AH24" s="58">
        <v>6.1080344210428832</v>
      </c>
      <c r="AI24" s="58">
        <v>0.73309775571144764</v>
      </c>
      <c r="AJ24" s="52">
        <v>217.29804437955221</v>
      </c>
      <c r="AK24" s="52">
        <v>832.47997748057048</v>
      </c>
      <c r="AL24" s="52">
        <v>3001.4923852284755</v>
      </c>
      <c r="AM24" s="52">
        <v>920.4188232421875</v>
      </c>
      <c r="AN24" s="52">
        <v>6874.043701171875</v>
      </c>
      <c r="AO24" s="52">
        <v>2110.3509595235187</v>
      </c>
      <c r="AP24" s="52">
        <v>513.13518031438196</v>
      </c>
      <c r="AQ24" s="52">
        <v>3135.258779271443</v>
      </c>
      <c r="AR24" s="52">
        <v>404.42997473080953</v>
      </c>
      <c r="AS24" s="52">
        <v>787.37779315312719</v>
      </c>
    </row>
    <row r="25" spans="1:45" x14ac:dyDescent="0.25">
      <c r="A25" s="9">
        <v>44699</v>
      </c>
      <c r="B25" s="45"/>
      <c r="C25" s="46">
        <v>69.242096988360174</v>
      </c>
      <c r="D25" s="46">
        <v>876.44325478871724</v>
      </c>
      <c r="E25" s="46">
        <v>16.457132521271674</v>
      </c>
      <c r="F25" s="46">
        <v>0</v>
      </c>
      <c r="G25" s="46">
        <v>3401.3332453409853</v>
      </c>
      <c r="H25" s="47">
        <v>25.900879716873209</v>
      </c>
      <c r="I25" s="45">
        <v>304.15786728858933</v>
      </c>
      <c r="J25" s="46">
        <v>748.3590523401881</v>
      </c>
      <c r="K25" s="46">
        <v>40.970684913794202</v>
      </c>
      <c r="L25" s="46">
        <v>0</v>
      </c>
      <c r="M25" s="46">
        <v>0</v>
      </c>
      <c r="N25" s="47">
        <v>0</v>
      </c>
      <c r="O25" s="45">
        <v>0</v>
      </c>
      <c r="P25" s="46">
        <v>0</v>
      </c>
      <c r="Q25" s="46">
        <v>0</v>
      </c>
      <c r="R25" s="55">
        <v>0</v>
      </c>
      <c r="S25" s="46">
        <v>0</v>
      </c>
      <c r="T25" s="48">
        <v>0</v>
      </c>
      <c r="U25" s="56">
        <v>374.62766709703874</v>
      </c>
      <c r="V25" s="54">
        <v>143.26226282273467</v>
      </c>
      <c r="W25" s="54">
        <v>72.713696588887927</v>
      </c>
      <c r="X25" s="54">
        <v>27.806618748293168</v>
      </c>
      <c r="Y25" s="54">
        <v>346.67818796039865</v>
      </c>
      <c r="Z25" s="54">
        <v>132.5740356107421</v>
      </c>
      <c r="AA25" s="57">
        <v>0</v>
      </c>
      <c r="AB25" s="58">
        <v>104.32265861299219</v>
      </c>
      <c r="AC25" s="52">
        <v>0</v>
      </c>
      <c r="AD25" s="359">
        <v>17.647065013900431</v>
      </c>
      <c r="AE25" s="359">
        <v>6.5042781974593078</v>
      </c>
      <c r="AF25" s="52">
        <v>23.762648319535806</v>
      </c>
      <c r="AG25" s="58">
        <v>16.902031216798491</v>
      </c>
      <c r="AH25" s="58">
        <v>6.4635462115824929</v>
      </c>
      <c r="AI25" s="58">
        <v>0.72337314447313639</v>
      </c>
      <c r="AJ25" s="52">
        <v>219.95445113182069</v>
      </c>
      <c r="AK25" s="52">
        <v>820.76043106714894</v>
      </c>
      <c r="AL25" s="52">
        <v>2779.6110387166341</v>
      </c>
      <c r="AM25" s="52">
        <v>920.4188232421875</v>
      </c>
      <c r="AN25" s="52">
        <v>6874.043701171875</v>
      </c>
      <c r="AO25" s="52">
        <v>2508.1401298522946</v>
      </c>
      <c r="AP25" s="52">
        <v>520.93174206415813</v>
      </c>
      <c r="AQ25" s="52">
        <v>3117.4458606719968</v>
      </c>
      <c r="AR25" s="52">
        <v>400.34749763806667</v>
      </c>
      <c r="AS25" s="52">
        <v>762.06942615509024</v>
      </c>
    </row>
    <row r="26" spans="1:45" x14ac:dyDescent="0.25">
      <c r="A26" s="9">
        <v>44700</v>
      </c>
      <c r="B26" s="45"/>
      <c r="C26" s="46">
        <v>69.559099491437152</v>
      </c>
      <c r="D26" s="46">
        <v>875.09714145660485</v>
      </c>
      <c r="E26" s="46">
        <v>16.432234186927452</v>
      </c>
      <c r="F26" s="46">
        <v>0</v>
      </c>
      <c r="G26" s="46">
        <v>3400.7771944681735</v>
      </c>
      <c r="H26" s="47">
        <v>26.145173134406427</v>
      </c>
      <c r="I26" s="45">
        <v>278.51356410980236</v>
      </c>
      <c r="J26" s="46">
        <v>711.18509712219202</v>
      </c>
      <c r="K26" s="46">
        <v>38.99962978661064</v>
      </c>
      <c r="L26" s="46">
        <v>0</v>
      </c>
      <c r="M26" s="46">
        <v>0</v>
      </c>
      <c r="N26" s="47">
        <v>0</v>
      </c>
      <c r="O26" s="45">
        <v>0</v>
      </c>
      <c r="P26" s="46">
        <v>0</v>
      </c>
      <c r="Q26" s="46">
        <v>0</v>
      </c>
      <c r="R26" s="55">
        <v>0</v>
      </c>
      <c r="S26" s="46">
        <v>0</v>
      </c>
      <c r="T26" s="48">
        <v>0</v>
      </c>
      <c r="U26" s="56">
        <v>368.49555085183425</v>
      </c>
      <c r="V26" s="54">
        <v>148.57134550199149</v>
      </c>
      <c r="W26" s="54">
        <v>67.971478589618201</v>
      </c>
      <c r="X26" s="54">
        <v>27.404982248699831</v>
      </c>
      <c r="Y26" s="54">
        <v>342.28828161028747</v>
      </c>
      <c r="Z26" s="54">
        <v>138.00500557156684</v>
      </c>
      <c r="AA26" s="57">
        <v>0</v>
      </c>
      <c r="AB26" s="52">
        <v>100.44646973609899</v>
      </c>
      <c r="AC26" s="52">
        <v>0</v>
      </c>
      <c r="AD26" s="359">
        <v>16.767798855159405</v>
      </c>
      <c r="AE26" s="359">
        <v>6.5456611967374423</v>
      </c>
      <c r="AF26" s="52">
        <v>22.843445707692084</v>
      </c>
      <c r="AG26" s="52">
        <v>16.00176654070961</v>
      </c>
      <c r="AH26" s="52">
        <v>6.4516490901077077</v>
      </c>
      <c r="AI26" s="52">
        <v>0.71266513762597361</v>
      </c>
      <c r="AJ26" s="52">
        <v>223.33575180371602</v>
      </c>
      <c r="AK26" s="52">
        <v>806.7434864997864</v>
      </c>
      <c r="AL26" s="52">
        <v>2794.6608982086182</v>
      </c>
      <c r="AM26" s="52">
        <v>920.4188232421875</v>
      </c>
      <c r="AN26" s="52">
        <v>6874.043701171875</v>
      </c>
      <c r="AO26" s="52">
        <v>2666.7201131184897</v>
      </c>
      <c r="AP26" s="52">
        <v>537.10320297877001</v>
      </c>
      <c r="AQ26" s="52">
        <v>3020.9652884165444</v>
      </c>
      <c r="AR26" s="52">
        <v>404.46435898145046</v>
      </c>
      <c r="AS26" s="52">
        <v>754.91120560963964</v>
      </c>
    </row>
    <row r="27" spans="1:45" x14ac:dyDescent="0.25">
      <c r="A27" s="9">
        <v>44701</v>
      </c>
      <c r="B27" s="45"/>
      <c r="C27" s="46">
        <v>69.277766398588568</v>
      </c>
      <c r="D27" s="46">
        <v>862.35388037363941</v>
      </c>
      <c r="E27" s="46">
        <v>16.475358765820641</v>
      </c>
      <c r="F27" s="46">
        <v>0</v>
      </c>
      <c r="G27" s="46">
        <v>3403.6094146728565</v>
      </c>
      <c r="H27" s="47">
        <v>26.391035105784791</v>
      </c>
      <c r="I27" s="45">
        <v>219.71857234636931</v>
      </c>
      <c r="J27" s="46">
        <v>543.27124478022245</v>
      </c>
      <c r="K27" s="46">
        <v>29.662189492583288</v>
      </c>
      <c r="L27" s="46">
        <v>0</v>
      </c>
      <c r="M27" s="46">
        <v>0</v>
      </c>
      <c r="N27" s="47">
        <v>0</v>
      </c>
      <c r="O27" s="45">
        <v>0</v>
      </c>
      <c r="P27" s="46">
        <v>0</v>
      </c>
      <c r="Q27" s="46">
        <v>0</v>
      </c>
      <c r="R27" s="55">
        <v>0</v>
      </c>
      <c r="S27" s="46">
        <v>0</v>
      </c>
      <c r="T27" s="48">
        <v>0</v>
      </c>
      <c r="U27" s="56">
        <v>269.9933147208186</v>
      </c>
      <c r="V27" s="54">
        <v>143.87164925572006</v>
      </c>
      <c r="W27" s="54">
        <v>51.582604691549811</v>
      </c>
      <c r="X27" s="54">
        <v>27.486882101332547</v>
      </c>
      <c r="Y27" s="54">
        <v>270.81007163778958</v>
      </c>
      <c r="Z27" s="54">
        <v>144.30687545681005</v>
      </c>
      <c r="AA27" s="57">
        <v>0</v>
      </c>
      <c r="AB27" s="58">
        <v>82.801930522919619</v>
      </c>
      <c r="AC27" s="52">
        <v>0</v>
      </c>
      <c r="AD27" s="359">
        <v>12.81007211792198</v>
      </c>
      <c r="AE27" s="359">
        <v>6.5528700260845829</v>
      </c>
      <c r="AF27" s="52">
        <v>19.048662310176436</v>
      </c>
      <c r="AG27" s="58">
        <v>12.198303510770273</v>
      </c>
      <c r="AH27" s="58">
        <v>6.5001240717055291</v>
      </c>
      <c r="AI27" s="58">
        <v>0.65237055131857957</v>
      </c>
      <c r="AJ27" s="52">
        <v>210.98392418225603</v>
      </c>
      <c r="AK27" s="52">
        <v>792.61861584981284</v>
      </c>
      <c r="AL27" s="52">
        <v>2695.4801022847496</v>
      </c>
      <c r="AM27" s="52">
        <v>920.4188232421875</v>
      </c>
      <c r="AN27" s="52">
        <v>6874.043701171875</v>
      </c>
      <c r="AO27" s="52">
        <v>2280.4381693522137</v>
      </c>
      <c r="AP27" s="52">
        <v>548.5191248734792</v>
      </c>
      <c r="AQ27" s="52">
        <v>2372.1086526234944</v>
      </c>
      <c r="AR27" s="52">
        <v>406.90255360603328</v>
      </c>
      <c r="AS27" s="52">
        <v>535.70073051452641</v>
      </c>
    </row>
    <row r="28" spans="1:45" x14ac:dyDescent="0.25">
      <c r="A28" s="9">
        <v>44702</v>
      </c>
      <c r="B28" s="45"/>
      <c r="C28" s="46">
        <v>68.369609312217463</v>
      </c>
      <c r="D28" s="46">
        <v>831.86655966440946</v>
      </c>
      <c r="E28" s="46">
        <v>16.489496942857901</v>
      </c>
      <c r="F28" s="46">
        <v>0</v>
      </c>
      <c r="G28" s="46">
        <v>3404.2790921529167</v>
      </c>
      <c r="H28" s="47">
        <v>26.056102383136754</v>
      </c>
      <c r="I28" s="45">
        <v>216.31615047454812</v>
      </c>
      <c r="J28" s="46">
        <v>534.96427939732871</v>
      </c>
      <c r="K28" s="46">
        <v>29.215050757924747</v>
      </c>
      <c r="L28" s="46">
        <v>0</v>
      </c>
      <c r="M28" s="46">
        <v>0</v>
      </c>
      <c r="N28" s="47">
        <v>0</v>
      </c>
      <c r="O28" s="45">
        <v>0</v>
      </c>
      <c r="P28" s="46">
        <v>0</v>
      </c>
      <c r="Q28" s="46">
        <v>0</v>
      </c>
      <c r="R28" s="55">
        <v>0</v>
      </c>
      <c r="S28" s="46">
        <v>0</v>
      </c>
      <c r="T28" s="48">
        <v>0</v>
      </c>
      <c r="U28" s="56">
        <v>263.56724871512017</v>
      </c>
      <c r="V28" s="54">
        <v>142.79559903691833</v>
      </c>
      <c r="W28" s="54">
        <v>49.819292773659463</v>
      </c>
      <c r="X28" s="54">
        <v>26.991121961816837</v>
      </c>
      <c r="Y28" s="54">
        <v>270.51438801292664</v>
      </c>
      <c r="Z28" s="54">
        <v>146.55942372477031</v>
      </c>
      <c r="AA28" s="57">
        <v>0</v>
      </c>
      <c r="AB28" s="58">
        <v>81.73929748005429</v>
      </c>
      <c r="AC28" s="52">
        <v>0</v>
      </c>
      <c r="AD28" s="359">
        <v>12.61387356044677</v>
      </c>
      <c r="AE28" s="359">
        <v>6.4642517832667981</v>
      </c>
      <c r="AF28" s="52">
        <v>18.591764816972937</v>
      </c>
      <c r="AG28" s="58">
        <v>11.838290280307845</v>
      </c>
      <c r="AH28" s="58">
        <v>6.4137549729353376</v>
      </c>
      <c r="AI28" s="58">
        <v>0.64860075219265168</v>
      </c>
      <c r="AJ28" s="52">
        <v>211.00454707940418</v>
      </c>
      <c r="AK28" s="52">
        <v>808.56042887369779</v>
      </c>
      <c r="AL28" s="52">
        <v>2780.4436115264893</v>
      </c>
      <c r="AM28" s="52">
        <v>920.4188232421875</v>
      </c>
      <c r="AN28" s="52">
        <v>6874.043701171875</v>
      </c>
      <c r="AO28" s="52">
        <v>2359.9393124898279</v>
      </c>
      <c r="AP28" s="52">
        <v>601.49339456558221</v>
      </c>
      <c r="AQ28" s="52">
        <v>2420.1078091939289</v>
      </c>
      <c r="AR28" s="52">
        <v>425.25524387359616</v>
      </c>
      <c r="AS28" s="52">
        <v>484.66384967168176</v>
      </c>
    </row>
    <row r="29" spans="1:45" x14ac:dyDescent="0.25">
      <c r="A29" s="9">
        <v>44703</v>
      </c>
      <c r="B29" s="45"/>
      <c r="C29" s="46">
        <v>68.83451060851489</v>
      </c>
      <c r="D29" s="46">
        <v>830.37182038625269</v>
      </c>
      <c r="E29" s="46">
        <v>16.354683507978862</v>
      </c>
      <c r="F29" s="46">
        <v>0</v>
      </c>
      <c r="G29" s="46">
        <v>3404.3651507059662</v>
      </c>
      <c r="H29" s="47">
        <v>25.951265164216384</v>
      </c>
      <c r="I29" s="45">
        <v>216.52782136599239</v>
      </c>
      <c r="J29" s="46">
        <v>535.660850429535</v>
      </c>
      <c r="K29" s="46">
        <v>29.302823049823466</v>
      </c>
      <c r="L29" s="46">
        <v>0</v>
      </c>
      <c r="M29" s="46">
        <v>0</v>
      </c>
      <c r="N29" s="47">
        <v>0</v>
      </c>
      <c r="O29" s="45">
        <v>0</v>
      </c>
      <c r="P29" s="46">
        <v>0</v>
      </c>
      <c r="Q29" s="46">
        <v>0</v>
      </c>
      <c r="R29" s="55">
        <v>0</v>
      </c>
      <c r="S29" s="46">
        <v>0</v>
      </c>
      <c r="T29" s="48">
        <v>0</v>
      </c>
      <c r="U29" s="56">
        <v>260.38503335929352</v>
      </c>
      <c r="V29" s="54">
        <v>141.7454782424719</v>
      </c>
      <c r="W29" s="54">
        <v>49.088446342238356</v>
      </c>
      <c r="X29" s="54">
        <v>26.722216761818942</v>
      </c>
      <c r="Y29" s="54">
        <v>285.83070605666978</v>
      </c>
      <c r="Z29" s="54">
        <v>155.59730758595856</v>
      </c>
      <c r="AA29" s="57">
        <v>0</v>
      </c>
      <c r="AB29" s="58">
        <v>81.74478834470284</v>
      </c>
      <c r="AC29" s="52">
        <v>0</v>
      </c>
      <c r="AD29" s="359">
        <v>12.630802064958388</v>
      </c>
      <c r="AE29" s="359">
        <v>6.476777468203009</v>
      </c>
      <c r="AF29" s="52">
        <v>18.349545933802926</v>
      </c>
      <c r="AG29" s="58">
        <v>11.646561852471649</v>
      </c>
      <c r="AH29" s="58">
        <v>6.3400244567098198</v>
      </c>
      <c r="AI29" s="58">
        <v>0.64751374453564436</v>
      </c>
      <c r="AJ29" s="52">
        <v>215.2807422320048</v>
      </c>
      <c r="AK29" s="52">
        <v>809.09615119298303</v>
      </c>
      <c r="AL29" s="52">
        <v>2782.4120855967203</v>
      </c>
      <c r="AM29" s="52">
        <v>920.4188232421875</v>
      </c>
      <c r="AN29" s="52">
        <v>6874.043701171875</v>
      </c>
      <c r="AO29" s="52">
        <v>2628.4227951049811</v>
      </c>
      <c r="AP29" s="52">
        <v>584.60660521189368</v>
      </c>
      <c r="AQ29" s="52">
        <v>2397.2168553670244</v>
      </c>
      <c r="AR29" s="52">
        <v>411.33899968465164</v>
      </c>
      <c r="AS29" s="52">
        <v>547.59502442677808</v>
      </c>
    </row>
    <row r="30" spans="1:45" x14ac:dyDescent="0.25">
      <c r="A30" s="9">
        <v>44704</v>
      </c>
      <c r="B30" s="45"/>
      <c r="C30" s="46">
        <v>68.540000000000006</v>
      </c>
      <c r="D30" s="46">
        <v>811.67</v>
      </c>
      <c r="E30" s="46">
        <v>16.34</v>
      </c>
      <c r="F30" s="46">
        <v>0</v>
      </c>
      <c r="G30" s="46">
        <v>3410.93</v>
      </c>
      <c r="H30" s="47">
        <v>25.87</v>
      </c>
      <c r="I30" s="45">
        <v>215.76</v>
      </c>
      <c r="J30" s="46">
        <v>533.66</v>
      </c>
      <c r="K30" s="46">
        <v>29.4</v>
      </c>
      <c r="L30" s="46">
        <v>0</v>
      </c>
      <c r="M30" s="46">
        <v>0</v>
      </c>
      <c r="N30" s="47">
        <v>0</v>
      </c>
      <c r="O30" s="45">
        <v>0</v>
      </c>
      <c r="P30" s="46">
        <v>0</v>
      </c>
      <c r="Q30" s="46">
        <v>0</v>
      </c>
      <c r="R30" s="55">
        <v>0</v>
      </c>
      <c r="S30" s="46">
        <v>0</v>
      </c>
      <c r="T30" s="48">
        <v>0</v>
      </c>
      <c r="U30" s="56">
        <v>262.63</v>
      </c>
      <c r="V30" s="54">
        <v>143.22999999999999</v>
      </c>
      <c r="W30" s="54">
        <v>49.64</v>
      </c>
      <c r="X30" s="54">
        <v>27.07</v>
      </c>
      <c r="Y30" s="54">
        <v>281.05</v>
      </c>
      <c r="Z30" s="54">
        <v>153.28</v>
      </c>
      <c r="AA30" s="57">
        <v>0</v>
      </c>
      <c r="AB30" s="58">
        <v>81.569999999999993</v>
      </c>
      <c r="AC30" s="52">
        <v>0</v>
      </c>
      <c r="AD30" s="359">
        <v>12.58</v>
      </c>
      <c r="AE30" s="359">
        <v>6.47</v>
      </c>
      <c r="AF30" s="52">
        <v>18.16</v>
      </c>
      <c r="AG30" s="58">
        <v>11.51</v>
      </c>
      <c r="AH30" s="58">
        <v>6.28</v>
      </c>
      <c r="AI30" s="58">
        <v>0.65</v>
      </c>
      <c r="AJ30" s="52">
        <v>208.07</v>
      </c>
      <c r="AK30" s="52">
        <v>800.16</v>
      </c>
      <c r="AL30" s="52">
        <v>2688.39</v>
      </c>
      <c r="AM30" s="52">
        <v>727.63</v>
      </c>
      <c r="AN30" s="52">
        <v>6063.52</v>
      </c>
      <c r="AO30" s="52">
        <v>2863.23</v>
      </c>
      <c r="AP30" s="52">
        <v>564.59</v>
      </c>
      <c r="AQ30" s="52">
        <v>2387.4699999999998</v>
      </c>
      <c r="AR30" s="52">
        <v>423.62</v>
      </c>
      <c r="AS30" s="52">
        <v>587.46</v>
      </c>
    </row>
    <row r="31" spans="1:45" x14ac:dyDescent="0.25">
      <c r="A31" s="9">
        <v>44705</v>
      </c>
      <c r="B31" s="45"/>
      <c r="C31" s="46">
        <v>70.531100817521647</v>
      </c>
      <c r="D31" s="46">
        <v>812.28873405456545</v>
      </c>
      <c r="E31" s="46">
        <v>16.482835300763441</v>
      </c>
      <c r="F31" s="46">
        <v>0</v>
      </c>
      <c r="G31" s="46">
        <v>3403.4553052266401</v>
      </c>
      <c r="H31" s="47">
        <v>26.756395488977475</v>
      </c>
      <c r="I31" s="45">
        <v>215.36471757888799</v>
      </c>
      <c r="J31" s="46">
        <v>532.67364072799603</v>
      </c>
      <c r="K31" s="46">
        <v>29.002740203340849</v>
      </c>
      <c r="L31" s="46">
        <v>0</v>
      </c>
      <c r="M31" s="46">
        <v>0</v>
      </c>
      <c r="N31" s="47">
        <v>0</v>
      </c>
      <c r="O31" s="45">
        <v>0</v>
      </c>
      <c r="P31" s="46">
        <v>0</v>
      </c>
      <c r="Q31" s="46">
        <v>0</v>
      </c>
      <c r="R31" s="55">
        <v>0</v>
      </c>
      <c r="S31" s="46">
        <v>0</v>
      </c>
      <c r="T31" s="48">
        <v>0</v>
      </c>
      <c r="U31" s="56">
        <v>263.13059950012155</v>
      </c>
      <c r="V31" s="54">
        <v>147.30977099598752</v>
      </c>
      <c r="W31" s="54">
        <v>51.051453439194617</v>
      </c>
      <c r="X31" s="54">
        <v>28.580400490960781</v>
      </c>
      <c r="Y31" s="54">
        <v>295.67753499182021</v>
      </c>
      <c r="Z31" s="54">
        <v>165.53069103725809</v>
      </c>
      <c r="AA31" s="57">
        <v>0</v>
      </c>
      <c r="AB31" s="58">
        <v>81.926435783174824</v>
      </c>
      <c r="AC31" s="52">
        <v>0</v>
      </c>
      <c r="AD31" s="359">
        <v>12.561273930229405</v>
      </c>
      <c r="AE31" s="359">
        <v>6.6778380063648646</v>
      </c>
      <c r="AF31" s="52">
        <v>19.00062081681358</v>
      </c>
      <c r="AG31" s="58">
        <v>11.999107475920484</v>
      </c>
      <c r="AH31" s="58">
        <v>6.7175226970638651</v>
      </c>
      <c r="AI31" s="58">
        <v>0.64109336803801564</v>
      </c>
      <c r="AJ31" s="52">
        <v>222.38537474473318</v>
      </c>
      <c r="AK31" s="52">
        <v>771.58188400268557</v>
      </c>
      <c r="AL31" s="52">
        <v>2703.1921988169352</v>
      </c>
      <c r="AM31" s="52">
        <v>542.19891357421875</v>
      </c>
      <c r="AN31" s="52">
        <v>5333.5645751953125</v>
      </c>
      <c r="AO31" s="52">
        <v>2769.9762170155841</v>
      </c>
      <c r="AP31" s="52">
        <v>527.80590391159058</v>
      </c>
      <c r="AQ31" s="52">
        <v>2386.6778868357337</v>
      </c>
      <c r="AR31" s="52">
        <v>440.52666339874264</v>
      </c>
      <c r="AS31" s="52">
        <v>580.2205213864645</v>
      </c>
    </row>
    <row r="32" spans="1:45" x14ac:dyDescent="0.25">
      <c r="A32" s="9">
        <v>44706</v>
      </c>
      <c r="B32" s="45"/>
      <c r="C32" s="46">
        <v>73.548170566559435</v>
      </c>
      <c r="D32" s="46">
        <v>861.62411982218657</v>
      </c>
      <c r="E32" s="46">
        <v>16.909331212937804</v>
      </c>
      <c r="F32" s="46">
        <v>0</v>
      </c>
      <c r="G32" s="46">
        <v>3454.3940246582097</v>
      </c>
      <c r="H32" s="47">
        <v>27.930972286065447</v>
      </c>
      <c r="I32" s="45">
        <v>240.32713367144302</v>
      </c>
      <c r="J32" s="46">
        <v>594.23059981664153</v>
      </c>
      <c r="K32" s="46">
        <v>32.542773119608555</v>
      </c>
      <c r="L32" s="46">
        <v>0</v>
      </c>
      <c r="M32" s="46">
        <v>0</v>
      </c>
      <c r="N32" s="47">
        <v>0</v>
      </c>
      <c r="O32" s="45">
        <v>0</v>
      </c>
      <c r="P32" s="46">
        <v>0</v>
      </c>
      <c r="Q32" s="46">
        <v>0</v>
      </c>
      <c r="R32" s="55">
        <v>0</v>
      </c>
      <c r="S32" s="46">
        <v>0</v>
      </c>
      <c r="T32" s="48">
        <v>0</v>
      </c>
      <c r="U32" s="56">
        <v>294.2939704380795</v>
      </c>
      <c r="V32" s="54">
        <v>153.77817190861893</v>
      </c>
      <c r="W32" s="54">
        <v>57.156212577027524</v>
      </c>
      <c r="X32" s="54">
        <v>29.865980163412903</v>
      </c>
      <c r="Y32" s="54">
        <v>327.82692522428908</v>
      </c>
      <c r="Z32" s="54">
        <v>171.30023149428297</v>
      </c>
      <c r="AA32" s="57">
        <v>0</v>
      </c>
      <c r="AB32" s="58">
        <v>89.554522752761173</v>
      </c>
      <c r="AC32" s="52">
        <v>0</v>
      </c>
      <c r="AD32" s="359">
        <v>14.014594207955536</v>
      </c>
      <c r="AE32" s="359">
        <v>6.9456338642122182</v>
      </c>
      <c r="AF32" s="52">
        <v>20.352691682179771</v>
      </c>
      <c r="AG32" s="58">
        <v>13.17632610287871</v>
      </c>
      <c r="AH32" s="58">
        <v>6.8850589686098616</v>
      </c>
      <c r="AI32" s="58">
        <v>0.65680041811295609</v>
      </c>
      <c r="AJ32" s="52">
        <v>208.84870420296986</v>
      </c>
      <c r="AK32" s="52">
        <v>759.00330559412657</v>
      </c>
      <c r="AL32" s="52">
        <v>2974.0484329223632</v>
      </c>
      <c r="AM32" s="52">
        <v>542.19891357421875</v>
      </c>
      <c r="AN32" s="52">
        <v>5333.5645751953125</v>
      </c>
      <c r="AO32" s="52">
        <v>2708.4108224233</v>
      </c>
      <c r="AP32" s="52">
        <v>502.46559246381128</v>
      </c>
      <c r="AQ32" s="52">
        <v>2623.8764245351149</v>
      </c>
      <c r="AR32" s="52">
        <v>445.78596843083704</v>
      </c>
      <c r="AS32" s="52">
        <v>647.68088804880767</v>
      </c>
    </row>
    <row r="33" spans="1:45" x14ac:dyDescent="0.25">
      <c r="A33" s="9">
        <v>44707</v>
      </c>
      <c r="B33" s="45"/>
      <c r="C33" s="46">
        <v>73.351399985948589</v>
      </c>
      <c r="D33" s="46">
        <v>865.76435661316066</v>
      </c>
      <c r="E33" s="46">
        <v>17.535815202693129</v>
      </c>
      <c r="F33" s="46">
        <v>0</v>
      </c>
      <c r="G33" s="46">
        <v>3263.0530895233169</v>
      </c>
      <c r="H33" s="47">
        <v>27.970763858159444</v>
      </c>
      <c r="I33" s="45">
        <v>284.28747967084229</v>
      </c>
      <c r="J33" s="46">
        <v>703.09925429026146</v>
      </c>
      <c r="K33" s="46">
        <v>38.415184173981373</v>
      </c>
      <c r="L33" s="46">
        <v>0</v>
      </c>
      <c r="M33" s="46">
        <v>0</v>
      </c>
      <c r="N33" s="47">
        <v>0</v>
      </c>
      <c r="O33" s="45">
        <v>0</v>
      </c>
      <c r="P33" s="46">
        <v>0</v>
      </c>
      <c r="Q33" s="46">
        <v>0</v>
      </c>
      <c r="R33" s="55">
        <v>0</v>
      </c>
      <c r="S33" s="46">
        <v>0</v>
      </c>
      <c r="T33" s="48">
        <v>0</v>
      </c>
      <c r="U33" s="56">
        <v>345.05015323498094</v>
      </c>
      <c r="V33" s="54">
        <v>151.50304757152475</v>
      </c>
      <c r="W33" s="54">
        <v>67.250162629355813</v>
      </c>
      <c r="X33" s="54">
        <v>29.527894691556845</v>
      </c>
      <c r="Y33" s="54">
        <v>386.17271306925454</v>
      </c>
      <c r="Z33" s="54">
        <v>169.55895359105352</v>
      </c>
      <c r="AA33" s="57">
        <v>0</v>
      </c>
      <c r="AB33" s="58">
        <v>101.62368136511822</v>
      </c>
      <c r="AC33" s="52">
        <v>0</v>
      </c>
      <c r="AD33" s="359">
        <v>16.5778251748857</v>
      </c>
      <c r="AE33" s="359">
        <v>6.966388741892291</v>
      </c>
      <c r="AF33" s="52">
        <v>22.665284679995612</v>
      </c>
      <c r="AG33" s="58">
        <v>15.521676074137444</v>
      </c>
      <c r="AH33" s="58">
        <v>6.8151867390952967</v>
      </c>
      <c r="AI33" s="58">
        <v>0.69489060321139351</v>
      </c>
      <c r="AJ33" s="52">
        <v>195.69381960233051</v>
      </c>
      <c r="AK33" s="52">
        <v>743.41422201792398</v>
      </c>
      <c r="AL33" s="52">
        <v>2734.41691309611</v>
      </c>
      <c r="AM33" s="52">
        <v>542.19891357421875</v>
      </c>
      <c r="AN33" s="52">
        <v>5333.5645751953125</v>
      </c>
      <c r="AO33" s="52">
        <v>2656.6334915161133</v>
      </c>
      <c r="AP33" s="52">
        <v>504.31623989741001</v>
      </c>
      <c r="AQ33" s="52">
        <v>3008.0789122263586</v>
      </c>
      <c r="AR33" s="52">
        <v>445.50323880513508</v>
      </c>
      <c r="AS33" s="52">
        <v>788.38473345438626</v>
      </c>
    </row>
    <row r="34" spans="1:45" x14ac:dyDescent="0.25">
      <c r="A34" s="9">
        <v>44708</v>
      </c>
      <c r="B34" s="45"/>
      <c r="C34" s="46">
        <v>73.63</v>
      </c>
      <c r="D34" s="46">
        <v>875.91</v>
      </c>
      <c r="E34" s="46">
        <v>17.54</v>
      </c>
      <c r="F34" s="46">
        <v>0</v>
      </c>
      <c r="G34" s="46">
        <v>2673.79</v>
      </c>
      <c r="H34" s="47">
        <v>28.01</v>
      </c>
      <c r="I34" s="45">
        <v>284.06</v>
      </c>
      <c r="J34" s="46">
        <v>702.29</v>
      </c>
      <c r="K34" s="46">
        <v>38.57</v>
      </c>
      <c r="L34" s="46">
        <v>0</v>
      </c>
      <c r="M34" s="46">
        <v>0</v>
      </c>
      <c r="N34" s="47">
        <v>0</v>
      </c>
      <c r="O34" s="45">
        <v>0</v>
      </c>
      <c r="P34" s="46">
        <v>0</v>
      </c>
      <c r="Q34" s="46">
        <v>0</v>
      </c>
      <c r="R34" s="55">
        <v>0</v>
      </c>
      <c r="S34" s="46">
        <v>0</v>
      </c>
      <c r="T34" s="48">
        <v>0</v>
      </c>
      <c r="U34" s="56">
        <v>348.3</v>
      </c>
      <c r="V34" s="54">
        <v>146.99</v>
      </c>
      <c r="W34" s="54">
        <v>66.77</v>
      </c>
      <c r="X34" s="54">
        <v>28.18</v>
      </c>
      <c r="Y34" s="54">
        <v>358.69</v>
      </c>
      <c r="Z34" s="54">
        <v>151.37</v>
      </c>
      <c r="AA34" s="57">
        <v>0</v>
      </c>
      <c r="AB34" s="58">
        <v>101.61</v>
      </c>
      <c r="AC34" s="52">
        <v>0</v>
      </c>
      <c r="AD34" s="359">
        <v>16.559999999999999</v>
      </c>
      <c r="AE34" s="359">
        <v>6.97</v>
      </c>
      <c r="AF34" s="52">
        <v>22.85</v>
      </c>
      <c r="AG34" s="58">
        <v>15.84</v>
      </c>
      <c r="AH34" s="58">
        <v>6.69</v>
      </c>
      <c r="AI34" s="58">
        <v>0.7</v>
      </c>
      <c r="AJ34" s="52">
        <v>208.65</v>
      </c>
      <c r="AK34" s="52">
        <v>742.62</v>
      </c>
      <c r="AL34" s="52">
        <v>2769.8</v>
      </c>
      <c r="AM34" s="52">
        <v>542.20000000000005</v>
      </c>
      <c r="AN34" s="52">
        <v>5333.56</v>
      </c>
      <c r="AO34" s="52">
        <v>2714.48</v>
      </c>
      <c r="AP34" s="52">
        <v>521.82000000000005</v>
      </c>
      <c r="AQ34" s="52">
        <v>2941.44</v>
      </c>
      <c r="AR34" s="52">
        <v>412.22</v>
      </c>
      <c r="AS34" s="52">
        <v>874.04</v>
      </c>
    </row>
    <row r="35" spans="1:45" x14ac:dyDescent="0.25">
      <c r="A35" s="9">
        <v>44709</v>
      </c>
      <c r="B35" s="45"/>
      <c r="C35" s="46">
        <v>73.37937325239217</v>
      </c>
      <c r="D35" s="46">
        <v>892.9248015085858</v>
      </c>
      <c r="E35" s="46">
        <v>17.546213269233704</v>
      </c>
      <c r="F35" s="46">
        <v>0</v>
      </c>
      <c r="G35" s="46">
        <v>2748.8091735839857</v>
      </c>
      <c r="H35" s="47">
        <v>27.862287902832104</v>
      </c>
      <c r="I35" s="45">
        <v>285.93193157513963</v>
      </c>
      <c r="J35" s="46">
        <v>702.07834628422961</v>
      </c>
      <c r="K35" s="46">
        <v>38.553785996635732</v>
      </c>
      <c r="L35" s="46">
        <v>0</v>
      </c>
      <c r="M35" s="46">
        <v>0</v>
      </c>
      <c r="N35" s="47">
        <v>0</v>
      </c>
      <c r="O35" s="45">
        <v>0</v>
      </c>
      <c r="P35" s="46">
        <v>0</v>
      </c>
      <c r="Q35" s="46">
        <v>0</v>
      </c>
      <c r="R35" s="55">
        <v>0</v>
      </c>
      <c r="S35" s="46">
        <v>0</v>
      </c>
      <c r="T35" s="48">
        <v>0</v>
      </c>
      <c r="U35" s="56">
        <v>350.61671138809237</v>
      </c>
      <c r="V35" s="54">
        <v>153.40791074495007</v>
      </c>
      <c r="W35" s="54">
        <v>66.924984652280244</v>
      </c>
      <c r="X35" s="54">
        <v>29.282181192955083</v>
      </c>
      <c r="Y35" s="54">
        <v>345.68113214645041</v>
      </c>
      <c r="Z35" s="54">
        <v>151.24841042684241</v>
      </c>
      <c r="AA35" s="57">
        <v>0</v>
      </c>
      <c r="AB35" s="58">
        <v>101.60694637298595</v>
      </c>
      <c r="AC35" s="52">
        <v>0</v>
      </c>
      <c r="AD35" s="359">
        <v>16.554561835558793</v>
      </c>
      <c r="AE35" s="359">
        <v>6.9607568191607765</v>
      </c>
      <c r="AF35" s="52">
        <v>23.207088679737531</v>
      </c>
      <c r="AG35" s="58">
        <v>15.914623981127475</v>
      </c>
      <c r="AH35" s="58">
        <v>6.9632425835340879</v>
      </c>
      <c r="AI35" s="58">
        <v>0.69563409403349252</v>
      </c>
      <c r="AJ35" s="52">
        <v>217.7347653547923</v>
      </c>
      <c r="AK35" s="52">
        <v>775.29594300587974</v>
      </c>
      <c r="AL35" s="52">
        <v>2694.9818433125811</v>
      </c>
      <c r="AM35" s="52">
        <v>542.19891357421875</v>
      </c>
      <c r="AN35" s="52">
        <v>5333.5645751953125</v>
      </c>
      <c r="AO35" s="52">
        <v>2936.6212001800541</v>
      </c>
      <c r="AP35" s="52">
        <v>517.99765011469526</v>
      </c>
      <c r="AQ35" s="52">
        <v>3016.1530686696369</v>
      </c>
      <c r="AR35" s="52">
        <v>426.68250967661533</v>
      </c>
      <c r="AS35" s="52">
        <v>820.39928538004563</v>
      </c>
    </row>
    <row r="36" spans="1:45" s="366" customFormat="1" x14ac:dyDescent="0.25">
      <c r="A36" s="9">
        <v>44710</v>
      </c>
      <c r="B36" s="361"/>
      <c r="C36" s="362">
        <v>72.88</v>
      </c>
      <c r="D36" s="362">
        <v>892.63</v>
      </c>
      <c r="E36" s="362">
        <v>17.54</v>
      </c>
      <c r="F36" s="362">
        <v>0</v>
      </c>
      <c r="G36" s="362">
        <v>2632.5</v>
      </c>
      <c r="H36" s="363">
        <v>27.93</v>
      </c>
      <c r="I36" s="361">
        <v>289.26</v>
      </c>
      <c r="J36" s="362">
        <v>623.74</v>
      </c>
      <c r="K36" s="362">
        <v>34.21</v>
      </c>
      <c r="L36" s="46">
        <v>0</v>
      </c>
      <c r="M36" s="362">
        <v>0</v>
      </c>
      <c r="N36" s="363">
        <v>0</v>
      </c>
      <c r="O36" s="361">
        <v>0</v>
      </c>
      <c r="P36" s="362">
        <v>0</v>
      </c>
      <c r="Q36" s="362">
        <v>0</v>
      </c>
      <c r="R36" s="362">
        <v>0</v>
      </c>
      <c r="S36" s="362">
        <v>0</v>
      </c>
      <c r="T36" s="363">
        <v>0</v>
      </c>
      <c r="U36" s="361">
        <v>355.16</v>
      </c>
      <c r="V36" s="362">
        <v>155.4</v>
      </c>
      <c r="W36" s="362">
        <v>68.37</v>
      </c>
      <c r="X36" s="362">
        <v>29.91</v>
      </c>
      <c r="Y36" s="362">
        <v>332.68</v>
      </c>
      <c r="Z36" s="362">
        <v>145.57</v>
      </c>
      <c r="AA36" s="363">
        <v>0</v>
      </c>
      <c r="AB36" s="364">
        <v>101.61</v>
      </c>
      <c r="AC36" s="52">
        <v>0</v>
      </c>
      <c r="AD36" s="365">
        <v>16.55</v>
      </c>
      <c r="AE36" s="364">
        <v>6.96</v>
      </c>
      <c r="AF36" s="52">
        <v>23.3</v>
      </c>
      <c r="AG36" s="52">
        <v>16</v>
      </c>
      <c r="AH36" s="52">
        <v>7</v>
      </c>
      <c r="AI36" s="52">
        <v>0.7</v>
      </c>
      <c r="AJ36" s="52">
        <v>230.63</v>
      </c>
      <c r="AK36" s="52">
        <v>773.3</v>
      </c>
      <c r="AL36" s="52">
        <v>2631.49</v>
      </c>
      <c r="AM36" s="52">
        <v>542.20000000000005</v>
      </c>
      <c r="AN36" s="52">
        <v>5333.56</v>
      </c>
      <c r="AO36" s="52">
        <v>2730.02</v>
      </c>
      <c r="AP36" s="52">
        <v>509.22</v>
      </c>
      <c r="AQ36" s="52">
        <v>3012.13</v>
      </c>
      <c r="AR36" s="52">
        <v>400.07</v>
      </c>
      <c r="AS36" s="52">
        <v>675.63</v>
      </c>
    </row>
    <row r="37" spans="1:45" x14ac:dyDescent="0.25">
      <c r="A37" s="9">
        <v>44711</v>
      </c>
      <c r="B37" s="56"/>
      <c r="C37" s="54">
        <v>73.216029679775133</v>
      </c>
      <c r="D37" s="54">
        <v>891.74467366536499</v>
      </c>
      <c r="E37" s="54">
        <v>17.530409127970533</v>
      </c>
      <c r="F37" s="54">
        <v>0</v>
      </c>
      <c r="G37" s="54">
        <v>2448.6923061370885</v>
      </c>
      <c r="H37" s="57">
        <v>27.907358272870418</v>
      </c>
      <c r="I37" s="56">
        <v>248.54601031939137</v>
      </c>
      <c r="J37" s="54">
        <v>584.70899387995348</v>
      </c>
      <c r="K37" s="54">
        <v>32.059702941775285</v>
      </c>
      <c r="L37" s="46">
        <v>0</v>
      </c>
      <c r="M37" s="54">
        <v>0</v>
      </c>
      <c r="N37" s="57">
        <v>0</v>
      </c>
      <c r="O37" s="56">
        <v>0</v>
      </c>
      <c r="P37" s="54">
        <v>0</v>
      </c>
      <c r="Q37" s="54">
        <v>0</v>
      </c>
      <c r="R37" s="347">
        <v>0</v>
      </c>
      <c r="S37" s="54">
        <v>0</v>
      </c>
      <c r="T37" s="57">
        <v>0</v>
      </c>
      <c r="U37" s="56">
        <v>354.88046092656157</v>
      </c>
      <c r="V37" s="54">
        <v>155.2348982738113</v>
      </c>
      <c r="W37" s="54">
        <v>68.314091633326925</v>
      </c>
      <c r="X37" s="54">
        <v>29.882544216943678</v>
      </c>
      <c r="Y37" s="54">
        <v>302.72479903824654</v>
      </c>
      <c r="Z37" s="54">
        <v>132.42051495584292</v>
      </c>
      <c r="AA37" s="57">
        <v>0</v>
      </c>
      <c r="AB37" s="58">
        <v>101.61251940197349</v>
      </c>
      <c r="AC37" s="58">
        <v>0</v>
      </c>
      <c r="AD37" s="359">
        <v>16.546950280403721</v>
      </c>
      <c r="AE37" s="359">
        <v>6.9559290069491961</v>
      </c>
      <c r="AF37" s="58">
        <v>23.308730281723872</v>
      </c>
      <c r="AG37" s="58">
        <v>16.001105261681353</v>
      </c>
      <c r="AH37" s="58">
        <v>6.9993426549332414</v>
      </c>
      <c r="AI37" s="58">
        <v>0.69568668052428673</v>
      </c>
      <c r="AJ37" s="58">
        <v>202.22161601384479</v>
      </c>
      <c r="AK37" s="58">
        <v>742.22957935333272</v>
      </c>
      <c r="AL37" s="58">
        <v>2706.4896715799969</v>
      </c>
      <c r="AM37" s="58">
        <v>542.19891357421875</v>
      </c>
      <c r="AN37" s="58">
        <v>5333.5645751953125</v>
      </c>
      <c r="AO37" s="58">
        <v>2673.8777202606198</v>
      </c>
      <c r="AP37" s="58">
        <v>506.3888040860495</v>
      </c>
      <c r="AQ37" s="58">
        <v>2985.2576357523603</v>
      </c>
      <c r="AR37" s="58">
        <v>382.67464445432023</v>
      </c>
      <c r="AS37" s="58">
        <v>635.27776432037354</v>
      </c>
    </row>
    <row r="38" spans="1:45" ht="15.75" thickBot="1" x14ac:dyDescent="0.3">
      <c r="A38" s="9">
        <v>44712</v>
      </c>
      <c r="B38" s="342"/>
      <c r="C38" s="343">
        <v>73.02</v>
      </c>
      <c r="D38" s="343">
        <v>891.18</v>
      </c>
      <c r="E38" s="343">
        <v>17.55</v>
      </c>
      <c r="F38" s="343">
        <v>0</v>
      </c>
      <c r="G38" s="343">
        <v>2273.29</v>
      </c>
      <c r="H38" s="344">
        <v>27.84</v>
      </c>
      <c r="I38" s="342">
        <v>240.87</v>
      </c>
      <c r="J38" s="343">
        <v>584.42999999999995</v>
      </c>
      <c r="K38" s="343">
        <v>31.97</v>
      </c>
      <c r="L38" s="46">
        <v>0</v>
      </c>
      <c r="M38" s="343">
        <v>0</v>
      </c>
      <c r="N38" s="344">
        <v>0</v>
      </c>
      <c r="O38" s="342">
        <v>0</v>
      </c>
      <c r="P38" s="343">
        <v>0</v>
      </c>
      <c r="Q38" s="343">
        <v>0</v>
      </c>
      <c r="R38" s="345">
        <v>0</v>
      </c>
      <c r="S38" s="343">
        <v>0</v>
      </c>
      <c r="T38" s="346">
        <v>0</v>
      </c>
      <c r="U38" s="342">
        <v>348.3</v>
      </c>
      <c r="V38" s="343">
        <v>152.38</v>
      </c>
      <c r="W38" s="343">
        <v>67.819999999999993</v>
      </c>
      <c r="X38" s="343">
        <v>29.67</v>
      </c>
      <c r="Y38" s="343">
        <v>272.68</v>
      </c>
      <c r="Z38" s="343">
        <v>119.3</v>
      </c>
      <c r="AA38" s="344">
        <v>0</v>
      </c>
      <c r="AB38" s="70">
        <v>101.61</v>
      </c>
      <c r="AC38" s="70">
        <v>0</v>
      </c>
      <c r="AD38" s="359">
        <v>16.54</v>
      </c>
      <c r="AE38" s="359">
        <v>6.95</v>
      </c>
      <c r="AF38" s="70">
        <v>22.81</v>
      </c>
      <c r="AG38" s="70">
        <v>15.65</v>
      </c>
      <c r="AH38" s="70">
        <v>6.85</v>
      </c>
      <c r="AI38" s="70">
        <v>0.7</v>
      </c>
      <c r="AJ38" s="70">
        <v>202.58</v>
      </c>
      <c r="AK38" s="70">
        <v>745.91</v>
      </c>
      <c r="AL38" s="70">
        <v>2699.54</v>
      </c>
      <c r="AM38" s="70">
        <v>542.20000000000005</v>
      </c>
      <c r="AN38" s="70">
        <v>5333.56</v>
      </c>
      <c r="AO38" s="70">
        <v>2725.58</v>
      </c>
      <c r="AP38" s="70">
        <v>518.26</v>
      </c>
      <c r="AQ38" s="70">
        <v>3001.97</v>
      </c>
      <c r="AR38" s="70">
        <v>382.76</v>
      </c>
      <c r="AS38" s="70">
        <v>592.82000000000005</v>
      </c>
    </row>
    <row r="39" spans="1:45" ht="15.75" thickTop="1" x14ac:dyDescent="0.25">
      <c r="A39" s="42" t="s">
        <v>171</v>
      </c>
      <c r="B39" s="25">
        <f t="shared" ref="B39" si="0">SUM(B8:B36)</f>
        <v>0</v>
      </c>
      <c r="C39" s="26">
        <f t="shared" ref="C39:AC39" si="1">SUM(C8:C38)</f>
        <v>1612.4464927808463</v>
      </c>
      <c r="D39" s="26">
        <f t="shared" si="1"/>
        <v>18537.869408527229</v>
      </c>
      <c r="E39" s="26">
        <f t="shared" si="1"/>
        <v>379.45138120045232</v>
      </c>
      <c r="F39" s="26">
        <f t="shared" si="1"/>
        <v>0</v>
      </c>
      <c r="G39" s="26">
        <f t="shared" si="1"/>
        <v>71611.777939249689</v>
      </c>
      <c r="H39" s="27">
        <f t="shared" si="1"/>
        <v>572.82147227247617</v>
      </c>
      <c r="I39" s="25">
        <f t="shared" si="1"/>
        <v>7645.0951047945046</v>
      </c>
      <c r="J39" s="26">
        <f t="shared" si="1"/>
        <v>18751.560014219278</v>
      </c>
      <c r="K39" s="26">
        <f t="shared" si="1"/>
        <v>1027.77840619723</v>
      </c>
      <c r="L39" s="26">
        <f t="shared" si="1"/>
        <v>0</v>
      </c>
      <c r="M39" s="26">
        <f t="shared" si="1"/>
        <v>0</v>
      </c>
      <c r="N39" s="27">
        <f t="shared" si="1"/>
        <v>0</v>
      </c>
      <c r="O39" s="241">
        <f t="shared" si="1"/>
        <v>0</v>
      </c>
      <c r="P39" s="242">
        <f t="shared" si="1"/>
        <v>0</v>
      </c>
      <c r="Q39" s="242">
        <f t="shared" si="1"/>
        <v>0</v>
      </c>
      <c r="R39" s="242">
        <f t="shared" si="1"/>
        <v>0</v>
      </c>
      <c r="S39" s="242">
        <f t="shared" si="1"/>
        <v>0</v>
      </c>
      <c r="T39" s="243">
        <f t="shared" si="1"/>
        <v>0</v>
      </c>
      <c r="U39" s="241">
        <f t="shared" si="1"/>
        <v>9339.7558465779712</v>
      </c>
      <c r="V39" s="242">
        <f t="shared" si="1"/>
        <v>3111.9483942400311</v>
      </c>
      <c r="W39" s="242">
        <f t="shared" si="1"/>
        <v>1781.3647384784779</v>
      </c>
      <c r="X39" s="242">
        <f t="shared" si="1"/>
        <v>598.01310856519569</v>
      </c>
      <c r="Y39" s="242">
        <f t="shared" si="1"/>
        <v>8174.1356888998898</v>
      </c>
      <c r="Z39" s="242">
        <f t="shared" si="1"/>
        <v>3007.6310947396969</v>
      </c>
      <c r="AA39" s="250">
        <f t="shared" si="1"/>
        <v>0</v>
      </c>
      <c r="AB39" s="253">
        <f t="shared" si="1"/>
        <v>2598.0310182668122</v>
      </c>
      <c r="AC39" s="253">
        <f t="shared" si="1"/>
        <v>0</v>
      </c>
      <c r="AD39" s="256" t="s">
        <v>29</v>
      </c>
      <c r="AE39" s="256" t="s">
        <v>29</v>
      </c>
      <c r="AF39" s="256" t="s">
        <v>29</v>
      </c>
      <c r="AG39" s="256" t="s">
        <v>29</v>
      </c>
      <c r="AH39" s="256" t="s">
        <v>29</v>
      </c>
      <c r="AI39" s="256" t="s">
        <v>159</v>
      </c>
      <c r="AJ39" s="253">
        <f t="shared" ref="AJ39:AS39" si="2">SUM(AJ8:AJ38)</f>
        <v>6472.4249315452571</v>
      </c>
      <c r="AK39" s="253">
        <f t="shared" si="2"/>
        <v>21637.819318389891</v>
      </c>
      <c r="AL39" s="253">
        <f t="shared" si="2"/>
        <v>75878.140770257305</v>
      </c>
      <c r="AM39" s="253">
        <f t="shared" si="2"/>
        <v>22100.593671264651</v>
      </c>
      <c r="AN39" s="253">
        <f t="shared" si="2"/>
        <v>199960.9657958984</v>
      </c>
      <c r="AO39" s="253">
        <f t="shared" si="2"/>
        <v>72865.292072296143</v>
      </c>
      <c r="AP39" s="253">
        <f t="shared" si="2"/>
        <v>15921.954963010152</v>
      </c>
      <c r="AQ39" s="253">
        <f t="shared" si="2"/>
        <v>76672.381814219159</v>
      </c>
      <c r="AR39" s="253">
        <f t="shared" si="2"/>
        <v>11074.309179726442</v>
      </c>
      <c r="AS39" s="253">
        <f t="shared" si="2"/>
        <v>21027.457369607295</v>
      </c>
    </row>
    <row r="40" spans="1:45" ht="15.75" thickBot="1" x14ac:dyDescent="0.3">
      <c r="A40" s="43" t="s">
        <v>172</v>
      </c>
      <c r="B40" s="28">
        <f>Projection!$AB$30</f>
        <v>0.75949460999999996</v>
      </c>
      <c r="C40" s="29">
        <f>Projection!$AB$28</f>
        <v>2.0387463599999998</v>
      </c>
      <c r="D40" s="29">
        <f>Projection!$AB$31</f>
        <v>3.6888745740000002</v>
      </c>
      <c r="E40" s="29">
        <f>Projection!$AB$26</f>
        <v>4.4235360000000004</v>
      </c>
      <c r="F40" s="29">
        <f>Projection!$AB$23</f>
        <v>0</v>
      </c>
      <c r="G40" s="29">
        <f>Projection!$AB$24</f>
        <v>7.6444999999999999E-2</v>
      </c>
      <c r="H40" s="30">
        <f>Projection!$AB$29</f>
        <v>4.6146262499999997</v>
      </c>
      <c r="I40" s="28">
        <f>Projection!$AB$30</f>
        <v>0.75949460999999996</v>
      </c>
      <c r="J40" s="29">
        <f>Projection!$AB$28</f>
        <v>2.0387463599999998</v>
      </c>
      <c r="K40" s="29">
        <f>Projection!$AB$26</f>
        <v>4.4235360000000004</v>
      </c>
      <c r="L40" s="29">
        <f>Projection!$AB$25</f>
        <v>0</v>
      </c>
      <c r="M40" s="29">
        <f>Projection!$AB$23</f>
        <v>0</v>
      </c>
      <c r="N40" s="30">
        <f>Projection!$AB$23</f>
        <v>0</v>
      </c>
      <c r="O40" s="22">
        <v>15.77</v>
      </c>
      <c r="P40" s="23">
        <v>15.77</v>
      </c>
      <c r="Q40" s="23">
        <v>15.77</v>
      </c>
      <c r="R40" s="23">
        <v>15.77</v>
      </c>
      <c r="S40" s="23">
        <f>Projection!$AB$28</f>
        <v>2.0387463599999998</v>
      </c>
      <c r="T40" s="34">
        <f>Projection!$AB$28</f>
        <v>2.0387463599999998</v>
      </c>
      <c r="U40" s="22">
        <f>Projection!$AB$27</f>
        <v>0.41249999999999998</v>
      </c>
      <c r="V40" s="23">
        <f>Projection!$AB$27</f>
        <v>0.41249999999999998</v>
      </c>
      <c r="W40" s="23">
        <f>Projection!$AB$22</f>
        <v>1.7800896000000002</v>
      </c>
      <c r="X40" s="23">
        <f>Projection!$AB$22</f>
        <v>1.7800896000000002</v>
      </c>
      <c r="Y40" s="23">
        <f>Projection!$AB$31</f>
        <v>3.6888745740000002</v>
      </c>
      <c r="Z40" s="23">
        <f>Projection!$AB$31</f>
        <v>3.6888745740000002</v>
      </c>
      <c r="AA40" s="24">
        <v>0</v>
      </c>
      <c r="AB40" s="37">
        <f>Projection!$AB$27</f>
        <v>0.41249999999999998</v>
      </c>
      <c r="AC40" s="37">
        <f>Projection!$AB$30</f>
        <v>0.75949460999999996</v>
      </c>
      <c r="AD40" s="352">
        <f>SUM(AD8:AD38)</f>
        <v>449.78409784102229</v>
      </c>
      <c r="AE40" s="352">
        <f>SUM(AE8:AE38)</f>
        <v>149.65514246207832</v>
      </c>
      <c r="AF40" s="257">
        <f>SUM(AF9:AF38)</f>
        <v>562.05632552206521</v>
      </c>
      <c r="AG40" s="257">
        <f>SUM(AG8:AG38)</f>
        <v>415.62441200358597</v>
      </c>
      <c r="AH40" s="257">
        <f>SUM(AH8:AH38)</f>
        <v>139.96119786574712</v>
      </c>
      <c r="AI40" s="257">
        <f>IF(SUM(AG40:AH40)&gt;0, AG40/(AG40+AH40), 0)</f>
        <v>0.74808347196273806</v>
      </c>
      <c r="AJ40" s="286">
        <v>7.4999999999999997E-2</v>
      </c>
      <c r="AK40" s="286">
        <f t="shared" ref="AK40:AS40" si="3">$AJ$40</f>
        <v>7.4999999999999997E-2</v>
      </c>
      <c r="AL40" s="286">
        <f t="shared" si="3"/>
        <v>7.4999999999999997E-2</v>
      </c>
      <c r="AM40" s="286">
        <f t="shared" si="3"/>
        <v>7.4999999999999997E-2</v>
      </c>
      <c r="AN40" s="286">
        <f t="shared" si="3"/>
        <v>7.4999999999999997E-2</v>
      </c>
      <c r="AO40" s="286">
        <f t="shared" si="3"/>
        <v>7.4999999999999997E-2</v>
      </c>
      <c r="AP40" s="286">
        <f t="shared" si="3"/>
        <v>7.4999999999999997E-2</v>
      </c>
      <c r="AQ40" s="286">
        <f t="shared" si="3"/>
        <v>7.4999999999999997E-2</v>
      </c>
      <c r="AR40" s="286">
        <f t="shared" si="3"/>
        <v>7.4999999999999997E-2</v>
      </c>
      <c r="AS40" s="286">
        <f t="shared" si="3"/>
        <v>7.4999999999999997E-2</v>
      </c>
    </row>
    <row r="41" spans="1:45" ht="16.5" thickTop="1" thickBot="1" x14ac:dyDescent="0.3">
      <c r="A41" s="44" t="s">
        <v>26</v>
      </c>
      <c r="B41" s="31">
        <f t="shared" ref="B41:AC41" si="4">B40*B39</f>
        <v>0</v>
      </c>
      <c r="C41" s="32">
        <f t="shared" si="4"/>
        <v>3287.3694178517162</v>
      </c>
      <c r="D41" s="32">
        <f t="shared" si="4"/>
        <v>68383.875117248521</v>
      </c>
      <c r="E41" s="32">
        <f t="shared" si="4"/>
        <v>1678.5168449899243</v>
      </c>
      <c r="F41" s="32">
        <f t="shared" si="4"/>
        <v>0</v>
      </c>
      <c r="G41" s="32">
        <f t="shared" si="4"/>
        <v>5474.3623645659427</v>
      </c>
      <c r="H41" s="33">
        <f t="shared" si="4"/>
        <v>2643.3570025122153</v>
      </c>
      <c r="I41" s="31">
        <f t="shared" si="4"/>
        <v>5806.4085250288108</v>
      </c>
      <c r="J41" s="32">
        <f t="shared" si="4"/>
        <v>38229.674723311095</v>
      </c>
      <c r="K41" s="32">
        <f t="shared" si="4"/>
        <v>4546.41477983607</v>
      </c>
      <c r="L41" s="32">
        <f t="shared" si="4"/>
        <v>0</v>
      </c>
      <c r="M41" s="32">
        <f t="shared" si="4"/>
        <v>0</v>
      </c>
      <c r="N41" s="33">
        <f t="shared" si="4"/>
        <v>0</v>
      </c>
      <c r="O41" s="247">
        <f t="shared" si="4"/>
        <v>0</v>
      </c>
      <c r="P41" s="248">
        <f t="shared" si="4"/>
        <v>0</v>
      </c>
      <c r="Q41" s="248">
        <f t="shared" si="4"/>
        <v>0</v>
      </c>
      <c r="R41" s="248">
        <f t="shared" si="4"/>
        <v>0</v>
      </c>
      <c r="S41" s="248">
        <f t="shared" si="4"/>
        <v>0</v>
      </c>
      <c r="T41" s="249">
        <f t="shared" si="4"/>
        <v>0</v>
      </c>
      <c r="U41" s="247">
        <f t="shared" si="4"/>
        <v>3852.6492867134129</v>
      </c>
      <c r="V41" s="248">
        <f t="shared" si="4"/>
        <v>1283.6787126240129</v>
      </c>
      <c r="W41" s="248">
        <f t="shared" si="4"/>
        <v>3170.9888447722587</v>
      </c>
      <c r="X41" s="248">
        <f t="shared" si="4"/>
        <v>1064.5169152205758</v>
      </c>
      <c r="Y41" s="248">
        <f t="shared" si="4"/>
        <v>30153.361307208779</v>
      </c>
      <c r="Z41" s="248">
        <f t="shared" si="4"/>
        <v>11094.773873357053</v>
      </c>
      <c r="AA41" s="252">
        <f t="shared" si="4"/>
        <v>0</v>
      </c>
      <c r="AB41" s="255">
        <f t="shared" si="4"/>
        <v>1071.6877950350599</v>
      </c>
      <c r="AC41" s="255">
        <f t="shared" si="4"/>
        <v>0</v>
      </c>
      <c r="AJ41" s="258">
        <f t="shared" ref="AJ41:AS41" si="5">AJ40*AJ39</f>
        <v>485.43186986589427</v>
      </c>
      <c r="AK41" s="258">
        <f t="shared" si="5"/>
        <v>1622.8364488792417</v>
      </c>
      <c r="AL41" s="258">
        <f t="shared" si="5"/>
        <v>5690.8605577692979</v>
      </c>
      <c r="AM41" s="258">
        <f t="shared" si="5"/>
        <v>1657.5445253448488</v>
      </c>
      <c r="AN41" s="258">
        <f t="shared" si="5"/>
        <v>14997.07243469238</v>
      </c>
      <c r="AO41" s="258">
        <f t="shared" si="5"/>
        <v>5464.8969054222107</v>
      </c>
      <c r="AP41" s="258">
        <f t="shared" si="5"/>
        <v>1194.1466222257613</v>
      </c>
      <c r="AQ41" s="258">
        <f t="shared" si="5"/>
        <v>5750.4286360664364</v>
      </c>
      <c r="AR41" s="258">
        <f t="shared" si="5"/>
        <v>830.57318847948318</v>
      </c>
      <c r="AS41" s="258">
        <f t="shared" si="5"/>
        <v>1577.0593027205471</v>
      </c>
    </row>
    <row r="42" spans="1:45" ht="49.5" customHeight="1" thickTop="1" thickBot="1" x14ac:dyDescent="0.3">
      <c r="A42" s="587">
        <f>APRIL!$A$42+30</f>
        <v>44683</v>
      </c>
      <c r="B42" s="588"/>
      <c r="C42" s="588"/>
      <c r="D42" s="588"/>
      <c r="E42" s="588"/>
      <c r="F42" s="588"/>
      <c r="G42" s="588"/>
      <c r="H42" s="588"/>
      <c r="I42" s="588"/>
      <c r="J42" s="588"/>
      <c r="K42" s="589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I42" s="276" t="s">
        <v>184</v>
      </c>
      <c r="AJ42" s="275">
        <v>1361.01</v>
      </c>
      <c r="AK42" s="258" t="s">
        <v>197</v>
      </c>
      <c r="AL42" s="258">
        <v>1661.81</v>
      </c>
      <c r="AM42" s="258">
        <v>803.87</v>
      </c>
      <c r="AN42" s="258">
        <v>654.94000000000005</v>
      </c>
      <c r="AO42" s="258">
        <v>1483.99</v>
      </c>
      <c r="AP42" s="258">
        <v>999.46</v>
      </c>
      <c r="AQ42" s="258" t="s">
        <v>197</v>
      </c>
      <c r="AR42" s="258">
        <v>447.5</v>
      </c>
      <c r="AS42" s="258">
        <v>119.27</v>
      </c>
    </row>
    <row r="43" spans="1:45" ht="38.25" customHeight="1" thickTop="1" thickBot="1" x14ac:dyDescent="0.3">
      <c r="A43" s="584" t="s">
        <v>49</v>
      </c>
      <c r="B43" s="580"/>
      <c r="C43" s="269"/>
      <c r="D43" s="580" t="s">
        <v>47</v>
      </c>
      <c r="E43" s="580"/>
      <c r="F43" s="269"/>
      <c r="G43" s="580" t="s">
        <v>48</v>
      </c>
      <c r="H43" s="580"/>
      <c r="I43" s="270"/>
      <c r="J43" s="580" t="s">
        <v>50</v>
      </c>
      <c r="K43" s="581"/>
      <c r="L43" s="40"/>
      <c r="M43" s="40"/>
      <c r="N43" s="40"/>
      <c r="O43" s="41"/>
      <c r="P43" s="41"/>
      <c r="Q43" s="41"/>
      <c r="R43" s="569" t="s">
        <v>166</v>
      </c>
      <c r="S43" s="570"/>
      <c r="T43" s="570"/>
      <c r="U43" s="571"/>
      <c r="AC43" s="41"/>
      <c r="AD43" s="41"/>
      <c r="AE43" s="41"/>
    </row>
    <row r="44" spans="1:45" ht="24.75" thickTop="1" thickBot="1" x14ac:dyDescent="0.3">
      <c r="A44" s="262" t="s">
        <v>135</v>
      </c>
      <c r="B44" s="263">
        <f>SUM(B41:AC41)</f>
        <v>181741.63551027537</v>
      </c>
      <c r="D44" s="262" t="s">
        <v>135</v>
      </c>
      <c r="E44" s="263">
        <f>SUM(B41:H41)+P41+R41+T41+V41+X41+Z41</f>
        <v>94910.450248369962</v>
      </c>
      <c r="G44" s="262" t="s">
        <v>135</v>
      </c>
      <c r="H44" s="263">
        <f>SUM(I41:N41)+O41+Q41+S41+U41+W41+Y41</f>
        <v>85759.497466870424</v>
      </c>
      <c r="J44" s="262" t="s">
        <v>198</v>
      </c>
      <c r="K44" s="263">
        <v>124240.55</v>
      </c>
      <c r="R44" s="280" t="s">
        <v>135</v>
      </c>
      <c r="S44" s="281"/>
      <c r="T44" s="277" t="s">
        <v>167</v>
      </c>
      <c r="U44" s="235" t="s">
        <v>168</v>
      </c>
    </row>
    <row r="45" spans="1:45" ht="24" thickBot="1" x14ac:dyDescent="0.4">
      <c r="A45" s="264" t="s">
        <v>183</v>
      </c>
      <c r="B45" s="265">
        <f>SUM(AJ41:AS41)</f>
        <v>39270.850491466103</v>
      </c>
      <c r="D45" s="264" t="s">
        <v>183</v>
      </c>
      <c r="E45" s="265">
        <f>AJ41*(1-$AI$40)+AK41+AL41*0.5+AN41+AO41*(1-$AI$40)+AP41*(1-$AI$40)+AQ41*(1-$AI$40)+AR41*0.5+AS41*0.5</f>
        <v>23917.594861569523</v>
      </c>
      <c r="F45" s="20"/>
      <c r="G45" s="264" t="s">
        <v>183</v>
      </c>
      <c r="H45" s="265">
        <f>AJ41*AI40+AL41*0.5+AM41+AO41*AI40+AP41*AI40+AQ41*AI40+AR41*0.5+AS41*0.5</f>
        <v>15353.255629896581</v>
      </c>
      <c r="K45" s="268"/>
      <c r="R45" s="278" t="s">
        <v>141</v>
      </c>
      <c r="S45" s="279"/>
      <c r="T45" s="234">
        <f>$W$39+$X$39</f>
        <v>2379.3778470436737</v>
      </c>
      <c r="U45" s="236">
        <f>(T45*8.34*0.895)/27000</f>
        <v>0.65779222458104047</v>
      </c>
    </row>
    <row r="46" spans="1:45" ht="32.25" thickBot="1" x14ac:dyDescent="0.3">
      <c r="A46" s="266" t="s">
        <v>184</v>
      </c>
      <c r="B46" s="267">
        <f>SUM(AJ42:AS42)</f>
        <v>7531.8499999999995</v>
      </c>
      <c r="D46" s="266" t="s">
        <v>184</v>
      </c>
      <c r="E46" s="267">
        <f>AJ42*(1-$AI$40)+AL42*0.5+AN42+AO42*(1-$AI$40)+AP42*(1-$AI$40)+AR42*0.5+AS42*0.5</f>
        <v>2737.7130153781322</v>
      </c>
      <c r="F46" s="19"/>
      <c r="G46" s="266" t="s">
        <v>184</v>
      </c>
      <c r="H46" s="267">
        <f>AJ42*AI40+AL42*0.5+AM42+AO42*AI40+AP42*AI40+AR42*0.5+AS42*0.5</f>
        <v>4794.1369846218677</v>
      </c>
      <c r="J46" s="582" t="s">
        <v>199</v>
      </c>
      <c r="K46" s="583"/>
      <c r="R46" s="278" t="s">
        <v>145</v>
      </c>
      <c r="S46" s="279"/>
      <c r="T46" s="234">
        <f>$M$39+$N$39+$F$39</f>
        <v>0</v>
      </c>
      <c r="U46" s="237">
        <f>(((T46*8.34)*0.005)/(8.34*1.055))/400</f>
        <v>0</v>
      </c>
    </row>
    <row r="47" spans="1:45" ht="24.75" thickTop="1" thickBot="1" x14ac:dyDescent="0.4">
      <c r="A47" s="266" t="s">
        <v>185</v>
      </c>
      <c r="B47" s="267">
        <f>K44</f>
        <v>124240.55</v>
      </c>
      <c r="D47" s="266" t="s">
        <v>187</v>
      </c>
      <c r="E47" s="267">
        <f>K44*0.5</f>
        <v>62120.275000000001</v>
      </c>
      <c r="F47" s="20"/>
      <c r="G47" s="266" t="s">
        <v>185</v>
      </c>
      <c r="H47" s="267">
        <f>K44*0.5</f>
        <v>62120.275000000001</v>
      </c>
      <c r="J47" s="262" t="s">
        <v>198</v>
      </c>
      <c r="K47" s="263">
        <v>107748.88</v>
      </c>
      <c r="R47" s="278" t="s">
        <v>148</v>
      </c>
      <c r="S47" s="279"/>
      <c r="T47" s="234">
        <f>$G$39</f>
        <v>71611.777939249689</v>
      </c>
      <c r="U47" s="236">
        <f>T47/40000</f>
        <v>1.7902944484812422</v>
      </c>
    </row>
    <row r="48" spans="1:45" ht="24" thickBot="1" x14ac:dyDescent="0.3">
      <c r="A48" s="266" t="s">
        <v>186</v>
      </c>
      <c r="B48" s="267">
        <f>K47</f>
        <v>107748.88</v>
      </c>
      <c r="D48" s="266" t="s">
        <v>186</v>
      </c>
      <c r="E48" s="267">
        <f>K47*0.5</f>
        <v>53874.44</v>
      </c>
      <c r="F48" s="19"/>
      <c r="G48" s="266" t="s">
        <v>186</v>
      </c>
      <c r="H48" s="267">
        <f>K47*0.5</f>
        <v>53874.44</v>
      </c>
      <c r="K48" s="71"/>
      <c r="R48" s="278" t="s">
        <v>150</v>
      </c>
      <c r="S48" s="279"/>
      <c r="T48" s="234">
        <f>$L$39</f>
        <v>0</v>
      </c>
      <c r="U48" s="236">
        <f>T48*9.34*0.107</f>
        <v>0</v>
      </c>
    </row>
    <row r="49" spans="1:21" ht="48" thickTop="1" thickBot="1" x14ac:dyDescent="0.3">
      <c r="A49" s="271" t="s">
        <v>194</v>
      </c>
      <c r="B49" s="272">
        <f>AF40</f>
        <v>562.05632552206521</v>
      </c>
      <c r="D49" s="271" t="s">
        <v>195</v>
      </c>
      <c r="E49" s="272">
        <f>AH40</f>
        <v>139.96119786574712</v>
      </c>
      <c r="F49" s="19"/>
      <c r="G49" s="271" t="s">
        <v>196</v>
      </c>
      <c r="H49" s="272">
        <f>AG40</f>
        <v>415.62441200358597</v>
      </c>
      <c r="K49" s="71"/>
      <c r="R49" s="278" t="s">
        <v>152</v>
      </c>
      <c r="S49" s="279"/>
      <c r="T49" s="234">
        <f>$E$39+$K$39</f>
        <v>1407.2297873976822</v>
      </c>
      <c r="U49" s="236">
        <f>(T49*8.34*1.04)/45000</f>
        <v>0.27123885075494525</v>
      </c>
    </row>
    <row r="50" spans="1:21" ht="48" customHeight="1" thickTop="1" thickBot="1" x14ac:dyDescent="0.3">
      <c r="A50" s="271" t="s">
        <v>223</v>
      </c>
      <c r="B50" s="272">
        <f>SUM(E50+H50)</f>
        <v>599.43924030310063</v>
      </c>
      <c r="D50" s="271" t="s">
        <v>226</v>
      </c>
      <c r="E50" s="272">
        <f>AE40</f>
        <v>149.65514246207832</v>
      </c>
      <c r="F50" s="19"/>
      <c r="G50" s="271" t="s">
        <v>227</v>
      </c>
      <c r="H50" s="272">
        <f>AD40</f>
        <v>449.78409784102229</v>
      </c>
      <c r="K50" s="71"/>
      <c r="R50" s="278"/>
      <c r="S50" s="279"/>
      <c r="T50" s="234"/>
      <c r="U50" s="236"/>
    </row>
    <row r="51" spans="1:21" ht="48" thickTop="1" thickBot="1" x14ac:dyDescent="0.3">
      <c r="A51" s="271" t="s">
        <v>190</v>
      </c>
      <c r="B51" s="273">
        <f>(SUM(B44:B48)/B50)</f>
        <v>768.27430544733295</v>
      </c>
      <c r="D51" s="271" t="s">
        <v>188</v>
      </c>
      <c r="E51" s="274">
        <f>SUM(E44:E48)/E50</f>
        <v>1587.3859676122654</v>
      </c>
      <c r="F51" s="334">
        <f>E44/E49</f>
        <v>678.1197338665927</v>
      </c>
      <c r="G51" s="271" t="s">
        <v>189</v>
      </c>
      <c r="H51" s="274">
        <f>SUM(H44:H48)/H50</f>
        <v>493.35137935405788</v>
      </c>
      <c r="I51" s="41">
        <f>H44/H49</f>
        <v>206.33893243530289</v>
      </c>
      <c r="K51" s="71"/>
      <c r="R51" s="278" t="s">
        <v>153</v>
      </c>
      <c r="S51" s="279"/>
      <c r="T51" s="234">
        <f>$U$39+$V$39+$AB$39</f>
        <v>15049.735259084815</v>
      </c>
      <c r="U51" s="236">
        <f>T51/2000/8</f>
        <v>0.94060845369280088</v>
      </c>
    </row>
    <row r="52" spans="1:21" ht="57" customHeight="1" thickTop="1" thickBot="1" x14ac:dyDescent="0.3">
      <c r="A52" s="261" t="s">
        <v>191</v>
      </c>
      <c r="B52" s="274">
        <f>B51/1000</f>
        <v>0.76827430544733299</v>
      </c>
      <c r="D52" s="261" t="s">
        <v>192</v>
      </c>
      <c r="E52" s="274">
        <f>E51/1000</f>
        <v>1.5873859676122655</v>
      </c>
      <c r="G52" s="261" t="s">
        <v>193</v>
      </c>
      <c r="H52" s="274">
        <f>H51/1000</f>
        <v>0.49335137935405787</v>
      </c>
      <c r="K52" s="71"/>
      <c r="R52" s="278" t="s">
        <v>154</v>
      </c>
      <c r="S52" s="279"/>
      <c r="T52" s="234">
        <f>$C$39+$J$39+$S$39+$T$39</f>
        <v>20364.006507000126</v>
      </c>
      <c r="U52" s="236">
        <f>(T52*8.34*1.4)/45000</f>
        <v>5.2837808883496322</v>
      </c>
    </row>
    <row r="53" spans="1:21" ht="16.5" thickTop="1" thickBot="1" x14ac:dyDescent="0.3">
      <c r="A53" s="282"/>
      <c r="K53" s="71"/>
      <c r="R53" s="278" t="s">
        <v>155</v>
      </c>
      <c r="S53" s="279"/>
      <c r="T53" s="234">
        <f>$H$39</f>
        <v>572.82147227247617</v>
      </c>
      <c r="U53" s="236">
        <f>(T53*8.34*1.135)/45000</f>
        <v>0.12049490609742296</v>
      </c>
    </row>
    <row r="54" spans="1:21" ht="48" customHeight="1" thickTop="1" thickBot="1" x14ac:dyDescent="0.3">
      <c r="A54" s="572" t="s">
        <v>51</v>
      </c>
      <c r="B54" s="573"/>
      <c r="C54" s="573"/>
      <c r="D54" s="573"/>
      <c r="E54" s="574"/>
      <c r="K54" s="71"/>
      <c r="R54" s="278" t="s">
        <v>156</v>
      </c>
      <c r="S54" s="279"/>
      <c r="T54" s="234">
        <f>$B$39+$I$39+$AC$39</f>
        <v>7645.0951047945046</v>
      </c>
      <c r="U54" s="236">
        <f>(T54*8.34*1.029*0.03)/3300</f>
        <v>0.59644668978210691</v>
      </c>
    </row>
    <row r="55" spans="1:21" ht="45.75" customHeight="1" thickBot="1" x14ac:dyDescent="0.3">
      <c r="A55" s="577" t="s">
        <v>200</v>
      </c>
      <c r="B55" s="578"/>
      <c r="C55" s="578"/>
      <c r="D55" s="578"/>
      <c r="E55" s="579"/>
      <c r="F55" s="72"/>
      <c r="G55" s="72"/>
      <c r="H55" s="72"/>
      <c r="I55" s="72"/>
      <c r="J55" s="72"/>
      <c r="K55" s="73"/>
      <c r="R55" s="585" t="s">
        <v>158</v>
      </c>
      <c r="S55" s="586"/>
      <c r="T55" s="238">
        <f>$D$39+$Y$39+$Z$39</f>
        <v>29719.636192166814</v>
      </c>
      <c r="U55" s="239">
        <f>(T55*1.54*8.34)/45000</f>
        <v>8.4823804310603048</v>
      </c>
    </row>
    <row r="56" spans="1:21" ht="24" thickTop="1" x14ac:dyDescent="0.25">
      <c r="A56" s="615"/>
      <c r="B56" s="616"/>
    </row>
    <row r="57" spans="1:21" x14ac:dyDescent="0.25">
      <c r="A57" s="617"/>
      <c r="B57" s="618"/>
    </row>
    <row r="58" spans="1:21" x14ac:dyDescent="0.25">
      <c r="A58" s="613"/>
      <c r="B58" s="614"/>
    </row>
    <row r="59" spans="1:21" x14ac:dyDescent="0.25">
      <c r="A59" s="614"/>
      <c r="B59" s="614"/>
    </row>
    <row r="60" spans="1:21" x14ac:dyDescent="0.25">
      <c r="A60" s="613"/>
      <c r="B60" s="614"/>
    </row>
    <row r="61" spans="1:21" x14ac:dyDescent="0.25">
      <c r="A61" s="614"/>
      <c r="B61" s="614"/>
    </row>
  </sheetData>
  <sheetProtection algorithmName="SHA-512" hashValue="royaa3Yhb9K2lnhcOtLlu9PInrQDX6Ab//Q0tqzz4vZxDl3XIorFdatBUMFPOTygILwSBnR3k5CAq+2tu4GvsA==" saltValue="iJPmXq5VNz1wpW1Dsl5RYw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Conte, Chris</cp:lastModifiedBy>
  <cp:lastPrinted>2017-01-18T15:43:36Z</cp:lastPrinted>
  <dcterms:created xsi:type="dcterms:W3CDTF">2010-10-11T23:47:50Z</dcterms:created>
  <dcterms:modified xsi:type="dcterms:W3CDTF">2023-02-03T16:57:55Z</dcterms:modified>
</cp:coreProperties>
</file>