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nterlagen COA Timo Blender\QUADRANT 3300\QUADRANT Value Calculator\"/>
    </mc:Choice>
  </mc:AlternateContent>
  <bookViews>
    <workbookView xWindow="0" yWindow="0" windowWidth="20490" windowHeight="7770"/>
  </bookViews>
  <sheets>
    <sheet name="QUADRANT" sheetId="2" r:id="rId1"/>
    <sheet name="Transport costs" sheetId="3" r:id="rId2"/>
    <sheet name="QUADRANT (2)" sheetId="5" r:id="rId3"/>
  </sheets>
  <definedNames>
    <definedName name="_xlnm.Print_Area" localSheetId="2">'QUADRANT (2)'!$A$1:$K$138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" i="5" l="1"/>
  <c r="I6" i="5"/>
  <c r="E98" i="5"/>
  <c r="E99" i="5"/>
  <c r="E97" i="5"/>
  <c r="E94" i="5"/>
  <c r="E95" i="5"/>
  <c r="E93" i="5"/>
  <c r="J103" i="5"/>
  <c r="J131" i="5"/>
  <c r="I131" i="5"/>
  <c r="I114" i="5"/>
  <c r="I115" i="5" s="1"/>
  <c r="J113" i="5"/>
  <c r="I113" i="5"/>
  <c r="I117" i="5" s="1"/>
  <c r="D15" i="5"/>
  <c r="I118" i="5" l="1"/>
  <c r="F48" i="5"/>
  <c r="J19" i="5"/>
  <c r="C70" i="5"/>
  <c r="J15" i="5"/>
  <c r="J33" i="5"/>
  <c r="I19" i="5"/>
  <c r="C60" i="5" s="1"/>
  <c r="D36" i="5"/>
  <c r="C36" i="5"/>
  <c r="C27" i="5"/>
  <c r="J18" i="5" s="1"/>
  <c r="D42" i="5"/>
  <c r="J39" i="5"/>
  <c r="F70" i="5"/>
  <c r="J38" i="5"/>
  <c r="J37" i="5"/>
  <c r="J36" i="5"/>
  <c r="J27" i="5"/>
  <c r="F52" i="5"/>
  <c r="C42" i="5"/>
  <c r="I33" i="5"/>
  <c r="C51" i="5" s="1"/>
  <c r="I27" i="5"/>
  <c r="C52" i="5"/>
  <c r="F68" i="2"/>
  <c r="F69" i="2"/>
  <c r="F70" i="2"/>
  <c r="F67" i="2"/>
  <c r="C55" i="2"/>
  <c r="C56" i="2"/>
  <c r="C57" i="2"/>
  <c r="C58" i="2"/>
  <c r="C54" i="2"/>
  <c r="C50" i="2"/>
  <c r="C51" i="2"/>
  <c r="C49" i="2"/>
  <c r="F50" i="5" l="1"/>
  <c r="I105" i="5"/>
  <c r="J52" i="5"/>
  <c r="J70" i="5"/>
  <c r="F74" i="5"/>
  <c r="F71" i="5"/>
  <c r="F75" i="5"/>
  <c r="F72" i="5"/>
  <c r="F73" i="5"/>
  <c r="C75" i="5"/>
  <c r="C74" i="5"/>
  <c r="C53" i="5"/>
  <c r="C55" i="5"/>
  <c r="I70" i="5"/>
  <c r="C72" i="5"/>
  <c r="I18" i="5"/>
  <c r="C63" i="5" s="1"/>
  <c r="C73" i="5"/>
  <c r="F60" i="5"/>
  <c r="F53" i="5"/>
  <c r="F55" i="5"/>
  <c r="F51" i="5"/>
  <c r="J51" i="5" s="1"/>
  <c r="F54" i="5"/>
  <c r="C71" i="5"/>
  <c r="I52" i="5"/>
  <c r="C54" i="5"/>
  <c r="P29" i="3"/>
  <c r="P18" i="3"/>
  <c r="I122" i="5" l="1"/>
  <c r="I124" i="5"/>
  <c r="J124" i="5"/>
  <c r="I126" i="5" s="1"/>
  <c r="J54" i="5"/>
  <c r="J71" i="5"/>
  <c r="J74" i="5"/>
  <c r="J72" i="5"/>
  <c r="I60" i="5"/>
  <c r="J60" i="5"/>
  <c r="J73" i="5"/>
  <c r="J55" i="5"/>
  <c r="J53" i="5"/>
  <c r="J75" i="5"/>
  <c r="F76" i="5"/>
  <c r="I53" i="5"/>
  <c r="C64" i="5"/>
  <c r="C61" i="5"/>
  <c r="C65" i="5"/>
  <c r="C62" i="5"/>
  <c r="C50" i="5"/>
  <c r="I55" i="5"/>
  <c r="C76" i="5"/>
  <c r="I51" i="5"/>
  <c r="I54" i="5"/>
  <c r="O19" i="3"/>
  <c r="O20" i="3" s="1"/>
  <c r="P36" i="3"/>
  <c r="O36" i="3"/>
  <c r="O29" i="3"/>
  <c r="O27" i="3"/>
  <c r="O18" i="3"/>
  <c r="I130" i="5" l="1"/>
  <c r="I125" i="5"/>
  <c r="I50" i="5"/>
  <c r="J50" i="5"/>
  <c r="J76" i="5"/>
  <c r="C56" i="5"/>
  <c r="D50" i="5" s="1"/>
  <c r="C66" i="5"/>
  <c r="D63" i="5" s="1"/>
  <c r="I75" i="5"/>
  <c r="I74" i="5"/>
  <c r="D70" i="5"/>
  <c r="D74" i="5"/>
  <c r="D73" i="5"/>
  <c r="D75" i="5"/>
  <c r="D72" i="5"/>
  <c r="F65" i="5"/>
  <c r="J65" i="5" s="1"/>
  <c r="F62" i="5"/>
  <c r="J62" i="5" s="1"/>
  <c r="F63" i="5"/>
  <c r="J63" i="5" s="1"/>
  <c r="F64" i="5"/>
  <c r="J64" i="5" s="1"/>
  <c r="F61" i="5"/>
  <c r="J61" i="5" s="1"/>
  <c r="D71" i="5"/>
  <c r="I72" i="5"/>
  <c r="I73" i="5"/>
  <c r="D54" i="5"/>
  <c r="I71" i="5"/>
  <c r="G75" i="5"/>
  <c r="O31" i="3"/>
  <c r="O30" i="3"/>
  <c r="O35" i="3"/>
  <c r="O37" i="3" s="1"/>
  <c r="O38" i="3" s="1"/>
  <c r="O22" i="3"/>
  <c r="O23" i="3"/>
  <c r="C74" i="2"/>
  <c r="I54" i="2" s="1"/>
  <c r="I69" i="2"/>
  <c r="F64" i="2"/>
  <c r="I50" i="2" s="1"/>
  <c r="C59" i="2"/>
  <c r="F58" i="2"/>
  <c r="I51" i="2"/>
  <c r="J132" i="5" l="1"/>
  <c r="J133" i="5" s="1"/>
  <c r="I132" i="5"/>
  <c r="D55" i="5"/>
  <c r="D53" i="5"/>
  <c r="D51" i="5"/>
  <c r="D52" i="5"/>
  <c r="D62" i="5"/>
  <c r="D61" i="5"/>
  <c r="D60" i="5"/>
  <c r="D65" i="5"/>
  <c r="D64" i="5"/>
  <c r="G74" i="5"/>
  <c r="I76" i="5"/>
  <c r="G72" i="5"/>
  <c r="G71" i="5"/>
  <c r="G73" i="5"/>
  <c r="I61" i="5"/>
  <c r="F66" i="5"/>
  <c r="I62" i="5"/>
  <c r="I64" i="5"/>
  <c r="I65" i="5"/>
  <c r="I63" i="5"/>
  <c r="G76" i="5"/>
  <c r="G70" i="5"/>
  <c r="F56" i="5"/>
  <c r="I56" i="5"/>
  <c r="D76" i="5"/>
  <c r="P37" i="3"/>
  <c r="P38" i="3" s="1"/>
  <c r="I52" i="2"/>
  <c r="I53" i="2"/>
  <c r="C68" i="2"/>
  <c r="I72" i="2"/>
  <c r="I73" i="2"/>
  <c r="F50" i="2"/>
  <c r="I59" i="2" s="1"/>
  <c r="F49" i="2"/>
  <c r="I71" i="2"/>
  <c r="I74" i="2"/>
  <c r="I70" i="2"/>
  <c r="I135" i="5" l="1"/>
  <c r="I136" i="5" s="1"/>
  <c r="I137" i="5" s="1"/>
  <c r="I133" i="5"/>
  <c r="D56" i="5"/>
  <c r="G50" i="5"/>
  <c r="J56" i="5"/>
  <c r="G60" i="5"/>
  <c r="J66" i="5"/>
  <c r="D66" i="5"/>
  <c r="G65" i="5"/>
  <c r="G64" i="5"/>
  <c r="G63" i="5"/>
  <c r="G61" i="5"/>
  <c r="G55" i="5"/>
  <c r="G52" i="5"/>
  <c r="G53" i="5"/>
  <c r="G51" i="5"/>
  <c r="G54" i="5"/>
  <c r="G62" i="5"/>
  <c r="I66" i="5"/>
  <c r="O40" i="3"/>
  <c r="O41" i="3" s="1"/>
  <c r="O42" i="3" s="1"/>
  <c r="I62" i="2"/>
  <c r="I49" i="2"/>
  <c r="I63" i="2"/>
  <c r="I61" i="2"/>
  <c r="I64" i="2"/>
  <c r="I60" i="2"/>
  <c r="I75" i="2"/>
  <c r="G56" i="5" l="1"/>
  <c r="G66" i="5"/>
  <c r="J75" i="2"/>
  <c r="J69" i="2"/>
  <c r="J72" i="2"/>
  <c r="J73" i="2"/>
  <c r="J70" i="2"/>
  <c r="J74" i="2"/>
  <c r="J71" i="2"/>
  <c r="I55" i="2"/>
  <c r="I65" i="2"/>
  <c r="J49" i="2" l="1"/>
  <c r="J50" i="2"/>
  <c r="J54" i="2"/>
  <c r="J51" i="2"/>
  <c r="J52" i="2"/>
  <c r="J53" i="2"/>
  <c r="J61" i="2"/>
  <c r="J62" i="2"/>
  <c r="J63" i="2"/>
  <c r="J60" i="2"/>
  <c r="J64" i="2"/>
  <c r="J59" i="2"/>
  <c r="J55" i="2" l="1"/>
  <c r="J65" i="2"/>
  <c r="F22" i="2" l="1"/>
  <c r="F28" i="2" l="1"/>
  <c r="F14" i="2" l="1"/>
  <c r="C32" i="2"/>
  <c r="I33" i="2"/>
  <c r="L33" i="2" s="1"/>
  <c r="I15" i="2"/>
  <c r="C38" i="2"/>
  <c r="I16" i="2" s="1"/>
  <c r="I14" i="2"/>
  <c r="C23" i="2"/>
  <c r="F13" i="2" s="1"/>
  <c r="L15" i="2" l="1"/>
  <c r="K51" i="2"/>
  <c r="L14" i="2"/>
  <c r="K50" i="2"/>
  <c r="L16" i="2"/>
  <c r="K52" i="2"/>
  <c r="I36" i="2"/>
  <c r="L36" i="2" s="1"/>
  <c r="I38" i="2"/>
  <c r="L38" i="2" s="1"/>
  <c r="I23" i="2"/>
  <c r="L23" i="2" s="1"/>
  <c r="I26" i="2"/>
  <c r="L26" i="2" s="1"/>
  <c r="I17" i="2"/>
  <c r="I34" i="2"/>
  <c r="L34" i="2" s="1"/>
  <c r="I35" i="2"/>
  <c r="L35" i="2" s="1"/>
  <c r="I18" i="2"/>
  <c r="I37" i="2"/>
  <c r="L37" i="2" s="1"/>
  <c r="L18" i="2" l="1"/>
  <c r="K54" i="2"/>
  <c r="L17" i="2"/>
  <c r="K53" i="2"/>
  <c r="L39" i="2"/>
  <c r="I13" i="2"/>
  <c r="K49" i="2" s="1"/>
  <c r="I24" i="2"/>
  <c r="L24" i="2" s="1"/>
  <c r="I28" i="2"/>
  <c r="L28" i="2" s="1"/>
  <c r="I27" i="2"/>
  <c r="L27" i="2" s="1"/>
  <c r="I25" i="2"/>
  <c r="L25" i="2" s="1"/>
  <c r="I39" i="2"/>
  <c r="L13" i="2" l="1"/>
  <c r="L19" i="2"/>
  <c r="L29" i="2"/>
  <c r="I19" i="2"/>
  <c r="K55" i="2" s="1"/>
  <c r="M19" i="2" s="1"/>
  <c r="J38" i="2"/>
  <c r="K69" i="2"/>
  <c r="K73" i="2"/>
  <c r="K72" i="2"/>
  <c r="K74" i="2"/>
  <c r="K71" i="2"/>
  <c r="K70" i="2"/>
  <c r="J36" i="2"/>
  <c r="J37" i="2"/>
  <c r="J33" i="2"/>
  <c r="J34" i="2"/>
  <c r="J35" i="2"/>
  <c r="I29" i="2"/>
  <c r="J23" i="2" s="1"/>
  <c r="J15" i="2" l="1"/>
  <c r="J16" i="2"/>
  <c r="J14" i="2"/>
  <c r="J18" i="2"/>
  <c r="J17" i="2"/>
  <c r="J13" i="2"/>
  <c r="K60" i="2"/>
  <c r="K59" i="2"/>
  <c r="K75" i="2"/>
  <c r="M39" i="2" s="1"/>
  <c r="K63" i="2"/>
  <c r="K61" i="2"/>
  <c r="K64" i="2"/>
  <c r="K62" i="2"/>
  <c r="J39" i="2"/>
  <c r="J25" i="2"/>
  <c r="J26" i="2"/>
  <c r="J28" i="2"/>
  <c r="J27" i="2"/>
  <c r="J24" i="2"/>
  <c r="J19" i="2" l="1"/>
  <c r="K65" i="2"/>
  <c r="M29" i="2" s="1"/>
  <c r="J29" i="2"/>
</calcChain>
</file>

<file path=xl/comments1.xml><?xml version="1.0" encoding="utf-8"?>
<comments xmlns="http://schemas.openxmlformats.org/spreadsheetml/2006/main">
  <authors>
    <author>Blender, Timo</author>
  </authors>
  <commentList>
    <comment ref="N19" authorId="0" shapeId="0">
      <text>
        <r>
          <rPr>
            <b/>
            <sz val="9"/>
            <color indexed="81"/>
            <rFont val="Tahoma"/>
            <charset val="1"/>
          </rPr>
          <t>Blender, Timo:</t>
        </r>
        <r>
          <rPr>
            <sz val="9"/>
            <color indexed="81"/>
            <rFont val="Tahoma"/>
            <charset val="1"/>
          </rPr>
          <t xml:space="preserve">
Distance to the farm and back to the field.
</t>
        </r>
      </text>
    </comment>
  </commentList>
</comments>
</file>

<file path=xl/comments2.xml><?xml version="1.0" encoding="utf-8"?>
<comments xmlns="http://schemas.openxmlformats.org/spreadsheetml/2006/main">
  <authors>
    <author>Blender, Timo</author>
  </authors>
  <commentList>
    <comment ref="H114" authorId="0" shapeId="0">
      <text>
        <r>
          <rPr>
            <b/>
            <sz val="9"/>
            <color indexed="81"/>
            <rFont val="Tahoma"/>
            <charset val="1"/>
          </rPr>
          <t>Blender, Timo:</t>
        </r>
        <r>
          <rPr>
            <sz val="9"/>
            <color indexed="81"/>
            <rFont val="Tahoma"/>
            <charset val="1"/>
          </rPr>
          <t xml:space="preserve">
Distance to the farm and back to the field.
</t>
        </r>
      </text>
    </comment>
  </commentList>
</comments>
</file>

<file path=xl/sharedStrings.xml><?xml version="1.0" encoding="utf-8"?>
<sst xmlns="http://schemas.openxmlformats.org/spreadsheetml/2006/main" count="319" uniqueCount="102">
  <si>
    <t>Fuel</t>
  </si>
  <si>
    <t>Labor</t>
  </si>
  <si>
    <t>Maintainance</t>
  </si>
  <si>
    <t>Crop 4</t>
  </si>
  <si>
    <t>Crop 5</t>
  </si>
  <si>
    <t>Twine</t>
  </si>
  <si>
    <t>Per Bale</t>
  </si>
  <si>
    <t>Height</t>
  </si>
  <si>
    <t>Width</t>
  </si>
  <si>
    <t>Length</t>
  </si>
  <si>
    <t>Bale Dimensions [ft]</t>
  </si>
  <si>
    <t>Bales per year [n]</t>
  </si>
  <si>
    <t>Gras Hay</t>
  </si>
  <si>
    <t>Alfalfa Hay</t>
  </si>
  <si>
    <t>Straw</t>
  </si>
  <si>
    <t>Bale weight [lbs/bale]</t>
  </si>
  <si>
    <t>Estimated service life in bales [n]</t>
  </si>
  <si>
    <t>Estimated service life in years [N]</t>
  </si>
  <si>
    <t>Treshhold Bales/Year  [n/N]</t>
  </si>
  <si>
    <t>Fix Costs</t>
  </si>
  <si>
    <t>Variable Costs</t>
  </si>
  <si>
    <t>Initial Costs [$]</t>
  </si>
  <si>
    <t>Residual Value [$]</t>
  </si>
  <si>
    <t>Interest Rate [%]</t>
  </si>
  <si>
    <t>Maintainance [$/bale]</t>
  </si>
  <si>
    <t>Fuel Costs [$/gal]</t>
  </si>
  <si>
    <t>Fuel Consumption [gal/h]</t>
  </si>
  <si>
    <t>Labor [$/h]</t>
  </si>
  <si>
    <t>Seconds per Bale [s/bale]</t>
  </si>
  <si>
    <t>Efficiency Factor [%]</t>
  </si>
  <si>
    <t>Hourly Output [Bales/h]</t>
  </si>
  <si>
    <t>Actual Bales per Lifetime</t>
  </si>
  <si>
    <t>Deprceation</t>
  </si>
  <si>
    <t>Per Year</t>
  </si>
  <si>
    <t>Per Tons</t>
  </si>
  <si>
    <t>Twine per Ball [ft/x]</t>
  </si>
  <si>
    <t>Twine needed per bale [ft/bale]</t>
  </si>
  <si>
    <t>Actual Years of Operation [N]</t>
  </si>
  <si>
    <t>Actual Tons per Lifetime</t>
  </si>
  <si>
    <t>Efficiency Monitor</t>
  </si>
  <si>
    <t>Deprceation and Interest</t>
  </si>
  <si>
    <t>Total</t>
  </si>
  <si>
    <t>Field Input</t>
  </si>
  <si>
    <t>Total Bales per Year [n]</t>
  </si>
  <si>
    <t>Total Tons per Year</t>
  </si>
  <si>
    <t>Expenses</t>
  </si>
  <si>
    <t>Expenditures</t>
  </si>
  <si>
    <t>Tractor Costs [$/h]</t>
  </si>
  <si>
    <t>Value Calculator</t>
  </si>
  <si>
    <t>Costs per Twine Ball [$/x]</t>
  </si>
  <si>
    <t>Farm Email:</t>
  </si>
  <si>
    <t>Tractor</t>
  </si>
  <si>
    <t>Competition</t>
  </si>
  <si>
    <t>Farm Name:</t>
  </si>
  <si>
    <t>Comments on Demo:</t>
  </si>
  <si>
    <t xml:space="preserve">Competition </t>
  </si>
  <si>
    <t>Advantage / Disadvantage</t>
  </si>
  <si>
    <t>5 Axle tractor Semi Trailer</t>
  </si>
  <si>
    <t>Rocky Mountain Double</t>
  </si>
  <si>
    <t xml:space="preserve">Triple Trailer Combination </t>
  </si>
  <si>
    <t>39 bales</t>
  </si>
  <si>
    <t>66 bales</t>
  </si>
  <si>
    <t>63 bales</t>
  </si>
  <si>
    <t>Claas</t>
  </si>
  <si>
    <t>Total harvested weight [lbs]</t>
  </si>
  <si>
    <t>Number of truck loads</t>
  </si>
  <si>
    <t>Per truck load</t>
  </si>
  <si>
    <t>Difference weigth [lbs]</t>
  </si>
  <si>
    <t>More weight per truckload [lbs]</t>
  </si>
  <si>
    <t>More weight per Truckload [%]</t>
  </si>
  <si>
    <t>Transport cost Calculator</t>
  </si>
  <si>
    <t>Same bales over the Year</t>
  </si>
  <si>
    <t>Same harvested weight over the Year</t>
  </si>
  <si>
    <t>Weight per bale [lbs]</t>
  </si>
  <si>
    <t>Bales per truckload [n]</t>
  </si>
  <si>
    <t>Cost per miles [$]</t>
  </si>
  <si>
    <t>Transport distance [miles]</t>
  </si>
  <si>
    <t>Weight per truck load [lbs]</t>
  </si>
  <si>
    <t>Cost per truck load [$]</t>
  </si>
  <si>
    <t>Less bales [n]</t>
  </si>
  <si>
    <t>Less truck loads [n]</t>
  </si>
  <si>
    <t>Less transport costs [$]</t>
  </si>
  <si>
    <t>Number of truck loads [n]</t>
  </si>
  <si>
    <t>Bales [n]</t>
  </si>
  <si>
    <t>Demo Machine:</t>
  </si>
  <si>
    <t>CLAAS QUADRANT 3300</t>
  </si>
  <si>
    <t>Competitor:</t>
  </si>
  <si>
    <t>Farm Address:</t>
  </si>
  <si>
    <t>Sales Rep.:</t>
  </si>
  <si>
    <t>Date:</t>
  </si>
  <si>
    <t>Phone:</t>
  </si>
  <si>
    <t>Dealer Name:</t>
  </si>
  <si>
    <t>Dealer Address:</t>
  </si>
  <si>
    <t>Comp. Brand:</t>
  </si>
  <si>
    <t>Comp. Model:</t>
  </si>
  <si>
    <t>CLAAS</t>
  </si>
  <si>
    <t>Cost Savings</t>
  </si>
  <si>
    <t>Usage</t>
  </si>
  <si>
    <t>Kuhn</t>
  </si>
  <si>
    <t>5 Axle tractor Semi Trailer (39 bales per load)</t>
  </si>
  <si>
    <t>Rocky Mountain Double (66 bales per load)</t>
  </si>
  <si>
    <t>Triple Trailer Combination (63 bales per 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</si>
</sst>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0.0%"/>
    <numFmt numFmtId="168" formatCode="_([$$-409]* #,##0.00_);_([$$-409]* \(#,##0.00\);_([$$-409]* &quot;-&quot;??_);_(@_)"/>
    <numFmt numFmtId="169" formatCode="_([$$-409]* #,##0_);_([$$-409]* \(#,##0\);_([$$-409]* &quot;-&quot;??_);_(@_)"/>
    <numFmt numFmtId="170" formatCode="&quot;$&quot;#,##0.00"/>
    <numFmt numFmtId="171" formatCode="&quot;$&quot;#,##0"/>
    <numFmt numFmtId="172" formatCode="m/d/yy;@"/>
    <numFmt numFmtId="173" formatCode="mm/dd/yy;@"/>
  </numFmts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0" tint="-0.249977111117893"/>
      <name val="Arial"/>
      <family val="2"/>
    </font>
    <font>
      <b/>
      <u/>
      <sz val="11"/>
      <color theme="1"/>
      <name val="Arial"/>
      <family val="2"/>
    </font>
    <font>
      <b/>
      <sz val="10"/>
      <color theme="1"/>
      <name val="Arial"/>
      <family val="2"/>
      <scheme val="minor"/>
    </font>
    <font>
      <sz val="18"/>
      <color theme="1"/>
      <name val="Arial"/>
      <family val="2"/>
    </font>
    <font>
      <sz val="20"/>
      <color theme="1"/>
      <name val="Arial"/>
      <family val="2"/>
    </font>
    <font>
      <i/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1"/>
      <color rgb="FFB3C618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1499984740745262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3C61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0" fontId="2" fillId="2" borderId="0" xfId="0" applyFont="1" applyFill="1" applyBorder="1"/>
    <xf numFmtId="0" fontId="0" fillId="0" borderId="0" xfId="0" applyAlignment="1">
      <alignment horizontal="right"/>
    </xf>
    <xf numFmtId="0" fontId="6" fillId="2" borderId="0" xfId="0" applyFont="1" applyFill="1" applyBorder="1"/>
    <xf numFmtId="0" fontId="0" fillId="2" borderId="0" xfId="0" applyFill="1" applyBorder="1"/>
    <xf numFmtId="0" fontId="0" fillId="2" borderId="0" xfId="0" applyFill="1" applyAlignment="1">
      <alignment horizontal="right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9" fillId="2" borderId="0" xfId="0" applyFont="1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1" fillId="2" borderId="0" xfId="0" applyFont="1" applyFill="1" applyAlignment="1">
      <alignment vertical="center"/>
    </xf>
    <xf numFmtId="0" fontId="8" fillId="7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2" borderId="1" xfId="0" applyFill="1" applyBorder="1"/>
    <xf numFmtId="0" fontId="14" fillId="2" borderId="0" xfId="0" applyFont="1" applyFill="1"/>
    <xf numFmtId="165" fontId="0" fillId="4" borderId="0" xfId="0" applyNumberFormat="1" applyFill="1"/>
    <xf numFmtId="168" fontId="0" fillId="4" borderId="0" xfId="0" applyNumberFormat="1" applyFill="1"/>
    <xf numFmtId="0" fontId="0" fillId="2" borderId="0" xfId="0" applyFill="1" applyBorder="1" applyAlignment="1">
      <alignment horizontal="right"/>
    </xf>
    <xf numFmtId="0" fontId="5" fillId="2" borderId="0" xfId="0" applyFont="1" applyFill="1" applyBorder="1"/>
    <xf numFmtId="0" fontId="6" fillId="2" borderId="0" xfId="0" applyFont="1" applyFill="1" applyBorder="1" applyAlignment="1">
      <alignment horizontal="right"/>
    </xf>
    <xf numFmtId="0" fontId="4" fillId="2" borderId="0" xfId="0" applyFont="1" applyFill="1"/>
    <xf numFmtId="0" fontId="7" fillId="2" borderId="0" xfId="0" applyFont="1" applyFill="1"/>
    <xf numFmtId="0" fontId="8" fillId="2" borderId="0" xfId="0" applyFont="1" applyFill="1" applyAlignment="1"/>
    <xf numFmtId="0" fontId="10" fillId="2" borderId="0" xfId="0" applyFont="1" applyFill="1" applyAlignment="1"/>
    <xf numFmtId="168" fontId="0" fillId="2" borderId="0" xfId="0" applyNumberFormat="1" applyFill="1"/>
    <xf numFmtId="164" fontId="0" fillId="2" borderId="0" xfId="0" applyNumberFormat="1" applyFill="1"/>
    <xf numFmtId="164" fontId="0" fillId="2" borderId="1" xfId="0" applyNumberFormat="1" applyFill="1" applyBorder="1"/>
    <xf numFmtId="166" fontId="0" fillId="2" borderId="0" xfId="0" applyNumberFormat="1" applyFill="1"/>
    <xf numFmtId="166" fontId="0" fillId="2" borderId="1" xfId="0" applyNumberFormat="1" applyFill="1" applyBorder="1"/>
    <xf numFmtId="0" fontId="3" fillId="2" borderId="0" xfId="0" applyFont="1" applyFill="1" applyAlignment="1"/>
    <xf numFmtId="0" fontId="0" fillId="4" borderId="1" xfId="0" applyFill="1" applyBorder="1"/>
    <xf numFmtId="9" fontId="6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10" fontId="0" fillId="4" borderId="0" xfId="0" applyNumberFormat="1" applyFill="1"/>
    <xf numFmtId="165" fontId="0" fillId="4" borderId="1" xfId="0" applyNumberFormat="1" applyFill="1" applyBorder="1"/>
    <xf numFmtId="164" fontId="0" fillId="4" borderId="0" xfId="0" applyNumberFormat="1" applyFill="1"/>
    <xf numFmtId="167" fontId="0" fillId="4" borderId="0" xfId="0" applyNumberFormat="1" applyFill="1"/>
    <xf numFmtId="164" fontId="0" fillId="4" borderId="1" xfId="0" applyNumberFormat="1" applyFill="1" applyBorder="1"/>
    <xf numFmtId="166" fontId="0" fillId="4" borderId="0" xfId="0" applyNumberFormat="1" applyFill="1"/>
    <xf numFmtId="169" fontId="0" fillId="4" borderId="0" xfId="0" applyNumberFormat="1" applyFill="1"/>
    <xf numFmtId="166" fontId="0" fillId="4" borderId="1" xfId="0" applyNumberFormat="1" applyFill="1" applyBorder="1"/>
    <xf numFmtId="10" fontId="0" fillId="4" borderId="1" xfId="0" applyNumberFormat="1" applyFill="1" applyBorder="1"/>
    <xf numFmtId="167" fontId="0" fillId="4" borderId="1" xfId="0" applyNumberFormat="1" applyFill="1" applyBorder="1"/>
    <xf numFmtId="0" fontId="4" fillId="2" borderId="0" xfId="0" applyFont="1" applyFill="1" applyAlignment="1">
      <alignment horizontal="center" vertical="center"/>
    </xf>
    <xf numFmtId="10" fontId="4" fillId="2" borderId="0" xfId="0" applyNumberFormat="1" applyFont="1" applyFill="1" applyAlignment="1">
      <alignment horizontal="center" vertical="center"/>
    </xf>
    <xf numFmtId="167" fontId="4" fillId="2" borderId="0" xfId="0" applyNumberFormat="1" applyFont="1" applyFill="1" applyAlignment="1">
      <alignment horizontal="center" vertical="center"/>
    </xf>
    <xf numFmtId="167" fontId="4" fillId="2" borderId="0" xfId="0" applyNumberFormat="1" applyFont="1" applyFill="1" applyBorder="1" applyAlignment="1">
      <alignment horizontal="center" vertical="center"/>
    </xf>
    <xf numFmtId="0" fontId="0" fillId="6" borderId="0" xfId="0" applyFill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166" fontId="0" fillId="6" borderId="0" xfId="0" applyNumberFormat="1" applyFill="1" applyAlignment="1" applyProtection="1">
      <alignment horizontal="right"/>
      <protection locked="0"/>
    </xf>
    <xf numFmtId="0" fontId="6" fillId="6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166" fontId="4" fillId="3" borderId="0" xfId="0" applyNumberFormat="1" applyFont="1" applyFill="1" applyAlignment="1" applyProtection="1">
      <alignment horizontal="right"/>
      <protection locked="0"/>
    </xf>
    <xf numFmtId="0" fontId="0" fillId="2" borderId="0" xfId="0" applyFill="1" applyBorder="1" applyAlignment="1">
      <alignment horizontal="center"/>
    </xf>
    <xf numFmtId="0" fontId="15" fillId="2" borderId="0" xfId="0" applyFont="1" applyFill="1"/>
    <xf numFmtId="0" fontId="0" fillId="4" borderId="0" xfId="0" applyFill="1" applyProtection="1">
      <protection locked="0"/>
    </xf>
    <xf numFmtId="0" fontId="12" fillId="4" borderId="0" xfId="0" applyFont="1" applyFill="1" applyProtection="1">
      <protection locked="0"/>
    </xf>
    <xf numFmtId="0" fontId="12" fillId="4" borderId="1" xfId="0" applyFont="1" applyFill="1" applyBorder="1" applyProtection="1">
      <protection locked="0"/>
    </xf>
    <xf numFmtId="0" fontId="0" fillId="2" borderId="0" xfId="0" applyFill="1" applyProtection="1"/>
    <xf numFmtId="1" fontId="0" fillId="4" borderId="1" xfId="0" applyNumberFormat="1" applyFill="1" applyBorder="1" applyAlignment="1">
      <alignment horizontal="center"/>
    </xf>
    <xf numFmtId="0" fontId="0" fillId="4" borderId="0" xfId="0" applyNumberFormat="1" applyFill="1" applyAlignment="1">
      <alignment horizontal="center"/>
    </xf>
    <xf numFmtId="0" fontId="6" fillId="4" borderId="0" xfId="0" applyFont="1" applyFill="1"/>
    <xf numFmtId="1" fontId="0" fillId="4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2" fillId="7" borderId="0" xfId="0" applyFont="1" applyFill="1" applyBorder="1" applyAlignment="1"/>
    <xf numFmtId="0" fontId="3" fillId="6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2" borderId="0" xfId="0" applyFill="1" applyProtection="1"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71" fontId="0" fillId="4" borderId="0" xfId="2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166" fontId="0" fillId="6" borderId="0" xfId="0" applyNumberFormat="1" applyFill="1" applyAlignment="1">
      <alignment horizontal="right"/>
    </xf>
    <xf numFmtId="167" fontId="0" fillId="6" borderId="0" xfId="1" applyNumberFormat="1" applyFont="1" applyFill="1" applyAlignment="1">
      <alignment horizontal="right"/>
    </xf>
    <xf numFmtId="0" fontId="0" fillId="4" borderId="2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4" borderId="0" xfId="0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10" fontId="6" fillId="2" borderId="0" xfId="0" applyNumberFormat="1" applyFont="1" applyFill="1" applyAlignment="1">
      <alignment horizontal="center" vertical="center"/>
    </xf>
    <xf numFmtId="167" fontId="6" fillId="2" borderId="0" xfId="0" applyNumberFormat="1" applyFont="1" applyFill="1" applyAlignment="1">
      <alignment horizontal="center" vertical="center"/>
    </xf>
    <xf numFmtId="167" fontId="6" fillId="2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5" fillId="6" borderId="0" xfId="0" applyFont="1" applyFill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0" fillId="4" borderId="0" xfId="0" applyFill="1" applyAlignment="1">
      <alignment horizontal="center"/>
    </xf>
    <xf numFmtId="0" fontId="6" fillId="2" borderId="0" xfId="0" applyFont="1" applyFill="1" applyAlignment="1" applyProtection="1">
      <alignment horizontal="center" vertical="center"/>
      <protection locked="0"/>
    </xf>
    <xf numFmtId="1" fontId="0" fillId="4" borderId="1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6" fontId="4" fillId="3" borderId="0" xfId="0" applyNumberFormat="1" applyFont="1" applyFill="1" applyAlignment="1">
      <alignment horizontal="right"/>
    </xf>
    <xf numFmtId="167" fontId="4" fillId="3" borderId="0" xfId="1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165" fontId="4" fillId="3" borderId="0" xfId="0" applyNumberFormat="1" applyFont="1" applyFill="1" applyAlignment="1">
      <alignment horizontal="right"/>
    </xf>
    <xf numFmtId="165" fontId="6" fillId="6" borderId="0" xfId="0" applyNumberFormat="1" applyFont="1" applyFill="1" applyAlignment="1">
      <alignment horizontal="right"/>
    </xf>
    <xf numFmtId="0" fontId="6" fillId="6" borderId="0" xfId="0" applyFont="1" applyFill="1" applyAlignment="1">
      <alignment horizontal="right"/>
    </xf>
    <xf numFmtId="165" fontId="0" fillId="6" borderId="0" xfId="0" applyNumberFormat="1" applyFill="1" applyAlignment="1">
      <alignment horizontal="right"/>
    </xf>
    <xf numFmtId="0" fontId="2" fillId="2" borderId="0" xfId="0" applyFont="1" applyFill="1" applyAlignment="1">
      <alignment horizontal="right"/>
    </xf>
    <xf numFmtId="172" fontId="0" fillId="2" borderId="0" xfId="0" applyNumberFormat="1" applyFill="1"/>
    <xf numFmtId="0" fontId="6" fillId="4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0" fillId="4" borderId="0" xfId="0" applyFont="1" applyFill="1" applyBorder="1" applyAlignment="1">
      <alignment horizontal="right" vertic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6" fillId="2" borderId="0" xfId="0" applyFont="1" applyFill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/>
    <xf numFmtId="166" fontId="6" fillId="2" borderId="0" xfId="0" applyNumberFormat="1" applyFont="1" applyFill="1" applyAlignment="1" applyProtection="1">
      <alignment horizontal="right"/>
      <protection locked="0"/>
    </xf>
    <xf numFmtId="166" fontId="6" fillId="2" borderId="0" xfId="0" applyNumberFormat="1" applyFont="1" applyFill="1" applyAlignment="1">
      <alignment horizontal="right"/>
    </xf>
    <xf numFmtId="167" fontId="6" fillId="2" borderId="0" xfId="1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0" fontId="0" fillId="2" borderId="5" xfId="0" applyFill="1" applyBorder="1" applyAlignment="1" applyProtection="1">
      <alignment vertical="center"/>
      <protection locked="0"/>
    </xf>
    <xf numFmtId="0" fontId="0" fillId="2" borderId="4" xfId="0" applyFill="1" applyBorder="1" applyAlignment="1" applyProtection="1">
      <alignment vertical="center"/>
      <protection locked="0"/>
    </xf>
    <xf numFmtId="0" fontId="0" fillId="2" borderId="7" xfId="0" applyFill="1" applyBorder="1" applyAlignment="1" applyProtection="1">
      <alignment vertical="center"/>
      <protection locked="0"/>
    </xf>
    <xf numFmtId="0" fontId="0" fillId="2" borderId="0" xfId="0" applyFill="1" applyBorder="1" applyAlignme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  <protection locked="0"/>
    </xf>
    <xf numFmtId="0" fontId="0" fillId="2" borderId="3" xfId="0" applyFill="1" applyBorder="1" applyAlignment="1" applyProtection="1">
      <alignment vertical="center"/>
      <protection locked="0"/>
    </xf>
    <xf numFmtId="0" fontId="0" fillId="2" borderId="6" xfId="0" applyFill="1" applyBorder="1" applyAlignment="1" applyProtection="1">
      <alignment vertical="center"/>
      <protection locked="0"/>
    </xf>
    <xf numFmtId="0" fontId="0" fillId="2" borderId="8" xfId="0" applyFill="1" applyBorder="1" applyAlignment="1" applyProtection="1">
      <alignment vertical="center"/>
      <protection locked="0"/>
    </xf>
    <xf numFmtId="0" fontId="0" fillId="2" borderId="10" xfId="0" applyFill="1" applyBorder="1" applyAlignment="1" applyProtection="1">
      <alignment vertical="center"/>
      <protection locked="0"/>
    </xf>
    <xf numFmtId="0" fontId="0" fillId="4" borderId="0" xfId="0" applyFill="1" applyAlignment="1">
      <alignment horizontal="left"/>
    </xf>
    <xf numFmtId="10" fontId="0" fillId="4" borderId="0" xfId="1" applyNumberFormat="1" applyFont="1" applyFill="1" applyAlignment="1">
      <alignment horizontal="right"/>
    </xf>
    <xf numFmtId="168" fontId="0" fillId="4" borderId="0" xfId="0" applyNumberFormat="1" applyFill="1" applyAlignment="1">
      <alignment horizontal="left"/>
    </xf>
    <xf numFmtId="0" fontId="0" fillId="2" borderId="3" xfId="0" applyFill="1" applyBorder="1" applyAlignment="1"/>
    <xf numFmtId="0" fontId="0" fillId="2" borderId="0" xfId="0" applyFill="1" applyBorder="1" applyAlignment="1">
      <alignment horizontal="left"/>
    </xf>
    <xf numFmtId="173" fontId="0" fillId="2" borderId="3" xfId="0" applyNumberFormat="1" applyFill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 vertical="center"/>
    </xf>
    <xf numFmtId="167" fontId="6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9" fontId="4" fillId="2" borderId="0" xfId="0" applyNumberFormat="1" applyFont="1" applyFill="1" applyBorder="1" applyAlignment="1">
      <alignment horizontal="center" vertical="center"/>
    </xf>
    <xf numFmtId="9" fontId="4" fillId="2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167" fontId="0" fillId="2" borderId="2" xfId="0" applyNumberFormat="1" applyFill="1" applyBorder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9" fontId="6" fillId="2" borderId="0" xfId="0" applyNumberFormat="1" applyFont="1" applyFill="1" applyBorder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64" fontId="0" fillId="4" borderId="2" xfId="0" applyNumberFormat="1" applyFill="1" applyBorder="1" applyAlignment="1">
      <alignment horizontal="right" vertical="center"/>
    </xf>
    <xf numFmtId="164" fontId="0" fillId="4" borderId="0" xfId="0" applyNumberFormat="1" applyFill="1" applyAlignment="1">
      <alignment horizontal="right" vertical="center"/>
    </xf>
    <xf numFmtId="9" fontId="13" fillId="4" borderId="2" xfId="0" applyNumberFormat="1" applyFont="1" applyFill="1" applyBorder="1" applyAlignment="1">
      <alignment horizontal="center" vertical="center"/>
    </xf>
    <xf numFmtId="9" fontId="13" fillId="4" borderId="0" xfId="0" applyNumberFormat="1" applyFont="1" applyFill="1" applyAlignment="1">
      <alignment horizontal="center" vertical="center"/>
    </xf>
    <xf numFmtId="165" fontId="0" fillId="4" borderId="2" xfId="0" applyNumberFormat="1" applyFont="1" applyFill="1" applyBorder="1" applyAlignment="1">
      <alignment horizontal="center" vertical="center"/>
    </xf>
    <xf numFmtId="165" fontId="0" fillId="4" borderId="0" xfId="0" applyNumberFormat="1" applyFont="1" applyFill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166" fontId="0" fillId="4" borderId="2" xfId="0" applyNumberFormat="1" applyFont="1" applyFill="1" applyBorder="1" applyAlignment="1">
      <alignment horizontal="center" vertical="center"/>
    </xf>
    <xf numFmtId="166" fontId="0" fillId="4" borderId="0" xfId="0" applyNumberFormat="1" applyFont="1" applyFill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4" borderId="2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8" fillId="7" borderId="0" xfId="0" applyFont="1" applyFill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2" borderId="4" xfId="0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left" vertical="center"/>
      <protection locked="0"/>
    </xf>
    <xf numFmtId="0" fontId="0" fillId="2" borderId="3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left" vertical="center"/>
      <protection locked="0"/>
    </xf>
    <xf numFmtId="170" fontId="0" fillId="2" borderId="0" xfId="0" applyNumberForma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16" fillId="2" borderId="0" xfId="0" applyFont="1" applyFill="1" applyAlignment="1">
      <alignment horizontal="center" vertical="center"/>
    </xf>
    <xf numFmtId="0" fontId="0" fillId="2" borderId="0" xfId="0" applyFill="1" applyAlignment="1" applyProtection="1">
      <alignment horizontal="center" vertical="center"/>
      <protection locked="0"/>
    </xf>
    <xf numFmtId="0" fontId="0" fillId="4" borderId="0" xfId="0" applyFill="1" applyBorder="1" applyAlignment="1">
      <alignment horizontal="center"/>
    </xf>
    <xf numFmtId="170" fontId="0" fillId="4" borderId="1" xfId="0" applyNumberForma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6" fillId="2" borderId="0" xfId="0" applyFont="1" applyFill="1" applyAlignment="1" applyProtection="1">
      <alignment horizontal="center" vertical="center"/>
      <protection locked="0"/>
    </xf>
    <xf numFmtId="1" fontId="0" fillId="4" borderId="1" xfId="0" applyNumberFormat="1" applyFill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9" fontId="20" fillId="4" borderId="2" xfId="0" applyNumberFormat="1" applyFont="1" applyFill="1" applyBorder="1" applyAlignment="1">
      <alignment horizontal="center" vertical="center"/>
    </xf>
    <xf numFmtId="9" fontId="20" fillId="4" borderId="0" xfId="0" applyNumberFormat="1" applyFon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9" fontId="20" fillId="4" borderId="0" xfId="0" applyNumberFormat="1" applyFont="1" applyFill="1" applyAlignment="1">
      <alignment horizontal="center" vertical="center"/>
    </xf>
    <xf numFmtId="167" fontId="0" fillId="4" borderId="2" xfId="0" applyNumberFormat="1" applyFill="1" applyBorder="1" applyAlignment="1">
      <alignment horizontal="right" vertical="center"/>
    </xf>
    <xf numFmtId="167" fontId="0" fillId="4" borderId="0" xfId="0" applyNumberFormat="1" applyFill="1" applyAlignment="1">
      <alignment horizontal="right" vertical="center"/>
    </xf>
    <xf numFmtId="166" fontId="0" fillId="4" borderId="2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165" fontId="0" fillId="4" borderId="2" xfId="0" applyNumberFormat="1" applyFill="1" applyBorder="1" applyAlignment="1">
      <alignment horizontal="left" vertical="center"/>
    </xf>
    <xf numFmtId="165" fontId="0" fillId="4" borderId="0" xfId="0" applyNumberFormat="1" applyFill="1" applyBorder="1" applyAlignment="1">
      <alignment horizontal="left" vertical="center"/>
    </xf>
    <xf numFmtId="0" fontId="2" fillId="7" borderId="0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75"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4C683E"/>
        </patternFill>
      </fill>
    </dxf>
    <dxf>
      <fill>
        <patternFill>
          <bgColor rgb="FFCB3C3A"/>
        </patternFill>
      </fill>
    </dxf>
    <dxf>
      <fill>
        <patternFill>
          <bgColor rgb="FF92352C"/>
        </patternFill>
      </fill>
    </dxf>
    <dxf>
      <fill>
        <patternFill>
          <bgColor rgb="FFF6DB00"/>
        </patternFill>
      </fill>
    </dxf>
    <dxf>
      <fill>
        <patternFill>
          <bgColor rgb="FFECD988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4C683E"/>
        </patternFill>
      </fill>
    </dxf>
    <dxf>
      <fill>
        <patternFill>
          <bgColor rgb="FFCB3C3A"/>
        </patternFill>
      </fill>
    </dxf>
    <dxf>
      <fill>
        <patternFill>
          <bgColor rgb="FF92352C"/>
        </patternFill>
      </fill>
    </dxf>
    <dxf>
      <fill>
        <patternFill>
          <bgColor rgb="FFF6DB00"/>
        </patternFill>
      </fill>
    </dxf>
    <dxf>
      <fill>
        <patternFill>
          <bgColor rgb="FFECD988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4C683E"/>
        </patternFill>
      </fill>
    </dxf>
    <dxf>
      <fill>
        <patternFill>
          <bgColor rgb="FFCB3C3A"/>
        </patternFill>
      </fill>
    </dxf>
    <dxf>
      <fill>
        <patternFill>
          <bgColor rgb="FF92352C"/>
        </patternFill>
      </fill>
    </dxf>
    <dxf>
      <fill>
        <patternFill>
          <bgColor rgb="FFF6DB00"/>
        </patternFill>
      </fill>
    </dxf>
    <dxf>
      <fill>
        <patternFill>
          <bgColor rgb="FFECD988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4C683E"/>
        </patternFill>
      </fill>
    </dxf>
    <dxf>
      <fill>
        <patternFill>
          <bgColor rgb="FFCB3C3A"/>
        </patternFill>
      </fill>
    </dxf>
    <dxf>
      <fill>
        <patternFill>
          <bgColor rgb="FF92352C"/>
        </patternFill>
      </fill>
    </dxf>
    <dxf>
      <fill>
        <patternFill>
          <bgColor rgb="FFF6DB00"/>
        </patternFill>
      </fill>
    </dxf>
    <dxf>
      <fill>
        <patternFill>
          <bgColor rgb="FFECD988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CD988"/>
      <color rgb="FFF6DB00"/>
      <color rgb="FF92352C"/>
      <color rgb="FFCB3C3A"/>
      <color rgb="FF4C683E"/>
      <color rgb="FFB3C6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1.jpeg"/><Relationship Id="rId4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458560</xdr:colOff>
      <xdr:row>0</xdr:row>
      <xdr:rowOff>0</xdr:rowOff>
    </xdr:from>
    <xdr:to>
      <xdr:col>14</xdr:col>
      <xdr:colOff>1483</xdr:colOff>
      <xdr:row>3</xdr:row>
      <xdr:rowOff>28575</xdr:rowOff>
    </xdr:to>
    <xdr:pic>
      <xdr:nvPicPr>
        <xdr:cNvPr id="9" name="Picture 176" descr="Claas_Logo_ne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10487024" y="0"/>
          <a:ext cx="2835852" cy="5592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201706</xdr:colOff>
      <xdr:row>3</xdr:row>
      <xdr:rowOff>89358</xdr:rowOff>
    </xdr:from>
    <xdr:to>
      <xdr:col>1</xdr:col>
      <xdr:colOff>1527111</xdr:colOff>
      <xdr:row>8</xdr:row>
      <xdr:rowOff>2241</xdr:rowOff>
    </xdr:to>
    <xdr:pic>
      <xdr:nvPicPr>
        <xdr:cNvPr id="10" name="Picture 9" descr="Claas_Quadrant 3300 RF 2 essieux _montage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2" y="627240"/>
          <a:ext cx="1325405" cy="809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123825</xdr:rowOff>
    </xdr:from>
    <xdr:to>
      <xdr:col>5</xdr:col>
      <xdr:colOff>530636</xdr:colOff>
      <xdr:row>15</xdr:row>
      <xdr:rowOff>174597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762125"/>
          <a:ext cx="3273836" cy="1146147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30</xdr:row>
      <xdr:rowOff>114300</xdr:rowOff>
    </xdr:from>
    <xdr:to>
      <xdr:col>10</xdr:col>
      <xdr:colOff>18164</xdr:colOff>
      <xdr:row>37</xdr:row>
      <xdr:rowOff>119742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5638800"/>
          <a:ext cx="6304664" cy="1291317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19</xdr:row>
      <xdr:rowOff>95251</xdr:rowOff>
    </xdr:from>
    <xdr:to>
      <xdr:col>9</xdr:col>
      <xdr:colOff>285750</xdr:colOff>
      <xdr:row>26</xdr:row>
      <xdr:rowOff>57150</xdr:rowOff>
    </xdr:to>
    <xdr:grpSp>
      <xdr:nvGrpSpPr>
        <xdr:cNvPr id="355" name="Group 354"/>
        <xdr:cNvGrpSpPr/>
      </xdr:nvGrpSpPr>
      <xdr:grpSpPr>
        <a:xfrm>
          <a:off x="269501" y="3535457"/>
          <a:ext cx="5630396" cy="1261781"/>
          <a:chOff x="266700" y="3581401"/>
          <a:chExt cx="5648325" cy="1266824"/>
        </a:xfrm>
      </xdr:grpSpPr>
      <xdr:pic>
        <xdr:nvPicPr>
          <xdr:cNvPr id="348" name="Picture 34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66700" y="3581401"/>
            <a:ext cx="5648325" cy="1241390"/>
          </a:xfrm>
          <a:prstGeom prst="rect">
            <a:avLst/>
          </a:prstGeom>
        </xdr:spPr>
      </xdr:pic>
      <xdr:sp macro="" textlink="">
        <xdr:nvSpPr>
          <xdr:cNvPr id="350" name="Textfeld 134"/>
          <xdr:cNvSpPr txBox="1"/>
        </xdr:nvSpPr>
        <xdr:spPr>
          <a:xfrm>
            <a:off x="1085850" y="4543425"/>
            <a:ext cx="523875" cy="295275"/>
          </a:xfrm>
          <a:prstGeom prst="rect">
            <a:avLst/>
          </a:prstGeom>
          <a:noFill/>
        </xdr:spPr>
        <xdr:txBody>
          <a:bodyPr wrap="square" lIns="0" tIns="0" rIns="0" bIns="0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228600">
              <a:spcBef>
                <a:spcPts val="400"/>
              </a:spcBef>
              <a:spcAft>
                <a:spcPts val="800"/>
              </a:spcAft>
            </a:pPr>
            <a:r>
              <a:rPr lang="de-DE" sz="1600">
                <a:latin typeface="Arial" pitchFamily="34" charset="0"/>
                <a:cs typeface="Arial" pitchFamily="34" charset="0"/>
              </a:rPr>
              <a:t>28 ft.</a:t>
            </a:r>
          </a:p>
        </xdr:txBody>
      </xdr:sp>
      <xdr:sp macro="" textlink="">
        <xdr:nvSpPr>
          <xdr:cNvPr id="351" name="Textfeld 133"/>
          <xdr:cNvSpPr txBox="1"/>
        </xdr:nvSpPr>
        <xdr:spPr>
          <a:xfrm>
            <a:off x="3409950" y="4581525"/>
            <a:ext cx="495300" cy="266700"/>
          </a:xfrm>
          <a:prstGeom prst="rect">
            <a:avLst/>
          </a:prstGeom>
          <a:noFill/>
        </xdr:spPr>
        <xdr:txBody>
          <a:bodyPr wrap="square" lIns="0" tIns="0" rIns="0" bIns="0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228600">
              <a:spcBef>
                <a:spcPts val="400"/>
              </a:spcBef>
              <a:spcAft>
                <a:spcPts val="800"/>
              </a:spcAft>
            </a:pPr>
            <a:r>
              <a:rPr lang="de-DE" sz="1600">
                <a:latin typeface="Arial" pitchFamily="34" charset="0"/>
                <a:cs typeface="Arial" pitchFamily="34" charset="0"/>
              </a:rPr>
              <a:t>48 ft.</a:t>
            </a:r>
          </a:p>
        </xdr:txBody>
      </xdr:sp>
    </xdr:grpSp>
    <xdr:clientData/>
  </xdr:twoCellAnchor>
  <xdr:twoCellAnchor editAs="oneCell">
    <xdr:from>
      <xdr:col>1</xdr:col>
      <xdr:colOff>342901</xdr:colOff>
      <xdr:row>3</xdr:row>
      <xdr:rowOff>114300</xdr:rowOff>
    </xdr:from>
    <xdr:to>
      <xdr:col>3</xdr:col>
      <xdr:colOff>783</xdr:colOff>
      <xdr:row>7</xdr:row>
      <xdr:rowOff>19050</xdr:rowOff>
    </xdr:to>
    <xdr:pic>
      <xdr:nvPicPr>
        <xdr:cNvPr id="352" name="Picture 351" descr="Claas_Quadrant 3300 RF 2 essieux _montage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6" y="657225"/>
          <a:ext cx="1029482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1114425</xdr:colOff>
      <xdr:row>0</xdr:row>
      <xdr:rowOff>9525</xdr:rowOff>
    </xdr:from>
    <xdr:to>
      <xdr:col>16</xdr:col>
      <xdr:colOff>30939</xdr:colOff>
      <xdr:row>3</xdr:row>
      <xdr:rowOff>33057</xdr:rowOff>
    </xdr:to>
    <xdr:pic>
      <xdr:nvPicPr>
        <xdr:cNvPr id="353" name="Picture 176" descr="Claas_Logo_neu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10029825" y="9525"/>
          <a:ext cx="2859864" cy="5664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0</xdr:row>
      <xdr:rowOff>95251</xdr:rowOff>
    </xdr:from>
    <xdr:to>
      <xdr:col>9</xdr:col>
      <xdr:colOff>777090</xdr:colOff>
      <xdr:row>3</xdr:row>
      <xdr:rowOff>123826</xdr:rowOff>
    </xdr:to>
    <xdr:pic>
      <xdr:nvPicPr>
        <xdr:cNvPr id="2" name="Picture 176" descr="Claas_Logo_ne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6227988" y="95251"/>
          <a:ext cx="2863066" cy="572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201706</xdr:colOff>
      <xdr:row>3</xdr:row>
      <xdr:rowOff>89358</xdr:rowOff>
    </xdr:from>
    <xdr:to>
      <xdr:col>1</xdr:col>
      <xdr:colOff>1527111</xdr:colOff>
      <xdr:row>8</xdr:row>
      <xdr:rowOff>2241</xdr:rowOff>
    </xdr:to>
    <xdr:pic>
      <xdr:nvPicPr>
        <xdr:cNvPr id="3" name="Picture 9" descr="Claas_Quadrant 3300 RF 2 essieux _montage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581" y="641808"/>
          <a:ext cx="1325405" cy="8177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117101</xdr:colOff>
      <xdr:row>103</xdr:row>
      <xdr:rowOff>122464</xdr:rowOff>
    </xdr:from>
    <xdr:to>
      <xdr:col>3</xdr:col>
      <xdr:colOff>592509</xdr:colOff>
      <xdr:row>110</xdr:row>
      <xdr:rowOff>8350</xdr:rowOff>
    </xdr:to>
    <xdr:pic>
      <xdr:nvPicPr>
        <xdr:cNvPr id="4" name="Picture 1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01" y="16886464"/>
          <a:ext cx="3264872" cy="113774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122</xdr:row>
      <xdr:rowOff>144156</xdr:rowOff>
    </xdr:from>
    <xdr:to>
      <xdr:col>6</xdr:col>
      <xdr:colOff>258535</xdr:colOff>
      <xdr:row>128</xdr:row>
      <xdr:rowOff>94001</xdr:rowOff>
    </xdr:to>
    <xdr:pic>
      <xdr:nvPicPr>
        <xdr:cNvPr id="5" name="Picture 3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20350763"/>
          <a:ext cx="5089071" cy="1038417"/>
        </a:xfrm>
        <a:prstGeom prst="rect">
          <a:avLst/>
        </a:prstGeom>
      </xdr:spPr>
    </xdr:pic>
    <xdr:clientData/>
  </xdr:twoCellAnchor>
  <xdr:twoCellAnchor>
    <xdr:from>
      <xdr:col>1</xdr:col>
      <xdr:colOff>172890</xdr:colOff>
      <xdr:row>113</xdr:row>
      <xdr:rowOff>153923</xdr:rowOff>
    </xdr:from>
    <xdr:to>
      <xdr:col>5</xdr:col>
      <xdr:colOff>489858</xdr:colOff>
      <xdr:row>119</xdr:row>
      <xdr:rowOff>95251</xdr:rowOff>
    </xdr:to>
    <xdr:grpSp>
      <xdr:nvGrpSpPr>
        <xdr:cNvPr id="6" name="Group 354"/>
        <xdr:cNvGrpSpPr>
          <a:grpSpLocks noChangeAspect="1"/>
        </xdr:cNvGrpSpPr>
      </xdr:nvGrpSpPr>
      <xdr:grpSpPr>
        <a:xfrm>
          <a:off x="331640" y="21442298"/>
          <a:ext cx="4285718" cy="1036703"/>
          <a:chOff x="266700" y="3581401"/>
          <a:chExt cx="5648325" cy="1318665"/>
        </a:xfrm>
      </xdr:grpSpPr>
      <xdr:pic>
        <xdr:nvPicPr>
          <xdr:cNvPr id="7" name="Picture 347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66700" y="3581401"/>
            <a:ext cx="5648325" cy="1241390"/>
          </a:xfrm>
          <a:prstGeom prst="rect">
            <a:avLst/>
          </a:prstGeom>
        </xdr:spPr>
      </xdr:pic>
      <xdr:sp macro="" textlink="">
        <xdr:nvSpPr>
          <xdr:cNvPr id="8" name="Textfeld 134"/>
          <xdr:cNvSpPr txBox="1"/>
        </xdr:nvSpPr>
        <xdr:spPr>
          <a:xfrm>
            <a:off x="1085850" y="4543426"/>
            <a:ext cx="713710" cy="321795"/>
          </a:xfrm>
          <a:prstGeom prst="rect">
            <a:avLst/>
          </a:prstGeom>
          <a:noFill/>
        </xdr:spPr>
        <xdr:txBody>
          <a:bodyPr wrap="square" lIns="0" tIns="0" rIns="0" bIns="0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228600">
              <a:spcBef>
                <a:spcPts val="400"/>
              </a:spcBef>
              <a:spcAft>
                <a:spcPts val="800"/>
              </a:spcAft>
            </a:pPr>
            <a:r>
              <a:rPr lang="de-DE" sz="1600">
                <a:latin typeface="Arial" pitchFamily="34" charset="0"/>
                <a:cs typeface="Arial" pitchFamily="34" charset="0"/>
              </a:rPr>
              <a:t>28 ft.</a:t>
            </a:r>
          </a:p>
        </xdr:txBody>
      </xdr:sp>
      <xdr:sp macro="" textlink="">
        <xdr:nvSpPr>
          <xdr:cNvPr id="9" name="Textfeld 133"/>
          <xdr:cNvSpPr txBox="1"/>
        </xdr:nvSpPr>
        <xdr:spPr>
          <a:xfrm>
            <a:off x="3409950" y="4581525"/>
            <a:ext cx="761843" cy="318541"/>
          </a:xfrm>
          <a:prstGeom prst="rect">
            <a:avLst/>
          </a:prstGeom>
          <a:noFill/>
        </xdr:spPr>
        <xdr:txBody>
          <a:bodyPr wrap="square" lIns="0" tIns="0" rIns="0" bIns="0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228600">
              <a:spcBef>
                <a:spcPts val="400"/>
              </a:spcBef>
              <a:spcAft>
                <a:spcPts val="800"/>
              </a:spcAft>
            </a:pPr>
            <a:r>
              <a:rPr lang="de-DE" sz="1600">
                <a:latin typeface="Arial" pitchFamily="34" charset="0"/>
                <a:cs typeface="Arial" pitchFamily="34" charset="0"/>
              </a:rPr>
              <a:t>48 ft.</a:t>
            </a:r>
          </a:p>
        </xdr:txBody>
      </xdr:sp>
    </xdr:grpSp>
    <xdr:clientData/>
  </xdr:twoCellAnchor>
  <xdr:twoCellAnchor>
    <xdr:from>
      <xdr:col>7</xdr:col>
      <xdr:colOff>625929</xdr:colOff>
      <xdr:row>87</xdr:row>
      <xdr:rowOff>13607</xdr:rowOff>
    </xdr:from>
    <xdr:to>
      <xdr:col>9</xdr:col>
      <xdr:colOff>917245</xdr:colOff>
      <xdr:row>90</xdr:row>
      <xdr:rowOff>55789</xdr:rowOff>
    </xdr:to>
    <xdr:pic>
      <xdr:nvPicPr>
        <xdr:cNvPr id="10" name="Picture 176" descr="Claas_Logo_ne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6368143" y="16600714"/>
          <a:ext cx="2863066" cy="572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1408 CLAAS">
  <a:themeElements>
    <a:clrScheme name="Claas">
      <a:dk1>
        <a:sysClr val="windowText" lastClr="000000"/>
      </a:dk1>
      <a:lt1>
        <a:sysClr val="window" lastClr="FFFFFF"/>
      </a:lt1>
      <a:dk2>
        <a:srgbClr val="FF5A00"/>
      </a:dk2>
      <a:lt2>
        <a:srgbClr val="81A4BC"/>
      </a:lt2>
      <a:accent1>
        <a:srgbClr val="D8D7D7"/>
      </a:accent1>
      <a:accent2>
        <a:srgbClr val="B3C618"/>
      </a:accent2>
      <a:accent3>
        <a:srgbClr val="696969"/>
      </a:accent3>
      <a:accent4>
        <a:srgbClr val="778410"/>
      </a:accent4>
      <a:accent5>
        <a:srgbClr val="999999"/>
      </a:accent5>
      <a:accent6>
        <a:srgbClr val="C6A81B"/>
      </a:accent6>
      <a:hlink>
        <a:srgbClr val="666666"/>
      </a:hlink>
      <a:folHlink>
        <a:srgbClr val="999999"/>
      </a:folHlink>
    </a:clrScheme>
    <a:fontScheme name="Claas">
      <a:majorFont>
        <a:latin typeface="Arial"/>
        <a:ea typeface=""/>
        <a:cs typeface="Arial"/>
      </a:majorFont>
      <a:minorFont>
        <a:latin typeface="Arial"/>
        <a:ea typeface=""/>
        <a:cs typeface="Arial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/>
        </a:solidFill>
        <a:ln>
          <a:noFill/>
        </a:ln>
      </a:spPr>
      <a:bodyPr lIns="0" tIns="0" rIns="0" bIns="0" rtlCol="0" anchor="ctr"/>
      <a:lstStyle>
        <a:defPPr algn="ctr">
          <a:defRPr sz="1600" dirty="0" err="1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5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 defTabSz="228600">
          <a:spcBef>
            <a:spcPts val="400"/>
          </a:spcBef>
          <a:spcAft>
            <a:spcPts val="800"/>
          </a:spcAft>
          <a:defRPr sz="1600" dirty="0" smtClean="0">
            <a:latin typeface="Arial" pitchFamily="34" charset="0"/>
            <a:cs typeface="Arial" pitchFamily="34" charset="0"/>
          </a:defRPr>
        </a:defPPr>
      </a:lstStyle>
    </a:txDef>
  </a:objectDefaults>
  <a:extraClrSchemeLst/>
  <a:custClrLst>
    <a:custClr name="CLAAS Gestaltungsfarbe 1">
      <a:srgbClr val="778410"/>
    </a:custClr>
    <a:custClr name="CLAAS Gestaltungsfarbe 4">
      <a:srgbClr val="696969"/>
    </a:custClr>
    <a:custClr name="CLAAS Gestaltungsfarbe 7">
      <a:srgbClr val="726C4A"/>
    </a:custClr>
    <a:custClr name="CLAAS Gestaltungsfarbe 10">
      <a:srgbClr val="A08715"/>
    </a:custClr>
    <a:custClr name="CLAAS Gestaltungsfarbe 13">
      <a:srgbClr val="965535"/>
    </a:custClr>
    <a:custClr name="CLAAS Gestaltungsfarbe 16">
      <a:srgbClr val="5A7384"/>
    </a:custClr>
    <a:custClr name="Signalrot">
      <a:srgbClr val="AA0B25"/>
    </a:custClr>
    <a:custClr name="CLAAS Auszeichnungsfarbe">
      <a:srgbClr val="FF5A00"/>
    </a:custClr>
    <a:custClr name="Fendt">
      <a:srgbClr val="849C6D"/>
    </a:custClr>
    <a:custClr name="MF">
      <a:srgbClr val="92352C"/>
    </a:custClr>
    <a:custClr name="CLAAS Gestaltungsfarbe 2">
      <a:srgbClr val="B3C618"/>
    </a:custClr>
    <a:custClr name="CLAAS Gestaltungsfarbe 5">
      <a:srgbClr val="999999"/>
    </a:custClr>
    <a:custClr name="CLAAS Gestaltungsfarbe 8">
      <a:srgbClr val="A48E6C"/>
    </a:custClr>
    <a:custClr name="CLAAS Gestaltungsfarbe 11">
      <a:srgbClr val="C6A81B"/>
    </a:custClr>
    <a:custClr name="CLAAS Gestaltungsfarbe 14">
      <a:srgbClr val="E27036"/>
    </a:custClr>
    <a:custClr name="CLAAS Gestaltungsfarbe 17">
      <a:srgbClr val="81A4BC"/>
    </a:custClr>
    <a:custClr name="Signalgelb">
      <a:srgbClr val="E8A900"/>
    </a:custClr>
    <a:custClr name="LEXION NA">
      <a:srgbClr val="F3A800"/>
    </a:custClr>
    <a:custClr name="Deutz-Fahr">
      <a:srgbClr val="50AF00"/>
    </a:custClr>
    <a:custClr name="New Holland">
      <a:srgbClr val="F6DB00"/>
    </a:custClr>
    <a:custClr name="CLAAS Gestaltungsfarbe 3">
      <a:srgbClr val="CBDA7C"/>
    </a:custClr>
    <a:custClr name="CLAAS Gestaltungsfarbe 6">
      <a:srgbClr val="D8D7D7"/>
    </a:custClr>
    <a:custClr name="CLAAS Gestaltungsfarbe 9">
      <a:srgbClr val="C5BDA0"/>
    </a:custClr>
    <a:custClr name="CLAAS Gestaltungsfarbe 12">
      <a:srgbClr val="FDD556"/>
    </a:custClr>
    <a:custClr name="CLAAS Gestaltungsfarbe 15">
      <a:srgbClr val="E2A17A"/>
    </a:custClr>
    <a:custClr name="CLAAS Gestaltungsfarbe 18">
      <a:srgbClr val="BCD3E0"/>
    </a:custClr>
    <a:custClr name="Signalgruen">
      <a:srgbClr val="00853E"/>
    </a:custClr>
    <a:custClr name="John Deere">
      <a:srgbClr val="4C683E"/>
    </a:custClr>
    <a:custClr name="Case">
      <a:srgbClr val="CB3C3A"/>
    </a:custClr>
    <a:custClr name="Krone">
      <a:srgbClr val="ECD988"/>
    </a:custClr>
  </a:custClrLst>
  <a:extLst>
    <a:ext uri="{05A4C25C-085E-4340-85A3-A5531E510DB2}">
      <thm15:themeFamily xmlns:thm15="http://schemas.microsoft.com/office/thememl/2012/main" name="1408 CLAAS" id="{F7770F06-528B-4554-9BB0-A8DBD38310C0}" vid="{2D996AB5-4BB0-4161-9544-B854019E58B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5"/>
  <sheetViews>
    <sheetView tabSelected="1" zoomScale="70" zoomScaleNormal="70" workbookViewId="0">
      <selection activeCell="E17" sqref="E17:F21"/>
    </sheetView>
  </sheetViews>
  <sheetFormatPr defaultColWidth="11" defaultRowHeight="14.25" x14ac:dyDescent="0.2"/>
  <cols>
    <col min="1" max="1" width="1.875" customWidth="1"/>
    <col min="2" max="2" width="22" customWidth="1"/>
    <col min="3" max="3" width="7.125" style="1" bestFit="1" customWidth="1"/>
    <col min="4" max="4" width="9" customWidth="1"/>
    <col min="5" max="5" width="28.375" bestFit="1" customWidth="1"/>
    <col min="6" max="6" width="11" style="7" bestFit="1" customWidth="1"/>
    <col min="7" max="7" width="9" bestFit="1" customWidth="1"/>
    <col min="8" max="8" width="21" bestFit="1" customWidth="1"/>
    <col min="9" max="9" width="11" bestFit="1" customWidth="1"/>
    <col min="10" max="10" width="7.875" customWidth="1"/>
    <col min="11" max="11" width="7.25" style="93" bestFit="1" customWidth="1"/>
    <col min="12" max="12" width="9.25" bestFit="1" customWidth="1"/>
    <col min="13" max="13" width="20.875" bestFit="1" customWidth="1"/>
    <col min="14" max="14" width="6.125" bestFit="1" customWidth="1"/>
    <col min="16" max="16" width="8" bestFit="1" customWidth="1"/>
  </cols>
  <sheetData>
    <row r="1" spans="1:27" ht="15" x14ac:dyDescent="0.25">
      <c r="A1" s="2"/>
      <c r="B1" s="2"/>
      <c r="C1" s="3"/>
      <c r="D1" s="2"/>
      <c r="E1" s="2"/>
      <c r="F1" s="10"/>
      <c r="G1" s="107"/>
      <c r="H1" s="2"/>
      <c r="I1" s="2"/>
      <c r="J1" s="2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 x14ac:dyDescent="0.25">
      <c r="A2" s="2"/>
      <c r="B2" s="175" t="s">
        <v>48</v>
      </c>
      <c r="C2" s="175"/>
      <c r="D2" s="2"/>
      <c r="E2" s="9"/>
      <c r="F2" s="10"/>
      <c r="G2" s="107"/>
      <c r="H2" s="9"/>
      <c r="I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25">
      <c r="A3" s="2"/>
      <c r="B3" s="175"/>
      <c r="C3" s="175"/>
      <c r="D3" s="10"/>
      <c r="E3" s="2"/>
      <c r="F3" s="2"/>
      <c r="G3" s="107"/>
      <c r="H3" s="2"/>
      <c r="I3" s="2"/>
      <c r="J3" s="2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2"/>
      <c r="B4" s="16"/>
      <c r="C4" s="16"/>
      <c r="D4" s="107" t="s">
        <v>84</v>
      </c>
      <c r="E4" s="2" t="s">
        <v>85</v>
      </c>
      <c r="F4" s="2"/>
      <c r="G4" s="107" t="s">
        <v>89</v>
      </c>
      <c r="H4" s="108"/>
      <c r="I4" s="2"/>
      <c r="J4" s="2"/>
      <c r="K4" s="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x14ac:dyDescent="0.35">
      <c r="A5" s="2"/>
      <c r="B5" s="16"/>
      <c r="C5" s="16"/>
      <c r="D5" s="107" t="s">
        <v>86</v>
      </c>
      <c r="E5" s="2"/>
      <c r="F5" s="2"/>
      <c r="G5" s="107"/>
      <c r="H5" s="2"/>
      <c r="I5" s="2"/>
      <c r="J5" s="2"/>
      <c r="K5" s="4"/>
      <c r="L5" s="136" t="s">
        <v>52</v>
      </c>
      <c r="M5" s="136"/>
      <c r="N5" s="3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25" customHeight="1" x14ac:dyDescent="0.35">
      <c r="A6" s="2"/>
      <c r="B6" s="16"/>
      <c r="C6" s="16"/>
      <c r="E6" s="2"/>
      <c r="F6" s="2"/>
      <c r="G6" s="107" t="s">
        <v>91</v>
      </c>
      <c r="H6" s="2"/>
      <c r="I6" s="2"/>
      <c r="J6" s="2"/>
      <c r="K6" s="4"/>
      <c r="L6" s="136"/>
      <c r="M6" s="136"/>
      <c r="N6" s="30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x14ac:dyDescent="0.35">
      <c r="A7" s="2"/>
      <c r="B7" s="16"/>
      <c r="C7" s="16"/>
      <c r="D7" s="107" t="s">
        <v>53</v>
      </c>
      <c r="E7" s="2"/>
      <c r="F7" s="2"/>
      <c r="G7" s="107" t="s">
        <v>92</v>
      </c>
      <c r="H7" s="2"/>
      <c r="I7" s="2"/>
      <c r="J7" s="2"/>
      <c r="K7" s="4"/>
      <c r="L7" s="136"/>
      <c r="M7" s="136"/>
      <c r="N7" s="30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25" customHeight="1" x14ac:dyDescent="0.25">
      <c r="A8" s="2"/>
      <c r="B8" s="16"/>
      <c r="C8" s="16"/>
      <c r="D8" s="107" t="s">
        <v>87</v>
      </c>
      <c r="E8" s="2"/>
      <c r="F8" s="2"/>
      <c r="G8" s="107" t="s">
        <v>88</v>
      </c>
      <c r="H8" s="2"/>
      <c r="I8" s="2"/>
      <c r="J8" s="2"/>
      <c r="K8" s="4"/>
      <c r="L8" s="136"/>
      <c r="M8" s="13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25" customHeight="1" x14ac:dyDescent="0.25">
      <c r="A9" s="2"/>
      <c r="B9" s="16"/>
      <c r="C9" s="16"/>
      <c r="D9" s="13" t="s">
        <v>50</v>
      </c>
      <c r="E9" s="24"/>
      <c r="F9" s="9"/>
      <c r="G9" s="107" t="s">
        <v>90</v>
      </c>
      <c r="H9" s="9"/>
      <c r="I9" s="2"/>
      <c r="J9" s="2"/>
      <c r="K9" s="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x14ac:dyDescent="0.25">
      <c r="A10" s="2"/>
      <c r="B10" s="176" t="s">
        <v>42</v>
      </c>
      <c r="C10" s="176"/>
      <c r="D10" s="9"/>
      <c r="E10" s="176" t="s">
        <v>45</v>
      </c>
      <c r="F10" s="176"/>
      <c r="G10" s="27"/>
      <c r="H10" s="176" t="s">
        <v>46</v>
      </c>
      <c r="I10" s="176"/>
      <c r="J10" s="176"/>
      <c r="K10" s="4"/>
      <c r="L10" s="147" t="s">
        <v>56</v>
      </c>
      <c r="M10" s="147"/>
      <c r="N10" s="3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x14ac:dyDescent="0.25">
      <c r="A11" s="2"/>
      <c r="B11" s="11"/>
      <c r="C11" s="11"/>
      <c r="D11" s="9"/>
      <c r="E11" s="5"/>
      <c r="F11" s="12"/>
      <c r="G11" s="27"/>
      <c r="H11" s="5"/>
      <c r="I11" s="4"/>
      <c r="J11" s="4"/>
      <c r="K11" s="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x14ac:dyDescent="0.25">
      <c r="A12" s="2"/>
      <c r="B12" s="172" t="s">
        <v>10</v>
      </c>
      <c r="C12" s="172"/>
      <c r="D12" s="9"/>
      <c r="E12" s="19" t="s">
        <v>37</v>
      </c>
      <c r="F12" s="82">
        <v>10</v>
      </c>
      <c r="G12" s="28"/>
      <c r="H12" s="142" t="s">
        <v>6</v>
      </c>
      <c r="I12" s="142"/>
      <c r="J12" s="142"/>
      <c r="K12" s="4"/>
      <c r="L12" s="142" t="s">
        <v>6</v>
      </c>
      <c r="M12" s="142"/>
      <c r="N12" s="29"/>
      <c r="O12" s="2"/>
      <c r="P12" s="2"/>
      <c r="Q12" s="2"/>
      <c r="R12" s="29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">
      <c r="A13" s="21"/>
      <c r="B13" s="19" t="s">
        <v>7</v>
      </c>
      <c r="C13" s="81">
        <v>3</v>
      </c>
      <c r="D13" s="2"/>
      <c r="E13" s="19" t="s">
        <v>31</v>
      </c>
      <c r="F13" s="18">
        <f>C23*F12</f>
        <v>150000</v>
      </c>
      <c r="G13" s="2"/>
      <c r="H13" s="19" t="s">
        <v>40</v>
      </c>
      <c r="I13" s="22">
        <f>((F17-F18)+(((F17+F18)/2)*F19))/F13</f>
        <v>0.71650000000000003</v>
      </c>
      <c r="J13" s="43">
        <f t="shared" ref="J13:J18" si="0">I13/I$19</f>
        <v>0.16185244598024656</v>
      </c>
      <c r="K13" s="4"/>
      <c r="L13" s="31">
        <f>I49-I13</f>
        <v>0.10149999999999992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">
      <c r="A14" s="21"/>
      <c r="B14" s="19" t="s">
        <v>8</v>
      </c>
      <c r="C14" s="81">
        <v>4</v>
      </c>
      <c r="D14" s="9"/>
      <c r="E14" s="19" t="s">
        <v>38</v>
      </c>
      <c r="F14" s="18">
        <f>(SUM(C18*C27,C19*C28,C20*C29,C21*C30,C22*C31)*F12)/2000</f>
        <v>108000</v>
      </c>
      <c r="G14" s="2"/>
      <c r="H14" s="19" t="s">
        <v>5</v>
      </c>
      <c r="I14" s="22">
        <f>(F28/F27)*F26</f>
        <v>1.1416216216216217</v>
      </c>
      <c r="J14" s="43">
        <f t="shared" si="0"/>
        <v>0.25788451059789952</v>
      </c>
      <c r="K14" s="4"/>
      <c r="L14" s="31">
        <f t="shared" ref="L14:L18" si="1">I50-I14</f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">
      <c r="A15" s="21"/>
      <c r="B15" s="19" t="s">
        <v>9</v>
      </c>
      <c r="C15" s="54">
        <v>8</v>
      </c>
      <c r="D15" s="9"/>
      <c r="E15" s="2"/>
      <c r="F15" s="10"/>
      <c r="G15" s="2"/>
      <c r="H15" s="19" t="s">
        <v>2</v>
      </c>
      <c r="I15" s="22">
        <f>F29</f>
        <v>1</v>
      </c>
      <c r="J15" s="43">
        <f t="shared" si="0"/>
        <v>0.2258931555900161</v>
      </c>
      <c r="K15" s="4"/>
      <c r="L15" s="31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x14ac:dyDescent="0.25">
      <c r="A16" s="21"/>
      <c r="B16" s="2"/>
      <c r="C16" s="3"/>
      <c r="D16" s="8"/>
      <c r="E16" s="142" t="s">
        <v>19</v>
      </c>
      <c r="F16" s="142"/>
      <c r="G16" s="2"/>
      <c r="H16" s="19" t="s">
        <v>51</v>
      </c>
      <c r="I16" s="23">
        <f>F31/C38</f>
        <v>0.78125</v>
      </c>
      <c r="J16" s="43">
        <f t="shared" si="0"/>
        <v>0.17647902780470009</v>
      </c>
      <c r="K16" s="4"/>
      <c r="L16" s="31">
        <f t="shared" si="1"/>
        <v>0.17361111111111105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" x14ac:dyDescent="0.25">
      <c r="A17" s="21"/>
      <c r="B17" s="172" t="s">
        <v>11</v>
      </c>
      <c r="C17" s="172"/>
      <c r="D17" s="8"/>
      <c r="E17" s="19" t="s">
        <v>21</v>
      </c>
      <c r="F17" s="56">
        <v>135000</v>
      </c>
      <c r="G17" s="2"/>
      <c r="H17" s="19" t="s">
        <v>0</v>
      </c>
      <c r="I17" s="22">
        <f>(F32*F33)/C38</f>
        <v>0.6</v>
      </c>
      <c r="J17" s="43">
        <f t="shared" si="0"/>
        <v>0.13553589335400967</v>
      </c>
      <c r="K17" s="4"/>
      <c r="L17" s="31">
        <f t="shared" si="1"/>
        <v>0.1333333333333333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" thickBot="1" x14ac:dyDescent="0.25">
      <c r="A18" s="2"/>
      <c r="B18" s="63" t="s">
        <v>12</v>
      </c>
      <c r="C18" s="54">
        <v>5000</v>
      </c>
      <c r="D18" s="9"/>
      <c r="E18" s="19" t="s">
        <v>22</v>
      </c>
      <c r="F18" s="83">
        <v>30000</v>
      </c>
      <c r="G18" s="2"/>
      <c r="H18" s="37" t="s">
        <v>1</v>
      </c>
      <c r="I18" s="41">
        <f>F34/C38</f>
        <v>0.1875</v>
      </c>
      <c r="J18" s="49">
        <f t="shared" si="0"/>
        <v>4.2354966673128019E-2</v>
      </c>
      <c r="K18" s="4"/>
      <c r="L18" s="31">
        <f t="shared" si="1"/>
        <v>4.1666666666666657E-2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" thickTop="1" x14ac:dyDescent="0.2">
      <c r="A19" s="2"/>
      <c r="B19" s="63" t="s">
        <v>13</v>
      </c>
      <c r="C19" s="54">
        <v>5000</v>
      </c>
      <c r="D19" s="9"/>
      <c r="E19" s="19" t="s">
        <v>23</v>
      </c>
      <c r="F19" s="84">
        <v>0.03</v>
      </c>
      <c r="G19" s="2"/>
      <c r="H19" s="168" t="s">
        <v>41</v>
      </c>
      <c r="I19" s="154">
        <f>SUM(I13:I18)</f>
        <v>4.426871621621622</v>
      </c>
      <c r="J19" s="152">
        <f>J13+J14+J15+J16+J17+J18</f>
        <v>1</v>
      </c>
      <c r="K19" s="4"/>
      <c r="L19" s="143">
        <f>L13+L14+L15+L16+L17+L18</f>
        <v>0.45011111111111091</v>
      </c>
      <c r="M19" s="145">
        <f>K55-J55</f>
        <v>-0.89832298074498262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">
      <c r="A20" s="2"/>
      <c r="B20" s="63" t="s">
        <v>14</v>
      </c>
      <c r="C20" s="54">
        <v>5000</v>
      </c>
      <c r="D20" s="9"/>
      <c r="E20" s="19" t="s">
        <v>16</v>
      </c>
      <c r="F20" s="18">
        <v>100000</v>
      </c>
      <c r="G20" s="2"/>
      <c r="H20" s="169"/>
      <c r="I20" s="155"/>
      <c r="J20" s="153"/>
      <c r="K20" s="4"/>
      <c r="L20" s="144"/>
      <c r="M20" s="14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" thickBot="1" x14ac:dyDescent="0.25">
      <c r="A21" s="2"/>
      <c r="B21" s="64" t="s">
        <v>3</v>
      </c>
      <c r="C21" s="54"/>
      <c r="D21" s="9"/>
      <c r="E21" s="37" t="s">
        <v>17</v>
      </c>
      <c r="F21" s="39">
        <v>8</v>
      </c>
      <c r="G21" s="2"/>
      <c r="H21" s="2"/>
      <c r="I21" s="2"/>
      <c r="J21" s="2"/>
      <c r="K21" s="4"/>
      <c r="L21" s="2"/>
      <c r="M21" s="2"/>
      <c r="N21" s="2"/>
      <c r="O21" s="2"/>
      <c r="P21" s="2"/>
      <c r="Q21" s="66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6.5" thickTop="1" thickBot="1" x14ac:dyDescent="0.3">
      <c r="A22" s="2"/>
      <c r="B22" s="65" t="s">
        <v>4</v>
      </c>
      <c r="C22" s="55"/>
      <c r="D22" s="9"/>
      <c r="E22" s="168" t="s">
        <v>18</v>
      </c>
      <c r="F22" s="170">
        <f>F20/F21</f>
        <v>12500</v>
      </c>
      <c r="G22" s="2"/>
      <c r="H22" s="142" t="s">
        <v>34</v>
      </c>
      <c r="I22" s="142"/>
      <c r="J22" s="142"/>
      <c r="K22" s="4"/>
      <c r="L22" s="142" t="s">
        <v>34</v>
      </c>
      <c r="M22" s="142"/>
      <c r="N22" s="29"/>
      <c r="O22" s="2"/>
      <c r="P22" s="2"/>
      <c r="Q22" s="2"/>
      <c r="R22" s="29"/>
      <c r="S22" s="2"/>
      <c r="T22" s="2"/>
      <c r="U22" s="2"/>
      <c r="V22" s="2"/>
      <c r="W22" s="2"/>
      <c r="X22" s="2"/>
      <c r="Y22" s="2"/>
      <c r="Z22" s="2"/>
      <c r="AA22" s="2"/>
    </row>
    <row r="23" spans="1:27" ht="15" thickTop="1" x14ac:dyDescent="0.2">
      <c r="A23" s="2"/>
      <c r="B23" s="168" t="s">
        <v>43</v>
      </c>
      <c r="C23" s="173">
        <f>SUM(C18:C22)</f>
        <v>15000</v>
      </c>
      <c r="D23" s="9"/>
      <c r="E23" s="169"/>
      <c r="F23" s="171"/>
      <c r="G23" s="2"/>
      <c r="H23" s="19" t="s">
        <v>32</v>
      </c>
      <c r="I23" s="42">
        <f>((F17-F18)+(((F17+F18)/2)*F19))/F14</f>
        <v>0.99513888888888891</v>
      </c>
      <c r="J23" s="43">
        <f t="shared" ref="J23:J28" si="2">I23/I$29</f>
        <v>0.16185244598024656</v>
      </c>
      <c r="K23" s="4"/>
      <c r="L23" s="32">
        <f t="shared" ref="L23:L28" si="3">I59-I23</f>
        <v>0.14097222222222217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" x14ac:dyDescent="0.25">
      <c r="A24" s="2"/>
      <c r="B24" s="169"/>
      <c r="C24" s="174"/>
      <c r="D24" s="6"/>
      <c r="E24" s="2"/>
      <c r="F24" s="10"/>
      <c r="G24" s="2"/>
      <c r="H24" s="19" t="s">
        <v>5</v>
      </c>
      <c r="I24" s="42">
        <f>((F28/F27)*F26)*(F13/F14)</f>
        <v>1.5855855855855856</v>
      </c>
      <c r="J24" s="43">
        <f t="shared" si="2"/>
        <v>0.25788451059789952</v>
      </c>
      <c r="K24" s="4"/>
      <c r="L24" s="32">
        <f t="shared" si="3"/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" x14ac:dyDescent="0.25">
      <c r="A25" s="2"/>
      <c r="B25" s="2"/>
      <c r="C25" s="3"/>
      <c r="D25" s="6"/>
      <c r="E25" s="142" t="s">
        <v>20</v>
      </c>
      <c r="F25" s="142"/>
      <c r="G25" s="2"/>
      <c r="H25" s="19" t="s">
        <v>2</v>
      </c>
      <c r="I25" s="42">
        <f>(F29*F13)/F14</f>
        <v>1.3888888888888888</v>
      </c>
      <c r="J25" s="43">
        <f t="shared" si="2"/>
        <v>0.22589315559001613</v>
      </c>
      <c r="K25" s="4"/>
      <c r="L25" s="32">
        <f t="shared" si="3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" x14ac:dyDescent="0.25">
      <c r="A26" s="2"/>
      <c r="B26" s="172" t="s">
        <v>15</v>
      </c>
      <c r="C26" s="172"/>
      <c r="D26" s="6"/>
      <c r="E26" s="19" t="s">
        <v>49</v>
      </c>
      <c r="F26" s="104">
        <v>32</v>
      </c>
      <c r="G26" s="2"/>
      <c r="H26" s="19" t="s">
        <v>51</v>
      </c>
      <c r="I26" s="42">
        <f>(F13/C38*F31)/F14</f>
        <v>1.0850694444444444</v>
      </c>
      <c r="J26" s="43">
        <f t="shared" si="2"/>
        <v>0.17647902780470009</v>
      </c>
      <c r="K26" s="4"/>
      <c r="L26" s="32">
        <f t="shared" si="3"/>
        <v>0.24112654320987659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">
      <c r="A27" s="2"/>
      <c r="B27" s="63" t="s">
        <v>12</v>
      </c>
      <c r="C27" s="54">
        <v>1440</v>
      </c>
      <c r="D27" s="9"/>
      <c r="E27" s="19" t="s">
        <v>35</v>
      </c>
      <c r="F27" s="105">
        <v>3700</v>
      </c>
      <c r="G27" s="2"/>
      <c r="H27" s="19" t="s">
        <v>0</v>
      </c>
      <c r="I27" s="42">
        <f>(((F32*F33)/C38)*F13)/F14</f>
        <v>0.83333333333333337</v>
      </c>
      <c r="J27" s="43">
        <f t="shared" si="2"/>
        <v>0.13553589335400967</v>
      </c>
      <c r="K27" s="4"/>
      <c r="L27" s="32">
        <f t="shared" si="3"/>
        <v>0.18518518518518501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" thickBot="1" x14ac:dyDescent="0.25">
      <c r="A28" s="2"/>
      <c r="B28" s="63" t="s">
        <v>13</v>
      </c>
      <c r="C28" s="54">
        <v>1440</v>
      </c>
      <c r="D28" s="9"/>
      <c r="E28" s="19" t="s">
        <v>36</v>
      </c>
      <c r="F28" s="109">
        <f>(C13*2+C15*2)*(IF(C14=4,6,4))</f>
        <v>132</v>
      </c>
      <c r="G28" s="2"/>
      <c r="H28" s="37" t="s">
        <v>1</v>
      </c>
      <c r="I28" s="44">
        <f>(F13/C38*F34)/F14</f>
        <v>0.26041666666666669</v>
      </c>
      <c r="J28" s="49">
        <f t="shared" si="2"/>
        <v>4.2354966673128026E-2</v>
      </c>
      <c r="K28" s="4"/>
      <c r="L28" s="33">
        <f t="shared" si="3"/>
        <v>5.787037037037035E-2</v>
      </c>
      <c r="M28" s="20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" thickTop="1" x14ac:dyDescent="0.2">
      <c r="A29" s="2"/>
      <c r="B29" s="63" t="s">
        <v>14</v>
      </c>
      <c r="C29" s="54">
        <v>1440</v>
      </c>
      <c r="D29" s="9"/>
      <c r="E29" s="19" t="s">
        <v>24</v>
      </c>
      <c r="F29" s="104">
        <v>1</v>
      </c>
      <c r="G29" s="2"/>
      <c r="H29" s="162" t="s">
        <v>41</v>
      </c>
      <c r="I29" s="150">
        <f>SUM(I23:I28)</f>
        <v>6.1484328078078079</v>
      </c>
      <c r="J29" s="152">
        <f>J23+J24+J25+J26+J27+J28</f>
        <v>1</v>
      </c>
      <c r="K29" s="4"/>
      <c r="L29" s="143">
        <f>L23+L24+L25+L26+L27+L28</f>
        <v>0.62515432098765411</v>
      </c>
      <c r="M29" s="145">
        <f>K65-J65</f>
        <v>0.10167701925501749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">
      <c r="A30" s="2"/>
      <c r="B30" s="64" t="s">
        <v>3</v>
      </c>
      <c r="C30" s="54">
        <v>0</v>
      </c>
      <c r="D30" s="9"/>
      <c r="E30" s="19"/>
      <c r="F30" s="18"/>
      <c r="G30" s="2"/>
      <c r="H30" s="163"/>
      <c r="I30" s="151"/>
      <c r="J30" s="153"/>
      <c r="K30" s="4"/>
      <c r="L30" s="144"/>
      <c r="M30" s="14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" thickBot="1" x14ac:dyDescent="0.25">
      <c r="A31" s="2"/>
      <c r="B31" s="65" t="s">
        <v>4</v>
      </c>
      <c r="C31" s="55">
        <v>0</v>
      </c>
      <c r="D31" s="9"/>
      <c r="E31" s="19" t="s">
        <v>47</v>
      </c>
      <c r="F31" s="106">
        <v>50</v>
      </c>
      <c r="G31" s="2"/>
      <c r="H31" s="2"/>
      <c r="I31" s="2"/>
      <c r="J31" s="2"/>
      <c r="K31" s="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thickTop="1" x14ac:dyDescent="0.25">
      <c r="A32" s="2"/>
      <c r="B32" s="162" t="s">
        <v>44</v>
      </c>
      <c r="C32" s="158">
        <f>SUM(C18*C27,C19*C28,C20*C29,C21*C30,C22*C31)/2000</f>
        <v>10800</v>
      </c>
      <c r="D32" s="2"/>
      <c r="E32" s="19" t="s">
        <v>25</v>
      </c>
      <c r="F32" s="106">
        <v>1.92</v>
      </c>
      <c r="G32" s="2"/>
      <c r="H32" s="142" t="s">
        <v>33</v>
      </c>
      <c r="I32" s="142"/>
      <c r="J32" s="142"/>
      <c r="K32" s="4"/>
      <c r="L32" s="142" t="s">
        <v>33</v>
      </c>
      <c r="M32" s="142"/>
      <c r="N32" s="29"/>
      <c r="O32" s="2"/>
      <c r="P32" s="2"/>
      <c r="Q32" s="2"/>
      <c r="R32" s="29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">
      <c r="A33" s="2"/>
      <c r="B33" s="163"/>
      <c r="C33" s="159"/>
      <c r="D33" s="2"/>
      <c r="E33" s="19" t="s">
        <v>26</v>
      </c>
      <c r="F33" s="82">
        <v>20</v>
      </c>
      <c r="G33" s="2"/>
      <c r="H33" s="19" t="s">
        <v>32</v>
      </c>
      <c r="I33" s="45">
        <f>((F17-F18)+((F17+F18)/2*F19))/F12</f>
        <v>10747.5</v>
      </c>
      <c r="J33" s="43">
        <f t="shared" ref="J33:J38" si="4">I33/I$39</f>
        <v>0.16185244598024656</v>
      </c>
      <c r="K33" s="4"/>
      <c r="L33" s="34">
        <f t="shared" ref="L33:L38" si="5">I69-I33</f>
        <v>1522.5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">
      <c r="A34" s="2"/>
      <c r="B34" s="2"/>
      <c r="C34" s="3"/>
      <c r="D34" s="2"/>
      <c r="E34" s="19" t="s">
        <v>27</v>
      </c>
      <c r="F34" s="106">
        <v>12</v>
      </c>
      <c r="G34" s="2"/>
      <c r="H34" s="19" t="s">
        <v>5</v>
      </c>
      <c r="I34" s="45">
        <f>((C23*F28)/F27)*F26</f>
        <v>17124.324324324323</v>
      </c>
      <c r="J34" s="43">
        <f t="shared" si="4"/>
        <v>0.25788451059789952</v>
      </c>
      <c r="K34" s="4"/>
      <c r="L34" s="34">
        <f t="shared" si="5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" x14ac:dyDescent="0.25">
      <c r="A35" s="2"/>
      <c r="B35" s="172" t="s">
        <v>39</v>
      </c>
      <c r="C35" s="172"/>
      <c r="D35" s="2"/>
      <c r="E35" s="2"/>
      <c r="F35" s="10"/>
      <c r="G35" s="2"/>
      <c r="H35" s="19" t="s">
        <v>2</v>
      </c>
      <c r="I35" s="45">
        <f>F29*C23</f>
        <v>15000</v>
      </c>
      <c r="J35" s="43">
        <f t="shared" si="4"/>
        <v>0.22589315559001616</v>
      </c>
      <c r="K35" s="4"/>
      <c r="L35" s="34">
        <f t="shared" si="5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">
      <c r="A36" s="2"/>
      <c r="B36" s="19" t="s">
        <v>28</v>
      </c>
      <c r="C36" s="57">
        <v>45</v>
      </c>
      <c r="D36" s="2"/>
      <c r="E36" s="2"/>
      <c r="F36" s="10"/>
      <c r="G36" s="2"/>
      <c r="H36" s="19" t="s">
        <v>51</v>
      </c>
      <c r="I36" s="46">
        <f>C23/C38*F31</f>
        <v>11718.75</v>
      </c>
      <c r="J36" s="43">
        <f t="shared" si="4"/>
        <v>0.17647902780470012</v>
      </c>
      <c r="K36" s="4"/>
      <c r="L36" s="34">
        <f t="shared" si="5"/>
        <v>2604.1666666666661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" thickBot="1" x14ac:dyDescent="0.25">
      <c r="A37" s="2"/>
      <c r="B37" s="37" t="s">
        <v>29</v>
      </c>
      <c r="C37" s="38">
        <v>0.8</v>
      </c>
      <c r="D37" s="2"/>
      <c r="E37" s="2"/>
      <c r="F37" s="10"/>
      <c r="G37" s="2"/>
      <c r="H37" s="19" t="s">
        <v>0</v>
      </c>
      <c r="I37" s="45">
        <f>((F32*F33)/C38)*C23</f>
        <v>9000</v>
      </c>
      <c r="J37" s="43">
        <f t="shared" si="4"/>
        <v>0.1355358933540097</v>
      </c>
      <c r="K37" s="4"/>
      <c r="L37" s="34">
        <f t="shared" si="5"/>
        <v>2000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thickTop="1" thickBot="1" x14ac:dyDescent="0.25">
      <c r="A38" s="2"/>
      <c r="B38" s="158" t="s">
        <v>30</v>
      </c>
      <c r="C38" s="160">
        <f>(3600/C36)*C37</f>
        <v>64</v>
      </c>
      <c r="D38" s="2"/>
      <c r="E38" s="2"/>
      <c r="F38" s="10"/>
      <c r="G38" s="2"/>
      <c r="H38" s="37" t="s">
        <v>1</v>
      </c>
      <c r="I38" s="47">
        <f>C23/C38*F34</f>
        <v>2812.5</v>
      </c>
      <c r="J38" s="49">
        <f t="shared" si="4"/>
        <v>4.2354966673128026E-2</v>
      </c>
      <c r="K38" s="4"/>
      <c r="L38" s="35">
        <f t="shared" si="5"/>
        <v>625</v>
      </c>
      <c r="M38" s="20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 thickTop="1" x14ac:dyDescent="0.2">
      <c r="A39" s="2"/>
      <c r="B39" s="159"/>
      <c r="C39" s="161"/>
      <c r="D39" s="2"/>
      <c r="E39" s="2"/>
      <c r="F39" s="10"/>
      <c r="G39" s="2"/>
      <c r="H39" s="162" t="s">
        <v>41</v>
      </c>
      <c r="I39" s="164">
        <f>SUM(I33:I38)</f>
        <v>66403.07432432432</v>
      </c>
      <c r="J39" s="152">
        <f>J33+J34+J35+J36+J37+J38</f>
        <v>1.0000000000000002</v>
      </c>
      <c r="K39" s="4"/>
      <c r="L39" s="166">
        <f>L33+L34+L35+L36+L37+L38</f>
        <v>6751.6666666666661</v>
      </c>
      <c r="M39" s="145">
        <f>K75-J75</f>
        <v>0.10167701925501738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">
      <c r="A40" s="2"/>
      <c r="B40" s="2"/>
      <c r="C40" s="3"/>
      <c r="D40" s="2"/>
      <c r="E40" s="2"/>
      <c r="F40" s="10"/>
      <c r="G40" s="2"/>
      <c r="H40" s="163"/>
      <c r="I40" s="165"/>
      <c r="J40" s="153"/>
      <c r="K40" s="4"/>
      <c r="L40" s="167"/>
      <c r="M40" s="14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">
      <c r="A41" s="2"/>
      <c r="B41" s="2"/>
      <c r="C41" s="3"/>
      <c r="D41" s="2"/>
      <c r="E41" s="2"/>
      <c r="F41" s="10"/>
      <c r="G41" s="2"/>
      <c r="H41" s="2"/>
      <c r="I41" s="2"/>
      <c r="J41" s="2"/>
      <c r="K41" s="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">
      <c r="A42" s="2"/>
      <c r="B42" s="61"/>
      <c r="C42" s="61"/>
      <c r="D42" s="61"/>
      <c r="E42" s="61"/>
      <c r="F42" s="61"/>
      <c r="G42" s="61"/>
      <c r="H42" s="61"/>
      <c r="I42" s="61"/>
      <c r="J42" s="61"/>
      <c r="K42" s="88"/>
      <c r="L42" s="61"/>
      <c r="M42" s="6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.25" customHeight="1" x14ac:dyDescent="0.2">
      <c r="A43" s="2"/>
      <c r="B43" s="137" t="s">
        <v>55</v>
      </c>
      <c r="C43" s="137"/>
      <c r="D43" s="137"/>
      <c r="E43" s="137"/>
      <c r="F43" s="10"/>
      <c r="G43" s="2"/>
      <c r="H43" s="9"/>
      <c r="I43" s="2"/>
      <c r="J43" s="2"/>
      <c r="K43" s="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25" customHeight="1" x14ac:dyDescent="0.2">
      <c r="A44" s="2"/>
      <c r="B44" s="137"/>
      <c r="C44" s="137"/>
      <c r="D44" s="137"/>
      <c r="E44" s="137"/>
      <c r="F44" s="10"/>
      <c r="G44" s="2"/>
      <c r="H44" s="9"/>
      <c r="I44" s="2"/>
      <c r="J44" s="2"/>
      <c r="K44" s="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" x14ac:dyDescent="0.25">
      <c r="A45" s="2"/>
      <c r="B45" s="11"/>
      <c r="C45" s="11"/>
      <c r="D45" s="9"/>
      <c r="E45" s="25"/>
      <c r="F45" s="26"/>
      <c r="G45" s="2"/>
      <c r="H45" s="25"/>
      <c r="I45" s="8"/>
      <c r="J45" s="4"/>
      <c r="K45" s="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" x14ac:dyDescent="0.25">
      <c r="A46" s="2"/>
      <c r="B46" s="147" t="s">
        <v>42</v>
      </c>
      <c r="C46" s="147"/>
      <c r="D46" s="9"/>
      <c r="E46" s="147" t="s">
        <v>45</v>
      </c>
      <c r="F46" s="147"/>
      <c r="G46" s="27"/>
      <c r="H46" s="147" t="s">
        <v>46</v>
      </c>
      <c r="I46" s="147"/>
      <c r="J46" s="147"/>
      <c r="K46" s="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" x14ac:dyDescent="0.25">
      <c r="A47" s="2"/>
      <c r="B47" s="11"/>
      <c r="C47" s="11"/>
      <c r="D47" s="9"/>
      <c r="E47" s="5"/>
      <c r="F47" s="12"/>
      <c r="G47" s="50"/>
      <c r="H47" s="5"/>
      <c r="I47" s="4"/>
      <c r="J47" s="4"/>
      <c r="K47" s="8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" x14ac:dyDescent="0.25">
      <c r="A48" s="2"/>
      <c r="B48" s="17" t="s">
        <v>10</v>
      </c>
      <c r="C48" s="15"/>
      <c r="D48" s="9"/>
      <c r="E48" s="19" t="s">
        <v>37</v>
      </c>
      <c r="F48" s="102">
        <v>10</v>
      </c>
      <c r="G48" s="50"/>
      <c r="H48" s="172" t="s">
        <v>6</v>
      </c>
      <c r="I48" s="172"/>
      <c r="J48" s="172"/>
      <c r="K48" s="8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">
      <c r="A49" s="2"/>
      <c r="B49" s="19" t="s">
        <v>7</v>
      </c>
      <c r="C49" s="14">
        <f>C13</f>
        <v>3</v>
      </c>
      <c r="D49" s="2"/>
      <c r="E49" s="19" t="s">
        <v>31</v>
      </c>
      <c r="F49" s="18">
        <f>C59*F48</f>
        <v>150000</v>
      </c>
      <c r="G49" s="51"/>
      <c r="H49" s="19" t="s">
        <v>40</v>
      </c>
      <c r="I49" s="22">
        <f>((F53-F54)+(((F53+F54)/2)*F55))/F49</f>
        <v>0.81799999999999995</v>
      </c>
      <c r="J49" s="40">
        <f>I49/I$55</f>
        <v>0.16772665494791444</v>
      </c>
      <c r="K49" s="90">
        <f>(I49-I13)/I13</f>
        <v>0.14166085136078146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">
      <c r="A50" s="2"/>
      <c r="B50" s="19" t="s">
        <v>8</v>
      </c>
      <c r="C50" s="87">
        <f t="shared" ref="C50:C51" si="6">C14</f>
        <v>4</v>
      </c>
      <c r="D50" s="9"/>
      <c r="E50" s="19" t="s">
        <v>38</v>
      </c>
      <c r="F50" s="18">
        <f>(SUM(C54*C63,C55*C64,C56*C65,C57*C66,C58*C67)*F48)/2000</f>
        <v>108000</v>
      </c>
      <c r="G50" s="52"/>
      <c r="H50" s="19" t="s">
        <v>5</v>
      </c>
      <c r="I50" s="22">
        <f>(F64/F63)*F62</f>
        <v>1.1416216216216217</v>
      </c>
      <c r="J50" s="40">
        <f t="shared" ref="J50:J54" si="7">I50/I$55</f>
        <v>0.23408358901076809</v>
      </c>
      <c r="K50" s="90">
        <f>(I50-I14)/I14</f>
        <v>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">
      <c r="A51" s="2"/>
      <c r="B51" s="19" t="s">
        <v>9</v>
      </c>
      <c r="C51" s="87">
        <f t="shared" si="6"/>
        <v>8</v>
      </c>
      <c r="D51" s="9"/>
      <c r="E51" s="2"/>
      <c r="F51" s="10"/>
      <c r="G51" s="52"/>
      <c r="H51" s="19" t="s">
        <v>2</v>
      </c>
      <c r="I51" s="22">
        <f>F65</f>
        <v>1</v>
      </c>
      <c r="J51" s="40">
        <f t="shared" si="7"/>
        <v>0.20504481044977316</v>
      </c>
      <c r="K51" s="90">
        <f t="shared" ref="K51:K54" si="8">(I51-I15)/I15</f>
        <v>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" x14ac:dyDescent="0.25">
      <c r="A52" s="2"/>
      <c r="B52" s="2"/>
      <c r="C52" s="3"/>
      <c r="D52" s="8"/>
      <c r="E52" s="172" t="s">
        <v>19</v>
      </c>
      <c r="F52" s="172"/>
      <c r="G52" s="52"/>
      <c r="H52" s="19" t="s">
        <v>51</v>
      </c>
      <c r="I52" s="23">
        <f>F67/C74</f>
        <v>0.95486111111111105</v>
      </c>
      <c r="J52" s="40">
        <f t="shared" si="7"/>
        <v>0.19578931553363757</v>
      </c>
      <c r="K52" s="90">
        <f t="shared" si="8"/>
        <v>0.22222222222222215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 x14ac:dyDescent="0.25">
      <c r="A53" s="2"/>
      <c r="B53" s="142" t="s">
        <v>11</v>
      </c>
      <c r="C53" s="142"/>
      <c r="D53" s="8"/>
      <c r="E53" s="19" t="s">
        <v>21</v>
      </c>
      <c r="F53" s="60">
        <v>150000</v>
      </c>
      <c r="G53" s="52"/>
      <c r="H53" s="19" t="s">
        <v>0</v>
      </c>
      <c r="I53" s="22">
        <f>(F68*F69)/C74</f>
        <v>0.73333333333333328</v>
      </c>
      <c r="J53" s="40">
        <f t="shared" si="7"/>
        <v>0.15036619432983364</v>
      </c>
      <c r="K53" s="90">
        <f t="shared" si="8"/>
        <v>0.22222222222222218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 thickBot="1" x14ac:dyDescent="0.25">
      <c r="A54" s="2"/>
      <c r="B54" s="63" t="s">
        <v>12</v>
      </c>
      <c r="C54" s="87">
        <f>C18</f>
        <v>5000</v>
      </c>
      <c r="D54" s="9"/>
      <c r="E54" s="19" t="s">
        <v>22</v>
      </c>
      <c r="F54" s="100">
        <v>30000</v>
      </c>
      <c r="G54" s="52"/>
      <c r="H54" s="37" t="s">
        <v>1</v>
      </c>
      <c r="I54" s="41">
        <f>F70/C74</f>
        <v>0.22916666666666666</v>
      </c>
      <c r="J54" s="40">
        <f t="shared" si="7"/>
        <v>4.6989435728073015E-2</v>
      </c>
      <c r="K54" s="90">
        <f t="shared" si="8"/>
        <v>0.22222222222222218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thickTop="1" x14ac:dyDescent="0.2">
      <c r="A55" s="2"/>
      <c r="B55" s="63" t="s">
        <v>13</v>
      </c>
      <c r="C55" s="87">
        <f t="shared" ref="C55:C58" si="9">C19</f>
        <v>5000</v>
      </c>
      <c r="D55" s="9"/>
      <c r="E55" s="19" t="s">
        <v>23</v>
      </c>
      <c r="F55" s="101">
        <v>0.03</v>
      </c>
      <c r="G55" s="139"/>
      <c r="H55" s="168" t="s">
        <v>41</v>
      </c>
      <c r="I55" s="154">
        <f>SUM(I49:I54)</f>
        <v>4.8769827327327331</v>
      </c>
      <c r="J55" s="152">
        <f>J49+J50+J51+J52+J53+J54</f>
        <v>0.99999999999999989</v>
      </c>
      <c r="K55" s="138">
        <f>(I55-I19)/I19</f>
        <v>0.10167701925501726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">
      <c r="A56" s="2"/>
      <c r="B56" s="63" t="s">
        <v>14</v>
      </c>
      <c r="C56" s="87">
        <f t="shared" si="9"/>
        <v>5000</v>
      </c>
      <c r="D56" s="9"/>
      <c r="E56" s="19" t="s">
        <v>16</v>
      </c>
      <c r="F56" s="18">
        <v>100000</v>
      </c>
      <c r="G56" s="139"/>
      <c r="H56" s="169"/>
      <c r="I56" s="155"/>
      <c r="J56" s="153"/>
      <c r="K56" s="13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 thickBot="1" x14ac:dyDescent="0.25">
      <c r="A57" s="2"/>
      <c r="B57" s="64" t="s">
        <v>3</v>
      </c>
      <c r="C57" s="87">
        <f t="shared" si="9"/>
        <v>0</v>
      </c>
      <c r="D57" s="9"/>
      <c r="E57" s="37" t="s">
        <v>17</v>
      </c>
      <c r="F57" s="39">
        <v>8</v>
      </c>
      <c r="G57" s="50"/>
      <c r="H57" s="2"/>
      <c r="I57" s="2"/>
      <c r="J57" s="2"/>
      <c r="K57" s="89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6.5" thickTop="1" thickBot="1" x14ac:dyDescent="0.3">
      <c r="A58" s="2"/>
      <c r="B58" s="65" t="s">
        <v>4</v>
      </c>
      <c r="C58" s="87">
        <f t="shared" si="9"/>
        <v>0</v>
      </c>
      <c r="D58" s="9"/>
      <c r="E58" s="168" t="s">
        <v>18</v>
      </c>
      <c r="F58" s="170">
        <f>F56/F57</f>
        <v>12500</v>
      </c>
      <c r="G58" s="50"/>
      <c r="H58" s="172" t="s">
        <v>34</v>
      </c>
      <c r="I58" s="172"/>
      <c r="J58" s="172"/>
      <c r="K58" s="89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 thickTop="1" x14ac:dyDescent="0.2">
      <c r="A59" s="2"/>
      <c r="B59" s="168" t="s">
        <v>43</v>
      </c>
      <c r="C59" s="173">
        <f>SUM(C54:C58)</f>
        <v>15000</v>
      </c>
      <c r="D59" s="9"/>
      <c r="E59" s="169"/>
      <c r="F59" s="171"/>
      <c r="G59" s="52"/>
      <c r="H59" s="19" t="s">
        <v>32</v>
      </c>
      <c r="I59" s="42">
        <f>((F53-F54)+(((F53+F54)/2)*F55))/F50</f>
        <v>1.1361111111111111</v>
      </c>
      <c r="J59" s="43">
        <f t="shared" ref="J59:J64" si="10">I59/I$65</f>
        <v>0.16772665494791444</v>
      </c>
      <c r="K59" s="91">
        <f t="shared" ref="K59:K64" si="11">I59/I$29</f>
        <v>0.18478060127263318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 x14ac:dyDescent="0.25">
      <c r="A60" s="2"/>
      <c r="B60" s="169"/>
      <c r="C60" s="174"/>
      <c r="D60" s="6"/>
      <c r="E60" s="2"/>
      <c r="F60" s="10"/>
      <c r="G60" s="52"/>
      <c r="H60" s="19" t="s">
        <v>5</v>
      </c>
      <c r="I60" s="42">
        <f>((F64/F63)*F62)*(F49/F50)</f>
        <v>1.5855855855855856</v>
      </c>
      <c r="J60" s="43">
        <f t="shared" si="10"/>
        <v>0.23408358901076809</v>
      </c>
      <c r="K60" s="91">
        <f t="shared" si="11"/>
        <v>0.25788451059789952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 x14ac:dyDescent="0.25">
      <c r="A61" s="2"/>
      <c r="B61" s="2"/>
      <c r="C61" s="3"/>
      <c r="D61" s="6"/>
      <c r="E61" s="172" t="s">
        <v>20</v>
      </c>
      <c r="F61" s="172"/>
      <c r="G61" s="52"/>
      <c r="H61" s="19" t="s">
        <v>2</v>
      </c>
      <c r="I61" s="42">
        <f>(F65*F49)/F50</f>
        <v>1.3888888888888888</v>
      </c>
      <c r="J61" s="43">
        <f t="shared" si="10"/>
        <v>0.20504481044977316</v>
      </c>
      <c r="K61" s="91">
        <f t="shared" si="11"/>
        <v>0.22589315559001613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 x14ac:dyDescent="0.25">
      <c r="A62" s="2"/>
      <c r="B62" s="17" t="s">
        <v>15</v>
      </c>
      <c r="C62" s="15"/>
      <c r="D62" s="6"/>
      <c r="E62" s="19" t="s">
        <v>49</v>
      </c>
      <c r="F62" s="103">
        <v>32</v>
      </c>
      <c r="G62" s="52"/>
      <c r="H62" s="19" t="s">
        <v>51</v>
      </c>
      <c r="I62" s="42">
        <f>(F49/C74*F67)/F50</f>
        <v>1.326195987654321</v>
      </c>
      <c r="J62" s="43">
        <f t="shared" si="10"/>
        <v>0.19578931553363757</v>
      </c>
      <c r="K62" s="91">
        <f t="shared" si="11"/>
        <v>0.21569658953907792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">
      <c r="A63" s="2"/>
      <c r="B63" s="63" t="s">
        <v>12</v>
      </c>
      <c r="C63" s="58">
        <v>1440</v>
      </c>
      <c r="D63" s="9"/>
      <c r="E63" s="19" t="s">
        <v>35</v>
      </c>
      <c r="F63" s="102">
        <v>3700</v>
      </c>
      <c r="G63" s="52"/>
      <c r="H63" s="19" t="s">
        <v>0</v>
      </c>
      <c r="I63" s="42">
        <f>(((F68*F69)/C74)*F49)/F50</f>
        <v>1.0185185185185184</v>
      </c>
      <c r="J63" s="43">
        <f t="shared" si="10"/>
        <v>0.15036619432983364</v>
      </c>
      <c r="K63" s="91">
        <f t="shared" si="11"/>
        <v>0.16565498076601182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" thickBot="1" x14ac:dyDescent="0.25">
      <c r="A64" s="2"/>
      <c r="B64" s="63" t="s">
        <v>13</v>
      </c>
      <c r="C64" s="58">
        <v>1440</v>
      </c>
      <c r="D64" s="9"/>
      <c r="E64" s="19" t="s">
        <v>36</v>
      </c>
      <c r="F64" s="109">
        <f>(C49*2+C51*2)*(IF(C50=4,6,4))</f>
        <v>132</v>
      </c>
      <c r="G64" s="53"/>
      <c r="H64" s="37" t="s">
        <v>1</v>
      </c>
      <c r="I64" s="44">
        <f>(F49/C74*F70)/F50</f>
        <v>0.31828703703703703</v>
      </c>
      <c r="J64" s="43">
        <f t="shared" si="10"/>
        <v>4.6989435728073022E-2</v>
      </c>
      <c r="K64" s="92">
        <f t="shared" si="11"/>
        <v>5.17671814893787E-2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" thickTop="1" x14ac:dyDescent="0.2">
      <c r="A65" s="2"/>
      <c r="B65" s="63" t="s">
        <v>14</v>
      </c>
      <c r="C65" s="58">
        <v>1440</v>
      </c>
      <c r="D65" s="9"/>
      <c r="E65" s="19" t="s">
        <v>24</v>
      </c>
      <c r="F65" s="103">
        <v>1</v>
      </c>
      <c r="G65" s="140"/>
      <c r="H65" s="162" t="s">
        <v>41</v>
      </c>
      <c r="I65" s="150">
        <f>SUM(I59:I64)</f>
        <v>6.7735871287954623</v>
      </c>
      <c r="J65" s="152">
        <f>J59+J60+J61+J62+J63+J64</f>
        <v>0.99999999999999989</v>
      </c>
      <c r="K65" s="148">
        <f>K59+K60+K61+K62+K63+K64</f>
        <v>1.1016770192550174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">
      <c r="A66" s="2"/>
      <c r="B66" s="64" t="s">
        <v>3</v>
      </c>
      <c r="C66" s="58">
        <v>0</v>
      </c>
      <c r="D66" s="9"/>
      <c r="E66" s="19"/>
      <c r="F66" s="18"/>
      <c r="G66" s="141"/>
      <c r="H66" s="163"/>
      <c r="I66" s="151"/>
      <c r="J66" s="153"/>
      <c r="K66" s="14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" thickBot="1" x14ac:dyDescent="0.25">
      <c r="A67" s="2"/>
      <c r="B67" s="65" t="s">
        <v>4</v>
      </c>
      <c r="C67" s="59">
        <v>0</v>
      </c>
      <c r="D67" s="9"/>
      <c r="E67" s="19" t="s">
        <v>47</v>
      </c>
      <c r="F67" s="103">
        <f>F31</f>
        <v>50</v>
      </c>
      <c r="G67" s="50"/>
      <c r="H67" s="2"/>
      <c r="I67" s="2"/>
      <c r="J67" s="2"/>
      <c r="K67" s="8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thickTop="1" x14ac:dyDescent="0.25">
      <c r="A68" s="2"/>
      <c r="B68" s="162" t="s">
        <v>44</v>
      </c>
      <c r="C68" s="158">
        <f>SUM(C54*C63,C55*C64,C56*C65,C57*C66,C58*C67)/2000</f>
        <v>10800</v>
      </c>
      <c r="D68" s="2"/>
      <c r="E68" s="19" t="s">
        <v>25</v>
      </c>
      <c r="F68" s="103">
        <f t="shared" ref="F68:F70" si="12">F32</f>
        <v>1.92</v>
      </c>
      <c r="G68" s="50"/>
      <c r="H68" s="172" t="s">
        <v>33</v>
      </c>
      <c r="I68" s="172"/>
      <c r="J68" s="172"/>
      <c r="K68" s="8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">
      <c r="A69" s="2"/>
      <c r="B69" s="163"/>
      <c r="C69" s="159"/>
      <c r="D69" s="2"/>
      <c r="E69" s="19" t="s">
        <v>26</v>
      </c>
      <c r="F69" s="102">
        <f t="shared" si="12"/>
        <v>20</v>
      </c>
      <c r="G69" s="52"/>
      <c r="H69" s="19" t="s">
        <v>32</v>
      </c>
      <c r="I69" s="45">
        <f>((F53-F54)+((F53+F54)/2*F55))/F48</f>
        <v>12270</v>
      </c>
      <c r="J69" s="40">
        <f>I69/I$75</f>
        <v>0.1677266549479145</v>
      </c>
      <c r="K69" s="91">
        <f t="shared" ref="K69:K74" si="13">I69/I$39</f>
        <v>0.18478060127263321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">
      <c r="A70" s="2"/>
      <c r="B70" s="2"/>
      <c r="C70" s="3"/>
      <c r="D70" s="2"/>
      <c r="E70" s="19" t="s">
        <v>27</v>
      </c>
      <c r="F70" s="103">
        <f t="shared" si="12"/>
        <v>12</v>
      </c>
      <c r="G70" s="52"/>
      <c r="H70" s="19" t="s">
        <v>5</v>
      </c>
      <c r="I70" s="45">
        <f>((C59*F64)/F63)*F62</f>
        <v>17124.324324324323</v>
      </c>
      <c r="J70" s="40">
        <f t="shared" ref="J70:J75" si="14">I70/I$75</f>
        <v>0.23408358901076812</v>
      </c>
      <c r="K70" s="91">
        <f t="shared" si="13"/>
        <v>0.25788451059789952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" x14ac:dyDescent="0.25">
      <c r="A71" s="2"/>
      <c r="B71" s="172" t="s">
        <v>39</v>
      </c>
      <c r="C71" s="172"/>
      <c r="D71" s="2"/>
      <c r="E71" s="2"/>
      <c r="F71" s="10"/>
      <c r="G71" s="52"/>
      <c r="H71" s="19" t="s">
        <v>2</v>
      </c>
      <c r="I71" s="45">
        <f>F65*C59</f>
        <v>15000</v>
      </c>
      <c r="J71" s="40">
        <f t="shared" si="14"/>
        <v>0.20504481044977321</v>
      </c>
      <c r="K71" s="91">
        <f t="shared" si="13"/>
        <v>0.22589315559001616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">
      <c r="A72" s="2"/>
      <c r="B72" s="19" t="s">
        <v>28</v>
      </c>
      <c r="C72" s="58">
        <v>55</v>
      </c>
      <c r="D72" s="2"/>
      <c r="E72" s="2"/>
      <c r="F72" s="10"/>
      <c r="G72" s="52"/>
      <c r="H72" s="19" t="s">
        <v>51</v>
      </c>
      <c r="I72" s="46">
        <f>C59/C74*F67</f>
        <v>14322.916666666666</v>
      </c>
      <c r="J72" s="40">
        <f t="shared" si="14"/>
        <v>0.19578931553363763</v>
      </c>
      <c r="K72" s="91">
        <f t="shared" si="13"/>
        <v>0.21569658953907792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" thickBot="1" x14ac:dyDescent="0.25">
      <c r="A73" s="2"/>
      <c r="B73" s="37" t="s">
        <v>29</v>
      </c>
      <c r="C73" s="38">
        <v>0.8</v>
      </c>
      <c r="D73" s="2"/>
      <c r="E73" s="2"/>
      <c r="F73" s="10"/>
      <c r="G73" s="52"/>
      <c r="H73" s="19" t="s">
        <v>0</v>
      </c>
      <c r="I73" s="45">
        <f>((F68*F69)/C74)*C59</f>
        <v>11000</v>
      </c>
      <c r="J73" s="40">
        <f t="shared" si="14"/>
        <v>0.1503661943298337</v>
      </c>
      <c r="K73" s="91">
        <f t="shared" si="13"/>
        <v>0.16565498076601184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thickTop="1" thickBot="1" x14ac:dyDescent="0.25">
      <c r="A74" s="2"/>
      <c r="B74" s="158" t="s">
        <v>30</v>
      </c>
      <c r="C74" s="160">
        <f>(3600/C72)*C73</f>
        <v>52.363636363636367</v>
      </c>
      <c r="D74" s="2"/>
      <c r="E74" s="2"/>
      <c r="F74" s="10"/>
      <c r="G74" s="53"/>
      <c r="H74" s="37" t="s">
        <v>1</v>
      </c>
      <c r="I74" s="47">
        <f>C59/C74*F70</f>
        <v>3437.5</v>
      </c>
      <c r="J74" s="48">
        <f t="shared" si="14"/>
        <v>4.6989435728073028E-2</v>
      </c>
      <c r="K74" s="92">
        <f t="shared" si="13"/>
        <v>5.17671814893787E-2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" thickTop="1" x14ac:dyDescent="0.2">
      <c r="A75" s="2"/>
      <c r="B75" s="159"/>
      <c r="C75" s="161"/>
      <c r="D75" s="2"/>
      <c r="E75" s="2"/>
      <c r="F75" s="10"/>
      <c r="G75" s="140"/>
      <c r="H75" s="162" t="s">
        <v>41</v>
      </c>
      <c r="I75" s="164">
        <f>SUM(I69:I74)</f>
        <v>73154.740990990977</v>
      </c>
      <c r="J75" s="156">
        <f t="shared" si="14"/>
        <v>1</v>
      </c>
      <c r="K75" s="148">
        <f>K69+K70+K71+K72+K73+K74</f>
        <v>1.1016770192550174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">
      <c r="A76" s="2"/>
      <c r="B76" s="2"/>
      <c r="C76" s="3"/>
      <c r="D76" s="2"/>
      <c r="E76" s="2"/>
      <c r="F76" s="10"/>
      <c r="G76" s="141"/>
      <c r="H76" s="163"/>
      <c r="I76" s="165"/>
      <c r="J76" s="157"/>
      <c r="K76" s="149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x14ac:dyDescent="0.25">
      <c r="A77" s="2"/>
      <c r="B77" s="62" t="s">
        <v>54</v>
      </c>
      <c r="C77" s="3"/>
      <c r="D77" s="2"/>
      <c r="E77" s="2"/>
      <c r="F77" s="10"/>
      <c r="G77" s="2"/>
      <c r="H77" s="2"/>
      <c r="I77" s="2"/>
      <c r="J77" s="2"/>
      <c r="K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">
      <c r="A78" s="2"/>
      <c r="B78" s="177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9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2"/>
      <c r="B79" s="180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">
      <c r="A80" s="2"/>
      <c r="B80" s="180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s="2"/>
      <c r="B81" s="180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">
      <c r="A82" s="2"/>
      <c r="B82" s="180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">
      <c r="A83" s="2"/>
      <c r="B83" s="183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5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2"/>
      <c r="B84" s="2"/>
      <c r="C84" s="3"/>
      <c r="D84" s="2"/>
      <c r="E84" s="2"/>
      <c r="F84" s="10"/>
      <c r="G84" s="2"/>
      <c r="H84" s="2"/>
      <c r="I84" s="2"/>
      <c r="J84" s="2"/>
      <c r="K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2"/>
      <c r="B85" s="2"/>
      <c r="C85" s="3"/>
      <c r="D85" s="2"/>
      <c r="E85" s="2"/>
      <c r="F85" s="10"/>
      <c r="G85" s="2"/>
      <c r="H85" s="2"/>
      <c r="I85" s="2"/>
      <c r="J85" s="2"/>
      <c r="K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">
      <c r="A86" s="2"/>
      <c r="B86" s="2"/>
      <c r="C86" s="3"/>
      <c r="D86" s="2"/>
      <c r="E86" s="2"/>
      <c r="F86" s="10"/>
      <c r="G86" s="2"/>
      <c r="H86" s="2"/>
      <c r="I86" s="2"/>
      <c r="J86" s="2"/>
      <c r="K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">
      <c r="A87" s="2"/>
      <c r="B87" s="2"/>
      <c r="C87" s="3"/>
      <c r="D87" s="2"/>
      <c r="E87" s="2"/>
      <c r="F87" s="10"/>
      <c r="G87" s="2"/>
      <c r="H87" s="2"/>
      <c r="I87" s="2"/>
      <c r="J87" s="2"/>
      <c r="K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">
      <c r="A88" s="2"/>
      <c r="B88" s="2"/>
      <c r="C88" s="3"/>
      <c r="D88" s="2"/>
      <c r="E88" s="2"/>
      <c r="F88" s="10"/>
      <c r="G88" s="2"/>
      <c r="H88" s="2"/>
      <c r="I88" s="2"/>
      <c r="J88" s="2"/>
      <c r="K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s="2"/>
      <c r="B89" s="2"/>
      <c r="C89" s="3"/>
      <c r="D89" s="2"/>
      <c r="E89" s="2"/>
      <c r="F89" s="10"/>
      <c r="G89" s="2"/>
      <c r="H89" s="2"/>
      <c r="I89" s="2"/>
      <c r="J89" s="2"/>
      <c r="K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2"/>
      <c r="B90" s="2"/>
      <c r="C90" s="3"/>
      <c r="D90" s="2"/>
      <c r="E90" s="2"/>
      <c r="F90" s="10"/>
      <c r="G90" s="2"/>
      <c r="H90" s="2"/>
      <c r="I90" s="2"/>
      <c r="J90" s="2"/>
      <c r="K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">
      <c r="A91" s="2"/>
      <c r="B91" s="2"/>
      <c r="C91" s="3"/>
      <c r="D91" s="2"/>
      <c r="E91" s="2"/>
      <c r="F91" s="10"/>
      <c r="G91" s="2"/>
      <c r="H91" s="2"/>
      <c r="I91" s="2"/>
      <c r="J91" s="2"/>
      <c r="K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">
      <c r="A92" s="2"/>
      <c r="B92" s="2"/>
      <c r="C92" s="3"/>
      <c r="D92" s="2"/>
      <c r="E92" s="2"/>
      <c r="F92" s="10"/>
      <c r="G92" s="2"/>
      <c r="H92" s="2"/>
      <c r="I92" s="2"/>
      <c r="J92" s="2"/>
      <c r="K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">
      <c r="A93" s="2"/>
      <c r="B93" s="2"/>
      <c r="C93" s="3"/>
      <c r="D93" s="2"/>
      <c r="E93" s="2"/>
      <c r="F93" s="10"/>
      <c r="G93" s="2"/>
      <c r="H93" s="2"/>
      <c r="I93" s="2"/>
      <c r="J93" s="2"/>
      <c r="K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">
      <c r="A94" s="2"/>
      <c r="B94" s="2"/>
      <c r="C94" s="3"/>
      <c r="D94" s="2"/>
      <c r="E94" s="2"/>
      <c r="F94" s="10"/>
      <c r="G94" s="2"/>
      <c r="H94" s="2"/>
      <c r="I94" s="2"/>
      <c r="J94" s="2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">
      <c r="A95" s="2"/>
      <c r="B95" s="2"/>
      <c r="C95" s="3"/>
      <c r="D95" s="2"/>
      <c r="E95" s="2"/>
      <c r="F95" s="10"/>
      <c r="G95" s="2"/>
      <c r="H95" s="2"/>
      <c r="I95" s="2"/>
      <c r="J95" s="2"/>
      <c r="K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">
      <c r="A96" s="2"/>
      <c r="B96" s="2"/>
      <c r="C96" s="3"/>
      <c r="D96" s="2"/>
      <c r="E96" s="2"/>
      <c r="F96" s="10"/>
      <c r="G96" s="2"/>
      <c r="H96" s="2"/>
      <c r="I96" s="2"/>
      <c r="J96" s="2"/>
      <c r="K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">
      <c r="A97" s="2"/>
      <c r="B97" s="2"/>
      <c r="C97" s="3"/>
      <c r="D97" s="2"/>
      <c r="E97" s="2"/>
      <c r="F97" s="10"/>
      <c r="G97" s="2"/>
      <c r="H97" s="2"/>
      <c r="I97" s="2"/>
      <c r="J97" s="2"/>
      <c r="K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">
      <c r="A98" s="2"/>
      <c r="B98" s="2"/>
      <c r="C98" s="3"/>
      <c r="D98" s="2"/>
      <c r="E98" s="2"/>
      <c r="F98" s="10"/>
      <c r="G98" s="2"/>
      <c r="H98" s="2"/>
      <c r="I98" s="2"/>
      <c r="J98" s="2"/>
      <c r="K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">
      <c r="A99" s="2"/>
      <c r="B99" s="2"/>
      <c r="C99" s="3"/>
      <c r="D99" s="2"/>
      <c r="E99" s="2"/>
      <c r="F99" s="10"/>
      <c r="G99" s="2"/>
      <c r="H99" s="2"/>
      <c r="I99" s="2"/>
      <c r="J99" s="2"/>
      <c r="K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">
      <c r="A100" s="2"/>
      <c r="B100" s="2"/>
      <c r="C100" s="3"/>
      <c r="D100" s="2"/>
      <c r="E100" s="2"/>
      <c r="F100" s="10"/>
      <c r="G100" s="2"/>
      <c r="H100" s="2"/>
      <c r="I100" s="2"/>
      <c r="J100" s="2"/>
      <c r="K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">
      <c r="A101" s="2"/>
      <c r="B101" s="2"/>
      <c r="C101" s="3"/>
      <c r="D101" s="2"/>
      <c r="E101" s="2"/>
      <c r="F101" s="10"/>
      <c r="G101" s="2"/>
      <c r="H101" s="2"/>
      <c r="I101" s="2"/>
      <c r="J101" s="2"/>
      <c r="K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">
      <c r="A102" s="2"/>
      <c r="B102" s="2"/>
      <c r="C102" s="3"/>
      <c r="D102" s="2"/>
      <c r="E102" s="2"/>
      <c r="F102" s="10"/>
      <c r="G102" s="2"/>
      <c r="H102" s="2"/>
      <c r="I102" s="2"/>
      <c r="J102" s="2"/>
      <c r="K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">
      <c r="A103" s="2"/>
      <c r="B103" s="2"/>
      <c r="C103" s="3"/>
      <c r="D103" s="2"/>
      <c r="E103" s="2"/>
      <c r="F103" s="10"/>
      <c r="G103" s="2"/>
      <c r="H103" s="2"/>
      <c r="I103" s="2"/>
      <c r="J103" s="2"/>
      <c r="K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">
      <c r="A104" s="2"/>
      <c r="B104" s="2"/>
      <c r="C104" s="3"/>
      <c r="D104" s="2"/>
      <c r="E104" s="2"/>
      <c r="F104" s="10"/>
      <c r="G104" s="2"/>
      <c r="H104" s="2"/>
      <c r="I104" s="2"/>
      <c r="J104" s="2"/>
      <c r="K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">
      <c r="A105" s="2"/>
      <c r="B105" s="2"/>
      <c r="C105" s="3"/>
      <c r="D105" s="2"/>
      <c r="E105" s="2"/>
      <c r="F105" s="10"/>
      <c r="G105" s="2"/>
      <c r="H105" s="2"/>
      <c r="I105" s="2"/>
      <c r="J105" s="2"/>
      <c r="K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">
      <c r="A106" s="2"/>
      <c r="B106" s="2"/>
      <c r="C106" s="3"/>
      <c r="D106" s="2"/>
      <c r="E106" s="2"/>
      <c r="F106" s="10"/>
      <c r="G106" s="2"/>
      <c r="H106" s="2"/>
      <c r="I106" s="2"/>
      <c r="J106" s="2"/>
      <c r="K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">
      <c r="A107" s="2"/>
      <c r="B107" s="2"/>
      <c r="C107" s="3"/>
      <c r="D107" s="2"/>
      <c r="E107" s="2"/>
      <c r="F107" s="10"/>
      <c r="G107" s="2"/>
      <c r="H107" s="2"/>
      <c r="I107" s="2"/>
      <c r="J107" s="2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">
      <c r="A108" s="2"/>
      <c r="B108" s="2"/>
      <c r="C108" s="3"/>
      <c r="D108" s="2"/>
      <c r="E108" s="2"/>
      <c r="F108" s="10"/>
      <c r="G108" s="2"/>
      <c r="H108" s="2"/>
      <c r="I108" s="2"/>
      <c r="J108" s="2"/>
      <c r="K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">
      <c r="A109" s="2"/>
      <c r="B109" s="2"/>
      <c r="C109" s="3"/>
      <c r="D109" s="2"/>
      <c r="E109" s="2"/>
      <c r="F109" s="10"/>
      <c r="G109" s="2"/>
      <c r="H109" s="2"/>
      <c r="I109" s="2"/>
      <c r="J109" s="2"/>
      <c r="K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">
      <c r="A110" s="2"/>
      <c r="B110" s="2"/>
      <c r="C110" s="3"/>
      <c r="D110" s="2"/>
      <c r="E110" s="2"/>
      <c r="F110" s="10"/>
      <c r="G110" s="2"/>
      <c r="H110" s="2"/>
      <c r="I110" s="2"/>
      <c r="J110" s="2"/>
      <c r="K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">
      <c r="A111" s="2"/>
      <c r="B111" s="2"/>
      <c r="C111" s="3"/>
      <c r="D111" s="2"/>
      <c r="E111" s="2"/>
      <c r="F111" s="10"/>
      <c r="G111" s="2"/>
      <c r="H111" s="2"/>
      <c r="I111" s="2"/>
      <c r="J111" s="2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">
      <c r="A112" s="2"/>
      <c r="B112" s="2"/>
      <c r="C112" s="3"/>
      <c r="D112" s="2"/>
      <c r="E112" s="2"/>
      <c r="F112" s="10"/>
      <c r="G112" s="2"/>
      <c r="H112" s="2"/>
      <c r="I112" s="2"/>
      <c r="J112" s="2"/>
      <c r="K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">
      <c r="A113" s="2"/>
      <c r="B113" s="2"/>
      <c r="C113" s="3"/>
      <c r="D113" s="2"/>
      <c r="E113" s="2"/>
      <c r="F113" s="10"/>
      <c r="G113" s="2"/>
      <c r="H113" s="2"/>
      <c r="I113" s="2"/>
      <c r="J113" s="2"/>
      <c r="K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">
      <c r="A114" s="2"/>
      <c r="B114" s="2"/>
      <c r="C114" s="3"/>
      <c r="D114" s="2"/>
      <c r="E114" s="2"/>
      <c r="F114" s="10"/>
      <c r="G114" s="2"/>
      <c r="H114" s="2"/>
      <c r="I114" s="2"/>
      <c r="J114" s="2"/>
      <c r="K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">
      <c r="A115" s="2"/>
      <c r="B115" s="2"/>
      <c r="C115" s="3"/>
      <c r="D115" s="2"/>
      <c r="E115" s="2"/>
      <c r="F115" s="10"/>
      <c r="G115" s="2"/>
      <c r="H115" s="2"/>
      <c r="I115" s="2"/>
      <c r="J115" s="2"/>
      <c r="K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</sheetData>
  <sheetProtection selectLockedCells="1"/>
  <mergeCells count="76">
    <mergeCell ref="H10:J10"/>
    <mergeCell ref="H22:J22"/>
    <mergeCell ref="B26:C26"/>
    <mergeCell ref="B12:C12"/>
    <mergeCell ref="B78:M83"/>
    <mergeCell ref="H39:H40"/>
    <mergeCell ref="I39:I40"/>
    <mergeCell ref="J39:J40"/>
    <mergeCell ref="B17:C17"/>
    <mergeCell ref="B23:B24"/>
    <mergeCell ref="C23:C24"/>
    <mergeCell ref="E22:E23"/>
    <mergeCell ref="F22:F23"/>
    <mergeCell ref="H19:H20"/>
    <mergeCell ref="I19:I20"/>
    <mergeCell ref="J19:J20"/>
    <mergeCell ref="H12:J12"/>
    <mergeCell ref="H32:J32"/>
    <mergeCell ref="H29:H30"/>
    <mergeCell ref="I29:I30"/>
    <mergeCell ref="J29:J30"/>
    <mergeCell ref="B35:C35"/>
    <mergeCell ref="B38:B39"/>
    <mergeCell ref="C38:C39"/>
    <mergeCell ref="B2:C3"/>
    <mergeCell ref="E16:F16"/>
    <mergeCell ref="E25:F25"/>
    <mergeCell ref="B32:B33"/>
    <mergeCell ref="C32:C33"/>
    <mergeCell ref="E10:F10"/>
    <mergeCell ref="B10:C10"/>
    <mergeCell ref="B46:C46"/>
    <mergeCell ref="H46:J46"/>
    <mergeCell ref="B59:B60"/>
    <mergeCell ref="C59:C60"/>
    <mergeCell ref="H58:J58"/>
    <mergeCell ref="E46:F46"/>
    <mergeCell ref="H48:J48"/>
    <mergeCell ref="B71:C71"/>
    <mergeCell ref="B68:B69"/>
    <mergeCell ref="C68:C69"/>
    <mergeCell ref="E52:F52"/>
    <mergeCell ref="H65:H66"/>
    <mergeCell ref="H55:H56"/>
    <mergeCell ref="J75:J76"/>
    <mergeCell ref="L29:L30"/>
    <mergeCell ref="M29:M30"/>
    <mergeCell ref="B74:B75"/>
    <mergeCell ref="C74:C75"/>
    <mergeCell ref="H75:H76"/>
    <mergeCell ref="I75:I76"/>
    <mergeCell ref="K75:K76"/>
    <mergeCell ref="L39:L40"/>
    <mergeCell ref="M39:M40"/>
    <mergeCell ref="G75:G76"/>
    <mergeCell ref="B53:C53"/>
    <mergeCell ref="E58:E59"/>
    <mergeCell ref="F58:F59"/>
    <mergeCell ref="E61:F61"/>
    <mergeCell ref="H68:J68"/>
    <mergeCell ref="L5:M8"/>
    <mergeCell ref="B43:E44"/>
    <mergeCell ref="K55:K56"/>
    <mergeCell ref="G55:G56"/>
    <mergeCell ref="G65:G66"/>
    <mergeCell ref="L12:M12"/>
    <mergeCell ref="L22:M22"/>
    <mergeCell ref="L32:M32"/>
    <mergeCell ref="L19:L20"/>
    <mergeCell ref="M19:M20"/>
    <mergeCell ref="L10:M10"/>
    <mergeCell ref="K65:K66"/>
    <mergeCell ref="I65:I66"/>
    <mergeCell ref="J65:J66"/>
    <mergeCell ref="I55:I56"/>
    <mergeCell ref="J55:J56"/>
  </mergeCells>
  <conditionalFormatting sqref="I19:I20">
    <cfRule type="cellIs" dxfId="74" priority="17" operator="lessThan">
      <formula>$L$19</formula>
    </cfRule>
  </conditionalFormatting>
  <conditionalFormatting sqref="L19:L20">
    <cfRule type="cellIs" dxfId="73" priority="13" operator="lessThan">
      <formula>0</formula>
    </cfRule>
  </conditionalFormatting>
  <conditionalFormatting sqref="L29:L30">
    <cfRule type="cellIs" dxfId="72" priority="6" operator="lessThan">
      <formula>0</formula>
    </cfRule>
  </conditionalFormatting>
  <conditionalFormatting sqref="L19:M20">
    <cfRule type="cellIs" dxfId="71" priority="7" operator="greaterThan">
      <formula>0</formula>
    </cfRule>
  </conditionalFormatting>
  <conditionalFormatting sqref="L29:M30">
    <cfRule type="cellIs" dxfId="70" priority="4" operator="greaterThan">
      <formula>0</formula>
    </cfRule>
  </conditionalFormatting>
  <conditionalFormatting sqref="L39:L40">
    <cfRule type="cellIs" dxfId="69" priority="3" operator="lessThan">
      <formula>0</formula>
    </cfRule>
  </conditionalFormatting>
  <conditionalFormatting sqref="L39:M40">
    <cfRule type="cellIs" dxfId="68" priority="1" operator="greaterThan">
      <formula>0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scale="46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61"/>
  <sheetViews>
    <sheetView zoomScale="85" zoomScaleNormal="85" workbookViewId="0">
      <selection activeCell="A2" sqref="A2:F3"/>
    </sheetView>
  </sheetViews>
  <sheetFormatPr defaultColWidth="9" defaultRowHeight="14.25" x14ac:dyDescent="0.2"/>
  <cols>
    <col min="1" max="1" width="1.875" customWidth="1"/>
    <col min="14" max="14" width="25.75" bestFit="1" customWidth="1"/>
    <col min="15" max="15" width="11.375" customWidth="1"/>
    <col min="16" max="16" width="14.625" customWidth="1"/>
  </cols>
  <sheetData>
    <row r="1" spans="1:27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 x14ac:dyDescent="0.2">
      <c r="A2" s="175" t="s">
        <v>70</v>
      </c>
      <c r="B2" s="175"/>
      <c r="C2" s="175"/>
      <c r="D2" s="175"/>
      <c r="E2" s="175"/>
      <c r="F2" s="17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2">
      <c r="A3" s="175"/>
      <c r="B3" s="175"/>
      <c r="C3" s="175"/>
      <c r="D3" s="175"/>
      <c r="E3" s="175"/>
      <c r="F3" s="17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72" t="s">
        <v>42</v>
      </c>
      <c r="O9" s="73" t="s">
        <v>63</v>
      </c>
      <c r="P9" s="74" t="s">
        <v>52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x14ac:dyDescent="0.25">
      <c r="A10" s="2"/>
      <c r="B10" s="194" t="s">
        <v>57</v>
      </c>
      <c r="C10" s="194"/>
      <c r="D10" s="194"/>
      <c r="E10" s="2"/>
      <c r="F10" s="2"/>
      <c r="G10" s="2"/>
      <c r="H10" s="2"/>
      <c r="I10" s="2"/>
      <c r="J10" s="2"/>
      <c r="K10" s="2"/>
      <c r="L10" s="2"/>
      <c r="M10" s="2"/>
      <c r="N10" s="19" t="s">
        <v>11</v>
      </c>
      <c r="O10" s="189">
        <v>15000</v>
      </c>
      <c r="P10" s="189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9" t="s">
        <v>73</v>
      </c>
      <c r="O11" s="76">
        <v>1440</v>
      </c>
      <c r="P11" s="76">
        <v>1400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9" t="s">
        <v>74</v>
      </c>
      <c r="O12" s="196">
        <v>66</v>
      </c>
      <c r="P12" s="19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">
      <c r="A13" s="2"/>
      <c r="B13" s="2"/>
      <c r="C13" s="2"/>
      <c r="D13" s="2"/>
      <c r="E13" s="2"/>
      <c r="F13" s="2"/>
      <c r="G13" s="188" t="s">
        <v>60</v>
      </c>
      <c r="H13" s="188"/>
      <c r="I13" s="2"/>
      <c r="J13" s="2"/>
      <c r="K13" s="2"/>
      <c r="L13" s="2"/>
      <c r="M13" s="2"/>
      <c r="N13" s="19" t="s">
        <v>76</v>
      </c>
      <c r="O13" s="187">
        <v>25</v>
      </c>
      <c r="P13" s="187"/>
      <c r="Q13" s="2"/>
      <c r="R13" s="2"/>
      <c r="S13" s="2"/>
      <c r="T13" s="75"/>
      <c r="U13" s="2"/>
      <c r="V13" s="2"/>
      <c r="W13" s="2"/>
      <c r="X13" s="2"/>
      <c r="Y13" s="2"/>
      <c r="Z13" s="2"/>
      <c r="AA13" s="2"/>
    </row>
    <row r="14" spans="1:27" x14ac:dyDescent="0.2">
      <c r="A14" s="2"/>
      <c r="B14" s="2"/>
      <c r="C14" s="2"/>
      <c r="D14" s="2"/>
      <c r="E14" s="2"/>
      <c r="F14" s="2"/>
      <c r="G14" s="188"/>
      <c r="H14" s="188"/>
      <c r="I14" s="2"/>
      <c r="J14" s="2"/>
      <c r="K14" s="2"/>
      <c r="L14" s="2"/>
      <c r="M14" s="2"/>
      <c r="N14" s="19" t="s">
        <v>75</v>
      </c>
      <c r="O14" s="186">
        <v>2</v>
      </c>
      <c r="P14" s="18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">
      <c r="A15" s="2"/>
      <c r="B15" s="2"/>
      <c r="C15" s="2"/>
      <c r="D15" s="2"/>
      <c r="E15" s="2"/>
      <c r="F15" s="2"/>
      <c r="G15" s="188"/>
      <c r="H15" s="18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95" t="s">
        <v>66</v>
      </c>
      <c r="O17" s="195"/>
      <c r="P17" s="195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7" t="s">
        <v>77</v>
      </c>
      <c r="O18" s="78">
        <f>O11*O12</f>
        <v>95040</v>
      </c>
      <c r="P18" s="78">
        <f>P11*O12</f>
        <v>92400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77" t="s">
        <v>76</v>
      </c>
      <c r="O19" s="190">
        <f>O13*2</f>
        <v>50</v>
      </c>
      <c r="P19" s="190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thickBot="1" x14ac:dyDescent="0.3">
      <c r="A20" s="2"/>
      <c r="B20" s="194" t="s">
        <v>58</v>
      </c>
      <c r="C20" s="194"/>
      <c r="D20" s="194"/>
      <c r="E20" s="2"/>
      <c r="F20" s="2"/>
      <c r="G20" s="2"/>
      <c r="H20" s="2"/>
      <c r="I20" s="2"/>
      <c r="J20" s="2"/>
      <c r="K20" s="2"/>
      <c r="L20" s="2"/>
      <c r="M20" s="2"/>
      <c r="N20" s="37" t="s">
        <v>78</v>
      </c>
      <c r="O20" s="191">
        <f>O14*O19</f>
        <v>100</v>
      </c>
      <c r="P20" s="191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" thickTop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9"/>
      <c r="O21" s="19"/>
      <c r="P21" s="1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9" t="s">
        <v>68</v>
      </c>
      <c r="O22" s="68">
        <f>O18-P18</f>
        <v>2640</v>
      </c>
      <c r="P22" s="68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A23" s="2"/>
      <c r="B23" s="2"/>
      <c r="C23" s="2"/>
      <c r="D23" s="2"/>
      <c r="E23" s="2"/>
      <c r="F23" s="2"/>
      <c r="G23" s="2"/>
      <c r="H23" s="2"/>
      <c r="I23" s="2"/>
      <c r="J23" s="188" t="s">
        <v>61</v>
      </c>
      <c r="K23" s="188"/>
      <c r="L23" s="2"/>
      <c r="M23" s="2"/>
      <c r="N23" s="19" t="s">
        <v>69</v>
      </c>
      <c r="O23" s="71">
        <f>(((100/P18)*O18)-100)/100</f>
        <v>2.8571428571428612E-2</v>
      </c>
      <c r="P23" s="19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">
      <c r="A24" s="2"/>
      <c r="B24" s="2"/>
      <c r="C24" s="2"/>
      <c r="D24" s="2"/>
      <c r="E24" s="2"/>
      <c r="F24" s="2"/>
      <c r="G24" s="2"/>
      <c r="H24" s="2"/>
      <c r="I24" s="2"/>
      <c r="J24" s="188"/>
      <c r="K24" s="188"/>
      <c r="L24" s="2"/>
      <c r="M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">
      <c r="A25" s="2"/>
      <c r="B25" s="2"/>
      <c r="C25" s="2"/>
      <c r="D25" s="2"/>
      <c r="E25" s="2"/>
      <c r="F25" s="2"/>
      <c r="G25" s="2"/>
      <c r="H25" s="2"/>
      <c r="I25" s="2"/>
      <c r="J25" s="188"/>
      <c r="K25" s="188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95" t="s">
        <v>71</v>
      </c>
      <c r="O26" s="195"/>
      <c r="P26" s="195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" thickBo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7" t="s">
        <v>65</v>
      </c>
      <c r="O27" s="197">
        <f>O10/O12</f>
        <v>227.27272727272728</v>
      </c>
      <c r="P27" s="197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" thickTop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9"/>
      <c r="O28" s="19"/>
      <c r="P28" s="19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9" t="s">
        <v>64</v>
      </c>
      <c r="O29" s="14">
        <f>O11*O10</f>
        <v>21600000</v>
      </c>
      <c r="P29" s="14">
        <f>P11*O10</f>
        <v>21000000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69" t="s">
        <v>67</v>
      </c>
      <c r="O30" s="14">
        <f>O29-P29</f>
        <v>600000</v>
      </c>
      <c r="P30" s="69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" x14ac:dyDescent="0.25">
      <c r="A31" s="2"/>
      <c r="B31" s="194" t="s">
        <v>59</v>
      </c>
      <c r="C31" s="194"/>
      <c r="D31" s="194"/>
      <c r="E31" s="2"/>
      <c r="F31" s="2"/>
      <c r="G31" s="2"/>
      <c r="H31" s="2"/>
      <c r="I31" s="2"/>
      <c r="J31" s="2"/>
      <c r="K31" s="2"/>
      <c r="L31" s="2"/>
      <c r="M31" s="2"/>
      <c r="N31" s="19" t="s">
        <v>64</v>
      </c>
      <c r="O31" s="71">
        <f>(((100/P29)*O29)-100)/100</f>
        <v>2.857142857142847E-2</v>
      </c>
      <c r="P31" s="19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192" t="s">
        <v>62</v>
      </c>
      <c r="L34" s="192"/>
      <c r="M34" s="2"/>
      <c r="N34" s="195" t="s">
        <v>72</v>
      </c>
      <c r="O34" s="195"/>
      <c r="P34" s="195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192"/>
      <c r="L35" s="192"/>
      <c r="M35" s="2"/>
      <c r="N35" s="19" t="s">
        <v>64</v>
      </c>
      <c r="O35" s="193">
        <f>O29</f>
        <v>21600000</v>
      </c>
      <c r="P35" s="193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192"/>
      <c r="L36" s="192"/>
      <c r="M36" s="2"/>
      <c r="N36" s="19" t="s">
        <v>73</v>
      </c>
      <c r="O36" s="14">
        <f>O11</f>
        <v>1440</v>
      </c>
      <c r="P36" s="14">
        <f>P11</f>
        <v>1400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7"/>
      <c r="M37" s="2"/>
      <c r="N37" s="77" t="s">
        <v>83</v>
      </c>
      <c r="O37" s="78">
        <f>O35/O36</f>
        <v>15000</v>
      </c>
      <c r="P37" s="79">
        <f>O35/P36</f>
        <v>15428.571428571429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" thickBo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7"/>
      <c r="M38" s="2"/>
      <c r="N38" s="37" t="s">
        <v>82</v>
      </c>
      <c r="O38" s="67">
        <f>O37/O12</f>
        <v>227.27272727272728</v>
      </c>
      <c r="P38" s="67">
        <f>P37/O12</f>
        <v>233.76623376623377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 thickTop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7"/>
      <c r="M39" s="2"/>
      <c r="N39" s="19"/>
      <c r="O39" s="19"/>
      <c r="P39" s="19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9" t="s">
        <v>79</v>
      </c>
      <c r="O40" s="70">
        <f>(O37-P37)</f>
        <v>-428.57142857142935</v>
      </c>
      <c r="P40" s="19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9" t="s">
        <v>80</v>
      </c>
      <c r="O41" s="70">
        <f>O40/O12</f>
        <v>-6.493506493506505</v>
      </c>
      <c r="P41" s="19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9" t="s">
        <v>81</v>
      </c>
      <c r="O42" s="80">
        <f>O20*O41</f>
        <v>-649.35064935065054</v>
      </c>
      <c r="P42" s="19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</sheetData>
  <sheetProtection selectLockedCells="1"/>
  <mergeCells count="18">
    <mergeCell ref="K34:L36"/>
    <mergeCell ref="O35:P35"/>
    <mergeCell ref="B10:D10"/>
    <mergeCell ref="B20:D20"/>
    <mergeCell ref="B31:D31"/>
    <mergeCell ref="N17:P17"/>
    <mergeCell ref="N26:P26"/>
    <mergeCell ref="O12:P12"/>
    <mergeCell ref="O27:P27"/>
    <mergeCell ref="N34:P34"/>
    <mergeCell ref="A2:F3"/>
    <mergeCell ref="O14:P14"/>
    <mergeCell ref="O13:P13"/>
    <mergeCell ref="G13:H15"/>
    <mergeCell ref="J23:K25"/>
    <mergeCell ref="O10:P10"/>
    <mergeCell ref="O19:P19"/>
    <mergeCell ref="O20:P20"/>
  </mergeCells>
  <conditionalFormatting sqref="O22">
    <cfRule type="cellIs" dxfId="67" priority="16" operator="lessThan">
      <formula>0</formula>
    </cfRule>
    <cfRule type="cellIs" dxfId="66" priority="17" operator="greaterThan">
      <formula>0</formula>
    </cfRule>
  </conditionalFormatting>
  <conditionalFormatting sqref="O41">
    <cfRule type="cellIs" dxfId="65" priority="14" operator="lessThan">
      <formula>0</formula>
    </cfRule>
  </conditionalFormatting>
  <conditionalFormatting sqref="O40">
    <cfRule type="cellIs" dxfId="64" priority="13" operator="lessThan">
      <formula>0</formula>
    </cfRule>
  </conditionalFormatting>
  <conditionalFormatting sqref="O31">
    <cfRule type="cellIs" dxfId="63" priority="10" operator="lessThan">
      <formula>0</formula>
    </cfRule>
    <cfRule type="cellIs" dxfId="62" priority="11" operator="greaterThan">
      <formula>0</formula>
    </cfRule>
  </conditionalFormatting>
  <conditionalFormatting sqref="P22">
    <cfRule type="cellIs" dxfId="61" priority="8" operator="lessThan">
      <formula>0</formula>
    </cfRule>
    <cfRule type="cellIs" dxfId="60" priority="9" operator="greaterThan">
      <formula>0</formula>
    </cfRule>
  </conditionalFormatting>
  <conditionalFormatting sqref="O30">
    <cfRule type="cellIs" dxfId="59" priority="6" operator="greaterThan">
      <formula>0</formula>
    </cfRule>
    <cfRule type="cellIs" dxfId="58" priority="7" operator="greaterThan">
      <formula>$P$29</formula>
    </cfRule>
  </conditionalFormatting>
  <conditionalFormatting sqref="O40:O41">
    <cfRule type="cellIs" dxfId="57" priority="5" operator="greaterThan">
      <formula>0</formula>
    </cfRule>
  </conditionalFormatting>
  <conditionalFormatting sqref="O23">
    <cfRule type="cellIs" dxfId="56" priority="4" operator="greaterThan">
      <formula>0</formula>
    </cfRule>
  </conditionalFormatting>
  <conditionalFormatting sqref="O42">
    <cfRule type="cellIs" dxfId="55" priority="1" operator="greaterThan">
      <formula>0</formula>
    </cfRule>
    <cfRule type="cellIs" dxfId="54" priority="3" operator="lessThan">
      <formula>0</formula>
    </cfRule>
  </conditionalFormatting>
  <conditionalFormatting sqref="O42">
    <cfRule type="cellIs" dxfId="53" priority="2" operator="greaterThan">
      <formula>0</formula>
    </cfRule>
  </conditionalFormatting>
  <pageMargins left="0.7" right="0.7" top="0.75" bottom="0.75" header="0.3" footer="0.3"/>
  <pageSetup scale="43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4"/>
  <sheetViews>
    <sheetView view="pageBreakPreview" topLeftCell="A64" zoomScale="60" zoomScaleNormal="70" workbookViewId="0">
      <selection activeCell="G22" sqref="G22:H22"/>
    </sheetView>
  </sheetViews>
  <sheetFormatPr defaultColWidth="11" defaultRowHeight="14.25" x14ac:dyDescent="0.2"/>
  <cols>
    <col min="1" max="1" width="2" customWidth="1"/>
    <col min="2" max="2" width="22" customWidth="1"/>
    <col min="3" max="3" width="12.75" style="1" customWidth="1"/>
    <col min="4" max="4" width="12.75" customWidth="1"/>
    <col min="5" max="5" width="4.625" customWidth="1"/>
    <col min="6" max="6" width="10.75" style="7" customWidth="1"/>
    <col min="7" max="7" width="10.75" customWidth="1"/>
    <col min="8" max="8" width="21" bestFit="1" customWidth="1"/>
    <col min="9" max="10" width="12.75" customWidth="1"/>
    <col min="11" max="11" width="2.125" style="93" customWidth="1"/>
  </cols>
  <sheetData>
    <row r="1" spans="1:11" ht="15" x14ac:dyDescent="0.25">
      <c r="A1" s="2"/>
      <c r="B1" s="2"/>
      <c r="C1" s="3"/>
      <c r="D1" s="2"/>
      <c r="E1" s="2"/>
      <c r="F1" s="10"/>
      <c r="G1" s="107"/>
      <c r="H1" s="2"/>
      <c r="I1" s="2"/>
      <c r="J1" s="2"/>
      <c r="K1" s="11"/>
    </row>
    <row r="2" spans="1:11" ht="14.25" customHeight="1" x14ac:dyDescent="0.25">
      <c r="A2" s="2"/>
      <c r="B2" s="175" t="s">
        <v>48</v>
      </c>
      <c r="C2" s="175"/>
      <c r="D2" s="2"/>
      <c r="E2" s="9"/>
      <c r="F2" s="10"/>
      <c r="G2" s="107"/>
      <c r="H2" s="9"/>
      <c r="I2" s="2"/>
      <c r="J2" s="2"/>
      <c r="K2" s="11"/>
    </row>
    <row r="3" spans="1:11" ht="14.25" customHeight="1" x14ac:dyDescent="0.25">
      <c r="A3" s="2"/>
      <c r="B3" s="175"/>
      <c r="C3" s="175"/>
      <c r="D3" s="10"/>
      <c r="E3" s="2"/>
      <c r="F3" s="2"/>
      <c r="G3" s="16"/>
      <c r="H3" s="2"/>
      <c r="I3" s="2"/>
      <c r="J3" s="2"/>
      <c r="K3" s="11"/>
    </row>
    <row r="4" spans="1:11" ht="14.25" customHeight="1" x14ac:dyDescent="0.25">
      <c r="A4" s="2"/>
      <c r="B4" s="16"/>
      <c r="C4" s="16"/>
      <c r="E4" s="16"/>
      <c r="G4" s="16"/>
      <c r="H4" s="2"/>
      <c r="I4" s="2"/>
      <c r="J4" s="2"/>
      <c r="K4" s="11"/>
    </row>
    <row r="5" spans="1:11" ht="14.25" customHeight="1" x14ac:dyDescent="0.25">
      <c r="A5" s="2"/>
      <c r="B5" s="16"/>
      <c r="C5" s="16"/>
      <c r="D5" s="107" t="s">
        <v>84</v>
      </c>
      <c r="E5" s="215" t="s">
        <v>85</v>
      </c>
      <c r="F5" s="215"/>
      <c r="G5" s="215"/>
      <c r="H5" s="2"/>
      <c r="I5" s="2"/>
      <c r="J5" s="2"/>
      <c r="K5" s="11"/>
    </row>
    <row r="6" spans="1:11" ht="14.25" customHeight="1" x14ac:dyDescent="0.25">
      <c r="A6" s="2"/>
      <c r="B6" s="16"/>
      <c r="C6" s="16"/>
      <c r="D6" s="107" t="s">
        <v>93</v>
      </c>
      <c r="E6" s="216" t="s">
        <v>98</v>
      </c>
      <c r="F6" s="216"/>
      <c r="G6" s="216"/>
      <c r="H6" s="107" t="s">
        <v>89</v>
      </c>
      <c r="I6" s="135">
        <f ca="1">TODAY()</f>
        <v>42762</v>
      </c>
      <c r="J6" s="134"/>
      <c r="K6" s="11"/>
    </row>
    <row r="7" spans="1:11" ht="14.25" customHeight="1" x14ac:dyDescent="0.25">
      <c r="A7" s="2"/>
      <c r="B7" s="16"/>
      <c r="C7" s="16"/>
      <c r="D7" s="107" t="s">
        <v>94</v>
      </c>
      <c r="E7" s="215"/>
      <c r="F7" s="215"/>
      <c r="G7" s="215"/>
      <c r="H7" s="107"/>
      <c r="I7" s="112"/>
      <c r="J7" s="112"/>
      <c r="K7" s="11"/>
    </row>
    <row r="8" spans="1:11" ht="14.25" customHeight="1" x14ac:dyDescent="0.25">
      <c r="A8" s="2"/>
      <c r="B8" s="16"/>
      <c r="C8" s="16"/>
      <c r="E8" s="95"/>
      <c r="F8" s="113"/>
      <c r="G8" s="95"/>
      <c r="H8" s="107" t="s">
        <v>91</v>
      </c>
      <c r="I8" s="215"/>
      <c r="J8" s="215"/>
      <c r="K8" s="11"/>
    </row>
    <row r="9" spans="1:11" ht="14.25" customHeight="1" x14ac:dyDescent="0.25">
      <c r="A9" s="2"/>
      <c r="B9" s="16"/>
      <c r="C9" s="16"/>
      <c r="D9" s="107" t="s">
        <v>53</v>
      </c>
      <c r="E9" s="215"/>
      <c r="F9" s="215"/>
      <c r="G9" s="215"/>
      <c r="H9" s="107" t="s">
        <v>92</v>
      </c>
      <c r="I9" s="216"/>
      <c r="J9" s="216"/>
      <c r="K9" s="11"/>
    </row>
    <row r="10" spans="1:11" ht="14.25" customHeight="1" x14ac:dyDescent="0.25">
      <c r="A10" s="2"/>
      <c r="B10" s="16"/>
      <c r="C10" s="16"/>
      <c r="D10" s="107" t="s">
        <v>87</v>
      </c>
      <c r="E10" s="216"/>
      <c r="F10" s="216"/>
      <c r="G10" s="216"/>
      <c r="H10" s="107" t="s">
        <v>88</v>
      </c>
      <c r="I10" s="216"/>
      <c r="J10" s="216"/>
      <c r="K10" s="11"/>
    </row>
    <row r="11" spans="1:11" ht="14.25" customHeight="1" x14ac:dyDescent="0.25">
      <c r="A11" s="2"/>
      <c r="B11" s="16"/>
      <c r="C11" s="16"/>
      <c r="D11" s="13" t="s">
        <v>50</v>
      </c>
      <c r="E11" s="216"/>
      <c r="F11" s="216"/>
      <c r="G11" s="216"/>
      <c r="H11" s="107" t="s">
        <v>90</v>
      </c>
      <c r="I11" s="216"/>
      <c r="J11" s="216"/>
      <c r="K11" s="11"/>
    </row>
    <row r="12" spans="1:11" ht="14.25" customHeight="1" x14ac:dyDescent="0.25">
      <c r="A12" s="2"/>
      <c r="B12" s="16"/>
      <c r="C12" s="16"/>
      <c r="D12" s="13"/>
      <c r="E12" s="24"/>
      <c r="F12" s="9"/>
      <c r="G12" s="16"/>
      <c r="H12" s="107"/>
      <c r="I12" s="2"/>
      <c r="J12" s="2"/>
      <c r="K12" s="11"/>
    </row>
    <row r="13" spans="1:11" ht="15" x14ac:dyDescent="0.25">
      <c r="A13" s="2"/>
      <c r="B13" s="213" t="s">
        <v>42</v>
      </c>
      <c r="C13" s="213"/>
      <c r="D13" s="213"/>
      <c r="E13" s="11"/>
      <c r="F13" s="11"/>
      <c r="G13" s="213" t="s">
        <v>45</v>
      </c>
      <c r="H13" s="213"/>
      <c r="I13" s="213"/>
      <c r="J13" s="213"/>
      <c r="K13" s="11"/>
    </row>
    <row r="14" spans="1:11" ht="15" x14ac:dyDescent="0.25">
      <c r="A14" s="2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ht="15" x14ac:dyDescent="0.25">
      <c r="A15" s="2"/>
      <c r="B15" s="11"/>
      <c r="C15" s="94" t="s">
        <v>95</v>
      </c>
      <c r="D15" s="6" t="str">
        <f>E6</f>
        <v>Kuhn</v>
      </c>
      <c r="E15" s="11"/>
      <c r="F15" s="11"/>
      <c r="H15" s="5"/>
      <c r="I15" s="94" t="s">
        <v>95</v>
      </c>
      <c r="J15" s="6" t="str">
        <f>E6</f>
        <v>Kuhn</v>
      </c>
      <c r="K15" s="11"/>
    </row>
    <row r="16" spans="1:11" ht="15" x14ac:dyDescent="0.25">
      <c r="A16" s="2"/>
      <c r="B16" s="172" t="s">
        <v>10</v>
      </c>
      <c r="C16" s="172"/>
      <c r="D16" s="172"/>
      <c r="E16" s="11"/>
      <c r="F16" s="11"/>
      <c r="G16" s="172" t="s">
        <v>97</v>
      </c>
      <c r="H16" s="172"/>
      <c r="I16" s="172"/>
      <c r="J16" s="172"/>
      <c r="K16" s="11"/>
    </row>
    <row r="17" spans="1:11" ht="15" x14ac:dyDescent="0.25">
      <c r="A17" s="21"/>
      <c r="B17" s="19" t="s">
        <v>7</v>
      </c>
      <c r="C17" s="214">
        <v>3</v>
      </c>
      <c r="D17" s="214"/>
      <c r="E17" s="11"/>
      <c r="F17" s="11"/>
      <c r="G17" s="210" t="s">
        <v>37</v>
      </c>
      <c r="H17" s="210"/>
      <c r="I17" s="116">
        <v>10</v>
      </c>
      <c r="J17" s="116">
        <v>10</v>
      </c>
      <c r="K17" s="11"/>
    </row>
    <row r="18" spans="1:11" ht="15" x14ac:dyDescent="0.25">
      <c r="A18" s="21"/>
      <c r="B18" s="19" t="s">
        <v>8</v>
      </c>
      <c r="C18" s="214">
        <v>4</v>
      </c>
      <c r="D18" s="214"/>
      <c r="E18" s="11"/>
      <c r="F18" s="11"/>
      <c r="G18" s="210" t="s">
        <v>31</v>
      </c>
      <c r="H18" s="210"/>
      <c r="I18" s="18">
        <f>C27*I17</f>
        <v>150000</v>
      </c>
      <c r="J18" s="18">
        <f>C27*J17</f>
        <v>150000</v>
      </c>
      <c r="K18" s="11"/>
    </row>
    <row r="19" spans="1:11" ht="15" x14ac:dyDescent="0.25">
      <c r="A19" s="21"/>
      <c r="B19" s="19" t="s">
        <v>9</v>
      </c>
      <c r="C19" s="187">
        <v>8</v>
      </c>
      <c r="D19" s="187"/>
      <c r="E19" s="11"/>
      <c r="F19" s="11"/>
      <c r="G19" s="210" t="s">
        <v>38</v>
      </c>
      <c r="H19" s="210"/>
      <c r="I19" s="18">
        <f>(SUM(C22*C31,C23*C32,C24*C33,C25*C34,C35*C35)*I17)/2000</f>
        <v>108000</v>
      </c>
      <c r="J19" s="18">
        <f>(SUM(C22*D31,C23*D32,C24*D33,C25*D34,C26*D35)*J17)/2000</f>
        <v>108000</v>
      </c>
      <c r="K19" s="11"/>
    </row>
    <row r="20" spans="1:11" ht="15" x14ac:dyDescent="0.25">
      <c r="A20" s="2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t="15" x14ac:dyDescent="0.25">
      <c r="A21" s="21"/>
      <c r="B21" s="172" t="s">
        <v>11</v>
      </c>
      <c r="C21" s="172"/>
      <c r="D21" s="172"/>
      <c r="E21" s="11"/>
      <c r="F21" s="11"/>
      <c r="G21" s="172" t="s">
        <v>19</v>
      </c>
      <c r="H21" s="172" t="s">
        <v>19</v>
      </c>
      <c r="I21" s="172"/>
      <c r="J21" s="172"/>
      <c r="K21" s="11"/>
    </row>
    <row r="22" spans="1:11" ht="15" x14ac:dyDescent="0.25">
      <c r="A22" s="2"/>
      <c r="B22" s="63" t="s">
        <v>12</v>
      </c>
      <c r="C22" s="187">
        <v>5000</v>
      </c>
      <c r="D22" s="187"/>
      <c r="E22" s="11"/>
      <c r="F22" s="11"/>
      <c r="G22" s="210" t="s">
        <v>21</v>
      </c>
      <c r="H22" s="210"/>
      <c r="I22" s="117">
        <v>135000</v>
      </c>
      <c r="J22" s="117">
        <v>135000</v>
      </c>
      <c r="K22" s="11"/>
    </row>
    <row r="23" spans="1:11" ht="15" x14ac:dyDescent="0.25">
      <c r="A23" s="2"/>
      <c r="B23" s="63" t="s">
        <v>13</v>
      </c>
      <c r="C23" s="187">
        <v>5000</v>
      </c>
      <c r="D23" s="187"/>
      <c r="E23" s="11"/>
      <c r="F23" s="11"/>
      <c r="G23" s="210" t="s">
        <v>22</v>
      </c>
      <c r="H23" s="210"/>
      <c r="I23" s="118">
        <v>30000</v>
      </c>
      <c r="J23" s="118">
        <v>30000</v>
      </c>
      <c r="K23" s="11"/>
    </row>
    <row r="24" spans="1:11" ht="15" x14ac:dyDescent="0.25">
      <c r="A24" s="2"/>
      <c r="B24" s="63" t="s">
        <v>14</v>
      </c>
      <c r="C24" s="187">
        <v>5000</v>
      </c>
      <c r="D24" s="187"/>
      <c r="E24" s="11"/>
      <c r="F24" s="11"/>
      <c r="G24" s="210" t="s">
        <v>23</v>
      </c>
      <c r="H24" s="210"/>
      <c r="I24" s="119">
        <v>0.03</v>
      </c>
      <c r="J24" s="119">
        <v>0.03</v>
      </c>
      <c r="K24" s="11"/>
    </row>
    <row r="25" spans="1:11" ht="15" x14ac:dyDescent="0.25">
      <c r="A25" s="2"/>
      <c r="B25" s="64" t="s">
        <v>3</v>
      </c>
      <c r="C25" s="187"/>
      <c r="D25" s="187"/>
      <c r="E25" s="11"/>
      <c r="F25" s="11"/>
      <c r="G25" s="210" t="s">
        <v>16</v>
      </c>
      <c r="H25" s="210"/>
      <c r="I25" s="18">
        <v>100000</v>
      </c>
      <c r="J25" s="18">
        <v>100000</v>
      </c>
      <c r="K25" s="11"/>
    </row>
    <row r="26" spans="1:11" ht="15.75" thickBot="1" x14ac:dyDescent="0.3">
      <c r="A26" s="2"/>
      <c r="B26" s="65" t="s">
        <v>4</v>
      </c>
      <c r="C26" s="187"/>
      <c r="D26" s="187"/>
      <c r="E26" s="11"/>
      <c r="F26" s="11"/>
      <c r="G26" s="211" t="s">
        <v>17</v>
      </c>
      <c r="H26" s="211"/>
      <c r="I26" s="39">
        <v>8</v>
      </c>
      <c r="J26" s="39">
        <v>8</v>
      </c>
      <c r="K26" s="11"/>
    </row>
    <row r="27" spans="1:11" ht="15.75" thickTop="1" x14ac:dyDescent="0.25">
      <c r="A27" s="2"/>
      <c r="B27" s="168" t="s">
        <v>43</v>
      </c>
      <c r="C27" s="173">
        <f>SUM(C22:D26)</f>
        <v>15000</v>
      </c>
      <c r="D27" s="173"/>
      <c r="E27" s="11"/>
      <c r="F27" s="11"/>
      <c r="G27" s="212" t="s">
        <v>18</v>
      </c>
      <c r="H27" s="212"/>
      <c r="I27" s="85">
        <f>I25/I26</f>
        <v>12500</v>
      </c>
      <c r="J27" s="85">
        <f>J25/J26</f>
        <v>12500</v>
      </c>
      <c r="K27" s="11"/>
    </row>
    <row r="28" spans="1:11" ht="15" x14ac:dyDescent="0.25">
      <c r="A28" s="2"/>
      <c r="B28" s="169"/>
      <c r="C28" s="198"/>
      <c r="D28" s="198"/>
      <c r="E28" s="11"/>
      <c r="F28" s="11"/>
      <c r="G28" s="212"/>
      <c r="H28" s="212"/>
      <c r="I28" s="111"/>
      <c r="J28" s="86"/>
      <c r="K28" s="11"/>
    </row>
    <row r="29" spans="1:11" ht="15" x14ac:dyDescent="0.25">
      <c r="A29" s="2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ht="15" x14ac:dyDescent="0.25">
      <c r="A30" s="2"/>
      <c r="B30" s="172" t="s">
        <v>15</v>
      </c>
      <c r="C30" s="172"/>
      <c r="D30" s="172"/>
      <c r="E30" s="11"/>
      <c r="F30" s="11"/>
      <c r="G30" s="142" t="s">
        <v>20</v>
      </c>
      <c r="H30" s="142"/>
      <c r="I30" s="142"/>
      <c r="J30" s="142"/>
      <c r="K30" s="11"/>
    </row>
    <row r="31" spans="1:11" ht="15" x14ac:dyDescent="0.25">
      <c r="A31" s="2"/>
      <c r="B31" s="63" t="s">
        <v>12</v>
      </c>
      <c r="C31" s="114">
        <v>1440</v>
      </c>
      <c r="D31" s="114">
        <v>1440</v>
      </c>
      <c r="E31" s="11"/>
      <c r="F31" s="11"/>
      <c r="G31" s="210" t="s">
        <v>49</v>
      </c>
      <c r="H31" s="210"/>
      <c r="I31" s="120">
        <v>32</v>
      </c>
      <c r="J31" s="120">
        <v>32</v>
      </c>
      <c r="K31" s="11"/>
    </row>
    <row r="32" spans="1:11" ht="15" x14ac:dyDescent="0.25">
      <c r="A32" s="2"/>
      <c r="B32" s="63" t="s">
        <v>13</v>
      </c>
      <c r="C32" s="114">
        <v>1440</v>
      </c>
      <c r="D32" s="114">
        <v>1440</v>
      </c>
      <c r="E32" s="11"/>
      <c r="F32" s="11"/>
      <c r="G32" s="210" t="s">
        <v>35</v>
      </c>
      <c r="H32" s="210"/>
      <c r="I32" s="12">
        <v>3700</v>
      </c>
      <c r="J32" s="12">
        <v>3700</v>
      </c>
      <c r="K32" s="11"/>
    </row>
    <row r="33" spans="1:11" ht="15" x14ac:dyDescent="0.25">
      <c r="A33" s="2"/>
      <c r="B33" s="63" t="s">
        <v>14</v>
      </c>
      <c r="C33" s="114">
        <v>1440</v>
      </c>
      <c r="D33" s="114">
        <v>1440</v>
      </c>
      <c r="E33" s="11"/>
      <c r="F33" s="11"/>
      <c r="G33" s="210" t="s">
        <v>36</v>
      </c>
      <c r="H33" s="210"/>
      <c r="I33" s="109">
        <f>(C17*2+C19*2)*(IF(C18=4,6,4))</f>
        <v>132</v>
      </c>
      <c r="J33" s="109">
        <f>(C17*2+C19*2)*(IF(C18=4,6,4))</f>
        <v>132</v>
      </c>
      <c r="K33" s="11"/>
    </row>
    <row r="34" spans="1:11" ht="15" x14ac:dyDescent="0.25">
      <c r="A34" s="2"/>
      <c r="B34" s="64" t="s">
        <v>3</v>
      </c>
      <c r="C34" s="114">
        <v>0</v>
      </c>
      <c r="D34" s="114">
        <v>0</v>
      </c>
      <c r="E34" s="11"/>
      <c r="F34" s="11"/>
      <c r="G34" s="210" t="s">
        <v>24</v>
      </c>
      <c r="H34" s="210"/>
      <c r="I34" s="120">
        <v>1</v>
      </c>
      <c r="J34" s="120">
        <v>1</v>
      </c>
      <c r="K34" s="11"/>
    </row>
    <row r="35" spans="1:11" ht="15.75" thickBot="1" x14ac:dyDescent="0.3">
      <c r="A35" s="2"/>
      <c r="B35" s="65" t="s">
        <v>4</v>
      </c>
      <c r="C35" s="115">
        <v>0</v>
      </c>
      <c r="D35" s="115">
        <v>0</v>
      </c>
      <c r="E35" s="11"/>
      <c r="F35" s="11"/>
      <c r="G35" s="130"/>
      <c r="H35" s="130"/>
      <c r="I35" s="18"/>
      <c r="J35" s="18"/>
      <c r="K35" s="11"/>
    </row>
    <row r="36" spans="1:11" ht="15.75" thickTop="1" x14ac:dyDescent="0.25">
      <c r="A36" s="2"/>
      <c r="B36" s="162" t="s">
        <v>44</v>
      </c>
      <c r="C36" s="158">
        <f>SUM(C22*C31,C23*C32,C24*C33,C25*C34,C26*C35)/2000</f>
        <v>10800</v>
      </c>
      <c r="D36" s="158">
        <f>SUM(C22*D31,C23*D32,C24*D33,C25*D34,C26*D35)/2000</f>
        <v>10800</v>
      </c>
      <c r="E36" s="11"/>
      <c r="F36" s="11"/>
      <c r="G36" s="210" t="s">
        <v>47</v>
      </c>
      <c r="H36" s="210"/>
      <c r="I36" s="120">
        <v>50</v>
      </c>
      <c r="J36" s="120">
        <f>I36</f>
        <v>50</v>
      </c>
      <c r="K36" s="11"/>
    </row>
    <row r="37" spans="1:11" ht="15" x14ac:dyDescent="0.25">
      <c r="A37" s="2"/>
      <c r="B37" s="163"/>
      <c r="C37" s="159"/>
      <c r="D37" s="159"/>
      <c r="E37" s="11"/>
      <c r="F37" s="11"/>
      <c r="G37" s="210" t="s">
        <v>25</v>
      </c>
      <c r="H37" s="210"/>
      <c r="I37" s="120">
        <v>1.92</v>
      </c>
      <c r="J37" s="120">
        <f>I37</f>
        <v>1.92</v>
      </c>
      <c r="K37" s="11"/>
    </row>
    <row r="38" spans="1:11" ht="15" x14ac:dyDescent="0.25">
      <c r="A38" s="2"/>
      <c r="B38" s="11"/>
      <c r="C38" s="11"/>
      <c r="D38" s="11"/>
      <c r="E38" s="11"/>
      <c r="F38" s="11"/>
      <c r="G38" s="210" t="s">
        <v>26</v>
      </c>
      <c r="H38" s="210"/>
      <c r="I38" s="12">
        <v>20</v>
      </c>
      <c r="J38" s="12">
        <f>I38</f>
        <v>20</v>
      </c>
      <c r="K38" s="11"/>
    </row>
    <row r="39" spans="1:11" ht="15" x14ac:dyDescent="0.25">
      <c r="A39" s="2"/>
      <c r="B39" s="172" t="s">
        <v>39</v>
      </c>
      <c r="C39" s="172"/>
      <c r="D39" s="172"/>
      <c r="E39" s="11"/>
      <c r="F39" s="11"/>
      <c r="G39" s="210" t="s">
        <v>27</v>
      </c>
      <c r="H39" s="210"/>
      <c r="I39" s="120">
        <v>12</v>
      </c>
      <c r="J39" s="120">
        <f>I39</f>
        <v>12</v>
      </c>
      <c r="K39" s="11"/>
    </row>
    <row r="40" spans="1:11" ht="15" x14ac:dyDescent="0.25">
      <c r="A40" s="2"/>
      <c r="B40" s="19" t="s">
        <v>28</v>
      </c>
      <c r="C40" s="57">
        <v>45</v>
      </c>
      <c r="D40" s="58">
        <v>45</v>
      </c>
      <c r="E40" s="11"/>
      <c r="F40" s="11"/>
      <c r="G40" s="11"/>
      <c r="H40" s="11"/>
      <c r="I40" s="11"/>
      <c r="J40" s="11"/>
      <c r="K40" s="11"/>
    </row>
    <row r="41" spans="1:11" ht="15.75" thickBot="1" x14ac:dyDescent="0.3">
      <c r="A41" s="2"/>
      <c r="B41" s="37" t="s">
        <v>29</v>
      </c>
      <c r="C41" s="38">
        <v>0.8</v>
      </c>
      <c r="D41" s="38">
        <v>0.8</v>
      </c>
      <c r="E41" s="11"/>
      <c r="F41" s="11"/>
      <c r="G41" s="11"/>
      <c r="H41" s="11"/>
      <c r="I41" s="11"/>
      <c r="J41" s="11"/>
      <c r="K41" s="11"/>
    </row>
    <row r="42" spans="1:11" ht="15.75" thickTop="1" x14ac:dyDescent="0.25">
      <c r="A42" s="2"/>
      <c r="B42" s="158" t="s">
        <v>30</v>
      </c>
      <c r="C42" s="160">
        <f>(3600/C40)*C41</f>
        <v>64</v>
      </c>
      <c r="D42" s="160">
        <f>(3600/D40)*D41</f>
        <v>64</v>
      </c>
      <c r="E42" s="11"/>
      <c r="F42" s="11"/>
      <c r="G42" s="11"/>
      <c r="H42" s="11"/>
      <c r="I42" s="11"/>
      <c r="J42" s="11"/>
      <c r="K42" s="11"/>
    </row>
    <row r="43" spans="1:11" ht="15" x14ac:dyDescent="0.25">
      <c r="A43" s="2"/>
      <c r="B43" s="159"/>
      <c r="C43" s="161"/>
      <c r="D43" s="161"/>
      <c r="E43" s="11"/>
      <c r="F43" s="11"/>
      <c r="G43" s="11"/>
      <c r="H43" s="11"/>
      <c r="I43" s="11"/>
      <c r="J43" s="11"/>
      <c r="K43" s="11"/>
    </row>
    <row r="44" spans="1:11" ht="15" x14ac:dyDescent="0.25">
      <c r="A44" s="2"/>
      <c r="B44" s="2"/>
      <c r="C44" s="3"/>
      <c r="D44" s="2"/>
      <c r="E44" s="11"/>
      <c r="F44" s="11"/>
      <c r="G44" s="11"/>
      <c r="H44" s="11"/>
      <c r="I44" s="11"/>
      <c r="J44" s="11"/>
      <c r="K44" s="11"/>
    </row>
    <row r="45" spans="1:11" ht="15" x14ac:dyDescent="0.25">
      <c r="A45" s="2"/>
      <c r="B45" s="2"/>
      <c r="C45" s="3"/>
      <c r="D45" s="2"/>
      <c r="E45" s="11"/>
      <c r="F45" s="11"/>
      <c r="G45" s="11"/>
      <c r="H45" s="11"/>
      <c r="I45" s="11"/>
      <c r="J45" s="11"/>
      <c r="K45" s="11"/>
    </row>
    <row r="46" spans="1:11" ht="15" x14ac:dyDescent="0.25">
      <c r="A46" s="2"/>
      <c r="B46" s="213" t="s">
        <v>46</v>
      </c>
      <c r="C46" s="213"/>
      <c r="D46" s="213"/>
      <c r="E46" s="213"/>
      <c r="F46" s="213"/>
      <c r="G46" s="213"/>
      <c r="H46" s="213"/>
      <c r="I46" s="213"/>
      <c r="J46" s="213"/>
      <c r="K46" s="11"/>
    </row>
    <row r="47" spans="1:11" s="2" customFormat="1" ht="15" x14ac:dyDescent="0.25">
      <c r="B47" s="11"/>
      <c r="C47" s="11"/>
      <c r="D47" s="11"/>
      <c r="E47" s="4"/>
      <c r="F47" s="10"/>
      <c r="J47" s="110"/>
      <c r="K47" s="11"/>
    </row>
    <row r="48" spans="1:11" ht="15" x14ac:dyDescent="0.25">
      <c r="A48" s="2"/>
      <c r="B48" s="5"/>
      <c r="C48" s="208" t="s">
        <v>95</v>
      </c>
      <c r="D48" s="208"/>
      <c r="E48" s="4"/>
      <c r="F48" s="209" t="str">
        <f>E6</f>
        <v>Kuhn</v>
      </c>
      <c r="G48" s="209"/>
      <c r="I48" s="147" t="s">
        <v>96</v>
      </c>
      <c r="J48" s="147"/>
      <c r="K48" s="11"/>
    </row>
    <row r="49" spans="1:11" ht="15" x14ac:dyDescent="0.25">
      <c r="A49" s="2"/>
      <c r="B49" s="142" t="s">
        <v>6</v>
      </c>
      <c r="C49" s="142"/>
      <c r="D49" s="142"/>
      <c r="E49" s="142"/>
      <c r="F49" s="142"/>
      <c r="G49" s="142"/>
      <c r="H49" s="142"/>
      <c r="I49" s="142"/>
      <c r="J49" s="142"/>
      <c r="K49" s="11"/>
    </row>
    <row r="50" spans="1:11" ht="15" x14ac:dyDescent="0.25">
      <c r="A50" s="2"/>
      <c r="B50" s="19" t="s">
        <v>40</v>
      </c>
      <c r="C50" s="22">
        <f>((I22-I23)+(((I22+I23)/2)*I24))/I18</f>
        <v>0.71650000000000003</v>
      </c>
      <c r="D50" s="43">
        <f t="shared" ref="D50:D55" si="0">C50/C$56</f>
        <v>0.16185244598024656</v>
      </c>
      <c r="E50" s="11"/>
      <c r="F50" s="22">
        <f>((J22-J23)+(((J22+J23)/2)*J24))/J18</f>
        <v>0.71650000000000003</v>
      </c>
      <c r="G50" s="40">
        <f t="shared" ref="G50:G55" si="1">F50/F$56</f>
        <v>0.16185244598024656</v>
      </c>
      <c r="H50" s="11"/>
      <c r="I50" s="132">
        <f>F50-C50</f>
        <v>0</v>
      </c>
      <c r="J50" s="131">
        <f>(F50-C50)/C50</f>
        <v>0</v>
      </c>
      <c r="K50" s="11"/>
    </row>
    <row r="51" spans="1:11" ht="15" x14ac:dyDescent="0.25">
      <c r="A51" s="2"/>
      <c r="B51" s="19" t="s">
        <v>5</v>
      </c>
      <c r="C51" s="22">
        <f>(I33/I32)*I31</f>
        <v>1.1416216216216217</v>
      </c>
      <c r="D51" s="43">
        <f t="shared" si="0"/>
        <v>0.25788451059789952</v>
      </c>
      <c r="E51" s="11"/>
      <c r="F51" s="22">
        <f>(J33/J32)*J31</f>
        <v>1.1416216216216217</v>
      </c>
      <c r="G51" s="40">
        <f t="shared" si="1"/>
        <v>0.25788451059789952</v>
      </c>
      <c r="H51" s="11"/>
      <c r="I51" s="132">
        <f t="shared" ref="I51:I55" si="2">F51-C51</f>
        <v>0</v>
      </c>
      <c r="J51" s="131">
        <f t="shared" ref="J51:J55" si="3">(F51-C51)/C51</f>
        <v>0</v>
      </c>
      <c r="K51" s="11"/>
    </row>
    <row r="52" spans="1:11" ht="15" x14ac:dyDescent="0.25">
      <c r="A52" s="2"/>
      <c r="B52" s="19" t="s">
        <v>2</v>
      </c>
      <c r="C52" s="22">
        <f>I34</f>
        <v>1</v>
      </c>
      <c r="D52" s="43">
        <f t="shared" si="0"/>
        <v>0.2258931555900161</v>
      </c>
      <c r="E52" s="11"/>
      <c r="F52" s="22">
        <f>J34</f>
        <v>1</v>
      </c>
      <c r="G52" s="40">
        <f t="shared" si="1"/>
        <v>0.2258931555900161</v>
      </c>
      <c r="H52" s="11"/>
      <c r="I52" s="132">
        <f t="shared" si="2"/>
        <v>0</v>
      </c>
      <c r="J52" s="131">
        <f t="shared" si="3"/>
        <v>0</v>
      </c>
      <c r="K52" s="11"/>
    </row>
    <row r="53" spans="1:11" ht="15" x14ac:dyDescent="0.25">
      <c r="A53" s="2"/>
      <c r="B53" s="19" t="s">
        <v>51</v>
      </c>
      <c r="C53" s="23">
        <f>I36/C42</f>
        <v>0.78125</v>
      </c>
      <c r="D53" s="43">
        <f t="shared" si="0"/>
        <v>0.17647902780470009</v>
      </c>
      <c r="E53" s="11"/>
      <c r="F53" s="22">
        <f>J36/D42</f>
        <v>0.78125</v>
      </c>
      <c r="G53" s="40">
        <f t="shared" si="1"/>
        <v>0.17647902780470009</v>
      </c>
      <c r="H53" s="11"/>
      <c r="I53" s="132">
        <f t="shared" si="2"/>
        <v>0</v>
      </c>
      <c r="J53" s="131">
        <f t="shared" si="3"/>
        <v>0</v>
      </c>
      <c r="K53" s="11"/>
    </row>
    <row r="54" spans="1:11" ht="15" x14ac:dyDescent="0.25">
      <c r="A54" s="2"/>
      <c r="B54" s="19" t="s">
        <v>0</v>
      </c>
      <c r="C54" s="22">
        <f>(I37*I38)/C42</f>
        <v>0.6</v>
      </c>
      <c r="D54" s="43">
        <f t="shared" si="0"/>
        <v>0.13553589335400967</v>
      </c>
      <c r="E54" s="11"/>
      <c r="F54" s="22">
        <f>(J37*J38)/D42</f>
        <v>0.6</v>
      </c>
      <c r="G54" s="40">
        <f t="shared" si="1"/>
        <v>0.13553589335400967</v>
      </c>
      <c r="H54" s="11"/>
      <c r="I54" s="132">
        <f t="shared" si="2"/>
        <v>0</v>
      </c>
      <c r="J54" s="131">
        <f t="shared" si="3"/>
        <v>0</v>
      </c>
      <c r="K54" s="11"/>
    </row>
    <row r="55" spans="1:11" ht="15.75" thickBot="1" x14ac:dyDescent="0.3">
      <c r="A55" s="2"/>
      <c r="B55" s="37" t="s">
        <v>1</v>
      </c>
      <c r="C55" s="41">
        <f>I39/C42</f>
        <v>0.1875</v>
      </c>
      <c r="D55" s="49">
        <f t="shared" si="0"/>
        <v>4.2354966673128019E-2</v>
      </c>
      <c r="E55" s="11"/>
      <c r="F55" s="22">
        <f>J39/D42</f>
        <v>0.1875</v>
      </c>
      <c r="G55" s="40">
        <f t="shared" si="1"/>
        <v>4.2354966673128019E-2</v>
      </c>
      <c r="H55" s="11"/>
      <c r="I55" s="132">
        <f t="shared" si="2"/>
        <v>0</v>
      </c>
      <c r="J55" s="131">
        <f t="shared" si="3"/>
        <v>0</v>
      </c>
      <c r="K55" s="11"/>
    </row>
    <row r="56" spans="1:11" ht="15.75" thickTop="1" x14ac:dyDescent="0.25">
      <c r="A56" s="2"/>
      <c r="B56" s="168" t="s">
        <v>41</v>
      </c>
      <c r="C56" s="154">
        <f>SUM(C50:C55)</f>
        <v>4.426871621621622</v>
      </c>
      <c r="D56" s="199">
        <f>D50+D51+D52+D53+D54+D55</f>
        <v>1</v>
      </c>
      <c r="E56" s="11"/>
      <c r="F56" s="154">
        <f>SUM(F50:F55)</f>
        <v>4.426871621621622</v>
      </c>
      <c r="G56" s="199">
        <f>G50+G51+G52+G53+G54+G55</f>
        <v>1</v>
      </c>
      <c r="H56" s="11"/>
      <c r="I56" s="217">
        <f>I50+I51+I52+I53+I54+I55</f>
        <v>0</v>
      </c>
      <c r="J56" s="204">
        <f>(F56-C56)/C56</f>
        <v>0</v>
      </c>
      <c r="K56" s="11"/>
    </row>
    <row r="57" spans="1:11" ht="15" x14ac:dyDescent="0.25">
      <c r="A57" s="2"/>
      <c r="B57" s="169"/>
      <c r="C57" s="155"/>
      <c r="D57" s="203"/>
      <c r="E57" s="11"/>
      <c r="F57" s="155"/>
      <c r="G57" s="200"/>
      <c r="H57" s="11"/>
      <c r="I57" s="218"/>
      <c r="J57" s="205"/>
      <c r="K57" s="11"/>
    </row>
    <row r="58" spans="1:11" ht="15" x14ac:dyDescent="0.25">
      <c r="A58" s="2"/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 ht="15" x14ac:dyDescent="0.25">
      <c r="A59" s="2"/>
      <c r="B59" s="142" t="s">
        <v>34</v>
      </c>
      <c r="C59" s="142"/>
      <c r="D59" s="142"/>
      <c r="E59" s="142"/>
      <c r="F59" s="142"/>
      <c r="G59" s="142"/>
      <c r="H59" s="142"/>
      <c r="I59" s="142"/>
      <c r="J59" s="142"/>
      <c r="K59" s="11"/>
    </row>
    <row r="60" spans="1:11" ht="15" x14ac:dyDescent="0.25">
      <c r="A60" s="2"/>
      <c r="B60" s="19" t="s">
        <v>32</v>
      </c>
      <c r="C60" s="42">
        <f>((I22-I23)+(((I22+I23)/2)*I24))/I19</f>
        <v>0.99513888888888891</v>
      </c>
      <c r="D60" s="43">
        <f t="shared" ref="D60:D65" si="4">C60/C$66</f>
        <v>0.16185244598024656</v>
      </c>
      <c r="E60" s="11"/>
      <c r="F60" s="42">
        <f>((J22-J23)+(((J22+J23)/2)*J24))/J19</f>
        <v>0.99513888888888891</v>
      </c>
      <c r="G60" s="43">
        <f t="shared" ref="G60:G65" si="5">F60/F$66</f>
        <v>0.16185244598024656</v>
      </c>
      <c r="H60" s="11"/>
      <c r="I60" s="42">
        <f t="shared" ref="I60:I65" si="6">F60-C60</f>
        <v>0</v>
      </c>
      <c r="J60" s="131">
        <f>(F60-C60)/C60</f>
        <v>0</v>
      </c>
      <c r="K60" s="11"/>
    </row>
    <row r="61" spans="1:11" ht="15" x14ac:dyDescent="0.25">
      <c r="A61" s="2"/>
      <c r="B61" s="19" t="s">
        <v>5</v>
      </c>
      <c r="C61" s="42">
        <f>((I33/I32)*I31)*(I18/I19)</f>
        <v>1.5855855855855856</v>
      </c>
      <c r="D61" s="43">
        <f t="shared" si="4"/>
        <v>0.25788451059789952</v>
      </c>
      <c r="E61" s="11"/>
      <c r="F61" s="42">
        <f>((J33/J32)*J31)*(J18/J19)</f>
        <v>1.5855855855855856</v>
      </c>
      <c r="G61" s="43">
        <f t="shared" si="5"/>
        <v>0.25788451059789952</v>
      </c>
      <c r="H61" s="11"/>
      <c r="I61" s="42">
        <f t="shared" si="6"/>
        <v>0</v>
      </c>
      <c r="J61" s="131">
        <f t="shared" ref="J61:J65" si="7">(F61-C61)/C61</f>
        <v>0</v>
      </c>
      <c r="K61" s="11"/>
    </row>
    <row r="62" spans="1:11" ht="15" x14ac:dyDescent="0.25">
      <c r="A62" s="2"/>
      <c r="B62" s="19" t="s">
        <v>2</v>
      </c>
      <c r="C62" s="42">
        <f>(I34*I18)/I19</f>
        <v>1.3888888888888888</v>
      </c>
      <c r="D62" s="43">
        <f t="shared" si="4"/>
        <v>0.22589315559001613</v>
      </c>
      <c r="E62" s="11"/>
      <c r="F62" s="42">
        <f>(J34*J18)/J19</f>
        <v>1.3888888888888888</v>
      </c>
      <c r="G62" s="43">
        <f t="shared" si="5"/>
        <v>0.22589315559001613</v>
      </c>
      <c r="H62" s="11"/>
      <c r="I62" s="42">
        <f t="shared" si="6"/>
        <v>0</v>
      </c>
      <c r="J62" s="131">
        <f t="shared" si="7"/>
        <v>0</v>
      </c>
      <c r="K62" s="11"/>
    </row>
    <row r="63" spans="1:11" ht="15" x14ac:dyDescent="0.25">
      <c r="A63" s="2"/>
      <c r="B63" s="19" t="s">
        <v>51</v>
      </c>
      <c r="C63" s="42">
        <f>(I18/C42*I36)/I19</f>
        <v>1.0850694444444444</v>
      </c>
      <c r="D63" s="43">
        <f t="shared" si="4"/>
        <v>0.17647902780470009</v>
      </c>
      <c r="E63" s="11"/>
      <c r="F63" s="42">
        <f>(J18/D42*J36)/J19</f>
        <v>1.0850694444444444</v>
      </c>
      <c r="G63" s="43">
        <f t="shared" si="5"/>
        <v>0.17647902780470009</v>
      </c>
      <c r="H63" s="11"/>
      <c r="I63" s="42">
        <f t="shared" si="6"/>
        <v>0</v>
      </c>
      <c r="J63" s="131">
        <f t="shared" si="7"/>
        <v>0</v>
      </c>
      <c r="K63" s="11"/>
    </row>
    <row r="64" spans="1:11" ht="15" x14ac:dyDescent="0.25">
      <c r="A64" s="2"/>
      <c r="B64" s="19" t="s">
        <v>0</v>
      </c>
      <c r="C64" s="42">
        <f>(((I37*I38)/C42)*I18)/I19</f>
        <v>0.83333333333333337</v>
      </c>
      <c r="D64" s="43">
        <f t="shared" si="4"/>
        <v>0.13553589335400967</v>
      </c>
      <c r="E64" s="11"/>
      <c r="F64" s="42">
        <f>(((J37*J38)/D42)*J18)/J19</f>
        <v>0.83333333333333337</v>
      </c>
      <c r="G64" s="43">
        <f t="shared" si="5"/>
        <v>0.13553589335400967</v>
      </c>
      <c r="H64" s="11"/>
      <c r="I64" s="42">
        <f t="shared" si="6"/>
        <v>0</v>
      </c>
      <c r="J64" s="131">
        <f t="shared" si="7"/>
        <v>0</v>
      </c>
      <c r="K64" s="11"/>
    </row>
    <row r="65" spans="1:11" ht="15.75" thickBot="1" x14ac:dyDescent="0.3">
      <c r="A65" s="2"/>
      <c r="B65" s="37" t="s">
        <v>1</v>
      </c>
      <c r="C65" s="44">
        <f>(I18/C42*I39)/I19</f>
        <v>0.26041666666666669</v>
      </c>
      <c r="D65" s="49">
        <f t="shared" si="4"/>
        <v>4.2354966673128026E-2</v>
      </c>
      <c r="E65" s="11"/>
      <c r="F65" s="44">
        <f>(J18/D42*J39)/J19</f>
        <v>0.26041666666666669</v>
      </c>
      <c r="G65" s="43">
        <f t="shared" si="5"/>
        <v>4.2354966673128026E-2</v>
      </c>
      <c r="H65" s="11"/>
      <c r="I65" s="44">
        <f t="shared" si="6"/>
        <v>0</v>
      </c>
      <c r="J65" s="131">
        <f t="shared" si="7"/>
        <v>0</v>
      </c>
      <c r="K65" s="11"/>
    </row>
    <row r="66" spans="1:11" ht="15.75" thickTop="1" x14ac:dyDescent="0.25">
      <c r="A66" s="2"/>
      <c r="B66" s="162" t="s">
        <v>41</v>
      </c>
      <c r="C66" s="150">
        <f>SUM(C60:C65)</f>
        <v>6.1484328078078079</v>
      </c>
      <c r="D66" s="199">
        <f>D60+D61+D62+D63+D64+D65</f>
        <v>1</v>
      </c>
      <c r="E66" s="11"/>
      <c r="F66" s="150">
        <f>SUM(F60:F65)</f>
        <v>6.1484328078078079</v>
      </c>
      <c r="G66" s="199">
        <f>G60+G61+G62+G63+G64+G65</f>
        <v>1</v>
      </c>
      <c r="H66" s="11"/>
      <c r="I66" s="201">
        <f>I60+I61+I62+I63+I64+I65</f>
        <v>0</v>
      </c>
      <c r="J66" s="204">
        <f>(F66-C66)/C66</f>
        <v>0</v>
      </c>
      <c r="K66" s="11"/>
    </row>
    <row r="67" spans="1:11" ht="15" x14ac:dyDescent="0.25">
      <c r="A67" s="2"/>
      <c r="B67" s="163"/>
      <c r="C67" s="151"/>
      <c r="D67" s="203"/>
      <c r="E67" s="11"/>
      <c r="F67" s="151"/>
      <c r="G67" s="203"/>
      <c r="H67" s="11"/>
      <c r="I67" s="202"/>
      <c r="J67" s="205"/>
      <c r="K67" s="11"/>
    </row>
    <row r="68" spans="1:11" ht="15" x14ac:dyDescent="0.25">
      <c r="A68" s="2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ht="15" x14ac:dyDescent="0.25">
      <c r="A69" s="2"/>
      <c r="B69" s="142" t="s">
        <v>33</v>
      </c>
      <c r="C69" s="142"/>
      <c r="D69" s="142"/>
      <c r="E69" s="142"/>
      <c r="F69" s="142"/>
      <c r="G69" s="142"/>
      <c r="H69" s="142"/>
      <c r="I69" s="142"/>
      <c r="J69" s="142"/>
      <c r="K69" s="11"/>
    </row>
    <row r="70" spans="1:11" ht="15" x14ac:dyDescent="0.25">
      <c r="A70" s="2"/>
      <c r="B70" s="19" t="s">
        <v>32</v>
      </c>
      <c r="C70" s="45">
        <f>((I22-I23)+((I22+I23)/2*I24))/I17</f>
        <v>10747.5</v>
      </c>
      <c r="D70" s="43">
        <f t="shared" ref="D70:D75" si="8">C70/C$76</f>
        <v>0.16185244598024656</v>
      </c>
      <c r="E70" s="11"/>
      <c r="F70" s="45">
        <f>((J22-J23)+((J22+J23)/2*J24))/J17</f>
        <v>10747.5</v>
      </c>
      <c r="G70" s="40">
        <f t="shared" ref="G70:G76" si="9">F70/F$76</f>
        <v>0.16185244598024656</v>
      </c>
      <c r="H70" s="11"/>
      <c r="I70" s="45">
        <f t="shared" ref="I70:I75" si="10">F70-C70</f>
        <v>0</v>
      </c>
      <c r="J70" s="131">
        <f>(F70-C70)/C70</f>
        <v>0</v>
      </c>
      <c r="K70" s="11"/>
    </row>
    <row r="71" spans="1:11" ht="15" x14ac:dyDescent="0.25">
      <c r="A71" s="2"/>
      <c r="B71" s="19" t="s">
        <v>5</v>
      </c>
      <c r="C71" s="45">
        <f>((C27*I33)/I32)*I31</f>
        <v>17124.324324324323</v>
      </c>
      <c r="D71" s="43">
        <f t="shared" si="8"/>
        <v>0.25788451059789952</v>
      </c>
      <c r="E71" s="11"/>
      <c r="F71" s="45">
        <f>((C27*J33)/J32)*J31</f>
        <v>17124.324324324323</v>
      </c>
      <c r="G71" s="40">
        <f t="shared" si="9"/>
        <v>0.25788451059789952</v>
      </c>
      <c r="H71" s="11"/>
      <c r="I71" s="45">
        <f t="shared" si="10"/>
        <v>0</v>
      </c>
      <c r="J71" s="131">
        <f t="shared" ref="J71:J75" si="11">(F71-C71)/C71</f>
        <v>0</v>
      </c>
      <c r="K71" s="11"/>
    </row>
    <row r="72" spans="1:11" ht="15" x14ac:dyDescent="0.25">
      <c r="A72" s="2"/>
      <c r="B72" s="19" t="s">
        <v>2</v>
      </c>
      <c r="C72" s="45">
        <f>I34*C27</f>
        <v>15000</v>
      </c>
      <c r="D72" s="43">
        <f t="shared" si="8"/>
        <v>0.22589315559001616</v>
      </c>
      <c r="E72" s="11"/>
      <c r="F72" s="45">
        <f>J34*C27</f>
        <v>15000</v>
      </c>
      <c r="G72" s="40">
        <f t="shared" si="9"/>
        <v>0.22589315559001616</v>
      </c>
      <c r="H72" s="11"/>
      <c r="I72" s="45">
        <f t="shared" si="10"/>
        <v>0</v>
      </c>
      <c r="J72" s="131">
        <f t="shared" si="11"/>
        <v>0</v>
      </c>
      <c r="K72" s="11"/>
    </row>
    <row r="73" spans="1:11" ht="15" x14ac:dyDescent="0.25">
      <c r="A73" s="2"/>
      <c r="B73" s="19" t="s">
        <v>51</v>
      </c>
      <c r="C73" s="46">
        <f>C27/C42*I36</f>
        <v>11718.75</v>
      </c>
      <c r="D73" s="43">
        <f t="shared" si="8"/>
        <v>0.17647902780470012</v>
      </c>
      <c r="E73" s="11"/>
      <c r="F73" s="45">
        <f>C27/D42*J36</f>
        <v>11718.75</v>
      </c>
      <c r="G73" s="40">
        <f t="shared" si="9"/>
        <v>0.17647902780470012</v>
      </c>
      <c r="H73" s="11"/>
      <c r="I73" s="45">
        <f t="shared" si="10"/>
        <v>0</v>
      </c>
      <c r="J73" s="131">
        <f t="shared" si="11"/>
        <v>0</v>
      </c>
      <c r="K73" s="11"/>
    </row>
    <row r="74" spans="1:11" ht="15" x14ac:dyDescent="0.25">
      <c r="A74" s="2"/>
      <c r="B74" s="19" t="s">
        <v>0</v>
      </c>
      <c r="C74" s="45">
        <f>((I37*I38)/C42)*C27</f>
        <v>9000</v>
      </c>
      <c r="D74" s="43">
        <f t="shared" si="8"/>
        <v>0.1355358933540097</v>
      </c>
      <c r="E74" s="11"/>
      <c r="F74" s="45">
        <f>((J37*J38)/D42)*C27</f>
        <v>9000</v>
      </c>
      <c r="G74" s="40">
        <f t="shared" si="9"/>
        <v>0.1355358933540097</v>
      </c>
      <c r="H74" s="11"/>
      <c r="I74" s="45">
        <f t="shared" si="10"/>
        <v>0</v>
      </c>
      <c r="J74" s="131">
        <f t="shared" si="11"/>
        <v>0</v>
      </c>
      <c r="K74" s="11"/>
    </row>
    <row r="75" spans="1:11" ht="15.75" thickBot="1" x14ac:dyDescent="0.3">
      <c r="A75" s="2"/>
      <c r="B75" s="37" t="s">
        <v>1</v>
      </c>
      <c r="C75" s="47">
        <f>C27/C42*I39</f>
        <v>2812.5</v>
      </c>
      <c r="D75" s="49">
        <f t="shared" si="8"/>
        <v>4.2354966673128026E-2</v>
      </c>
      <c r="E75" s="11"/>
      <c r="F75" s="45">
        <f>C27/D42*J39</f>
        <v>2812.5</v>
      </c>
      <c r="G75" s="48">
        <f t="shared" si="9"/>
        <v>4.2354966673128026E-2</v>
      </c>
      <c r="H75" s="11"/>
      <c r="I75" s="47">
        <f t="shared" si="10"/>
        <v>0</v>
      </c>
      <c r="J75" s="131">
        <f t="shared" si="11"/>
        <v>0</v>
      </c>
      <c r="K75" s="11"/>
    </row>
    <row r="76" spans="1:11" ht="15.75" thickTop="1" x14ac:dyDescent="0.25">
      <c r="A76" s="2"/>
      <c r="B76" s="162" t="s">
        <v>41</v>
      </c>
      <c r="C76" s="164">
        <f>SUM(C70:C75)</f>
        <v>66403.07432432432</v>
      </c>
      <c r="D76" s="199">
        <f>D70+D71+D72+D73+D74+D75</f>
        <v>1.0000000000000002</v>
      </c>
      <c r="E76" s="11"/>
      <c r="F76" s="164">
        <f>SUM(F70:F75)</f>
        <v>66403.07432432432</v>
      </c>
      <c r="G76" s="199">
        <f t="shared" si="9"/>
        <v>1</v>
      </c>
      <c r="H76" s="11"/>
      <c r="I76" s="206">
        <f>I70+I71+I72+I73+I74+I75</f>
        <v>0</v>
      </c>
      <c r="J76" s="204">
        <f>(F76-C76)/C76</f>
        <v>0</v>
      </c>
      <c r="K76" s="11"/>
    </row>
    <row r="77" spans="1:11" ht="15" x14ac:dyDescent="0.25">
      <c r="A77" s="2"/>
      <c r="B77" s="163"/>
      <c r="C77" s="165"/>
      <c r="D77" s="203"/>
      <c r="E77" s="11"/>
      <c r="F77" s="165"/>
      <c r="G77" s="203"/>
      <c r="H77" s="11"/>
      <c r="I77" s="207"/>
      <c r="J77" s="205"/>
      <c r="K77" s="11"/>
    </row>
    <row r="78" spans="1:11" ht="15" x14ac:dyDescent="0.25">
      <c r="A78" s="2"/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spans="1:11" ht="15.75" x14ac:dyDescent="0.25">
      <c r="A79" s="2"/>
      <c r="B79" s="62" t="s">
        <v>54</v>
      </c>
      <c r="C79" s="3"/>
      <c r="D79" s="2"/>
      <c r="E79" s="11"/>
      <c r="F79" s="10"/>
      <c r="G79" s="2"/>
      <c r="H79" s="2"/>
      <c r="I79" s="2"/>
      <c r="J79" s="2"/>
      <c r="K79" s="11"/>
    </row>
    <row r="80" spans="1:11" ht="15" x14ac:dyDescent="0.25">
      <c r="A80" s="2"/>
      <c r="B80" s="121"/>
      <c r="C80" s="122"/>
      <c r="D80" s="122"/>
      <c r="E80" s="122"/>
      <c r="F80" s="122"/>
      <c r="G80" s="122"/>
      <c r="H80" s="122"/>
      <c r="I80" s="122"/>
      <c r="J80" s="127"/>
      <c r="K80" s="11"/>
    </row>
    <row r="81" spans="1:11" ht="15" x14ac:dyDescent="0.25">
      <c r="A81" s="2"/>
      <c r="B81" s="123"/>
      <c r="C81" s="124"/>
      <c r="D81" s="124"/>
      <c r="E81" s="124"/>
      <c r="F81" s="124"/>
      <c r="G81" s="124"/>
      <c r="H81" s="124"/>
      <c r="I81" s="124"/>
      <c r="J81" s="128"/>
      <c r="K81" s="11"/>
    </row>
    <row r="82" spans="1:11" ht="15" x14ac:dyDescent="0.25">
      <c r="A82" s="2"/>
      <c r="B82" s="123"/>
      <c r="C82" s="124"/>
      <c r="D82" s="124"/>
      <c r="E82" s="124"/>
      <c r="F82" s="124"/>
      <c r="G82" s="124"/>
      <c r="H82" s="124"/>
      <c r="I82" s="124"/>
      <c r="J82" s="128"/>
      <c r="K82" s="11"/>
    </row>
    <row r="83" spans="1:11" ht="15" x14ac:dyDescent="0.25">
      <c r="A83" s="2"/>
      <c r="B83" s="123"/>
      <c r="C83" s="124"/>
      <c r="D83" s="124"/>
      <c r="E83" s="124"/>
      <c r="F83" s="124"/>
      <c r="G83" s="124"/>
      <c r="H83" s="124"/>
      <c r="I83" s="124"/>
      <c r="J83" s="128"/>
      <c r="K83" s="11"/>
    </row>
    <row r="84" spans="1:11" ht="15" x14ac:dyDescent="0.25">
      <c r="A84" s="2"/>
      <c r="B84" s="123"/>
      <c r="C84" s="124"/>
      <c r="D84" s="124"/>
      <c r="E84" s="124"/>
      <c r="F84" s="124"/>
      <c r="G84" s="124"/>
      <c r="H84" s="124"/>
      <c r="I84" s="124"/>
      <c r="J84" s="128"/>
      <c r="K84" s="11"/>
    </row>
    <row r="85" spans="1:11" ht="15" x14ac:dyDescent="0.25">
      <c r="A85" s="2"/>
      <c r="B85" s="125"/>
      <c r="C85" s="126"/>
      <c r="D85" s="126"/>
      <c r="E85" s="126"/>
      <c r="F85" s="126"/>
      <c r="G85" s="126"/>
      <c r="H85" s="126"/>
      <c r="I85" s="126"/>
      <c r="J85" s="129"/>
      <c r="K85" s="11"/>
    </row>
    <row r="86" spans="1:11" ht="15" x14ac:dyDescent="0.25">
      <c r="A86" s="2"/>
      <c r="B86" s="2"/>
      <c r="C86" s="3"/>
      <c r="D86" s="2"/>
      <c r="E86" s="2"/>
      <c r="F86" s="10"/>
      <c r="G86" s="2"/>
      <c r="H86" s="2"/>
      <c r="I86" s="2"/>
      <c r="J86" s="2"/>
      <c r="K86" s="11"/>
    </row>
    <row r="87" spans="1:11" x14ac:dyDescent="0.2">
      <c r="A87" s="2"/>
      <c r="B87" s="2"/>
      <c r="C87" s="3"/>
      <c r="D87" s="2"/>
      <c r="E87" s="2"/>
      <c r="F87" s="10"/>
      <c r="G87" s="2"/>
      <c r="H87" s="2"/>
      <c r="I87" s="2"/>
      <c r="J87" s="2"/>
      <c r="K87" s="2"/>
    </row>
    <row r="88" spans="1:11" x14ac:dyDescent="0.2">
      <c r="A88" s="2"/>
      <c r="B88" s="175" t="s">
        <v>70</v>
      </c>
      <c r="C88" s="175"/>
      <c r="D88" s="175"/>
      <c r="E88" s="175"/>
      <c r="F88" s="175"/>
      <c r="G88" s="175"/>
      <c r="H88" s="2"/>
      <c r="I88" s="2"/>
      <c r="J88" s="2"/>
      <c r="K88" s="2"/>
    </row>
    <row r="89" spans="1:11" x14ac:dyDescent="0.2">
      <c r="A89" s="2"/>
      <c r="B89" s="175"/>
      <c r="C89" s="175"/>
      <c r="D89" s="175"/>
      <c r="E89" s="175"/>
      <c r="F89" s="175"/>
      <c r="G89" s="175"/>
      <c r="H89" s="2"/>
      <c r="I89" s="2"/>
      <c r="J89" s="2"/>
      <c r="K89" s="2"/>
    </row>
    <row r="90" spans="1:11" x14ac:dyDescent="0.2">
      <c r="A90" s="2"/>
      <c r="B90" s="2"/>
      <c r="C90" s="3"/>
      <c r="D90" s="2"/>
      <c r="E90" s="2"/>
      <c r="F90" s="10"/>
      <c r="G90" s="2"/>
      <c r="H90" s="2"/>
      <c r="I90" s="2"/>
      <c r="J90" s="2"/>
      <c r="K90" s="2"/>
    </row>
    <row r="91" spans="1:11" x14ac:dyDescent="0.2">
      <c r="A91" s="2"/>
      <c r="B91" s="2"/>
      <c r="C91" s="3"/>
      <c r="D91" s="2"/>
      <c r="E91" s="2"/>
      <c r="F91" s="10"/>
      <c r="G91" s="2"/>
      <c r="H91" s="2"/>
      <c r="I91" s="2"/>
      <c r="J91" s="2"/>
      <c r="K91" s="2"/>
    </row>
    <row r="92" spans="1:11" x14ac:dyDescent="0.2">
      <c r="A92" s="2"/>
      <c r="B92" s="2"/>
      <c r="C92" s="3"/>
      <c r="D92" s="2"/>
      <c r="E92" s="2"/>
      <c r="F92" s="10"/>
      <c r="G92" s="2"/>
      <c r="H92" s="2"/>
      <c r="I92" s="2"/>
      <c r="J92" s="2"/>
      <c r="K92" s="2"/>
    </row>
    <row r="93" spans="1:11" ht="15" x14ac:dyDescent="0.25">
      <c r="A93" s="2"/>
      <c r="B93" s="2"/>
      <c r="C93" s="3"/>
      <c r="D93" s="107" t="s">
        <v>84</v>
      </c>
      <c r="E93" s="215" t="str">
        <f>E5</f>
        <v>CLAAS QUADRANT 3300</v>
      </c>
      <c r="F93" s="215"/>
      <c r="G93" s="215"/>
      <c r="H93" s="2"/>
      <c r="I93" s="2"/>
      <c r="J93" s="2"/>
      <c r="K93" s="2"/>
    </row>
    <row r="94" spans="1:11" ht="15" x14ac:dyDescent="0.25">
      <c r="A94" s="2"/>
      <c r="B94" s="2"/>
      <c r="C94" s="3"/>
      <c r="D94" s="107" t="s">
        <v>93</v>
      </c>
      <c r="E94" s="215" t="str">
        <f t="shared" ref="E94:E95" si="12">E6</f>
        <v>Kuhn</v>
      </c>
      <c r="F94" s="215"/>
      <c r="G94" s="215"/>
      <c r="H94" s="107" t="s">
        <v>89</v>
      </c>
      <c r="I94" s="135">
        <f ca="1">TODAY()</f>
        <v>42762</v>
      </c>
      <c r="J94" s="134"/>
      <c r="K94" s="133"/>
    </row>
    <row r="95" spans="1:11" ht="15" x14ac:dyDescent="0.25">
      <c r="A95" s="2"/>
      <c r="B95" s="2"/>
      <c r="C95" s="3"/>
      <c r="D95" s="107" t="s">
        <v>94</v>
      </c>
      <c r="E95" s="215">
        <f t="shared" si="12"/>
        <v>0</v>
      </c>
      <c r="F95" s="215"/>
      <c r="G95" s="215"/>
      <c r="H95" s="107"/>
      <c r="I95" s="112"/>
      <c r="J95" s="112"/>
      <c r="K95" s="2"/>
    </row>
    <row r="96" spans="1:11" ht="15" x14ac:dyDescent="0.25">
      <c r="A96" s="2"/>
      <c r="B96" s="2"/>
      <c r="C96" s="3"/>
      <c r="E96" s="112"/>
      <c r="F96" s="112"/>
      <c r="G96" s="112"/>
      <c r="H96" s="107" t="s">
        <v>91</v>
      </c>
      <c r="I96" s="215">
        <v>0</v>
      </c>
      <c r="J96" s="215"/>
      <c r="K96" s="2"/>
    </row>
    <row r="97" spans="1:15" ht="15" x14ac:dyDescent="0.25">
      <c r="A97" s="2"/>
      <c r="B97" s="2"/>
      <c r="C97" s="3"/>
      <c r="D97" s="107" t="s">
        <v>53</v>
      </c>
      <c r="E97" s="215">
        <f>E9</f>
        <v>0</v>
      </c>
      <c r="F97" s="215"/>
      <c r="G97" s="215"/>
      <c r="H97" s="107" t="s">
        <v>92</v>
      </c>
      <c r="I97" s="215">
        <v>0</v>
      </c>
      <c r="J97" s="215"/>
      <c r="K97" s="2"/>
    </row>
    <row r="98" spans="1:15" ht="15" x14ac:dyDescent="0.25">
      <c r="A98" s="2"/>
      <c r="B98" s="2"/>
      <c r="C98" s="3"/>
      <c r="D98" s="107" t="s">
        <v>87</v>
      </c>
      <c r="E98" s="215">
        <f t="shared" ref="E98:E99" si="13">E10</f>
        <v>0</v>
      </c>
      <c r="F98" s="215"/>
      <c r="G98" s="215"/>
      <c r="H98" s="107" t="s">
        <v>88</v>
      </c>
      <c r="I98" s="215">
        <v>0</v>
      </c>
      <c r="J98" s="215"/>
      <c r="K98" s="2"/>
    </row>
    <row r="99" spans="1:15" ht="15" x14ac:dyDescent="0.25">
      <c r="A99" s="2"/>
      <c r="B99" s="2"/>
      <c r="C99" s="3"/>
      <c r="D99" s="13" t="s">
        <v>50</v>
      </c>
      <c r="E99" s="215">
        <f t="shared" si="13"/>
        <v>0</v>
      </c>
      <c r="F99" s="215"/>
      <c r="G99" s="215"/>
      <c r="H99" s="107" t="s">
        <v>90</v>
      </c>
      <c r="I99" s="215"/>
      <c r="J99" s="215"/>
      <c r="K99" s="2"/>
    </row>
    <row r="100" spans="1:15" x14ac:dyDescent="0.2">
      <c r="A100" s="2"/>
      <c r="B100" s="2"/>
      <c r="C100" s="3"/>
      <c r="D100" s="2"/>
      <c r="E100" s="2"/>
      <c r="F100" s="10"/>
      <c r="G100" s="2"/>
      <c r="H100" s="2"/>
      <c r="I100" s="2"/>
      <c r="J100" s="2"/>
      <c r="K100" s="2"/>
    </row>
    <row r="101" spans="1:15" x14ac:dyDescent="0.2">
      <c r="A101" s="2"/>
      <c r="B101" s="2"/>
      <c r="C101" s="3"/>
      <c r="D101" s="2"/>
      <c r="E101" s="2"/>
      <c r="F101" s="10"/>
      <c r="G101" s="2"/>
      <c r="H101" s="2"/>
      <c r="I101" s="2"/>
      <c r="J101" s="2"/>
      <c r="K101" s="2"/>
    </row>
    <row r="102" spans="1:15" x14ac:dyDescent="0.2">
      <c r="A102" s="2"/>
      <c r="B102" s="2"/>
      <c r="C102" s="3"/>
      <c r="D102" s="2"/>
      <c r="E102" s="2"/>
      <c r="F102" s="10"/>
      <c r="G102" s="2"/>
      <c r="H102" s="2"/>
      <c r="I102" s="2"/>
      <c r="J102" s="2"/>
      <c r="K102" s="2"/>
    </row>
    <row r="103" spans="1:15" ht="15" x14ac:dyDescent="0.25">
      <c r="A103" s="2"/>
      <c r="B103" s="2"/>
      <c r="C103" s="2"/>
      <c r="D103" s="2"/>
      <c r="E103" s="2"/>
      <c r="F103" s="2"/>
      <c r="G103" s="2"/>
      <c r="H103" s="2"/>
      <c r="I103" s="94" t="s">
        <v>95</v>
      </c>
      <c r="J103" s="6" t="str">
        <f>E6</f>
        <v>Kuhn</v>
      </c>
      <c r="K103" s="2"/>
    </row>
    <row r="104" spans="1:15" ht="15" x14ac:dyDescent="0.25">
      <c r="A104" s="2"/>
      <c r="B104" s="194" t="s">
        <v>99</v>
      </c>
      <c r="C104" s="194"/>
      <c r="D104" s="194"/>
      <c r="E104" s="2"/>
      <c r="F104" s="2"/>
      <c r="G104" s="2"/>
      <c r="H104" s="219" t="s">
        <v>42</v>
      </c>
      <c r="I104" s="219"/>
      <c r="J104" s="219"/>
      <c r="K104" s="2"/>
      <c r="O104" s="2"/>
    </row>
    <row r="105" spans="1:15" x14ac:dyDescent="0.2">
      <c r="A105" s="2"/>
      <c r="B105" s="2"/>
      <c r="C105" s="2"/>
      <c r="D105" s="2"/>
      <c r="E105" s="2"/>
      <c r="F105" s="2"/>
      <c r="G105" s="2"/>
      <c r="H105" s="19" t="s">
        <v>11</v>
      </c>
      <c r="I105" s="189">
        <f>C27</f>
        <v>15000</v>
      </c>
      <c r="J105" s="189"/>
      <c r="K105" s="2"/>
    </row>
    <row r="106" spans="1:15" x14ac:dyDescent="0.2">
      <c r="A106" s="2"/>
      <c r="B106" s="2"/>
      <c r="C106" s="2"/>
      <c r="D106" s="2"/>
      <c r="E106" s="2"/>
      <c r="F106" s="2"/>
      <c r="G106" s="2"/>
      <c r="H106" s="19" t="s">
        <v>73</v>
      </c>
      <c r="I106" s="97">
        <v>1440</v>
      </c>
      <c r="J106" s="97">
        <v>1400</v>
      </c>
      <c r="K106" s="2"/>
    </row>
    <row r="107" spans="1:15" x14ac:dyDescent="0.2">
      <c r="A107" s="2"/>
      <c r="B107" s="2"/>
      <c r="C107" s="2"/>
      <c r="D107" s="2"/>
      <c r="E107" s="2"/>
      <c r="F107" s="2"/>
      <c r="G107" s="2"/>
      <c r="H107" s="19" t="s">
        <v>74</v>
      </c>
      <c r="I107" s="196">
        <v>66</v>
      </c>
      <c r="J107" s="196"/>
      <c r="K107" s="2"/>
    </row>
    <row r="108" spans="1:15" x14ac:dyDescent="0.2">
      <c r="A108" s="2"/>
      <c r="B108" s="2"/>
      <c r="C108" s="2"/>
      <c r="D108" s="2"/>
      <c r="E108" s="2"/>
      <c r="F108" s="2"/>
      <c r="G108" s="2"/>
      <c r="H108" s="19" t="s">
        <v>76</v>
      </c>
      <c r="I108" s="187">
        <v>25</v>
      </c>
      <c r="J108" s="187"/>
      <c r="K108" s="2"/>
    </row>
    <row r="109" spans="1:15" x14ac:dyDescent="0.2">
      <c r="A109" s="2"/>
      <c r="B109" s="2"/>
      <c r="C109" s="2"/>
      <c r="D109" s="2"/>
      <c r="E109" s="2"/>
      <c r="F109" s="2"/>
      <c r="G109" s="2"/>
      <c r="H109" s="19" t="s">
        <v>75</v>
      </c>
      <c r="I109" s="186">
        <v>2</v>
      </c>
      <c r="J109" s="186"/>
      <c r="K109" s="2"/>
    </row>
    <row r="110" spans="1: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5" ht="15" x14ac:dyDescent="0.25">
      <c r="A112" s="2"/>
      <c r="B112" s="2"/>
      <c r="C112" s="2"/>
      <c r="D112" s="2"/>
      <c r="E112" s="2"/>
      <c r="F112" s="2"/>
      <c r="G112" s="2"/>
      <c r="H112" s="195" t="s">
        <v>66</v>
      </c>
      <c r="I112" s="195"/>
      <c r="J112" s="195"/>
      <c r="K112" s="2"/>
    </row>
    <row r="113" spans="1:11" x14ac:dyDescent="0.2">
      <c r="A113" s="2"/>
      <c r="B113" s="2"/>
      <c r="C113" s="2"/>
      <c r="D113" s="2"/>
      <c r="E113" s="2"/>
      <c r="F113" s="2"/>
      <c r="G113" s="2"/>
      <c r="H113" s="77" t="s">
        <v>77</v>
      </c>
      <c r="I113" s="99">
        <f>I106*I107</f>
        <v>95040</v>
      </c>
      <c r="J113" s="99">
        <f>J106*I107</f>
        <v>92400</v>
      </c>
      <c r="K113" s="2"/>
    </row>
    <row r="114" spans="1:11" ht="15" x14ac:dyDescent="0.25">
      <c r="A114" s="2"/>
      <c r="B114" s="194" t="s">
        <v>100</v>
      </c>
      <c r="C114" s="194"/>
      <c r="D114" s="194"/>
      <c r="E114" s="2"/>
      <c r="F114" s="2"/>
      <c r="G114" s="2"/>
      <c r="H114" s="77" t="s">
        <v>76</v>
      </c>
      <c r="I114" s="190">
        <f>I108*2</f>
        <v>50</v>
      </c>
      <c r="J114" s="190"/>
      <c r="K114" s="2"/>
    </row>
    <row r="115" spans="1:11" ht="15" thickBot="1" x14ac:dyDescent="0.25">
      <c r="A115" s="2"/>
      <c r="B115" s="2"/>
      <c r="C115" s="2"/>
      <c r="D115" s="2"/>
      <c r="E115" s="2"/>
      <c r="F115" s="2"/>
      <c r="G115" s="2"/>
      <c r="H115" s="37" t="s">
        <v>78</v>
      </c>
      <c r="I115" s="191">
        <f>I109*I114</f>
        <v>100</v>
      </c>
      <c r="J115" s="191"/>
      <c r="K115" s="2"/>
    </row>
    <row r="116" spans="1:11" ht="15" thickTop="1" x14ac:dyDescent="0.2">
      <c r="A116" s="2"/>
      <c r="B116" s="2"/>
      <c r="C116" s="2"/>
      <c r="D116" s="2"/>
      <c r="E116" s="2"/>
      <c r="F116" s="2"/>
      <c r="G116" s="2"/>
      <c r="H116" s="19"/>
      <c r="I116" s="19"/>
      <c r="J116" s="19"/>
      <c r="K116" s="2"/>
    </row>
    <row r="117" spans="1:11" x14ac:dyDescent="0.2">
      <c r="A117" s="2"/>
      <c r="B117" s="2"/>
      <c r="C117" s="2"/>
      <c r="D117" s="2"/>
      <c r="E117" s="2"/>
      <c r="F117" s="2"/>
      <c r="G117" s="2"/>
      <c r="H117" s="19" t="s">
        <v>68</v>
      </c>
      <c r="I117" s="68">
        <f>I113-J113</f>
        <v>2640</v>
      </c>
      <c r="J117" s="68"/>
      <c r="K117" s="2"/>
    </row>
    <row r="118" spans="1:11" x14ac:dyDescent="0.2">
      <c r="A118" s="2"/>
      <c r="B118" s="2"/>
      <c r="C118" s="2"/>
      <c r="D118" s="2"/>
      <c r="E118" s="2"/>
      <c r="F118" s="2"/>
      <c r="G118" s="2"/>
      <c r="H118" s="19" t="s">
        <v>69</v>
      </c>
      <c r="I118" s="71">
        <f>(((100/J113)*I113)-100)/100</f>
        <v>2.8571428571428612E-2</v>
      </c>
      <c r="J118" s="19"/>
      <c r="K118" s="2"/>
    </row>
    <row r="119" spans="1:11" x14ac:dyDescent="0.2">
      <c r="A119" s="2"/>
      <c r="B119" s="2"/>
      <c r="C119" s="2"/>
      <c r="D119" s="2"/>
      <c r="E119" s="2"/>
      <c r="F119" s="2"/>
      <c r="G119" s="2"/>
      <c r="I119" s="2"/>
      <c r="J119" s="2"/>
      <c r="K119" s="2"/>
    </row>
    <row r="120" spans="1:1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5" x14ac:dyDescent="0.25">
      <c r="A121" s="2"/>
      <c r="B121" s="2"/>
      <c r="C121" s="2"/>
      <c r="D121" s="2"/>
      <c r="E121" s="2"/>
      <c r="F121" s="2"/>
      <c r="G121" s="2"/>
      <c r="H121" s="195" t="s">
        <v>71</v>
      </c>
      <c r="I121" s="195"/>
      <c r="J121" s="195"/>
      <c r="K121" s="2"/>
    </row>
    <row r="122" spans="1:11" ht="15" thickBot="1" x14ac:dyDescent="0.25">
      <c r="A122" s="2"/>
      <c r="B122" s="2"/>
      <c r="C122" s="2"/>
      <c r="D122" s="2"/>
      <c r="E122" s="2"/>
      <c r="F122" s="2"/>
      <c r="G122" s="2"/>
      <c r="H122" s="37" t="s">
        <v>65</v>
      </c>
      <c r="I122" s="197">
        <f>I105/I107</f>
        <v>227.27272727272728</v>
      </c>
      <c r="J122" s="197"/>
      <c r="K122" s="2"/>
    </row>
    <row r="123" spans="1:11" ht="15.75" thickTop="1" x14ac:dyDescent="0.25">
      <c r="A123" s="2"/>
      <c r="B123" s="194" t="s">
        <v>101</v>
      </c>
      <c r="C123" s="194"/>
      <c r="D123" s="194"/>
      <c r="E123" s="2"/>
      <c r="F123" s="2"/>
      <c r="G123" s="2"/>
      <c r="H123" s="19"/>
      <c r="I123" s="19"/>
      <c r="J123" s="19"/>
      <c r="K123" s="2"/>
    </row>
    <row r="124" spans="1:11" x14ac:dyDescent="0.2">
      <c r="A124" s="2"/>
      <c r="B124" s="2"/>
      <c r="C124" s="2"/>
      <c r="D124" s="2"/>
      <c r="E124" s="2"/>
      <c r="F124" s="2"/>
      <c r="G124" s="2"/>
      <c r="H124" s="19" t="s">
        <v>64</v>
      </c>
      <c r="I124" s="96">
        <f>I106*I105</f>
        <v>21600000</v>
      </c>
      <c r="J124" s="96">
        <f>J106*I105</f>
        <v>21000000</v>
      </c>
      <c r="K124" s="2"/>
    </row>
    <row r="125" spans="1:11" x14ac:dyDescent="0.2">
      <c r="A125" s="2"/>
      <c r="B125" s="2"/>
      <c r="C125" s="2"/>
      <c r="D125" s="2"/>
      <c r="E125" s="2"/>
      <c r="F125" s="2"/>
      <c r="G125" s="2"/>
      <c r="H125" s="69" t="s">
        <v>67</v>
      </c>
      <c r="I125" s="96">
        <f>I124-J124</f>
        <v>600000</v>
      </c>
      <c r="J125" s="69"/>
      <c r="K125" s="2"/>
    </row>
    <row r="126" spans="1:11" x14ac:dyDescent="0.2">
      <c r="A126" s="2"/>
      <c r="B126" s="2"/>
      <c r="C126" s="2"/>
      <c r="D126" s="2"/>
      <c r="E126" s="2"/>
      <c r="F126" s="2"/>
      <c r="G126" s="2"/>
      <c r="H126" s="19" t="s">
        <v>64</v>
      </c>
      <c r="I126" s="71">
        <f>(((100/J124)*I124)-100)/100</f>
        <v>2.857142857142847E-2</v>
      </c>
      <c r="J126" s="19"/>
      <c r="K126" s="2"/>
    </row>
    <row r="127" spans="1:1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5" x14ac:dyDescent="0.25">
      <c r="A129" s="2"/>
      <c r="B129" s="2"/>
      <c r="C129" s="2"/>
      <c r="D129" s="2"/>
      <c r="E129" s="2"/>
      <c r="F129" s="2"/>
      <c r="G129" s="2"/>
      <c r="H129" s="195" t="s">
        <v>72</v>
      </c>
      <c r="I129" s="195"/>
      <c r="J129" s="195"/>
      <c r="K129" s="2"/>
    </row>
    <row r="130" spans="1:11" x14ac:dyDescent="0.2">
      <c r="A130" s="2"/>
      <c r="B130" s="2"/>
      <c r="C130" s="2"/>
      <c r="D130" s="2"/>
      <c r="E130" s="2"/>
      <c r="F130" s="2"/>
      <c r="G130" s="2"/>
      <c r="H130" s="19" t="s">
        <v>64</v>
      </c>
      <c r="I130" s="193">
        <f>I124</f>
        <v>21600000</v>
      </c>
      <c r="J130" s="193"/>
      <c r="K130" s="2"/>
    </row>
    <row r="131" spans="1:11" x14ac:dyDescent="0.2">
      <c r="A131" s="2"/>
      <c r="B131" s="2"/>
      <c r="C131" s="2"/>
      <c r="D131" s="2"/>
      <c r="E131" s="2"/>
      <c r="F131" s="2"/>
      <c r="G131" s="2"/>
      <c r="H131" s="19" t="s">
        <v>73</v>
      </c>
      <c r="I131" s="96">
        <f>I106</f>
        <v>1440</v>
      </c>
      <c r="J131" s="96">
        <f>J106</f>
        <v>1400</v>
      </c>
      <c r="K131" s="2"/>
    </row>
    <row r="132" spans="1:11" x14ac:dyDescent="0.2">
      <c r="A132" s="2"/>
      <c r="B132" s="2"/>
      <c r="C132" s="2"/>
      <c r="D132" s="2"/>
      <c r="E132" s="2"/>
      <c r="F132" s="2"/>
      <c r="G132" s="2"/>
      <c r="H132" s="77" t="s">
        <v>83</v>
      </c>
      <c r="I132" s="99">
        <f>I130/I131</f>
        <v>15000</v>
      </c>
      <c r="J132" s="79">
        <f>I130/J131</f>
        <v>15428.571428571429</v>
      </c>
      <c r="K132" s="2"/>
    </row>
    <row r="133" spans="1:11" ht="15" thickBot="1" x14ac:dyDescent="0.25">
      <c r="A133" s="2"/>
      <c r="B133" s="2"/>
      <c r="C133" s="2"/>
      <c r="D133" s="2"/>
      <c r="E133" s="2"/>
      <c r="F133" s="2"/>
      <c r="G133" s="2"/>
      <c r="H133" s="37" t="s">
        <v>82</v>
      </c>
      <c r="I133" s="98">
        <f>I132/I107</f>
        <v>227.27272727272728</v>
      </c>
      <c r="J133" s="98">
        <f>J132/I107</f>
        <v>233.76623376623377</v>
      </c>
      <c r="K133" s="2"/>
    </row>
    <row r="134" spans="1:11" ht="15" thickTop="1" x14ac:dyDescent="0.2">
      <c r="A134" s="2"/>
      <c r="B134" s="2"/>
      <c r="C134" s="2"/>
      <c r="D134" s="2"/>
      <c r="E134" s="2"/>
      <c r="F134" s="2"/>
      <c r="G134" s="2"/>
      <c r="H134" s="19"/>
      <c r="I134" s="19"/>
      <c r="J134" s="19"/>
      <c r="K134" s="2"/>
    </row>
    <row r="135" spans="1:11" x14ac:dyDescent="0.2">
      <c r="A135" s="2"/>
      <c r="B135" s="2"/>
      <c r="C135" s="2"/>
      <c r="D135" s="2"/>
      <c r="E135" s="2"/>
      <c r="F135" s="2"/>
      <c r="G135" s="2"/>
      <c r="H135" s="19" t="s">
        <v>79</v>
      </c>
      <c r="I135" s="70">
        <f>(I132-J132)</f>
        <v>-428.57142857142935</v>
      </c>
      <c r="J135" s="19"/>
      <c r="K135" s="2"/>
    </row>
    <row r="136" spans="1:11" x14ac:dyDescent="0.2">
      <c r="A136" s="2"/>
      <c r="B136" s="2"/>
      <c r="C136" s="2"/>
      <c r="D136" s="2"/>
      <c r="E136" s="2"/>
      <c r="F136" s="2"/>
      <c r="G136" s="2"/>
      <c r="H136" s="19" t="s">
        <v>80</v>
      </c>
      <c r="I136" s="70">
        <f>I135/I107</f>
        <v>-6.493506493506505</v>
      </c>
      <c r="J136" s="19"/>
      <c r="K136" s="2"/>
    </row>
    <row r="137" spans="1:11" x14ac:dyDescent="0.2">
      <c r="A137" s="2"/>
      <c r="B137" s="2"/>
      <c r="C137" s="2"/>
      <c r="D137" s="2"/>
      <c r="E137" s="2"/>
      <c r="F137" s="2"/>
      <c r="G137" s="2"/>
      <c r="H137" s="19" t="s">
        <v>81</v>
      </c>
      <c r="I137" s="80">
        <f>I115*I136</f>
        <v>-649.35064935065054</v>
      </c>
      <c r="J137" s="19"/>
      <c r="K137" s="2"/>
    </row>
    <row r="138" spans="1:1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</sheetData>
  <sheetProtection selectLockedCells="1"/>
  <mergeCells count="107">
    <mergeCell ref="E99:G99"/>
    <mergeCell ref="I99:J99"/>
    <mergeCell ref="H129:J129"/>
    <mergeCell ref="I130:J130"/>
    <mergeCell ref="B123:D123"/>
    <mergeCell ref="H104:J104"/>
    <mergeCell ref="B88:G89"/>
    <mergeCell ref="E93:G93"/>
    <mergeCell ref="E94:G94"/>
    <mergeCell ref="I96:J96"/>
    <mergeCell ref="E97:G97"/>
    <mergeCell ref="I97:J97"/>
    <mergeCell ref="E98:G98"/>
    <mergeCell ref="I98:J98"/>
    <mergeCell ref="E95:G95"/>
    <mergeCell ref="B104:D104"/>
    <mergeCell ref="B114:D114"/>
    <mergeCell ref="I105:J105"/>
    <mergeCell ref="I107:J107"/>
    <mergeCell ref="I108:J108"/>
    <mergeCell ref="I109:J109"/>
    <mergeCell ref="H112:J112"/>
    <mergeCell ref="I114:J114"/>
    <mergeCell ref="I115:J115"/>
    <mergeCell ref="H121:J121"/>
    <mergeCell ref="I122:J122"/>
    <mergeCell ref="B46:J46"/>
    <mergeCell ref="E5:G5"/>
    <mergeCell ref="E6:G6"/>
    <mergeCell ref="E7:G7"/>
    <mergeCell ref="E9:G9"/>
    <mergeCell ref="E10:G10"/>
    <mergeCell ref="E11:G11"/>
    <mergeCell ref="I8:J8"/>
    <mergeCell ref="I9:J9"/>
    <mergeCell ref="I10:J10"/>
    <mergeCell ref="I11:J11"/>
    <mergeCell ref="G39:H39"/>
    <mergeCell ref="G13:J13"/>
    <mergeCell ref="G16:J16"/>
    <mergeCell ref="G21:J21"/>
    <mergeCell ref="G30:J30"/>
    <mergeCell ref="G33:H33"/>
    <mergeCell ref="G34:H34"/>
    <mergeCell ref="G36:H36"/>
    <mergeCell ref="G37:H37"/>
    <mergeCell ref="G38:H38"/>
    <mergeCell ref="I56:I57"/>
    <mergeCell ref="B2:C3"/>
    <mergeCell ref="G17:H17"/>
    <mergeCell ref="G18:H18"/>
    <mergeCell ref="G19:H19"/>
    <mergeCell ref="G22:H22"/>
    <mergeCell ref="G23:H23"/>
    <mergeCell ref="G24:H24"/>
    <mergeCell ref="G25:H25"/>
    <mergeCell ref="G26:H26"/>
    <mergeCell ref="B13:D13"/>
    <mergeCell ref="C17:D17"/>
    <mergeCell ref="C18:D18"/>
    <mergeCell ref="C19:D19"/>
    <mergeCell ref="C22:D22"/>
    <mergeCell ref="C23:D23"/>
    <mergeCell ref="C24:D24"/>
    <mergeCell ref="C25:D25"/>
    <mergeCell ref="C26:D26"/>
    <mergeCell ref="B16:D16"/>
    <mergeCell ref="J76:J77"/>
    <mergeCell ref="B42:B43"/>
    <mergeCell ref="C42:C43"/>
    <mergeCell ref="B76:B77"/>
    <mergeCell ref="C76:C77"/>
    <mergeCell ref="D76:D77"/>
    <mergeCell ref="I76:I77"/>
    <mergeCell ref="C48:D48"/>
    <mergeCell ref="F48:G48"/>
    <mergeCell ref="B49:J49"/>
    <mergeCell ref="I48:J48"/>
    <mergeCell ref="J66:J67"/>
    <mergeCell ref="B66:B67"/>
    <mergeCell ref="C66:C67"/>
    <mergeCell ref="D66:D67"/>
    <mergeCell ref="D42:D43"/>
    <mergeCell ref="F76:F77"/>
    <mergeCell ref="G76:G77"/>
    <mergeCell ref="F66:F67"/>
    <mergeCell ref="G66:G67"/>
    <mergeCell ref="B59:J59"/>
    <mergeCell ref="B69:J69"/>
    <mergeCell ref="J56:J57"/>
    <mergeCell ref="B21:D21"/>
    <mergeCell ref="B30:D30"/>
    <mergeCell ref="B39:D39"/>
    <mergeCell ref="C27:D28"/>
    <mergeCell ref="F56:F57"/>
    <mergeCell ref="G56:G57"/>
    <mergeCell ref="B36:B37"/>
    <mergeCell ref="C36:C37"/>
    <mergeCell ref="I66:I67"/>
    <mergeCell ref="B27:B28"/>
    <mergeCell ref="B56:B57"/>
    <mergeCell ref="C56:C57"/>
    <mergeCell ref="D56:D57"/>
    <mergeCell ref="G27:H28"/>
    <mergeCell ref="G31:H31"/>
    <mergeCell ref="G32:H32"/>
    <mergeCell ref="D36:D37"/>
  </mergeCells>
  <conditionalFormatting sqref="I56:I57 I76:I77">
    <cfRule type="cellIs" dxfId="52" priority="57" operator="lessThan">
      <formula>0</formula>
    </cfRule>
  </conditionalFormatting>
  <conditionalFormatting sqref="I66:I67">
    <cfRule type="cellIs" dxfId="51" priority="55" operator="lessThan">
      <formula>0</formula>
    </cfRule>
  </conditionalFormatting>
  <conditionalFormatting sqref="I56:J57 I76:I77">
    <cfRule type="cellIs" dxfId="50" priority="56" operator="greaterThan">
      <formula>0</formula>
    </cfRule>
  </conditionalFormatting>
  <conditionalFormatting sqref="I66:I67">
    <cfRule type="cellIs" dxfId="49" priority="54" operator="greaterThan">
      <formula>0</formula>
    </cfRule>
  </conditionalFormatting>
  <conditionalFormatting sqref="C56:C57">
    <cfRule type="cellIs" dxfId="48" priority="72" operator="lessThan">
      <formula>$I$56</formula>
    </cfRule>
  </conditionalFormatting>
  <conditionalFormatting sqref="D15">
    <cfRule type="containsText" dxfId="47" priority="42" operator="containsText" text="Freeman">
      <formula>NOT(ISERROR(SEARCH("Freeman",D15)))</formula>
    </cfRule>
    <cfRule type="containsText" dxfId="46" priority="43" operator="containsText" text="Kuhn">
      <formula>NOT(ISERROR(SEARCH("Kuhn",D15)))</formula>
    </cfRule>
    <cfRule type="containsText" dxfId="45" priority="44" operator="containsText" text="Krone">
      <formula>NOT(ISERROR(SEARCH("Krone",D15)))</formula>
    </cfRule>
    <cfRule type="containsText" dxfId="44" priority="45" operator="containsText" text="New Holland">
      <formula>NOT(ISERROR(SEARCH("New Holland",D15)))</formula>
    </cfRule>
    <cfRule type="containsText" dxfId="43" priority="46" operator="containsText" text="AGCO Hesston">
      <formula>NOT(ISERROR(SEARCH("AGCO Hesston",D15)))</formula>
    </cfRule>
    <cfRule type="containsText" dxfId="42" priority="47" operator="containsText" text="Case">
      <formula>NOT(ISERROR(SEARCH("Case",D15)))</formula>
    </cfRule>
    <cfRule type="containsText" dxfId="41" priority="48" operator="containsText" text="John Deere">
      <formula>NOT(ISERROR(SEARCH("John Deere",D15)))</formula>
    </cfRule>
  </conditionalFormatting>
  <conditionalFormatting sqref="J15">
    <cfRule type="containsText" dxfId="40" priority="35" operator="containsText" text="Freeman">
      <formula>NOT(ISERROR(SEARCH("Freeman",J15)))</formula>
    </cfRule>
    <cfRule type="containsText" dxfId="39" priority="36" operator="containsText" text="Kuhn">
      <formula>NOT(ISERROR(SEARCH("Kuhn",J15)))</formula>
    </cfRule>
    <cfRule type="containsText" dxfId="38" priority="37" operator="containsText" text="Krone">
      <formula>NOT(ISERROR(SEARCH("Krone",J15)))</formula>
    </cfRule>
    <cfRule type="containsText" dxfId="37" priority="38" operator="containsText" text="New Holland">
      <formula>NOT(ISERROR(SEARCH("New Holland",J15)))</formula>
    </cfRule>
    <cfRule type="containsText" dxfId="36" priority="39" operator="containsText" text="AGCO Hesston">
      <formula>NOT(ISERROR(SEARCH("AGCO Hesston",J15)))</formula>
    </cfRule>
    <cfRule type="containsText" dxfId="35" priority="40" operator="containsText" text="Case">
      <formula>NOT(ISERROR(SEARCH("Case",J15)))</formula>
    </cfRule>
    <cfRule type="containsText" dxfId="34" priority="41" operator="containsText" text="John Deere">
      <formula>NOT(ISERROR(SEARCH("John Deere",J15)))</formula>
    </cfRule>
  </conditionalFormatting>
  <conditionalFormatting sqref="F48">
    <cfRule type="containsText" dxfId="33" priority="28" operator="containsText" text="Freeman">
      <formula>NOT(ISERROR(SEARCH("Freeman",F48)))</formula>
    </cfRule>
    <cfRule type="containsText" dxfId="32" priority="29" operator="containsText" text="Kuhn">
      <formula>NOT(ISERROR(SEARCH("Kuhn",F48)))</formula>
    </cfRule>
    <cfRule type="containsText" dxfId="31" priority="30" operator="containsText" text="Krone">
      <formula>NOT(ISERROR(SEARCH("Krone",F48)))</formula>
    </cfRule>
    <cfRule type="containsText" dxfId="30" priority="31" operator="containsText" text="New Holland">
      <formula>NOT(ISERROR(SEARCH("New Holland",F48)))</formula>
    </cfRule>
    <cfRule type="containsText" dxfId="29" priority="32" operator="containsText" text="AGCO Hesston">
      <formula>NOT(ISERROR(SEARCH("AGCO Hesston",F48)))</formula>
    </cfRule>
    <cfRule type="containsText" dxfId="28" priority="33" operator="containsText" text="Case">
      <formula>NOT(ISERROR(SEARCH("Case",F48)))</formula>
    </cfRule>
    <cfRule type="containsText" dxfId="27" priority="34" operator="containsText" text="John Deere">
      <formula>NOT(ISERROR(SEARCH("John Deere",F48)))</formula>
    </cfRule>
  </conditionalFormatting>
  <conditionalFormatting sqref="J103">
    <cfRule type="containsText" dxfId="26" priority="6" operator="containsText" text="Freeman">
      <formula>NOT(ISERROR(SEARCH("Freeman",J103)))</formula>
    </cfRule>
    <cfRule type="containsText" dxfId="25" priority="7" operator="containsText" text="Kuhn">
      <formula>NOT(ISERROR(SEARCH("Kuhn",J103)))</formula>
    </cfRule>
    <cfRule type="containsText" dxfId="24" priority="8" operator="containsText" text="Krone">
      <formula>NOT(ISERROR(SEARCH("Krone",J103)))</formula>
    </cfRule>
    <cfRule type="containsText" dxfId="23" priority="9" operator="containsText" text="New Holland">
      <formula>NOT(ISERROR(SEARCH("New Holland",J103)))</formula>
    </cfRule>
    <cfRule type="containsText" dxfId="22" priority="10" operator="containsText" text="AGCO Hesston">
      <formula>NOT(ISERROR(SEARCH("AGCO Hesston",J103)))</formula>
    </cfRule>
    <cfRule type="containsText" dxfId="21" priority="11" operator="containsText" text="Case">
      <formula>NOT(ISERROR(SEARCH("Case",J103)))</formula>
    </cfRule>
    <cfRule type="containsText" dxfId="20" priority="12" operator="containsText" text="John Deere">
      <formula>NOT(ISERROR(SEARCH("John Deere",J103)))</formula>
    </cfRule>
  </conditionalFormatting>
  <conditionalFormatting sqref="I117">
    <cfRule type="cellIs" dxfId="19" priority="26" operator="lessThan">
      <formula>0</formula>
    </cfRule>
    <cfRule type="cellIs" dxfId="18" priority="27" operator="greaterThan">
      <formula>0</formula>
    </cfRule>
  </conditionalFormatting>
  <conditionalFormatting sqref="I136">
    <cfRule type="cellIs" dxfId="17" priority="25" operator="lessThan">
      <formula>0</formula>
    </cfRule>
  </conditionalFormatting>
  <conditionalFormatting sqref="I135">
    <cfRule type="cellIs" dxfId="16" priority="24" operator="lessThan">
      <formula>0</formula>
    </cfRule>
  </conditionalFormatting>
  <conditionalFormatting sqref="I126">
    <cfRule type="cellIs" dxfId="15" priority="22" operator="lessThan">
      <formula>0</formula>
    </cfRule>
    <cfRule type="cellIs" dxfId="14" priority="23" operator="greaterThan">
      <formula>0</formula>
    </cfRule>
  </conditionalFormatting>
  <conditionalFormatting sqref="J117">
    <cfRule type="cellIs" dxfId="13" priority="20" operator="lessThan">
      <formula>0</formula>
    </cfRule>
    <cfRule type="cellIs" dxfId="12" priority="21" operator="greaterThan">
      <formula>0</formula>
    </cfRule>
  </conditionalFormatting>
  <conditionalFormatting sqref="I125">
    <cfRule type="cellIs" dxfId="11" priority="18" operator="greaterThan">
      <formula>0</formula>
    </cfRule>
    <cfRule type="cellIs" dxfId="10" priority="19" operator="greaterThan">
      <formula>$P$29</formula>
    </cfRule>
  </conditionalFormatting>
  <conditionalFormatting sqref="I135:I136">
    <cfRule type="cellIs" dxfId="9" priority="17" operator="greaterThan">
      <formula>0</formula>
    </cfRule>
  </conditionalFormatting>
  <conditionalFormatting sqref="I118">
    <cfRule type="cellIs" dxfId="8" priority="16" operator="greaterThan">
      <formula>0</formula>
    </cfRule>
  </conditionalFormatting>
  <conditionalFormatting sqref="I137">
    <cfRule type="cellIs" dxfId="7" priority="13" operator="greaterThan">
      <formula>0</formula>
    </cfRule>
    <cfRule type="cellIs" dxfId="6" priority="15" operator="lessThan">
      <formula>0</formula>
    </cfRule>
  </conditionalFormatting>
  <conditionalFormatting sqref="I137">
    <cfRule type="cellIs" dxfId="5" priority="14" operator="greaterThan">
      <formula>0</formula>
    </cfRule>
  </conditionalFormatting>
  <conditionalFormatting sqref="J50:J57">
    <cfRule type="cellIs" dxfId="4" priority="5" operator="greaterThan">
      <formula>0</formula>
    </cfRule>
  </conditionalFormatting>
  <conditionalFormatting sqref="J66:J67">
    <cfRule type="cellIs" dxfId="3" priority="4" operator="greaterThan">
      <formula>0</formula>
    </cfRule>
  </conditionalFormatting>
  <conditionalFormatting sqref="J60:J67">
    <cfRule type="cellIs" dxfId="2" priority="3" operator="greaterThan">
      <formula>0</formula>
    </cfRule>
  </conditionalFormatting>
  <conditionalFormatting sqref="J76:J77">
    <cfRule type="cellIs" dxfId="1" priority="2" operator="greaterThan">
      <formula>0</formula>
    </cfRule>
  </conditionalFormatting>
  <conditionalFormatting sqref="J70:J77">
    <cfRule type="cellIs" dxfId="0" priority="1" operator="greaterThan">
      <formula>0</formula>
    </cfRule>
  </conditionalFormatting>
  <dataValidations disablePrompts="1" count="1">
    <dataValidation type="list" allowBlank="1" showInputMessage="1" showErrorMessage="1" sqref="E6">
      <formula1>"New Holland, Case, John Deere, Krone, AGCO Hesston, Freeman, Kuhn"</formula1>
    </dataValidation>
  </dataValidations>
  <pageMargins left="0.70866141732283472" right="0.70866141732283472" top="0.78740157480314965" bottom="0.78740157480314965" header="0.31496062992125984" footer="0.31496062992125984"/>
  <pageSetup scale="40" fitToWidth="0" fitToHeight="0" orientation="portrait" verticalDpi="0" r:id="rId1"/>
  <rowBreaks count="1" manualBreakCount="1">
    <brk id="86" max="16383" man="1"/>
  </rowBreaks>
  <colBreaks count="1" manualBreakCount="1">
    <brk id="10" max="1048575" man="1"/>
  </col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12216F71133B45A4BEE6C5610E73EF" ma:contentTypeVersion="0" ma:contentTypeDescription="Create a new document." ma:contentTypeScope="" ma:versionID="44bc87d1601e74462bcb3e9c03ba977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8f61483a4e611341573e4087240540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5E2A42-4594-4FDD-8132-9ADC55213D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788FBD8-9D55-4EFE-84D0-1FD6E9F635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4F8D82-0938-4926-A300-F51455810D5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QUADRANT</vt:lpstr>
      <vt:lpstr>Transport costs</vt:lpstr>
      <vt:lpstr>QUADRANT (2)</vt:lpstr>
      <vt:lpstr>'QUADRANT (2)'!Print_Area</vt:lpstr>
    </vt:vector>
  </TitlesOfParts>
  <Company>CLAAS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Saile, Andreas</dc:creator>
  <cp:lastModifiedBy>Saile, Andreas</cp:lastModifiedBy>
  <cp:lastPrinted>2016-10-28T16:24:17Z</cp:lastPrinted>
  <dcterms:created xsi:type="dcterms:W3CDTF">2016-09-13T20:45:42Z</dcterms:created>
  <dcterms:modified xsi:type="dcterms:W3CDTF">2017-01-27T20:51:42Z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0x0101004E12216F71133B45A4BEE6C5610E73EF</vt:lpwstr>
  </property>
</Properties>
</file>