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002070\Desktop\"/>
    </mc:Choice>
  </mc:AlternateContent>
  <bookViews>
    <workbookView xWindow="0" yWindow="0" windowWidth="19200" windowHeight="8355" tabRatio="525"/>
  </bookViews>
  <sheets>
    <sheet name="Ballasting Tool" sheetId="9" r:id="rId1"/>
    <sheet name="Data Base" sheetId="8" state="hidden" r:id="rId2"/>
    <sheet name="Physics" sheetId="23" state="hidden" r:id="rId3"/>
    <sheet name="Calculator" sheetId="7" state="hidden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18" i="7" l="1"/>
  <c r="B17" i="7"/>
  <c r="S3" i="23"/>
  <c r="E30" i="8" l="1"/>
  <c r="C30" i="8"/>
  <c r="B28" i="8"/>
  <c r="B29" i="8"/>
  <c r="D31" i="8"/>
  <c r="E31" i="8" s="1"/>
  <c r="D32" i="8" l="1"/>
  <c r="E32" i="8" s="1"/>
  <c r="D33" i="8" l="1"/>
  <c r="E33" i="8" s="1"/>
  <c r="D34" i="8" l="1"/>
  <c r="D35" i="8" s="1"/>
  <c r="B7" i="7"/>
  <c r="B5" i="7"/>
  <c r="B6" i="7"/>
  <c r="E34" i="8" l="1"/>
  <c r="E35" i="8"/>
  <c r="D36" i="8"/>
  <c r="AA3" i="23"/>
  <c r="C43" i="8"/>
  <c r="C44" i="8"/>
  <c r="C42" i="8"/>
  <c r="B45" i="8"/>
  <c r="B46" i="8" s="1"/>
  <c r="B47" i="8" s="1"/>
  <c r="B48" i="8" s="1"/>
  <c r="B49" i="8" s="1"/>
  <c r="B50" i="8" s="1"/>
  <c r="B51" i="8" s="1"/>
  <c r="B52" i="8" s="1"/>
  <c r="B31" i="8"/>
  <c r="B4" i="8"/>
  <c r="B5" i="8"/>
  <c r="B6" i="8"/>
  <c r="B8" i="8"/>
  <c r="B9" i="8"/>
  <c r="B12" i="8"/>
  <c r="B13" i="8"/>
  <c r="B14" i="8"/>
  <c r="B15" i="8"/>
  <c r="B16" i="8"/>
  <c r="B3" i="8"/>
  <c r="B84" i="8"/>
  <c r="B34" i="7" l="1"/>
  <c r="P13" i="9" s="1"/>
  <c r="E36" i="8"/>
  <c r="D37" i="8"/>
  <c r="B53" i="8"/>
  <c r="B54" i="8" s="1"/>
  <c r="B55" i="8" s="1"/>
  <c r="B56" i="8" s="1"/>
  <c r="C56" i="8" s="1"/>
  <c r="B25" i="7"/>
  <c r="AK3" i="23" s="1"/>
  <c r="B32" i="8"/>
  <c r="C31" i="8"/>
  <c r="C52" i="8"/>
  <c r="C48" i="8"/>
  <c r="C51" i="8"/>
  <c r="C47" i="8"/>
  <c r="C50" i="8"/>
  <c r="C46" i="8"/>
  <c r="C49" i="8"/>
  <c r="C45" i="8"/>
  <c r="B24" i="7" l="1"/>
  <c r="AJ3" i="23" s="1"/>
  <c r="R3" i="23"/>
  <c r="C55" i="8"/>
  <c r="C54" i="8"/>
  <c r="E37" i="8"/>
  <c r="D38" i="8"/>
  <c r="C53" i="8"/>
  <c r="B33" i="8"/>
  <c r="C32" i="8"/>
  <c r="B4" i="7"/>
  <c r="B3" i="7"/>
  <c r="B2" i="7"/>
  <c r="O3" i="23"/>
  <c r="X3" i="23" s="1"/>
  <c r="E38" i="8" l="1"/>
  <c r="D39" i="8"/>
  <c r="E39" i="8" s="1"/>
  <c r="B34" i="8"/>
  <c r="C33" i="8"/>
  <c r="O7" i="9"/>
  <c r="AD3" i="23"/>
  <c r="B35" i="8" l="1"/>
  <c r="C34" i="8"/>
  <c r="B9" i="7"/>
  <c r="C35" i="8" l="1"/>
  <c r="B36" i="8"/>
  <c r="G3" i="23"/>
  <c r="B25" i="8"/>
  <c r="B11" i="7" s="1"/>
  <c r="F3" i="9"/>
  <c r="B14" i="7"/>
  <c r="B15" i="7"/>
  <c r="B21" i="7" l="1"/>
  <c r="B20" i="7"/>
  <c r="C36" i="8"/>
  <c r="B37" i="8"/>
  <c r="E84" i="8"/>
  <c r="E3" i="23"/>
  <c r="D3" i="23" s="1"/>
  <c r="F4" i="9"/>
  <c r="F5" i="9"/>
  <c r="I3" i="23"/>
  <c r="H3" i="23"/>
  <c r="L3" i="23" s="1"/>
  <c r="C37" i="8" l="1"/>
  <c r="B38" i="8"/>
  <c r="F84" i="8"/>
  <c r="G84" i="8"/>
  <c r="J3" i="23"/>
  <c r="M3" i="23"/>
  <c r="N3" i="23" s="1"/>
  <c r="B39" i="8" l="1"/>
  <c r="C39" i="8" s="1"/>
  <c r="C38" i="8"/>
  <c r="P3" i="23"/>
  <c r="BA3" i="23" s="1"/>
  <c r="AY3" i="23" s="1"/>
  <c r="AU3" i="23" l="1"/>
  <c r="BC3" i="23"/>
  <c r="BB3" i="23" s="1"/>
  <c r="AS3" i="23" l="1"/>
  <c r="AZ3" i="23"/>
  <c r="AW3" i="23" l="1"/>
  <c r="T3" i="23"/>
  <c r="W3" i="23"/>
  <c r="Y3" i="23" s="1"/>
  <c r="AT3" i="23" l="1"/>
  <c r="AV3" i="23"/>
  <c r="AN3" i="23"/>
  <c r="Z3" i="23"/>
  <c r="AL3" i="23" l="1"/>
  <c r="AP3" i="23" s="1"/>
  <c r="AQ3" i="23" s="1"/>
  <c r="AO3" i="23" l="1"/>
  <c r="AM3" i="23"/>
  <c r="AC3" i="23" l="1"/>
  <c r="AG3" i="23" s="1"/>
  <c r="I12" i="9" l="1"/>
  <c r="B28" i="7"/>
  <c r="C28" i="7" s="1"/>
  <c r="O24" i="9" l="1"/>
  <c r="AF3" i="23"/>
  <c r="B27" i="7" s="1"/>
  <c r="C27" i="7" s="1"/>
  <c r="K24" i="9" l="1"/>
  <c r="AH3" i="23"/>
  <c r="AI3" i="23" s="1"/>
  <c r="B29" i="7" l="1"/>
  <c r="N25" i="9" l="1"/>
  <c r="N28" i="9" s="1"/>
  <c r="H84" i="8"/>
  <c r="B31" i="7"/>
  <c r="K25" i="9" s="1"/>
  <c r="B32" i="7"/>
  <c r="O25" i="9" s="1"/>
</calcChain>
</file>

<file path=xl/comments1.xml><?xml version="1.0" encoding="utf-8"?>
<comments xmlns="http://schemas.openxmlformats.org/spreadsheetml/2006/main">
  <authors>
    <author>Richard, Christian</author>
  </authors>
  <commentList>
    <comment ref="Z2" authorId="0" shapeId="0">
      <text>
        <r>
          <rPr>
            <b/>
            <sz val="9"/>
            <color indexed="81"/>
            <rFont val="Segoe UI"/>
            <family val="2"/>
          </rPr>
          <t>Richard, Christian:</t>
        </r>
        <r>
          <rPr>
            <sz val="9"/>
            <color indexed="81"/>
            <rFont val="Segoe UI"/>
            <family val="2"/>
          </rPr>
          <t xml:space="preserve">
Hier wird der virtuelle Gesamtschwerpunkt der erforderlichen Ballastierung berechnet</t>
        </r>
      </text>
    </comment>
  </commentList>
</comments>
</file>

<file path=xl/sharedStrings.xml><?xml version="1.0" encoding="utf-8"?>
<sst xmlns="http://schemas.openxmlformats.org/spreadsheetml/2006/main" count="267" uniqueCount="204">
  <si>
    <t>XERION 5000</t>
  </si>
  <si>
    <t>XERION 4500</t>
  </si>
  <si>
    <t>XERION 4000</t>
  </si>
  <si>
    <t>Model</t>
  </si>
  <si>
    <t>Version</t>
  </si>
  <si>
    <t>Trac</t>
  </si>
  <si>
    <t>Rear-3-Point</t>
  </si>
  <si>
    <t>Front-3-Point</t>
  </si>
  <si>
    <t>PTO</t>
  </si>
  <si>
    <t>Yes</t>
  </si>
  <si>
    <t>No</t>
  </si>
  <si>
    <t>Groundspeed</t>
  </si>
  <si>
    <t>Tractor weight</t>
  </si>
  <si>
    <t>weight for calculation</t>
  </si>
  <si>
    <t>lbs</t>
  </si>
  <si>
    <t>710/70 R42 duals</t>
  </si>
  <si>
    <t>710/75 R42 duals</t>
  </si>
  <si>
    <t>650/85 R38 duals</t>
  </si>
  <si>
    <t>900/60 R38 singles</t>
  </si>
  <si>
    <t>900/60 R42 singles</t>
  </si>
  <si>
    <t>Application</t>
  </si>
  <si>
    <t>nothing</t>
  </si>
  <si>
    <t>With PTO?</t>
  </si>
  <si>
    <t>Trac or Trac VC?</t>
  </si>
  <si>
    <t>Tires</t>
  </si>
  <si>
    <t>weight (lbs)</t>
  </si>
  <si>
    <t>Trac VC</t>
  </si>
  <si>
    <t>HP</t>
  </si>
  <si>
    <t>Xerion Front weights</t>
  </si>
  <si>
    <t>Base Plate</t>
  </si>
  <si>
    <t>1 weight plate</t>
  </si>
  <si>
    <t>2 weight plates</t>
  </si>
  <si>
    <t>3 weight plates</t>
  </si>
  <si>
    <t>4 weight plates</t>
  </si>
  <si>
    <t>5 weight plates</t>
  </si>
  <si>
    <t>Xerion rear weights</t>
  </si>
  <si>
    <t>6 weight plates</t>
  </si>
  <si>
    <t>7 weight plates</t>
  </si>
  <si>
    <t>8 weight plates</t>
  </si>
  <si>
    <t>9 weight plates</t>
  </si>
  <si>
    <t>10 weight plates</t>
  </si>
  <si>
    <t>11 weight plates</t>
  </si>
  <si>
    <t>12 weight plates</t>
  </si>
  <si>
    <t>Leverage front weight to front axle</t>
  </si>
  <si>
    <t>Leverage rear weight to rear axle</t>
  </si>
  <si>
    <t>Leverage rear axle to rear weight</t>
  </si>
  <si>
    <t>Leverage rear weight to front axle</t>
  </si>
  <si>
    <t>current Total Tractor weight</t>
  </si>
  <si>
    <t>current front axle weight</t>
  </si>
  <si>
    <t>current rear axle weight</t>
  </si>
  <si>
    <t>Front axle weight empty tractor</t>
  </si>
  <si>
    <t>Rear axle weight empty tractor</t>
  </si>
  <si>
    <t>Front Axle needed weight</t>
  </si>
  <si>
    <t>Rear axle needed weight</t>
  </si>
  <si>
    <t>current ballast on front axle</t>
  </si>
  <si>
    <t>current ballast on rear axle</t>
  </si>
  <si>
    <t>Tractor Configuration:</t>
  </si>
  <si>
    <t>Front Axle</t>
  </si>
  <si>
    <t>Rear Axle</t>
  </si>
  <si>
    <t>Front axle:</t>
  </si>
  <si>
    <t>Total:</t>
  </si>
  <si>
    <t>own weight</t>
  </si>
  <si>
    <t>Ballasting:</t>
  </si>
  <si>
    <t>Leverage front weight to rear axle</t>
  </si>
  <si>
    <t>current ballasting front axle</t>
  </si>
  <si>
    <t>current ballasting rear axle</t>
  </si>
  <si>
    <t>weight</t>
  </si>
  <si>
    <t>Ballasting</t>
  </si>
  <si>
    <t>Mitas</t>
  </si>
  <si>
    <t>Michelin</t>
  </si>
  <si>
    <t>Trelleborg</t>
  </si>
  <si>
    <t>Firestone</t>
  </si>
  <si>
    <t>Total Tractor</t>
  </si>
  <si>
    <t>Leverage = weight adding on front + (weight adding on front * distance center front axle to gravity center of front weight)/wheelbase = 1kg + (1kg * 2.24m / 3.6m) = 1 + 0.622 = 1.622 -&gt; Add 1kg on the front will increase weight on front axle by 1.622 kg</t>
  </si>
  <si>
    <t>Leverage = (weight adding on front * distance center front axle to gravity center of front weight)/wheelbase = (1kg * 2.24m / 3.6m) =  0.622  -&gt; Add 1kg on the front will decrease weight on rear axle by 0.622 kg</t>
  </si>
  <si>
    <t>Leverage = needed rear axle weight * (1 + leverage rear weight to front axle) = 1kg * (1 + 0.083 kg) = 1.083 -&gt; to increase weight of rear axle by 1kg it needs 1.083kg weight on the rear</t>
  </si>
  <si>
    <t>Leverage = ratio of Distance gravity center rear weights to center rear axle / wheelbase = 0.3m/3.6m = 0.083 -&gt; increase weight on rear by 1kg will increase weight of front axle by 0.083kg</t>
  </si>
  <si>
    <t>Leverage = ratio of Distance gravity center rear weights to center front axle / wheelbase = 3.3m / 3.6m = 0.917 -&gt; increase weight on rear by 1kg will increase weight on rear axle by 0.917kg</t>
  </si>
  <si>
    <t xml:space="preserve">Leverage with North American front weight </t>
  </si>
  <si>
    <t>Leverage with front 3-Point-Hitch</t>
  </si>
  <si>
    <t>Leverage = weight adding on front + (weight adding on front * distance center front axle to gravity center of front weight)/wheelbase = 1kg + (1kg * 2.42m / 3.6m) = 1 + 0.672 = 1.672 -&gt; Add 1kg on the front will increase weight on front axle by 1.672 kg</t>
  </si>
  <si>
    <t>Leverage = (weight adding on front * distance center front axle to gravity center of front weight)/wheelbase = (1kg * 2.42m / 3.6m) =  0.672  -&gt; Add 1kg on the front will decrease weight on rear axle by 0.672 kg</t>
  </si>
  <si>
    <t>Vorgaben durch Anbaugerät</t>
  </si>
  <si>
    <t>Arbeitsbetrieb</t>
  </si>
  <si>
    <t>Ballast gesamt</t>
  </si>
  <si>
    <t>Proberechnung Gesamtfahrzeug dyn</t>
  </si>
  <si>
    <t>Empfehlung mit Proberechnung</t>
  </si>
  <si>
    <r>
      <rPr>
        <sz val="11"/>
        <color theme="1"/>
        <rFont val="Calibri"/>
        <family val="2"/>
        <scheme val="minor"/>
      </rPr>
      <t>Berechnung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mit Stützlast ohne Zugkraft</t>
    </r>
  </si>
  <si>
    <r>
      <rPr>
        <sz val="11"/>
        <color theme="1"/>
        <rFont val="Calibri"/>
        <family val="2"/>
        <scheme val="minor"/>
      </rPr>
      <t xml:space="preserve">Berechnung </t>
    </r>
    <r>
      <rPr>
        <b/>
        <i/>
        <sz val="11"/>
        <color theme="1"/>
        <rFont val="Calibri"/>
        <family val="2"/>
        <scheme val="minor"/>
      </rPr>
      <t>ohne Zugkraft ohne Stützlast</t>
    </r>
  </si>
  <si>
    <t>Zugleistung [kW]</t>
  </si>
  <si>
    <t>Zugkraftbeiwert [-]</t>
  </si>
  <si>
    <t>errechnete Zugkraft des Gerätes
in kN</t>
  </si>
  <si>
    <t>Maximal notwendiges Fahrzeuggewicht [kg] (inkl. Stützlast Gerät)</t>
  </si>
  <si>
    <t>Leergewicht
[kg]</t>
  </si>
  <si>
    <t>Achslast PA leer
[kg]</t>
  </si>
  <si>
    <t>Achslast SA leer
[kg]</t>
  </si>
  <si>
    <t>Aus PA und SA berechneter Schwerpunkt [mm]</t>
  </si>
  <si>
    <t>Achslast PA  Leerfahrzeug [kg] (Kundeneingabe)</t>
  </si>
  <si>
    <t>Achslast SA Leerfahrzeug [kg] (Kundeneingabe)</t>
  </si>
  <si>
    <t>Gesamtgewicht Leerfahrzeug [kg]</t>
  </si>
  <si>
    <t>Position SA [mm]</t>
  </si>
  <si>
    <t>Stützlast [kg]</t>
  </si>
  <si>
    <t>xStützlast [mm]</t>
  </si>
  <si>
    <t>Zugkraft [N]</t>
  </si>
  <si>
    <t>hZugkraft [mm]</t>
  </si>
  <si>
    <t>soll GG, dyn [kg]</t>
  </si>
  <si>
    <t>soll xGG, dyn [mm]</t>
  </si>
  <si>
    <t>mBallast [kg]</t>
  </si>
  <si>
    <t>xBallast [mm]</t>
  </si>
  <si>
    <t>xBallastVo [mm]</t>
  </si>
  <si>
    <t>xBallastHi [mm]</t>
  </si>
  <si>
    <t>mBallastVo [kg]</t>
  </si>
  <si>
    <t>mBallastHi [kg]</t>
  </si>
  <si>
    <t>PA [kg]</t>
  </si>
  <si>
    <t>SA [kg]</t>
  </si>
  <si>
    <t>GG, dyn [kg]</t>
  </si>
  <si>
    <t>Empfehlung: mBallastVo [kg]</t>
  </si>
  <si>
    <t>Empfehlung: mBallastHi [kg]</t>
  </si>
  <si>
    <t>PA [kg]
max 15000 kg</t>
  </si>
  <si>
    <t>Anteil [%]</t>
  </si>
  <si>
    <t>SA [kg]
max 12000 kg</t>
  </si>
  <si>
    <t>GG, dyn [kg]
max 24000 kg</t>
  </si>
  <si>
    <t>Gewichts-abweichung [kg]</t>
  </si>
  <si>
    <t>GG, stat. [kg]
max 24000 kg</t>
  </si>
  <si>
    <t>kg</t>
  </si>
  <si>
    <t>Drawbar</t>
  </si>
  <si>
    <t>weight (kg)</t>
  </si>
  <si>
    <t>Weight (lbs) / HP</t>
  </si>
  <si>
    <t>Weight (kg) / HP</t>
  </si>
  <si>
    <t>kg into lbs</t>
  </si>
  <si>
    <t>needed Front axle ballasting in %</t>
  </si>
  <si>
    <t>needed Rear axle ballasting in %</t>
  </si>
  <si>
    <t>0 mph</t>
  </si>
  <si>
    <t>Front 3-Point Yes or No:</t>
  </si>
  <si>
    <t>800/70 R38 singles</t>
  </si>
  <si>
    <t xml:space="preserve">Front Ballasting: </t>
  </si>
  <si>
    <t>Rear Ballasting:</t>
  </si>
  <si>
    <t>With rear 3-Point hitch?</t>
  </si>
  <si>
    <t>With front 3-Point hitch?</t>
  </si>
  <si>
    <t>Do you know the tounge weight of your implement?</t>
  </si>
  <si>
    <t>Max. tractor groundspeed?</t>
  </si>
  <si>
    <t>Which tire size?</t>
  </si>
  <si>
    <t>Select with drop-down:</t>
  </si>
  <si>
    <t>[mm]</t>
  </si>
  <si>
    <t>Rear axle:</t>
  </si>
  <si>
    <t>26 mph</t>
  </si>
  <si>
    <t>31 mph</t>
  </si>
  <si>
    <t>Select weight:</t>
  </si>
  <si>
    <t>Caution !</t>
  </si>
  <si>
    <t>Exceeding gross vehicle weight</t>
  </si>
  <si>
    <t>Starting</t>
  </si>
  <si>
    <t>current tongue weight</t>
  </si>
  <si>
    <t xml:space="preserve">weight (kg) NA </t>
  </si>
  <si>
    <t>weight (lbs) NA</t>
  </si>
  <si>
    <t xml:space="preserve">weight (kg) 3-P </t>
  </si>
  <si>
    <t>weight (lbs) 3-P</t>
  </si>
  <si>
    <t>If yes, type your tongue weight in:</t>
  </si>
  <si>
    <t>Type in own weight:</t>
  </si>
  <si>
    <t>Target Total Tractor weight</t>
  </si>
  <si>
    <t>Target front axle weight</t>
  </si>
  <si>
    <t>Target rear axle weight</t>
  </si>
  <si>
    <t>current Total weight</t>
  </si>
  <si>
    <t>Exceeding rear</t>
  </si>
  <si>
    <t>axle weight</t>
  </si>
  <si>
    <t>Exceeding</t>
  </si>
  <si>
    <t>front axle</t>
  </si>
  <si>
    <t>Tongue weight (kg)</t>
  </si>
  <si>
    <t>Tongue weight (lbs)</t>
  </si>
  <si>
    <t>Ballasting front</t>
  </si>
  <si>
    <t>Ballasting rear</t>
  </si>
  <si>
    <t>….</t>
  </si>
  <si>
    <t>800/70 R38 IF singles</t>
  </si>
  <si>
    <t>Load (lbs):</t>
  </si>
  <si>
    <t>Drawbar Pulled Implement</t>
  </si>
  <si>
    <t>65% / 35%</t>
  </si>
  <si>
    <t>Weighting and Ballasting Guidelines</t>
  </si>
  <si>
    <t>1 - 4.5 mph</t>
  </si>
  <si>
    <t>4.5 - 6.0 mph</t>
  </si>
  <si>
    <t>6.0 - 7.5 mph</t>
  </si>
  <si>
    <t>7.5 mph or greater</t>
  </si>
  <si>
    <t>Recommended (lbs/hp)</t>
  </si>
  <si>
    <t>120 lbs/hp</t>
  </si>
  <si>
    <t>110 lbs/hp</t>
  </si>
  <si>
    <t>100 lbs/hp</t>
  </si>
  <si>
    <t>90 lbs/hp</t>
  </si>
  <si>
    <t>Desired Implement Ground Speed (mph)</t>
  </si>
  <si>
    <t>Trailer Hauling</t>
  </si>
  <si>
    <t>50 - 55% / 50 - 45%</t>
  </si>
  <si>
    <t>Weight Split (Front% /Rear%)</t>
  </si>
  <si>
    <t xml:space="preserve">   Total:</t>
  </si>
  <si>
    <t>** This spreadsheet is meant to be used as a general guideline for weighting a XERION</t>
  </si>
  <si>
    <t xml:space="preserve">Depending on the type of implement, ground speed, tire pressures, etc. you may need to </t>
  </si>
  <si>
    <t xml:space="preserve">ballast the XERION differently than outlined in this document.** </t>
  </si>
  <si>
    <t>- Whenever you need to add weight to the XERION you should always add</t>
  </si>
  <si>
    <t xml:space="preserve">- Be careful to not overballast the XERION. Adding too much weight will increase </t>
  </si>
  <si>
    <t xml:space="preserve">- By correctly ballasting the XERION you can ensure the tractor is as efficient as </t>
  </si>
  <si>
    <t>possible and will maximize its performance</t>
  </si>
  <si>
    <t>your fuel consumption unnecessarily and reduce the useful horsepower available</t>
  </si>
  <si>
    <t>weight to the front before adding any weight to the back plate</t>
  </si>
  <si>
    <t>60 - 65% / 40 - 35%</t>
  </si>
  <si>
    <t>Type of Implement Mount/Application</t>
  </si>
  <si>
    <t>3 Pt Hitch Mounted Implement</t>
  </si>
  <si>
    <t xml:space="preserve">                     XERION Actual Weight Distribution</t>
  </si>
  <si>
    <t xml:space="preserve">  XERION Actual (lbs/hp)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</si>
</sst>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"/>
    <numFmt numFmtId="166" formatCode="0,###\ &quot;lbs&quot;"/>
    <numFmt numFmtId="167" formatCode="0.0%"/>
    <numFmt numFmtId="168" formatCode="#,##0\ &quot;lbs/hp&quot;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"/>
      <color theme="0"/>
      <name val="Arial"/>
      <family val="2"/>
    </font>
    <font>
      <sz val="4"/>
      <color theme="1"/>
      <name val="Calibri"/>
      <family val="2"/>
      <scheme val="minor"/>
    </font>
    <font>
      <sz val="4"/>
      <color theme="1"/>
      <name val="Arial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 style="medium">
        <color theme="5" tint="-0.249977111117893"/>
      </bottom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NumberFormat="1"/>
    <xf numFmtId="0" fontId="1" fillId="0" borderId="0" xfId="0" applyFont="1"/>
    <xf numFmtId="0" fontId="0" fillId="0" borderId="0" xfId="0" applyFont="1"/>
    <xf numFmtId="1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164" fontId="0" fillId="0" borderId="0" xfId="0" applyNumberFormat="1" applyFill="1" applyBorder="1"/>
    <xf numFmtId="0" fontId="1" fillId="5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0" borderId="0" xfId="0" applyFont="1" applyFill="1" applyBorder="1" applyAlignment="1">
      <alignment wrapText="1"/>
    </xf>
    <xf numFmtId="0" fontId="1" fillId="7" borderId="1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/>
    </xf>
    <xf numFmtId="1" fontId="0" fillId="8" borderId="1" xfId="0" applyNumberFormat="1" applyFill="1" applyBorder="1" applyAlignment="1">
      <alignment horizontal="center" vertical="center"/>
    </xf>
    <xf numFmtId="0" fontId="0" fillId="8" borderId="0" xfId="0" applyFill="1"/>
    <xf numFmtId="1" fontId="0" fillId="8" borderId="1" xfId="0" applyNumberFormat="1" applyFill="1" applyBorder="1" applyAlignment="1">
      <alignment vertical="center"/>
    </xf>
    <xf numFmtId="164" fontId="0" fillId="8" borderId="0" xfId="0" applyNumberForma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top"/>
    </xf>
    <xf numFmtId="1" fontId="0" fillId="8" borderId="1" xfId="0" applyNumberFormat="1" applyFill="1" applyBorder="1" applyAlignment="1">
      <alignment horizontal="center" vertical="top"/>
    </xf>
    <xf numFmtId="1" fontId="0" fillId="8" borderId="0" xfId="0" applyNumberFormat="1" applyFill="1" applyBorder="1" applyAlignment="1">
      <alignment horizontal="center" vertical="top"/>
    </xf>
    <xf numFmtId="164" fontId="0" fillId="8" borderId="0" xfId="0" applyNumberFormat="1" applyFill="1" applyBorder="1"/>
    <xf numFmtId="1" fontId="0" fillId="8" borderId="1" xfId="0" applyNumberFormat="1" applyFill="1" applyBorder="1" applyAlignment="1">
      <alignment horizontal="center" vertical="center" wrapText="1"/>
    </xf>
    <xf numFmtId="1" fontId="0" fillId="0" borderId="0" xfId="0" applyNumberFormat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165" fontId="8" fillId="0" borderId="0" xfId="0" applyNumberFormat="1" applyFont="1" applyAlignment="1">
      <alignment horizontal="center"/>
    </xf>
    <xf numFmtId="0" fontId="10" fillId="0" borderId="0" xfId="0" applyFont="1"/>
    <xf numFmtId="165" fontId="8" fillId="0" borderId="5" xfId="0" applyNumberFormat="1" applyFont="1" applyBorder="1" applyAlignment="1">
      <alignment horizontal="center"/>
    </xf>
    <xf numFmtId="0" fontId="9" fillId="0" borderId="6" xfId="0" applyFont="1" applyBorder="1"/>
    <xf numFmtId="165" fontId="8" fillId="0" borderId="8" xfId="0" applyNumberFormat="1" applyFont="1" applyBorder="1" applyAlignment="1">
      <alignment horizontal="center"/>
    </xf>
    <xf numFmtId="0" fontId="9" fillId="0" borderId="0" xfId="0" applyFont="1" applyBorder="1"/>
    <xf numFmtId="0" fontId="6" fillId="0" borderId="5" xfId="0" applyFont="1" applyBorder="1"/>
    <xf numFmtId="0" fontId="10" fillId="0" borderId="6" xfId="0" applyFont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0" borderId="8" xfId="0" applyFont="1" applyBorder="1"/>
    <xf numFmtId="3" fontId="8" fillId="0" borderId="0" xfId="0" applyNumberFormat="1" applyFont="1" applyBorder="1"/>
    <xf numFmtId="0" fontId="8" fillId="0" borderId="9" xfId="0" applyFont="1" applyBorder="1"/>
    <xf numFmtId="9" fontId="8" fillId="0" borderId="9" xfId="0" applyNumberFormat="1" applyFont="1" applyBorder="1"/>
    <xf numFmtId="0" fontId="10" fillId="0" borderId="10" xfId="0" applyFont="1" applyBorder="1"/>
    <xf numFmtId="3" fontId="8" fillId="0" borderId="11" xfId="0" applyNumberFormat="1" applyFont="1" applyBorder="1"/>
    <xf numFmtId="9" fontId="8" fillId="0" borderId="12" xfId="0" applyNumberFormat="1" applyFont="1" applyBorder="1"/>
    <xf numFmtId="2" fontId="0" fillId="0" borderId="0" xfId="0" applyNumberFormat="1" applyFont="1"/>
    <xf numFmtId="0" fontId="1" fillId="2" borderId="1" xfId="0" applyFont="1" applyFill="1" applyBorder="1" applyAlignment="1">
      <alignment horizontal="left"/>
    </xf>
    <xf numFmtId="0" fontId="8" fillId="0" borderId="0" xfId="0" applyFont="1" applyBorder="1"/>
    <xf numFmtId="0" fontId="10" fillId="0" borderId="0" xfId="0" applyFont="1" applyBorder="1" applyAlignment="1">
      <alignment horizontal="right"/>
    </xf>
    <xf numFmtId="0" fontId="10" fillId="0" borderId="14" xfId="0" applyFont="1" applyBorder="1"/>
    <xf numFmtId="0" fontId="8" fillId="0" borderId="0" xfId="0" applyFont="1" applyAlignment="1">
      <alignment horizontal="center"/>
    </xf>
    <xf numFmtId="0" fontId="8" fillId="0" borderId="7" xfId="0" applyFont="1" applyBorder="1"/>
    <xf numFmtId="0" fontId="8" fillId="0" borderId="11" xfId="0" applyFont="1" applyBorder="1"/>
    <xf numFmtId="0" fontId="10" fillId="0" borderId="14" xfId="0" applyFont="1" applyBorder="1" applyAlignment="1">
      <alignment vertical="center"/>
    </xf>
    <xf numFmtId="166" fontId="8" fillId="0" borderId="0" xfId="0" applyNumberFormat="1" applyFont="1" applyBorder="1" applyAlignment="1">
      <alignment horizontal="left"/>
    </xf>
    <xf numFmtId="166" fontId="10" fillId="0" borderId="13" xfId="0" applyNumberFormat="1" applyFont="1" applyBorder="1" applyAlignment="1">
      <alignment horizontal="center"/>
    </xf>
    <xf numFmtId="0" fontId="10" fillId="0" borderId="0" xfId="0" applyFont="1" applyBorder="1"/>
    <xf numFmtId="0" fontId="9" fillId="0" borderId="0" xfId="0" applyFont="1" applyBorder="1" applyAlignment="1">
      <alignment vertical="top" wrapText="1"/>
    </xf>
    <xf numFmtId="166" fontId="10" fillId="0" borderId="19" xfId="0" applyNumberFormat="1" applyFont="1" applyBorder="1"/>
    <xf numFmtId="165" fontId="8" fillId="0" borderId="0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9" fillId="0" borderId="7" xfId="0" applyFont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166" fontId="8" fillId="0" borderId="12" xfId="0" applyNumberFormat="1" applyFont="1" applyBorder="1" applyAlignment="1" applyProtection="1">
      <alignment horizontal="center"/>
      <protection locked="0"/>
    </xf>
    <xf numFmtId="0" fontId="8" fillId="0" borderId="16" xfId="0" applyFont="1" applyBorder="1" applyProtection="1">
      <protection locked="0"/>
    </xf>
    <xf numFmtId="0" fontId="8" fillId="0" borderId="0" xfId="0" applyFont="1" applyAlignment="1">
      <alignment horizontal="right"/>
    </xf>
    <xf numFmtId="166" fontId="8" fillId="0" borderId="13" xfId="0" applyNumberFormat="1" applyFont="1" applyBorder="1"/>
    <xf numFmtId="0" fontId="8" fillId="0" borderId="0" xfId="0" applyFont="1" applyAlignment="1"/>
    <xf numFmtId="166" fontId="8" fillId="0" borderId="13" xfId="0" applyNumberFormat="1" applyFont="1" applyBorder="1" applyAlignment="1"/>
    <xf numFmtId="164" fontId="0" fillId="0" borderId="0" xfId="0" applyNumberFormat="1"/>
    <xf numFmtId="0" fontId="13" fillId="0" borderId="9" xfId="0" applyFont="1" applyBorder="1"/>
    <xf numFmtId="0" fontId="8" fillId="0" borderId="5" xfId="0" applyFont="1" applyBorder="1"/>
    <xf numFmtId="0" fontId="13" fillId="0" borderId="8" xfId="0" applyFont="1" applyBorder="1"/>
    <xf numFmtId="0" fontId="1" fillId="0" borderId="1" xfId="0" applyFont="1" applyBorder="1"/>
    <xf numFmtId="1" fontId="0" fillId="0" borderId="1" xfId="0" applyNumberFormat="1" applyBorder="1"/>
    <xf numFmtId="0" fontId="0" fillId="0" borderId="1" xfId="0" applyBorder="1"/>
    <xf numFmtId="0" fontId="12" fillId="0" borderId="8" xfId="0" applyFont="1" applyBorder="1"/>
    <xf numFmtId="0" fontId="12" fillId="0" borderId="9" xfId="0" applyFont="1" applyBorder="1"/>
    <xf numFmtId="0" fontId="0" fillId="0" borderId="0" xfId="0" applyAlignment="1">
      <alignment horizontal="right"/>
    </xf>
    <xf numFmtId="0" fontId="10" fillId="0" borderId="0" xfId="0" applyFont="1" applyBorder="1" applyAlignment="1" applyProtection="1">
      <alignment horizontal="center"/>
      <protection locked="0"/>
    </xf>
    <xf numFmtId="0" fontId="0" fillId="0" borderId="0" xfId="0" quotePrefix="1" applyFont="1"/>
    <xf numFmtId="0" fontId="6" fillId="0" borderId="0" xfId="0" applyFont="1" applyBorder="1"/>
    <xf numFmtId="9" fontId="8" fillId="0" borderId="0" xfId="0" applyNumberFormat="1" applyFont="1" applyBorder="1"/>
    <xf numFmtId="0" fontId="10" fillId="0" borderId="0" xfId="0" applyFont="1" applyFill="1" applyBorder="1"/>
    <xf numFmtId="3" fontId="8" fillId="0" borderId="15" xfId="0" applyNumberFormat="1" applyFont="1" applyFill="1" applyBorder="1" applyAlignment="1">
      <alignment vertical="center"/>
    </xf>
    <xf numFmtId="3" fontId="8" fillId="0" borderId="15" xfId="0" applyNumberFormat="1" applyFont="1" applyFill="1" applyBorder="1"/>
    <xf numFmtId="0" fontId="10" fillId="0" borderId="0" xfId="0" applyFont="1" applyFill="1"/>
    <xf numFmtId="0" fontId="8" fillId="0" borderId="0" xfId="0" applyFont="1" applyFill="1"/>
    <xf numFmtId="0" fontId="14" fillId="0" borderId="0" xfId="0" applyFont="1" applyBorder="1" applyAlignment="1">
      <alignment horizontal="center"/>
    </xf>
    <xf numFmtId="0" fontId="15" fillId="0" borderId="9" xfId="0" applyFont="1" applyBorder="1" applyAlignment="1" applyProtection="1">
      <alignment horizontal="center"/>
      <protection locked="0"/>
    </xf>
    <xf numFmtId="165" fontId="16" fillId="0" borderId="8" xfId="0" applyNumberFormat="1" applyFont="1" applyBorder="1" applyAlignment="1">
      <alignment horizontal="center"/>
    </xf>
    <xf numFmtId="0" fontId="17" fillId="0" borderId="0" xfId="0" applyFont="1" applyBorder="1"/>
    <xf numFmtId="0" fontId="17" fillId="0" borderId="9" xfId="0" applyFont="1" applyBorder="1" applyAlignment="1" applyProtection="1">
      <alignment horizontal="center"/>
      <protection locked="0"/>
    </xf>
    <xf numFmtId="0" fontId="18" fillId="0" borderId="0" xfId="0" applyFont="1"/>
    <xf numFmtId="0" fontId="18" fillId="0" borderId="0" xfId="0" applyFont="1" applyBorder="1"/>
    <xf numFmtId="0" fontId="19" fillId="0" borderId="0" xfId="0" applyFont="1"/>
    <xf numFmtId="0" fontId="6" fillId="0" borderId="0" xfId="0" applyFont="1" applyBorder="1" applyAlignment="1"/>
    <xf numFmtId="0" fontId="21" fillId="0" borderId="0" xfId="0" applyFont="1" applyBorder="1" applyAlignment="1"/>
    <xf numFmtId="0" fontId="19" fillId="0" borderId="0" xfId="0" applyFont="1" applyBorder="1" applyAlignment="1">
      <alignment horizontal="center"/>
    </xf>
    <xf numFmtId="0" fontId="6" fillId="0" borderId="1" xfId="0" applyFont="1" applyBorder="1"/>
    <xf numFmtId="0" fontId="19" fillId="0" borderId="1" xfId="0" applyFont="1" applyBorder="1"/>
    <xf numFmtId="0" fontId="19" fillId="0" borderId="1" xfId="0" applyFont="1" applyBorder="1" applyAlignment="1">
      <alignment vertical="top" wrapText="1"/>
    </xf>
    <xf numFmtId="1" fontId="8" fillId="0" borderId="0" xfId="0" applyNumberFormat="1" applyFont="1" applyBorder="1" applyAlignment="1"/>
    <xf numFmtId="0" fontId="8" fillId="0" borderId="8" xfId="0" applyFont="1" applyBorder="1"/>
    <xf numFmtId="1" fontId="21" fillId="0" borderId="9" xfId="0" applyNumberFormat="1" applyFont="1" applyBorder="1" applyAlignment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2" fillId="0" borderId="0" xfId="0" applyFont="1"/>
    <xf numFmtId="0" fontId="23" fillId="0" borderId="0" xfId="0" applyFont="1"/>
    <xf numFmtId="0" fontId="23" fillId="0" borderId="0" xfId="0" applyFont="1" applyBorder="1"/>
    <xf numFmtId="0" fontId="24" fillId="0" borderId="0" xfId="0" applyFont="1" applyBorder="1"/>
    <xf numFmtId="0" fontId="25" fillId="0" borderId="0" xfId="0" applyFont="1" applyBorder="1" applyAlignment="1"/>
    <xf numFmtId="0" fontId="18" fillId="0" borderId="0" xfId="0" quotePrefix="1" applyFont="1"/>
    <xf numFmtId="1" fontId="18" fillId="0" borderId="0" xfId="0" applyNumberFormat="1" applyFont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6" fillId="0" borderId="0" xfId="0" applyFont="1" applyFill="1" applyBorder="1" applyAlignment="1"/>
    <xf numFmtId="167" fontId="11" fillId="0" borderId="16" xfId="1" applyNumberFormat="1" applyFont="1" applyFill="1" applyBorder="1" applyAlignment="1">
      <alignment vertical="center"/>
    </xf>
    <xf numFmtId="167" fontId="10" fillId="0" borderId="16" xfId="1" applyNumberFormat="1" applyFont="1" applyFill="1" applyBorder="1"/>
    <xf numFmtId="168" fontId="10" fillId="0" borderId="0" xfId="0" applyNumberFormat="1" applyFont="1" applyFill="1" applyBorder="1" applyAlignment="1" applyProtection="1">
      <alignment horizontal="left"/>
      <protection hidden="1"/>
    </xf>
    <xf numFmtId="0" fontId="20" fillId="0" borderId="0" xfId="0" applyFont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8" fillId="0" borderId="0" xfId="0" applyFont="1" applyAlignment="1">
      <alignment horizontal="right"/>
    </xf>
    <xf numFmtId="0" fontId="6" fillId="0" borderId="6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1" fillId="2" borderId="3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16565</xdr:colOff>
      <xdr:row>8</xdr:row>
      <xdr:rowOff>0</xdr:rowOff>
    </xdr:from>
    <xdr:to>
      <xdr:col>17</xdr:col>
      <xdr:colOff>197517</xdr:colOff>
      <xdr:row>9</xdr:row>
      <xdr:rowOff>9502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0804" y="1399761"/>
          <a:ext cx="180952" cy="183437"/>
        </a:xfrm>
        <a:prstGeom prst="rect">
          <a:avLst/>
        </a:prstGeom>
      </xdr:spPr>
    </xdr:pic>
    <xdr:clientData/>
  </xdr:twoCellAnchor>
  <xdr:twoCellAnchor editAs="oneCell">
    <xdr:from>
      <xdr:col>8</xdr:col>
      <xdr:colOff>17808</xdr:colOff>
      <xdr:row>8</xdr:row>
      <xdr:rowOff>0</xdr:rowOff>
    </xdr:from>
    <xdr:to>
      <xdr:col>8</xdr:col>
      <xdr:colOff>198760</xdr:colOff>
      <xdr:row>9</xdr:row>
      <xdr:rowOff>9502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1004" y="1399761"/>
          <a:ext cx="180952" cy="183437"/>
        </a:xfrm>
        <a:prstGeom prst="rect">
          <a:avLst/>
        </a:prstGeom>
      </xdr:spPr>
    </xdr:pic>
    <xdr:clientData/>
  </xdr:twoCellAnchor>
  <xdr:twoCellAnchor editAs="oneCell">
    <xdr:from>
      <xdr:col>3</xdr:col>
      <xdr:colOff>1242</xdr:colOff>
      <xdr:row>1</xdr:row>
      <xdr:rowOff>9525</xdr:rowOff>
    </xdr:from>
    <xdr:to>
      <xdr:col>4</xdr:col>
      <xdr:colOff>1221</xdr:colOff>
      <xdr:row>1</xdr:row>
      <xdr:rowOff>190477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6851" y="200025"/>
          <a:ext cx="182194" cy="180952"/>
        </a:xfrm>
        <a:prstGeom prst="rect">
          <a:avLst/>
        </a:prstGeom>
      </xdr:spPr>
    </xdr:pic>
    <xdr:clientData/>
  </xdr:twoCellAnchor>
  <xdr:twoCellAnchor>
    <xdr:from>
      <xdr:col>8</xdr:col>
      <xdr:colOff>361950</xdr:colOff>
      <xdr:row>0</xdr:row>
      <xdr:rowOff>0</xdr:rowOff>
    </xdr:from>
    <xdr:to>
      <xdr:col>15</xdr:col>
      <xdr:colOff>663413</xdr:colOff>
      <xdr:row>20</xdr:row>
      <xdr:rowOff>161499</xdr:rowOff>
    </xdr:to>
    <xdr:grpSp>
      <xdr:nvGrpSpPr>
        <xdr:cNvPr id="12" name="Group 11"/>
        <xdr:cNvGrpSpPr>
          <a:grpSpLocks noChangeAspect="1"/>
        </xdr:cNvGrpSpPr>
      </xdr:nvGrpSpPr>
      <xdr:grpSpPr>
        <a:xfrm>
          <a:off x="8696325" y="0"/>
          <a:ext cx="4968713" cy="3792905"/>
          <a:chOff x="1673146" y="1013966"/>
          <a:chExt cx="5719273" cy="4246508"/>
        </a:xfrm>
      </xdr:grpSpPr>
      <xdr:pic>
        <xdr:nvPicPr>
          <xdr:cNvPr id="13" name="Picture 1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9871" b="89834" l="2010" r="99723">
                        <a14:foregroundMark x1="15315" y1="46488" x2="15315" y2="46488"/>
                        <a14:foregroundMark x1="37353" y1="21904" x2="37353" y2="21904"/>
                        <a14:foregroundMark x1="36660" y1="22921" x2="36660" y2="22921"/>
                        <a14:foregroundMark x1="63825" y1="22458" x2="63825" y2="22458"/>
                        <a14:foregroundMark x1="63756" y1="21627" x2="57173" y2="21811"/>
                        <a14:foregroundMark x1="56965" y1="21627" x2="44283" y2="21996"/>
                        <a14:foregroundMark x1="40263" y1="23013" x2="40263" y2="2301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146" y="1013966"/>
            <a:ext cx="5663319" cy="4246508"/>
          </a:xfrm>
          <a:prstGeom prst="rect">
            <a:avLst/>
          </a:prstGeom>
        </xdr:spPr>
      </xdr:pic>
      <xdr:sp macro="" textlink="">
        <xdr:nvSpPr>
          <xdr:cNvPr id="14" name="Down Arrow 13"/>
          <xdr:cNvSpPr/>
        </xdr:nvSpPr>
        <xdr:spPr bwMode="auto">
          <a:xfrm>
            <a:off x="1825187" y="3514989"/>
            <a:ext cx="257418" cy="521229"/>
          </a:xfrm>
          <a:prstGeom prst="downArrow">
            <a:avLst>
              <a:gd name="adj1" fmla="val 50000"/>
              <a:gd name="adj2" fmla="val 59557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Down Arrow 14"/>
          <xdr:cNvSpPr/>
        </xdr:nvSpPr>
        <xdr:spPr bwMode="auto">
          <a:xfrm>
            <a:off x="5711382" y="2574081"/>
            <a:ext cx="257418" cy="521229"/>
          </a:xfrm>
          <a:prstGeom prst="downArrow">
            <a:avLst>
              <a:gd name="adj1" fmla="val 50000"/>
              <a:gd name="adj2" fmla="val 59557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6" name="Group 15"/>
          <xdr:cNvGrpSpPr/>
        </xdr:nvGrpSpPr>
        <xdr:grpSpPr>
          <a:xfrm>
            <a:off x="1866900" y="4806882"/>
            <a:ext cx="5502807" cy="420147"/>
            <a:chOff x="1866900" y="4811645"/>
            <a:chExt cx="5502807" cy="420147"/>
          </a:xfrm>
        </xdr:grpSpPr>
        <xdr:cxnSp macro="">
          <xdr:nvCxnSpPr>
            <xdr:cNvPr id="18" name="Straight Connector 17"/>
            <xdr:cNvCxnSpPr/>
          </xdr:nvCxnSpPr>
          <xdr:spPr bwMode="auto">
            <a:xfrm>
              <a:off x="1866900" y="4830706"/>
              <a:ext cx="5502807" cy="0"/>
            </a:xfrm>
            <a:prstGeom prst="line">
              <a:avLst/>
            </a:prstGeom>
            <a:solidFill>
              <a:schemeClr val="accent1"/>
            </a:solidFill>
            <a:ln w="38100" cap="flat" cmpd="sng" algn="ctr">
              <a:solidFill>
                <a:schemeClr val="bg1">
                  <a:lumMod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</xdr:cxnSp>
        <xdr:sp macro="" textlink="">
          <xdr:nvSpPr>
            <xdr:cNvPr id="19" name="Down Arrow 18"/>
            <xdr:cNvSpPr>
              <a:spLocks noChangeAspect="1"/>
            </xdr:cNvSpPr>
          </xdr:nvSpPr>
          <xdr:spPr bwMode="auto">
            <a:xfrm>
              <a:off x="3216249" y="4846871"/>
              <a:ext cx="626550" cy="381928"/>
            </a:xfrm>
            <a:prstGeom prst="downArrow">
              <a:avLst>
                <a:gd name="adj1" fmla="val 50000"/>
                <a:gd name="adj2" fmla="val 73523"/>
              </a:avLst>
            </a:prstGeom>
            <a:solidFill>
              <a:srgbClr val="B3C61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/>
          </xdr:spPr>
          <xdr:txBody>
            <a:bodyPr vert="horz" wrap="square" lIns="90000" tIns="43200" rIns="90000" bIns="43200" numCol="1" rtlCol="0" anchor="ctr" anchorCtr="0" compatLnSpc="1">
              <a:prstTxWarp prst="textNoShape">
                <a:avLst/>
              </a:prstTxWarp>
            </a:bodyPr>
            <a:lstStyle>
              <a:defPPr>
                <a:defRPr lang="de-DE"/>
              </a:defPPr>
              <a:lvl1pPr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marL="0" marR="0" indent="0" algn="ctr" defTabSz="914400" rtl="0" eaLnBrk="1" fontAlgn="base" latinLnBrk="0" hangingPunct="1">
                <a:lnSpc>
                  <a:spcPct val="100000"/>
                </a:lnSpc>
                <a:spcBef>
                  <a:spcPct val="2000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endParaRPr kumimoji="0" lang="en-US" sz="16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0" name="Down Arrow 19"/>
            <xdr:cNvSpPr>
              <a:spLocks noChangeAspect="1"/>
            </xdr:cNvSpPr>
          </xdr:nvSpPr>
          <xdr:spPr bwMode="auto">
            <a:xfrm>
              <a:off x="5848663" y="4849864"/>
              <a:ext cx="626550" cy="381928"/>
            </a:xfrm>
            <a:prstGeom prst="downArrow">
              <a:avLst>
                <a:gd name="adj1" fmla="val 50000"/>
                <a:gd name="adj2" fmla="val 73523"/>
              </a:avLst>
            </a:prstGeom>
            <a:solidFill>
              <a:srgbClr val="B3C61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/>
          </xdr:spPr>
          <xdr:txBody>
            <a:bodyPr vert="horz" wrap="square" lIns="90000" tIns="43200" rIns="90000" bIns="43200" numCol="1" rtlCol="0" anchor="ctr" anchorCtr="0" compatLnSpc="1">
              <a:prstTxWarp prst="textNoShape">
                <a:avLst/>
              </a:prstTxWarp>
            </a:bodyPr>
            <a:lstStyle>
              <a:defPPr>
                <a:defRPr lang="de-DE"/>
              </a:defPPr>
              <a:lvl1pPr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marL="0" marR="0" indent="0" algn="ctr" defTabSz="914400" rtl="0" eaLnBrk="1" fontAlgn="base" latinLnBrk="0" hangingPunct="1">
                <a:lnSpc>
                  <a:spcPct val="100000"/>
                </a:lnSpc>
                <a:spcBef>
                  <a:spcPct val="2000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endParaRPr kumimoji="0" lang="en-US" sz="16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1" name="Oval 20"/>
            <xdr:cNvSpPr>
              <a:spLocks noChangeAspect="1"/>
            </xdr:cNvSpPr>
          </xdr:nvSpPr>
          <xdr:spPr bwMode="auto">
            <a:xfrm>
              <a:off x="4696627" y="4811645"/>
              <a:ext cx="396242" cy="396427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/>
          </xdr:spPr>
          <xdr:txBody>
            <a:bodyPr vert="horz" wrap="square" lIns="90000" tIns="43200" rIns="90000" bIns="43200" numCol="1" rtlCol="0" anchor="ctr" anchorCtr="0" compatLnSpc="1">
              <a:prstTxWarp prst="textNoShape">
                <a:avLst/>
              </a:prstTxWarp>
            </a:bodyPr>
            <a:lstStyle>
              <a:defPPr>
                <a:defRPr lang="de-DE"/>
              </a:defPPr>
              <a:lvl1pPr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fontAlgn="base">
                <a:spcBef>
                  <a:spcPct val="20000"/>
                </a:spcBef>
                <a:spcAft>
                  <a:spcPct val="0"/>
                </a:spcAft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600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marL="0" marR="0" indent="0" algn="ctr" defTabSz="914400" rtl="0" eaLnBrk="1" fontAlgn="base" latinLnBrk="0" hangingPunct="1">
                <a:lnSpc>
                  <a:spcPct val="100000"/>
                </a:lnSpc>
                <a:spcBef>
                  <a:spcPct val="2000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endParaRPr kumimoji="0" lang="en-US" sz="16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7" name="Down Arrow 16"/>
          <xdr:cNvSpPr/>
        </xdr:nvSpPr>
        <xdr:spPr bwMode="auto">
          <a:xfrm>
            <a:off x="7135001" y="3712075"/>
            <a:ext cx="257418" cy="521229"/>
          </a:xfrm>
          <a:prstGeom prst="downArrow">
            <a:avLst>
              <a:gd name="adj1" fmla="val 50000"/>
              <a:gd name="adj2" fmla="val 59557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206677</xdr:colOff>
      <xdr:row>53</xdr:row>
      <xdr:rowOff>129639</xdr:rowOff>
    </xdr:from>
    <xdr:to>
      <xdr:col>14</xdr:col>
      <xdr:colOff>559511</xdr:colOff>
      <xdr:row>54</xdr:row>
      <xdr:rowOff>185360</xdr:rowOff>
    </xdr:to>
    <xdr:sp macro="" textlink="">
      <xdr:nvSpPr>
        <xdr:cNvPr id="2" name="TextBox 44"/>
        <xdr:cNvSpPr txBox="1"/>
      </xdr:nvSpPr>
      <xdr:spPr>
        <a:xfrm>
          <a:off x="9107260" y="11750139"/>
          <a:ext cx="966668" cy="2462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Appr. 0.30 m </a:t>
          </a:r>
        </a:p>
      </xdr:txBody>
    </xdr:sp>
    <xdr:clientData/>
  </xdr:twoCellAnchor>
  <xdr:twoCellAnchor>
    <xdr:from>
      <xdr:col>6</xdr:col>
      <xdr:colOff>286041</xdr:colOff>
      <xdr:row>54</xdr:row>
      <xdr:rowOff>151585</xdr:rowOff>
    </xdr:from>
    <xdr:to>
      <xdr:col>9</xdr:col>
      <xdr:colOff>10611</xdr:colOff>
      <xdr:row>54</xdr:row>
      <xdr:rowOff>151585</xdr:rowOff>
    </xdr:to>
    <xdr:cxnSp macro="">
      <xdr:nvCxnSpPr>
        <xdr:cNvPr id="13" name="Straight Arrow Connector 12"/>
        <xdr:cNvCxnSpPr/>
      </xdr:nvCxnSpPr>
      <xdr:spPr bwMode="auto">
        <a:xfrm>
          <a:off x="4889791" y="11962585"/>
          <a:ext cx="1566070" cy="0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413265</xdr:colOff>
      <xdr:row>55</xdr:row>
      <xdr:rowOff>131757</xdr:rowOff>
    </xdr:from>
    <xdr:to>
      <xdr:col>11</xdr:col>
      <xdr:colOff>419178</xdr:colOff>
      <xdr:row>57</xdr:row>
      <xdr:rowOff>187478</xdr:rowOff>
    </xdr:to>
    <xdr:sp macro="" textlink="">
      <xdr:nvSpPr>
        <xdr:cNvPr id="15" name="TextBox 40"/>
        <xdr:cNvSpPr txBox="1"/>
      </xdr:nvSpPr>
      <xdr:spPr>
        <a:xfrm>
          <a:off x="7472348" y="12133257"/>
          <a:ext cx="619747" cy="4367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3.60 m</a:t>
          </a:r>
        </a:p>
      </xdr:txBody>
    </xdr:sp>
    <xdr:clientData/>
  </xdr:twoCellAnchor>
  <xdr:twoCellAnchor>
    <xdr:from>
      <xdr:col>12</xdr:col>
      <xdr:colOff>517916</xdr:colOff>
      <xdr:row>54</xdr:row>
      <xdr:rowOff>141005</xdr:rowOff>
    </xdr:from>
    <xdr:to>
      <xdr:col>13</xdr:col>
      <xdr:colOff>216829</xdr:colOff>
      <xdr:row>54</xdr:row>
      <xdr:rowOff>141005</xdr:rowOff>
    </xdr:to>
    <xdr:cxnSp macro="">
      <xdr:nvCxnSpPr>
        <xdr:cNvPr id="32" name="Straight Arrow Connector 31"/>
        <xdr:cNvCxnSpPr/>
      </xdr:nvCxnSpPr>
      <xdr:spPr bwMode="auto">
        <a:xfrm>
          <a:off x="8804666" y="11952005"/>
          <a:ext cx="312746" cy="0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263603</xdr:colOff>
      <xdr:row>54</xdr:row>
      <xdr:rowOff>141005</xdr:rowOff>
    </xdr:from>
    <xdr:to>
      <xdr:col>14</xdr:col>
      <xdr:colOff>479502</xdr:colOff>
      <xdr:row>54</xdr:row>
      <xdr:rowOff>141005</xdr:rowOff>
    </xdr:to>
    <xdr:cxnSp macro="">
      <xdr:nvCxnSpPr>
        <xdr:cNvPr id="33" name="Straight Connector 32"/>
        <xdr:cNvCxnSpPr/>
      </xdr:nvCxnSpPr>
      <xdr:spPr bwMode="auto">
        <a:xfrm>
          <a:off x="9164186" y="11952005"/>
          <a:ext cx="829733" cy="0"/>
        </a:xfrm>
        <a:prstGeom prst="line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0</xdr:colOff>
      <xdr:row>27</xdr:row>
      <xdr:rowOff>95253</xdr:rowOff>
    </xdr:from>
    <xdr:to>
      <xdr:col>9</xdr:col>
      <xdr:colOff>1260652</xdr:colOff>
      <xdr:row>49</xdr:row>
      <xdr:rowOff>150761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3750" y="7524753"/>
          <a:ext cx="5701419" cy="4246508"/>
        </a:xfrm>
        <a:prstGeom prst="rect">
          <a:avLst/>
        </a:prstGeom>
        <a:noFill/>
      </xdr:spPr>
    </xdr:pic>
    <xdr:clientData/>
  </xdr:twoCellAnchor>
  <xdr:twoCellAnchor>
    <xdr:from>
      <xdr:col>8</xdr:col>
      <xdr:colOff>30870</xdr:colOff>
      <xdr:row>51</xdr:row>
      <xdr:rowOff>78169</xdr:rowOff>
    </xdr:from>
    <xdr:to>
      <xdr:col>14</xdr:col>
      <xdr:colOff>127074</xdr:colOff>
      <xdr:row>53</xdr:row>
      <xdr:rowOff>117316</xdr:rowOff>
    </xdr:to>
    <xdr:grpSp>
      <xdr:nvGrpSpPr>
        <xdr:cNvPr id="35" name="Group 34"/>
        <xdr:cNvGrpSpPr/>
      </xdr:nvGrpSpPr>
      <xdr:grpSpPr>
        <a:xfrm>
          <a:off x="12286370" y="9793669"/>
          <a:ext cx="5620704" cy="420147"/>
          <a:chOff x="2923216" y="4811645"/>
          <a:chExt cx="3753804" cy="420147"/>
        </a:xfrm>
      </xdr:grpSpPr>
      <xdr:cxnSp macro="">
        <xdr:nvCxnSpPr>
          <xdr:cNvPr id="36" name="Straight Connector 35"/>
          <xdr:cNvCxnSpPr/>
        </xdr:nvCxnSpPr>
        <xdr:spPr bwMode="auto">
          <a:xfrm>
            <a:off x="2923216" y="4830706"/>
            <a:ext cx="3753804" cy="0"/>
          </a:xfrm>
          <a:prstGeom prst="line">
            <a:avLst/>
          </a:prstGeom>
          <a:solidFill>
            <a:schemeClr val="accent1"/>
          </a:solidFill>
          <a:ln w="38100" cap="flat" cmpd="sng" algn="ctr">
            <a:solidFill>
              <a:schemeClr val="bg1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cxnSp>
      <xdr:sp macro="" textlink="">
        <xdr:nvSpPr>
          <xdr:cNvPr id="37" name="Down Arrow 36"/>
          <xdr:cNvSpPr>
            <a:spLocks noChangeAspect="1"/>
          </xdr:cNvSpPr>
        </xdr:nvSpPr>
        <xdr:spPr bwMode="auto">
          <a:xfrm>
            <a:off x="3216249" y="4846871"/>
            <a:ext cx="626550" cy="381928"/>
          </a:xfrm>
          <a:prstGeom prst="downArrow">
            <a:avLst>
              <a:gd name="adj1" fmla="val 50000"/>
              <a:gd name="adj2" fmla="val 73523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8" name="Down Arrow 37"/>
          <xdr:cNvSpPr>
            <a:spLocks noChangeAspect="1"/>
          </xdr:cNvSpPr>
        </xdr:nvSpPr>
        <xdr:spPr bwMode="auto">
          <a:xfrm>
            <a:off x="5848663" y="4849864"/>
            <a:ext cx="626550" cy="381928"/>
          </a:xfrm>
          <a:prstGeom prst="downArrow">
            <a:avLst>
              <a:gd name="adj1" fmla="val 50000"/>
              <a:gd name="adj2" fmla="val 73523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9" name="Oval 38"/>
          <xdr:cNvSpPr>
            <a:spLocks noChangeAspect="1"/>
          </xdr:cNvSpPr>
        </xdr:nvSpPr>
        <xdr:spPr bwMode="auto">
          <a:xfrm>
            <a:off x="4696627" y="4811645"/>
            <a:ext cx="396242" cy="396427"/>
          </a:xfrm>
          <a:prstGeom prst="ellipse">
            <a:avLst/>
          </a:prstGeom>
          <a:solidFill>
            <a:schemeClr val="bg1">
              <a:lumMod val="50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6</xdr:col>
      <xdr:colOff>279691</xdr:colOff>
      <xdr:row>49</xdr:row>
      <xdr:rowOff>63500</xdr:rowOff>
    </xdr:from>
    <xdr:to>
      <xdr:col>6</xdr:col>
      <xdr:colOff>285750</xdr:colOff>
      <xdr:row>55</xdr:row>
      <xdr:rowOff>344</xdr:rowOff>
    </xdr:to>
    <xdr:cxnSp macro="">
      <xdr:nvCxnSpPr>
        <xdr:cNvPr id="40" name="Straight Connector 39"/>
        <xdr:cNvCxnSpPr/>
      </xdr:nvCxnSpPr>
      <xdr:spPr bwMode="auto">
        <a:xfrm flipH="1">
          <a:off x="4883441" y="10922000"/>
          <a:ext cx="6059" cy="1079844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510491</xdr:colOff>
      <xdr:row>51</xdr:row>
      <xdr:rowOff>120160</xdr:rowOff>
    </xdr:from>
    <xdr:to>
      <xdr:col>12</xdr:col>
      <xdr:colOff>510491</xdr:colOff>
      <xdr:row>55</xdr:row>
      <xdr:rowOff>10927</xdr:rowOff>
    </xdr:to>
    <xdr:cxnSp macro="">
      <xdr:nvCxnSpPr>
        <xdr:cNvPr id="41" name="Straight Connector 40"/>
        <xdr:cNvCxnSpPr/>
      </xdr:nvCxnSpPr>
      <xdr:spPr bwMode="auto">
        <a:xfrm>
          <a:off x="8797241" y="11359660"/>
          <a:ext cx="0" cy="652767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25036</xdr:colOff>
      <xdr:row>53</xdr:row>
      <xdr:rowOff>117316</xdr:rowOff>
    </xdr:from>
    <xdr:to>
      <xdr:col>9</xdr:col>
      <xdr:colOff>27576</xdr:colOff>
      <xdr:row>55</xdr:row>
      <xdr:rowOff>189362</xdr:rowOff>
    </xdr:to>
    <xdr:cxnSp macro="">
      <xdr:nvCxnSpPr>
        <xdr:cNvPr id="42" name="Straight Connector 41"/>
        <xdr:cNvCxnSpPr/>
      </xdr:nvCxnSpPr>
      <xdr:spPr bwMode="auto">
        <a:xfrm>
          <a:off x="6470286" y="11737816"/>
          <a:ext cx="2540" cy="453046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37770</xdr:colOff>
      <xdr:row>55</xdr:row>
      <xdr:rowOff>120361</xdr:rowOff>
    </xdr:from>
    <xdr:to>
      <xdr:col>13</xdr:col>
      <xdr:colOff>216828</xdr:colOff>
      <xdr:row>55</xdr:row>
      <xdr:rowOff>126711</xdr:rowOff>
    </xdr:to>
    <xdr:cxnSp macro="">
      <xdr:nvCxnSpPr>
        <xdr:cNvPr id="43" name="Straight Arrow Connector 42"/>
        <xdr:cNvCxnSpPr/>
      </xdr:nvCxnSpPr>
      <xdr:spPr bwMode="auto">
        <a:xfrm>
          <a:off x="6483020" y="12121861"/>
          <a:ext cx="2634391" cy="6350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542062</xdr:colOff>
      <xdr:row>53</xdr:row>
      <xdr:rowOff>150808</xdr:rowOff>
    </xdr:from>
    <xdr:to>
      <xdr:col>8</xdr:col>
      <xdr:colOff>382851</xdr:colOff>
      <xdr:row>55</xdr:row>
      <xdr:rowOff>16029</xdr:rowOff>
    </xdr:to>
    <xdr:sp macro="" textlink="">
      <xdr:nvSpPr>
        <xdr:cNvPr id="44" name="TextBox 39"/>
        <xdr:cNvSpPr txBox="1"/>
      </xdr:nvSpPr>
      <xdr:spPr>
        <a:xfrm>
          <a:off x="5145812" y="11771308"/>
          <a:ext cx="1068456" cy="2462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Appr. 2.24 m </a:t>
          </a:r>
        </a:p>
      </xdr:txBody>
    </xdr:sp>
    <xdr:clientData/>
  </xdr:twoCellAnchor>
  <xdr:twoCellAnchor>
    <xdr:from>
      <xdr:col>13</xdr:col>
      <xdr:colOff>218391</xdr:colOff>
      <xdr:row>53</xdr:row>
      <xdr:rowOff>116417</xdr:rowOff>
    </xdr:from>
    <xdr:to>
      <xdr:col>13</xdr:col>
      <xdr:colOff>222248</xdr:colOff>
      <xdr:row>55</xdr:row>
      <xdr:rowOff>152744</xdr:rowOff>
    </xdr:to>
    <xdr:cxnSp macro="">
      <xdr:nvCxnSpPr>
        <xdr:cNvPr id="45" name="Straight Connector 44"/>
        <xdr:cNvCxnSpPr/>
      </xdr:nvCxnSpPr>
      <xdr:spPr bwMode="auto">
        <a:xfrm flipH="1">
          <a:off x="9118974" y="11736917"/>
          <a:ext cx="3857" cy="417327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31419</xdr:colOff>
      <xdr:row>54</xdr:row>
      <xdr:rowOff>63498</xdr:rowOff>
    </xdr:from>
    <xdr:to>
      <xdr:col>12</xdr:col>
      <xdr:colOff>476247</xdr:colOff>
      <xdr:row>54</xdr:row>
      <xdr:rowOff>71675</xdr:rowOff>
    </xdr:to>
    <xdr:cxnSp macro="">
      <xdr:nvCxnSpPr>
        <xdr:cNvPr id="47" name="Straight Arrow Connector 46"/>
        <xdr:cNvCxnSpPr/>
      </xdr:nvCxnSpPr>
      <xdr:spPr bwMode="auto">
        <a:xfrm flipV="1">
          <a:off x="6476669" y="11874498"/>
          <a:ext cx="2286328" cy="8177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269332</xdr:colOff>
      <xdr:row>53</xdr:row>
      <xdr:rowOff>83074</xdr:rowOff>
    </xdr:from>
    <xdr:to>
      <xdr:col>11</xdr:col>
      <xdr:colOff>275245</xdr:colOff>
      <xdr:row>54</xdr:row>
      <xdr:rowOff>132383</xdr:rowOff>
    </xdr:to>
    <xdr:sp macro="" textlink="">
      <xdr:nvSpPr>
        <xdr:cNvPr id="50" name="TextBox 40"/>
        <xdr:cNvSpPr txBox="1"/>
      </xdr:nvSpPr>
      <xdr:spPr>
        <a:xfrm>
          <a:off x="7328415" y="11703574"/>
          <a:ext cx="619747" cy="23980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3.30 m</a:t>
          </a:r>
        </a:p>
      </xdr:txBody>
    </xdr:sp>
    <xdr:clientData/>
  </xdr:twoCellAnchor>
  <xdr:twoCellAnchor>
    <xdr:from>
      <xdr:col>7</xdr:col>
      <xdr:colOff>317500</xdr:colOff>
      <xdr:row>28</xdr:row>
      <xdr:rowOff>179917</xdr:rowOff>
    </xdr:from>
    <xdr:to>
      <xdr:col>13</xdr:col>
      <xdr:colOff>592667</xdr:colOff>
      <xdr:row>30</xdr:row>
      <xdr:rowOff>95250</xdr:rowOff>
    </xdr:to>
    <xdr:sp macro="" textlink="">
      <xdr:nvSpPr>
        <xdr:cNvPr id="51" name="TextBox 50"/>
        <xdr:cNvSpPr txBox="1"/>
      </xdr:nvSpPr>
      <xdr:spPr>
        <a:xfrm>
          <a:off x="5535083" y="7799917"/>
          <a:ext cx="3958167" cy="2963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Xerion dimensions with North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American front weight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21166</xdr:colOff>
      <xdr:row>27</xdr:row>
      <xdr:rowOff>52917</xdr:rowOff>
    </xdr:from>
    <xdr:to>
      <xdr:col>25</xdr:col>
      <xdr:colOff>141653</xdr:colOff>
      <xdr:row>49</xdr:row>
      <xdr:rowOff>94681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3249" y="7482417"/>
          <a:ext cx="5644988" cy="4232764"/>
        </a:xfrm>
        <a:prstGeom prst="rect">
          <a:avLst/>
        </a:prstGeom>
      </xdr:spPr>
    </xdr:pic>
    <xdr:clientData/>
  </xdr:twoCellAnchor>
  <xdr:twoCellAnchor>
    <xdr:from>
      <xdr:col>18</xdr:col>
      <xdr:colOff>35089</xdr:colOff>
      <xdr:row>51</xdr:row>
      <xdr:rowOff>29487</xdr:rowOff>
    </xdr:from>
    <xdr:to>
      <xdr:col>24</xdr:col>
      <xdr:colOff>131293</xdr:colOff>
      <xdr:row>53</xdr:row>
      <xdr:rowOff>68634</xdr:rowOff>
    </xdr:to>
    <xdr:grpSp>
      <xdr:nvGrpSpPr>
        <xdr:cNvPr id="53" name="Group 52"/>
        <xdr:cNvGrpSpPr/>
      </xdr:nvGrpSpPr>
      <xdr:grpSpPr>
        <a:xfrm>
          <a:off x="20270422" y="9744987"/>
          <a:ext cx="3779204" cy="420147"/>
          <a:chOff x="2923216" y="4811645"/>
          <a:chExt cx="3753804" cy="420147"/>
        </a:xfrm>
      </xdr:grpSpPr>
      <xdr:cxnSp macro="">
        <xdr:nvCxnSpPr>
          <xdr:cNvPr id="54" name="Straight Connector 53"/>
          <xdr:cNvCxnSpPr/>
        </xdr:nvCxnSpPr>
        <xdr:spPr bwMode="auto">
          <a:xfrm>
            <a:off x="2923216" y="4830706"/>
            <a:ext cx="3753804" cy="0"/>
          </a:xfrm>
          <a:prstGeom prst="line">
            <a:avLst/>
          </a:prstGeom>
          <a:solidFill>
            <a:schemeClr val="accent1"/>
          </a:solidFill>
          <a:ln w="38100" cap="flat" cmpd="sng" algn="ctr">
            <a:solidFill>
              <a:schemeClr val="bg1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cxnSp>
      <xdr:sp macro="" textlink="">
        <xdr:nvSpPr>
          <xdr:cNvPr id="55" name="Down Arrow 54"/>
          <xdr:cNvSpPr>
            <a:spLocks noChangeAspect="1"/>
          </xdr:cNvSpPr>
        </xdr:nvSpPr>
        <xdr:spPr bwMode="auto">
          <a:xfrm>
            <a:off x="3216249" y="4846871"/>
            <a:ext cx="626550" cy="381928"/>
          </a:xfrm>
          <a:prstGeom prst="downArrow">
            <a:avLst>
              <a:gd name="adj1" fmla="val 50000"/>
              <a:gd name="adj2" fmla="val 73523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6" name="Down Arrow 55"/>
          <xdr:cNvSpPr>
            <a:spLocks noChangeAspect="1"/>
          </xdr:cNvSpPr>
        </xdr:nvSpPr>
        <xdr:spPr bwMode="auto">
          <a:xfrm>
            <a:off x="5848663" y="4849864"/>
            <a:ext cx="626550" cy="381928"/>
          </a:xfrm>
          <a:prstGeom prst="downArrow">
            <a:avLst>
              <a:gd name="adj1" fmla="val 50000"/>
              <a:gd name="adj2" fmla="val 73523"/>
            </a:avLst>
          </a:prstGeom>
          <a:solidFill>
            <a:srgbClr val="B3C618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7" name="Oval 56"/>
          <xdr:cNvSpPr>
            <a:spLocks noChangeAspect="1"/>
          </xdr:cNvSpPr>
        </xdr:nvSpPr>
        <xdr:spPr bwMode="auto">
          <a:xfrm>
            <a:off x="4696627" y="4811645"/>
            <a:ext cx="396242" cy="396427"/>
          </a:xfrm>
          <a:prstGeom prst="ellipse">
            <a:avLst/>
          </a:prstGeom>
          <a:solidFill>
            <a:schemeClr val="bg1">
              <a:lumMod val="50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="horz" wrap="square" lIns="90000" tIns="43200" rIns="90000" bIns="4320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fontAlgn="base">
              <a:spcBef>
                <a:spcPct val="20000"/>
              </a:spcBef>
              <a:spcAft>
                <a:spcPct val="0"/>
              </a:spcAft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600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2000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6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23</xdr:col>
      <xdr:colOff>200309</xdr:colOff>
      <xdr:row>53</xdr:row>
      <xdr:rowOff>59796</xdr:rowOff>
    </xdr:from>
    <xdr:to>
      <xdr:col>24</xdr:col>
      <xdr:colOff>553144</xdr:colOff>
      <xdr:row>54</xdr:row>
      <xdr:rowOff>115517</xdr:rowOff>
    </xdr:to>
    <xdr:sp macro="" textlink="">
      <xdr:nvSpPr>
        <xdr:cNvPr id="58" name="TextBox 44"/>
        <xdr:cNvSpPr txBox="1"/>
      </xdr:nvSpPr>
      <xdr:spPr>
        <a:xfrm>
          <a:off x="15239226" y="11680296"/>
          <a:ext cx="966668" cy="2462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Appr. 0.30 m </a:t>
          </a:r>
        </a:p>
      </xdr:txBody>
    </xdr:sp>
    <xdr:clientData/>
  </xdr:twoCellAnchor>
  <xdr:twoCellAnchor>
    <xdr:from>
      <xdr:col>20</xdr:col>
      <xdr:colOff>406897</xdr:colOff>
      <xdr:row>55</xdr:row>
      <xdr:rowOff>61914</xdr:rowOff>
    </xdr:from>
    <xdr:to>
      <xdr:col>21</xdr:col>
      <xdr:colOff>412811</xdr:colOff>
      <xdr:row>57</xdr:row>
      <xdr:rowOff>117635</xdr:rowOff>
    </xdr:to>
    <xdr:sp macro="" textlink="">
      <xdr:nvSpPr>
        <xdr:cNvPr id="59" name="TextBox 40"/>
        <xdr:cNvSpPr txBox="1"/>
      </xdr:nvSpPr>
      <xdr:spPr>
        <a:xfrm>
          <a:off x="13604314" y="12063414"/>
          <a:ext cx="619747" cy="4367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3.60 m</a:t>
          </a:r>
        </a:p>
      </xdr:txBody>
    </xdr:sp>
    <xdr:clientData/>
  </xdr:twoCellAnchor>
  <xdr:twoCellAnchor>
    <xdr:from>
      <xdr:col>22</xdr:col>
      <xdr:colOff>511549</xdr:colOff>
      <xdr:row>54</xdr:row>
      <xdr:rowOff>71162</xdr:rowOff>
    </xdr:from>
    <xdr:to>
      <xdr:col>23</xdr:col>
      <xdr:colOff>210461</xdr:colOff>
      <xdr:row>54</xdr:row>
      <xdr:rowOff>71162</xdr:rowOff>
    </xdr:to>
    <xdr:cxnSp macro="">
      <xdr:nvCxnSpPr>
        <xdr:cNvPr id="60" name="Straight Arrow Connector 59"/>
        <xdr:cNvCxnSpPr/>
      </xdr:nvCxnSpPr>
      <xdr:spPr bwMode="auto">
        <a:xfrm>
          <a:off x="14936632" y="11882162"/>
          <a:ext cx="312746" cy="0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257235</xdr:colOff>
      <xdr:row>54</xdr:row>
      <xdr:rowOff>71162</xdr:rowOff>
    </xdr:from>
    <xdr:to>
      <xdr:col>24</xdr:col>
      <xdr:colOff>473135</xdr:colOff>
      <xdr:row>54</xdr:row>
      <xdr:rowOff>71162</xdr:rowOff>
    </xdr:to>
    <xdr:cxnSp macro="">
      <xdr:nvCxnSpPr>
        <xdr:cNvPr id="61" name="Straight Connector 60"/>
        <xdr:cNvCxnSpPr/>
      </xdr:nvCxnSpPr>
      <xdr:spPr bwMode="auto">
        <a:xfrm>
          <a:off x="15296152" y="11882162"/>
          <a:ext cx="829733" cy="0"/>
        </a:xfrm>
        <a:prstGeom prst="line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504124</xdr:colOff>
      <xdr:row>51</xdr:row>
      <xdr:rowOff>50317</xdr:rowOff>
    </xdr:from>
    <xdr:to>
      <xdr:col>22</xdr:col>
      <xdr:colOff>504124</xdr:colOff>
      <xdr:row>54</xdr:row>
      <xdr:rowOff>131584</xdr:rowOff>
    </xdr:to>
    <xdr:cxnSp macro="">
      <xdr:nvCxnSpPr>
        <xdr:cNvPr id="62" name="Straight Connector 61"/>
        <xdr:cNvCxnSpPr/>
      </xdr:nvCxnSpPr>
      <xdr:spPr bwMode="auto">
        <a:xfrm>
          <a:off x="14929207" y="11289817"/>
          <a:ext cx="0" cy="652767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18669</xdr:colOff>
      <xdr:row>53</xdr:row>
      <xdr:rowOff>47473</xdr:rowOff>
    </xdr:from>
    <xdr:to>
      <xdr:col>19</xdr:col>
      <xdr:colOff>21209</xdr:colOff>
      <xdr:row>55</xdr:row>
      <xdr:rowOff>119519</xdr:rowOff>
    </xdr:to>
    <xdr:cxnSp macro="">
      <xdr:nvCxnSpPr>
        <xdr:cNvPr id="63" name="Straight Connector 62"/>
        <xdr:cNvCxnSpPr/>
      </xdr:nvCxnSpPr>
      <xdr:spPr bwMode="auto">
        <a:xfrm>
          <a:off x="12602252" y="11667973"/>
          <a:ext cx="2540" cy="453046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31403</xdr:colOff>
      <xdr:row>55</xdr:row>
      <xdr:rowOff>50518</xdr:rowOff>
    </xdr:from>
    <xdr:to>
      <xdr:col>23</xdr:col>
      <xdr:colOff>210460</xdr:colOff>
      <xdr:row>55</xdr:row>
      <xdr:rowOff>56868</xdr:rowOff>
    </xdr:to>
    <xdr:cxnSp macro="">
      <xdr:nvCxnSpPr>
        <xdr:cNvPr id="64" name="Straight Arrow Connector 63"/>
        <xdr:cNvCxnSpPr/>
      </xdr:nvCxnSpPr>
      <xdr:spPr bwMode="auto">
        <a:xfrm>
          <a:off x="12614986" y="12052018"/>
          <a:ext cx="2634391" cy="6350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212023</xdr:colOff>
      <xdr:row>53</xdr:row>
      <xdr:rowOff>46574</xdr:rowOff>
    </xdr:from>
    <xdr:to>
      <xdr:col>23</xdr:col>
      <xdr:colOff>215880</xdr:colOff>
      <xdr:row>55</xdr:row>
      <xdr:rowOff>82901</xdr:rowOff>
    </xdr:to>
    <xdr:cxnSp macro="">
      <xdr:nvCxnSpPr>
        <xdr:cNvPr id="65" name="Straight Connector 64"/>
        <xdr:cNvCxnSpPr/>
      </xdr:nvCxnSpPr>
      <xdr:spPr bwMode="auto">
        <a:xfrm flipH="1">
          <a:off x="15250940" y="11667074"/>
          <a:ext cx="3857" cy="417327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25052</xdr:colOff>
      <xdr:row>53</xdr:row>
      <xdr:rowOff>184155</xdr:rowOff>
    </xdr:from>
    <xdr:to>
      <xdr:col>22</xdr:col>
      <xdr:colOff>469880</xdr:colOff>
      <xdr:row>54</xdr:row>
      <xdr:rowOff>1832</xdr:rowOff>
    </xdr:to>
    <xdr:cxnSp macro="">
      <xdr:nvCxnSpPr>
        <xdr:cNvPr id="66" name="Straight Arrow Connector 65"/>
        <xdr:cNvCxnSpPr/>
      </xdr:nvCxnSpPr>
      <xdr:spPr bwMode="auto">
        <a:xfrm flipV="1">
          <a:off x="12608635" y="11804655"/>
          <a:ext cx="2286328" cy="8177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486835</xdr:colOff>
      <xdr:row>52</xdr:row>
      <xdr:rowOff>171982</xdr:rowOff>
    </xdr:from>
    <xdr:to>
      <xdr:col>21</xdr:col>
      <xdr:colOff>237129</xdr:colOff>
      <xdr:row>54</xdr:row>
      <xdr:rowOff>30791</xdr:rowOff>
    </xdr:to>
    <xdr:sp macro="" textlink="">
      <xdr:nvSpPr>
        <xdr:cNvPr id="67" name="TextBox 40"/>
        <xdr:cNvSpPr txBox="1"/>
      </xdr:nvSpPr>
      <xdr:spPr>
        <a:xfrm>
          <a:off x="13070418" y="11601982"/>
          <a:ext cx="977961" cy="23980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Appr. 3.30 m</a:t>
          </a:r>
        </a:p>
      </xdr:txBody>
    </xdr:sp>
    <xdr:clientData/>
  </xdr:twoCellAnchor>
  <xdr:twoCellAnchor>
    <xdr:from>
      <xdr:col>16</xdr:col>
      <xdr:colOff>211670</xdr:colOff>
      <xdr:row>47</xdr:row>
      <xdr:rowOff>95250</xdr:rowOff>
    </xdr:from>
    <xdr:to>
      <xdr:col>16</xdr:col>
      <xdr:colOff>222250</xdr:colOff>
      <xdr:row>55</xdr:row>
      <xdr:rowOff>84667</xdr:rowOff>
    </xdr:to>
    <xdr:cxnSp macro="">
      <xdr:nvCxnSpPr>
        <xdr:cNvPr id="68" name="Straight Connector 67"/>
        <xdr:cNvCxnSpPr/>
      </xdr:nvCxnSpPr>
      <xdr:spPr bwMode="auto">
        <a:xfrm>
          <a:off x="10953753" y="10572750"/>
          <a:ext cx="10580" cy="1513417"/>
        </a:xfrm>
        <a:prstGeom prst="line">
          <a:avLst/>
        </a:prstGeom>
        <a:solidFill>
          <a:schemeClr val="accent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258508</xdr:colOff>
      <xdr:row>55</xdr:row>
      <xdr:rowOff>49987</xdr:rowOff>
    </xdr:from>
    <xdr:to>
      <xdr:col>18</xdr:col>
      <xdr:colOff>596911</xdr:colOff>
      <xdr:row>55</xdr:row>
      <xdr:rowOff>49987</xdr:rowOff>
    </xdr:to>
    <xdr:cxnSp macro="">
      <xdr:nvCxnSpPr>
        <xdr:cNvPr id="70" name="Straight Arrow Connector 69"/>
        <xdr:cNvCxnSpPr/>
      </xdr:nvCxnSpPr>
      <xdr:spPr bwMode="auto">
        <a:xfrm>
          <a:off x="11000591" y="12051487"/>
          <a:ext cx="1566070" cy="0"/>
        </a:xfrm>
        <a:prstGeom prst="straightConnector1">
          <a:avLst/>
        </a:prstGeom>
        <a:solidFill>
          <a:schemeClr val="accent1"/>
        </a:solidFill>
        <a:ln w="6350" cap="flat" cmpd="sng" algn="ctr">
          <a:solidFill>
            <a:schemeClr val="tx1"/>
          </a:solidFill>
          <a:prstDash val="solid"/>
          <a:round/>
          <a:headEnd type="triangle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482776</xdr:colOff>
      <xdr:row>53</xdr:row>
      <xdr:rowOff>186795</xdr:rowOff>
    </xdr:from>
    <xdr:to>
      <xdr:col>18</xdr:col>
      <xdr:colOff>323565</xdr:colOff>
      <xdr:row>55</xdr:row>
      <xdr:rowOff>45604</xdr:rowOff>
    </xdr:to>
    <xdr:sp macro="" textlink="">
      <xdr:nvSpPr>
        <xdr:cNvPr id="74" name="TextBox 39"/>
        <xdr:cNvSpPr txBox="1"/>
      </xdr:nvSpPr>
      <xdr:spPr>
        <a:xfrm>
          <a:off x="11224859" y="11807295"/>
          <a:ext cx="1068456" cy="23980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ctr" rtl="0" fontAlgn="base">
            <a:spcBef>
              <a:spcPct val="20000"/>
            </a:spcBef>
            <a:spcAft>
              <a:spcPct val="0"/>
            </a:spcAft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sz="1600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l"/>
          <a:r>
            <a:rPr lang="en-US" sz="1000" b="1"/>
            <a:t>Appr. 2.42 m </a:t>
          </a:r>
        </a:p>
      </xdr:txBody>
    </xdr:sp>
    <xdr:clientData/>
  </xdr:twoCellAnchor>
  <xdr:twoCellAnchor>
    <xdr:from>
      <xdr:col>17</xdr:col>
      <xdr:colOff>427566</xdr:colOff>
      <xdr:row>28</xdr:row>
      <xdr:rowOff>184150</xdr:rowOff>
    </xdr:from>
    <xdr:to>
      <xdr:col>24</xdr:col>
      <xdr:colOff>88900</xdr:colOff>
      <xdr:row>30</xdr:row>
      <xdr:rowOff>99483</xdr:rowOff>
    </xdr:to>
    <xdr:sp macro="" textlink="">
      <xdr:nvSpPr>
        <xdr:cNvPr id="76" name="TextBox 75"/>
        <xdr:cNvSpPr txBox="1"/>
      </xdr:nvSpPr>
      <xdr:spPr>
        <a:xfrm>
          <a:off x="11783483" y="7804150"/>
          <a:ext cx="3958167" cy="2963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Xerion dimensions with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Front-3-Point-Hitch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T39"/>
  <sheetViews>
    <sheetView showGridLines="0" tabSelected="1" zoomScale="80" zoomScaleNormal="80" workbookViewId="0">
      <selection activeCell="C4" sqref="C4"/>
    </sheetView>
  </sheetViews>
  <sheetFormatPr defaultRowHeight="12.75" x14ac:dyDescent="0.2"/>
  <cols>
    <col min="1" max="1" width="4" style="31" customWidth="1"/>
    <col min="2" max="2" width="45.42578125" style="31" customWidth="1"/>
    <col min="3" max="3" width="30.28515625" style="31" customWidth="1"/>
    <col min="4" max="4" width="2.7109375" style="31" customWidth="1"/>
    <col min="5" max="5" width="11.85546875" style="31" customWidth="1"/>
    <col min="6" max="6" width="7" style="31" customWidth="1"/>
    <col min="7" max="7" width="9.7109375" style="31" customWidth="1"/>
    <col min="8" max="8" width="14.28515625" style="31" customWidth="1"/>
    <col min="9" max="9" width="9.7109375" style="31" customWidth="1"/>
    <col min="10" max="10" width="11.85546875" style="31" customWidth="1"/>
    <col min="11" max="11" width="9.85546875" style="31" customWidth="1"/>
    <col min="12" max="12" width="9.28515625" style="31" customWidth="1"/>
    <col min="13" max="13" width="6.42578125" style="31" customWidth="1"/>
    <col min="14" max="14" width="12.7109375" style="31" customWidth="1"/>
    <col min="15" max="15" width="10.28515625" style="31" customWidth="1"/>
    <col min="16" max="16" width="13" style="31" customWidth="1"/>
    <col min="17" max="17" width="13.5703125" style="31" customWidth="1"/>
    <col min="18" max="18" width="8" style="31" customWidth="1"/>
    <col min="19" max="19" width="9.5703125" style="31" customWidth="1"/>
    <col min="20" max="20" width="4.140625" style="31" customWidth="1"/>
    <col min="21" max="16384" width="9.140625" style="31"/>
  </cols>
  <sheetData>
    <row r="1" spans="1:20" ht="15" x14ac:dyDescent="0.25">
      <c r="B1" s="30" t="s">
        <v>56</v>
      </c>
      <c r="C1" s="32" t="s">
        <v>142</v>
      </c>
    </row>
    <row r="2" spans="1:20" ht="15.75" x14ac:dyDescent="0.25">
      <c r="A2" s="35">
        <v>1</v>
      </c>
      <c r="B2" s="36" t="s">
        <v>3</v>
      </c>
      <c r="C2" s="65" t="s">
        <v>0</v>
      </c>
      <c r="E2" s="39" t="s">
        <v>150</v>
      </c>
      <c r="F2" s="40" t="s">
        <v>66</v>
      </c>
      <c r="G2" s="41" t="s">
        <v>67</v>
      </c>
      <c r="Q2" s="85"/>
      <c r="R2" s="52"/>
      <c r="S2" s="52"/>
    </row>
    <row r="3" spans="1:20" x14ac:dyDescent="0.2">
      <c r="A3" s="37">
        <v>2</v>
      </c>
      <c r="B3" s="38" t="s">
        <v>23</v>
      </c>
      <c r="C3" s="66" t="s">
        <v>5</v>
      </c>
      <c r="E3" s="42" t="s">
        <v>72</v>
      </c>
      <c r="F3" s="43">
        <f>Calculator!B9*'Data Base'!B87</f>
        <v>41942.155749999998</v>
      </c>
      <c r="G3" s="44"/>
      <c r="Q3" s="60"/>
      <c r="R3" s="43"/>
      <c r="S3" s="51"/>
      <c r="T3" s="51"/>
    </row>
    <row r="4" spans="1:20" x14ac:dyDescent="0.2">
      <c r="A4" s="37">
        <v>3</v>
      </c>
      <c r="B4" s="38" t="s">
        <v>141</v>
      </c>
      <c r="C4" s="66" t="s">
        <v>15</v>
      </c>
      <c r="E4" s="42" t="s">
        <v>57</v>
      </c>
      <c r="F4" s="43">
        <f>Calculator!B14*'Data Base'!B87</f>
        <v>23068.185662499996</v>
      </c>
      <c r="G4" s="45">
        <v>0.55000000000000004</v>
      </c>
      <c r="Q4" s="60"/>
      <c r="R4" s="43"/>
      <c r="S4" s="86"/>
      <c r="T4" s="51"/>
    </row>
    <row r="5" spans="1:20" x14ac:dyDescent="0.2">
      <c r="A5" s="94"/>
      <c r="B5" s="95"/>
      <c r="C5" s="96"/>
      <c r="E5" s="46" t="s">
        <v>58</v>
      </c>
      <c r="F5" s="47">
        <f>Calculator!B15*'Data Base'!B87</f>
        <v>18873.970087499998</v>
      </c>
      <c r="G5" s="48">
        <v>0.45</v>
      </c>
      <c r="L5" s="51"/>
      <c r="Q5" s="60"/>
      <c r="R5" s="43"/>
      <c r="S5" s="86"/>
    </row>
    <row r="6" spans="1:20" ht="13.5" thickBot="1" x14ac:dyDescent="0.25">
      <c r="A6" s="37">
        <v>4</v>
      </c>
      <c r="B6" s="38" t="s">
        <v>140</v>
      </c>
      <c r="C6" s="66" t="s">
        <v>146</v>
      </c>
    </row>
    <row r="7" spans="1:20" ht="13.5" thickBot="1" x14ac:dyDescent="0.25">
      <c r="A7" s="37">
        <v>5</v>
      </c>
      <c r="B7" s="38" t="s">
        <v>137</v>
      </c>
      <c r="C7" s="66" t="s">
        <v>9</v>
      </c>
      <c r="O7" s="59">
        <f>Calculator!B25*'Data Base'!B87</f>
        <v>0</v>
      </c>
    </row>
    <row r="8" spans="1:20" x14ac:dyDescent="0.2">
      <c r="A8" s="37">
        <v>6</v>
      </c>
      <c r="B8" s="38" t="s">
        <v>138</v>
      </c>
      <c r="C8" s="66" t="s">
        <v>10</v>
      </c>
      <c r="H8" s="53" t="s">
        <v>135</v>
      </c>
      <c r="Q8" s="53" t="s">
        <v>136</v>
      </c>
    </row>
    <row r="9" spans="1:20" ht="13.5" thickBot="1" x14ac:dyDescent="0.25">
      <c r="A9" s="37">
        <v>7</v>
      </c>
      <c r="B9" s="38" t="s">
        <v>22</v>
      </c>
      <c r="C9" s="66" t="s">
        <v>9</v>
      </c>
      <c r="G9" s="69" t="s">
        <v>147</v>
      </c>
      <c r="H9" s="68" t="s">
        <v>21</v>
      </c>
      <c r="P9" s="31" t="s">
        <v>147</v>
      </c>
      <c r="Q9" s="68" t="s">
        <v>21</v>
      </c>
    </row>
    <row r="10" spans="1:20" ht="15" customHeight="1" thickBot="1" x14ac:dyDescent="0.25">
      <c r="A10" s="37"/>
      <c r="B10" s="38"/>
      <c r="C10" s="93" t="s">
        <v>125</v>
      </c>
      <c r="F10" s="130" t="s">
        <v>157</v>
      </c>
      <c r="G10" s="130"/>
      <c r="H10" s="70">
        <v>0</v>
      </c>
      <c r="O10" s="130" t="s">
        <v>157</v>
      </c>
      <c r="P10" s="130"/>
      <c r="Q10" s="72">
        <v>0</v>
      </c>
      <c r="R10" s="71"/>
    </row>
    <row r="11" spans="1:20" ht="13.5" thickBot="1" x14ac:dyDescent="0.25">
      <c r="A11" s="37"/>
      <c r="B11" s="38"/>
      <c r="C11" s="93" t="s">
        <v>132</v>
      </c>
    </row>
    <row r="12" spans="1:20" ht="13.5" thickBot="1" x14ac:dyDescent="0.25">
      <c r="A12" s="63">
        <v>8</v>
      </c>
      <c r="B12" s="61" t="s">
        <v>139</v>
      </c>
      <c r="C12" s="66" t="s">
        <v>10</v>
      </c>
      <c r="I12" s="59">
        <f>Calculator!B24*'Data Base'!B87</f>
        <v>0</v>
      </c>
      <c r="L12" s="54"/>
      <c r="R12" s="34"/>
    </row>
    <row r="13" spans="1:20" ht="13.5" thickBot="1" x14ac:dyDescent="0.25">
      <c r="A13" s="64">
        <v>9</v>
      </c>
      <c r="B13" s="56" t="s">
        <v>156</v>
      </c>
      <c r="C13" s="67">
        <v>5000</v>
      </c>
      <c r="P13" s="62">
        <f>Calculator!B34*'Data Base'!B87</f>
        <v>0</v>
      </c>
    </row>
    <row r="14" spans="1:20" x14ac:dyDescent="0.2">
      <c r="A14" s="33"/>
      <c r="E14" s="83"/>
    </row>
    <row r="15" spans="1:20" ht="15.75" customHeight="1" x14ac:dyDescent="0.25">
      <c r="A15" s="63"/>
      <c r="B15" s="103" t="s">
        <v>200</v>
      </c>
      <c r="C15" s="103" t="s">
        <v>188</v>
      </c>
      <c r="D15" s="99"/>
      <c r="E15" s="99"/>
    </row>
    <row r="16" spans="1:20" ht="15.75" x14ac:dyDescent="0.25">
      <c r="A16" s="51"/>
      <c r="B16" s="104" t="s">
        <v>173</v>
      </c>
      <c r="C16" s="121" t="s">
        <v>199</v>
      </c>
      <c r="K16" s="51"/>
      <c r="S16" s="51"/>
    </row>
    <row r="17" spans="1:19" ht="15.75" x14ac:dyDescent="0.25">
      <c r="A17" s="51"/>
      <c r="B17" s="105" t="s">
        <v>201</v>
      </c>
      <c r="C17" s="121" t="s">
        <v>174</v>
      </c>
    </row>
    <row r="18" spans="1:19" ht="15.75" x14ac:dyDescent="0.25">
      <c r="A18" s="51"/>
      <c r="B18" s="104" t="s">
        <v>186</v>
      </c>
      <c r="C18" s="121" t="s">
        <v>187</v>
      </c>
    </row>
    <row r="19" spans="1:19" ht="15.75" x14ac:dyDescent="0.25">
      <c r="A19" s="51"/>
      <c r="B19" s="85"/>
      <c r="C19" s="51"/>
    </row>
    <row r="20" spans="1:19" ht="15.75" x14ac:dyDescent="0.25">
      <c r="A20" s="51"/>
      <c r="B20" s="120" t="s">
        <v>185</v>
      </c>
      <c r="C20" s="120" t="s">
        <v>180</v>
      </c>
    </row>
    <row r="21" spans="1:19" ht="15.75" x14ac:dyDescent="0.25">
      <c r="A21" s="51"/>
      <c r="B21" s="121" t="s">
        <v>176</v>
      </c>
      <c r="C21" s="121" t="s">
        <v>181</v>
      </c>
    </row>
    <row r="22" spans="1:19" ht="16.5" thickBot="1" x14ac:dyDescent="0.3">
      <c r="A22" s="51"/>
      <c r="B22" s="121" t="s">
        <v>177</v>
      </c>
      <c r="C22" s="121" t="s">
        <v>182</v>
      </c>
      <c r="I22" s="75"/>
      <c r="J22" s="131" t="s">
        <v>202</v>
      </c>
      <c r="K22" s="131"/>
      <c r="L22" s="131"/>
      <c r="M22" s="131"/>
      <c r="N22" s="131"/>
      <c r="O22" s="131"/>
      <c r="P22" s="55"/>
    </row>
    <row r="23" spans="1:19" ht="15.75" x14ac:dyDescent="0.25">
      <c r="A23" s="51"/>
      <c r="B23" s="121" t="s">
        <v>178</v>
      </c>
      <c r="C23" s="121" t="s">
        <v>183</v>
      </c>
      <c r="I23" s="80" t="s">
        <v>148</v>
      </c>
      <c r="J23" s="51"/>
      <c r="K23" s="57" t="s">
        <v>59</v>
      </c>
      <c r="L23" s="128" t="s">
        <v>148</v>
      </c>
      <c r="M23" s="128"/>
      <c r="N23" s="128"/>
      <c r="O23" s="53" t="s">
        <v>144</v>
      </c>
      <c r="P23" s="81" t="s">
        <v>148</v>
      </c>
      <c r="R23" s="90"/>
      <c r="S23" s="91"/>
    </row>
    <row r="24" spans="1:19" ht="15.75" x14ac:dyDescent="0.25">
      <c r="B24" s="121" t="s">
        <v>179</v>
      </c>
      <c r="C24" s="121" t="s">
        <v>184</v>
      </c>
      <c r="I24" s="76" t="s">
        <v>164</v>
      </c>
      <c r="J24" s="87" t="s">
        <v>172</v>
      </c>
      <c r="K24" s="88">
        <f>Calculator!B27*'Data Base'!B87</f>
        <v>23068.185662500004</v>
      </c>
      <c r="L24" s="127" t="s">
        <v>149</v>
      </c>
      <c r="M24" s="128"/>
      <c r="N24" s="129"/>
      <c r="O24" s="89">
        <f>Calculator!B28*'Data Base'!B87</f>
        <v>18873.970087499994</v>
      </c>
      <c r="P24" s="74" t="s">
        <v>162</v>
      </c>
      <c r="R24" s="90"/>
      <c r="S24" s="91"/>
    </row>
    <row r="25" spans="1:19" ht="13.5" thickBot="1" x14ac:dyDescent="0.25">
      <c r="I25" s="76" t="s">
        <v>165</v>
      </c>
      <c r="J25" s="60" t="s">
        <v>62</v>
      </c>
      <c r="K25" s="123">
        <f>Calculator!B31/100</f>
        <v>0.55000000000000016</v>
      </c>
      <c r="L25" s="51"/>
      <c r="M25" s="52" t="s">
        <v>60</v>
      </c>
      <c r="N25" s="58">
        <f>Calculator!B29*'Data Base'!B87</f>
        <v>41942.155749999998</v>
      </c>
      <c r="O25" s="124">
        <f>Calculator!B32/100</f>
        <v>0.44999999999999996</v>
      </c>
      <c r="P25" s="74" t="s">
        <v>163</v>
      </c>
      <c r="R25" s="90"/>
      <c r="S25" s="91"/>
    </row>
    <row r="26" spans="1:19" x14ac:dyDescent="0.2">
      <c r="I26" s="76"/>
      <c r="J26" s="60"/>
      <c r="K26" s="51"/>
      <c r="L26" s="51"/>
      <c r="M26" s="51"/>
      <c r="N26" s="60"/>
      <c r="O26" s="51"/>
      <c r="P26" s="44"/>
    </row>
    <row r="27" spans="1:19" ht="15.75" x14ac:dyDescent="0.25">
      <c r="I27" s="107"/>
      <c r="J27" s="51"/>
      <c r="L27" s="122" t="s">
        <v>203</v>
      </c>
      <c r="M27" s="122"/>
      <c r="N27" s="122"/>
      <c r="O27" s="100"/>
      <c r="P27" s="44"/>
    </row>
    <row r="28" spans="1:19" ht="15.75" customHeight="1" x14ac:dyDescent="0.3">
      <c r="A28" s="113" t="s">
        <v>190</v>
      </c>
      <c r="B28" s="114"/>
      <c r="C28" s="114"/>
      <c r="I28" s="107"/>
      <c r="J28" s="101"/>
      <c r="K28" s="51"/>
      <c r="L28" s="91"/>
      <c r="M28" s="87" t="s">
        <v>189</v>
      </c>
      <c r="N28" s="125">
        <f>IF(C2="XERION 5000",N25/517,IF(C2="XERION 4500",N25/476,IF(C2="XERION 4000",N25/422)))</f>
        <v>81.126026595744676</v>
      </c>
      <c r="O28" s="106"/>
      <c r="P28" s="108"/>
    </row>
    <row r="29" spans="1:19" ht="15.75" customHeight="1" x14ac:dyDescent="0.3">
      <c r="A29" s="113" t="s">
        <v>191</v>
      </c>
      <c r="B29" s="115"/>
      <c r="C29" s="115"/>
      <c r="D29" s="51"/>
      <c r="E29" s="51"/>
      <c r="I29" s="109"/>
      <c r="J29" s="110"/>
      <c r="K29" s="56"/>
      <c r="L29" s="56"/>
      <c r="M29" s="56"/>
      <c r="N29" s="110"/>
      <c r="O29" s="111"/>
      <c r="P29" s="112"/>
    </row>
    <row r="30" spans="1:19" ht="18.75" x14ac:dyDescent="0.3">
      <c r="A30" s="113" t="s">
        <v>192</v>
      </c>
      <c r="B30" s="116"/>
      <c r="C30" s="117"/>
      <c r="D30" s="100"/>
      <c r="E30" s="100"/>
      <c r="I30" s="102"/>
      <c r="J30" s="102"/>
      <c r="K30" s="102"/>
      <c r="L30" s="102"/>
      <c r="M30" s="102"/>
      <c r="N30" s="102"/>
      <c r="O30" s="92"/>
      <c r="P30" s="92"/>
    </row>
    <row r="31" spans="1:19" ht="23.25" x14ac:dyDescent="0.35">
      <c r="B31" s="51"/>
      <c r="C31" s="119"/>
      <c r="D31" s="119"/>
      <c r="E31" s="119"/>
      <c r="J31" s="126" t="s">
        <v>175</v>
      </c>
      <c r="K31" s="126"/>
      <c r="L31" s="126"/>
      <c r="M31" s="126"/>
      <c r="N31" s="126"/>
      <c r="O31" s="126"/>
      <c r="Q31" s="97"/>
    </row>
    <row r="32" spans="1:19" ht="18.75" x14ac:dyDescent="0.3">
      <c r="B32" s="51"/>
      <c r="C32" s="51"/>
      <c r="D32" s="51"/>
      <c r="E32" s="51"/>
      <c r="I32" s="118" t="s">
        <v>193</v>
      </c>
      <c r="J32" s="97"/>
      <c r="K32" s="97"/>
      <c r="L32" s="97"/>
      <c r="M32" s="97"/>
      <c r="N32" s="97"/>
      <c r="O32" s="97"/>
      <c r="P32" s="97"/>
      <c r="Q32" s="97"/>
    </row>
    <row r="33" spans="9:16" ht="18.75" x14ac:dyDescent="0.3">
      <c r="I33" s="97" t="s">
        <v>198</v>
      </c>
      <c r="J33" s="97"/>
      <c r="K33" s="97"/>
      <c r="L33" s="98"/>
      <c r="M33" s="97"/>
      <c r="N33" s="97"/>
      <c r="O33" s="97"/>
      <c r="P33" s="97"/>
    </row>
    <row r="35" spans="9:16" ht="18.75" x14ac:dyDescent="0.3">
      <c r="I35" s="118" t="s">
        <v>194</v>
      </c>
      <c r="J35" s="97"/>
      <c r="K35" s="97"/>
      <c r="L35" s="97"/>
      <c r="M35" s="97"/>
      <c r="N35" s="97"/>
      <c r="O35" s="97"/>
    </row>
    <row r="36" spans="9:16" ht="18.75" x14ac:dyDescent="0.3">
      <c r="I36" s="97" t="s">
        <v>197</v>
      </c>
      <c r="J36" s="97"/>
      <c r="K36" s="97"/>
      <c r="L36" s="97"/>
      <c r="M36" s="97"/>
      <c r="N36" s="97"/>
      <c r="O36" s="97"/>
    </row>
    <row r="38" spans="9:16" ht="18.75" x14ac:dyDescent="0.3">
      <c r="I38" s="118" t="s">
        <v>195</v>
      </c>
      <c r="J38" s="97"/>
      <c r="K38" s="97"/>
      <c r="L38" s="97"/>
      <c r="M38" s="97"/>
      <c r="N38" s="97"/>
      <c r="O38" s="97"/>
      <c r="P38" s="97"/>
    </row>
    <row r="39" spans="9:16" ht="18.75" x14ac:dyDescent="0.3">
      <c r="I39" s="97" t="s">
        <v>196</v>
      </c>
      <c r="J39" s="97"/>
      <c r="K39" s="97"/>
      <c r="L39" s="97"/>
    </row>
  </sheetData>
  <sheetProtection algorithmName="SHA-512" hashValue="4r5TtfRK5GpkJCj2XW8jOpvD7eRDSx6oFTPDKQIFXKaB80wv/HKj4BMbEQ/fj41HL3LJ/8jyQqnQOBeXfT2K5w==" saltValue="FakN6+GisFygBT1MdfBEaQ==" spinCount="100000" sheet="1" objects="1" scenarios="1"/>
  <mergeCells count="6">
    <mergeCell ref="J31:O31"/>
    <mergeCell ref="L24:N24"/>
    <mergeCell ref="L23:N23"/>
    <mergeCell ref="F10:G10"/>
    <mergeCell ref="O10:P10"/>
    <mergeCell ref="J22:O22"/>
  </mergeCells>
  <conditionalFormatting sqref="N25">
    <cfRule type="expression" dxfId="14" priority="15">
      <formula>$N$25&gt;52800</formula>
    </cfRule>
  </conditionalFormatting>
  <conditionalFormatting sqref="P23">
    <cfRule type="expression" dxfId="13" priority="4">
      <formula>$O$24&gt;33000</formula>
    </cfRule>
  </conditionalFormatting>
  <conditionalFormatting sqref="I23:I25">
    <cfRule type="expression" dxfId="12" priority="3">
      <formula>$K$24&gt;33000</formula>
    </cfRule>
  </conditionalFormatting>
  <pageMargins left="0.7" right="0.7" top="0.75" bottom="0.75" header="0.3" footer="0.3"/>
  <pageSetup paperSize="3" scale="5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AF777181-1ADA-400C-9EEC-8EC36B60C98A}">
            <xm:f>$C$10=VLOOKUP($C$10,'Data Base'!#REF!,1,0)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m:sqref>I29:I30 C30</xm:sqref>
        </x14:conditionalFormatting>
        <x14:conditionalFormatting xmlns:xm="http://schemas.microsoft.com/office/excel/2006/main">
          <x14:cfRule type="expression" priority="40" id="{EA3549DD-6B0D-49F2-B580-06C685521A1C}">
            <xm:f>VLOOKUP($C$10,'Data Base'!#REF!,8,0)&gt;66000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7388D749-A0EC-4290-8982-133D70E0087D}">
            <xm:f>VLOOKUP($C$10,'Data Base'!$A$84:$H$84,8,0)&gt;53000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m:sqref>L25:M25 L23:N24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'Data Base'!$A$72:$A$73</xm:f>
          </x14:formula1>
          <xm:sqref>C12 C7:C9</xm:sqref>
        </x14:dataValidation>
        <x14:dataValidation type="list" allowBlank="1" showInputMessage="1" showErrorMessage="1">
          <x14:formula1>
            <xm:f>'Data Base'!$A$42:$A$56</xm:f>
          </x14:formula1>
          <xm:sqref>Q9</xm:sqref>
        </x14:dataValidation>
        <x14:dataValidation type="list" allowBlank="1" showInputMessage="1" showErrorMessage="1">
          <x14:formula1>
            <xm:f>'Data Base'!$A$28:$A$39</xm:f>
          </x14:formula1>
          <xm:sqref>H9</xm:sqref>
        </x14:dataValidation>
        <x14:dataValidation type="list" allowBlank="1" showInputMessage="1" showErrorMessage="1">
          <x14:formula1>
            <xm:f>'Data Base'!$A$75:$A$78</xm:f>
          </x14:formula1>
          <xm:sqref>C5</xm:sqref>
        </x14:dataValidation>
        <x14:dataValidation type="list" allowBlank="1" showInputMessage="1" showErrorMessage="1">
          <x14:formula1>
            <xm:f>'Data Base'!$A$12:$A$14</xm:f>
          </x14:formula1>
          <xm:sqref>C2</xm:sqref>
        </x14:dataValidation>
        <x14:dataValidation type="list" allowBlank="1" showInputMessage="1" showErrorMessage="1">
          <x14:formula1>
            <xm:f>'Data Base'!$A$3:$A$9</xm:f>
          </x14:formula1>
          <xm:sqref>C4</xm:sqref>
        </x14:dataValidation>
        <x14:dataValidation type="list" allowBlank="1" showInputMessage="1" showErrorMessage="1">
          <x14:formula1>
            <xm:f>'Data Base'!$A$15:$A$16</xm:f>
          </x14:formula1>
          <xm:sqref>C3</xm:sqref>
        </x14:dataValidation>
        <x14:dataValidation type="list" allowBlank="1" showInputMessage="1" showErrorMessage="1">
          <x14:formula1>
            <xm:f>'Data Base'!$B$80:$B$81</xm:f>
          </x14:formula1>
          <xm:sqref>C6</xm:sqref>
        </x14:dataValidation>
        <x14:dataValidation type="list" allowBlank="1" showInputMessage="1" showErrorMessage="1">
          <x14:formula1>
            <xm:f>'Data Base'!$A$25:$A$25</xm:f>
          </x14:formula1>
          <xm:sqref>C11</xm:sqref>
        </x14:dataValidation>
        <x14:dataValidation type="list" allowBlank="1" showInputMessage="1" showErrorMessage="1">
          <x14:formula1>
            <xm:f>'Data Base'!$A$84:$A$84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91"/>
  <sheetViews>
    <sheetView topLeftCell="E22" zoomScale="90" zoomScaleNormal="90" workbookViewId="0">
      <selection activeCell="B19" sqref="B19"/>
    </sheetView>
  </sheetViews>
  <sheetFormatPr defaultRowHeight="15" x14ac:dyDescent="0.25"/>
  <cols>
    <col min="1" max="1" width="40.7109375" bestFit="1" customWidth="1"/>
    <col min="2" max="2" width="18.28515625" bestFit="1" customWidth="1"/>
    <col min="3" max="3" width="18.85546875" bestFit="1" customWidth="1"/>
    <col min="4" max="4" width="14.85546875" bestFit="1" customWidth="1"/>
    <col min="5" max="5" width="25" bestFit="1" customWidth="1"/>
    <col min="6" max="6" width="22.5703125" bestFit="1" customWidth="1"/>
    <col min="7" max="7" width="24.140625" customWidth="1"/>
    <col min="8" max="8" width="19.140625" bestFit="1" customWidth="1"/>
    <col min="9" max="9" width="23.42578125" bestFit="1" customWidth="1"/>
    <col min="10" max="10" width="22.5703125" bestFit="1" customWidth="1"/>
  </cols>
  <sheetData>
    <row r="2" spans="1:5" x14ac:dyDescent="0.25">
      <c r="A2" s="2" t="s">
        <v>24</v>
      </c>
      <c r="B2" s="2" t="s">
        <v>126</v>
      </c>
      <c r="C2" s="2" t="s">
        <v>25</v>
      </c>
      <c r="D2" s="2"/>
      <c r="E2" s="2"/>
    </row>
    <row r="3" spans="1:5" x14ac:dyDescent="0.25">
      <c r="A3" t="s">
        <v>15</v>
      </c>
      <c r="B3" s="4">
        <f>C3/2.204623</f>
        <v>5077.5121188520661</v>
      </c>
      <c r="C3" s="4">
        <v>11194</v>
      </c>
      <c r="D3" s="4"/>
      <c r="E3" s="4"/>
    </row>
    <row r="4" spans="1:5" x14ac:dyDescent="0.25">
      <c r="A4" t="s">
        <v>16</v>
      </c>
      <c r="B4" s="4">
        <f>C4/2.204623</f>
        <v>5469.4158593101856</v>
      </c>
      <c r="C4" s="4">
        <v>12058</v>
      </c>
      <c r="D4" s="4"/>
      <c r="E4" s="4"/>
    </row>
    <row r="5" spans="1:5" x14ac:dyDescent="0.25">
      <c r="A5" t="s">
        <v>17</v>
      </c>
      <c r="B5" s="4">
        <f>C5/2.204623</f>
        <v>5585.9890784047875</v>
      </c>
      <c r="C5" s="4">
        <v>12315</v>
      </c>
      <c r="D5" s="4"/>
      <c r="E5" s="4"/>
    </row>
    <row r="6" spans="1:5" x14ac:dyDescent="0.25">
      <c r="A6" t="s">
        <v>134</v>
      </c>
      <c r="B6" s="4">
        <f t="shared" ref="B6:B16" si="0">C6/2.204623</f>
        <v>2177.2430025451063</v>
      </c>
      <c r="C6" s="4">
        <v>4800</v>
      </c>
      <c r="D6" s="4"/>
      <c r="E6" s="4"/>
    </row>
    <row r="7" spans="1:5" x14ac:dyDescent="0.25">
      <c r="A7" t="s">
        <v>171</v>
      </c>
      <c r="B7" s="4">
        <f t="shared" ref="B7" si="1">C7/2.204623</f>
        <v>2177.2430025451063</v>
      </c>
      <c r="C7" s="4">
        <v>4800</v>
      </c>
      <c r="D7" s="4"/>
      <c r="E7" s="4"/>
    </row>
    <row r="8" spans="1:5" x14ac:dyDescent="0.25">
      <c r="A8" t="s">
        <v>18</v>
      </c>
      <c r="B8" s="4">
        <f t="shared" si="0"/>
        <v>2405.3999255201452</v>
      </c>
      <c r="C8" s="4">
        <v>5303</v>
      </c>
      <c r="D8" s="4"/>
      <c r="E8" s="4"/>
    </row>
    <row r="9" spans="1:5" x14ac:dyDescent="0.25">
      <c r="A9" t="s">
        <v>19</v>
      </c>
      <c r="B9" s="4">
        <f t="shared" si="0"/>
        <v>3088.5099175686723</v>
      </c>
      <c r="C9" s="4">
        <v>6809</v>
      </c>
      <c r="D9" s="4"/>
      <c r="E9" s="4"/>
    </row>
    <row r="11" spans="1:5" x14ac:dyDescent="0.25">
      <c r="A11" s="2" t="s">
        <v>3</v>
      </c>
      <c r="B11" s="2" t="s">
        <v>126</v>
      </c>
      <c r="C11" s="2" t="s">
        <v>25</v>
      </c>
      <c r="D11" s="2"/>
      <c r="E11" s="2"/>
    </row>
    <row r="12" spans="1:5" x14ac:dyDescent="0.25">
      <c r="A12" t="s">
        <v>0</v>
      </c>
      <c r="B12" s="4">
        <f t="shared" si="0"/>
        <v>13697.126447469702</v>
      </c>
      <c r="C12">
        <v>30197</v>
      </c>
    </row>
    <row r="13" spans="1:5" x14ac:dyDescent="0.25">
      <c r="A13" t="s">
        <v>1</v>
      </c>
      <c r="B13" s="4">
        <f t="shared" si="0"/>
        <v>13697.126447469702</v>
      </c>
      <c r="C13">
        <v>30197</v>
      </c>
    </row>
    <row r="14" spans="1:5" x14ac:dyDescent="0.25">
      <c r="A14" t="s">
        <v>2</v>
      </c>
      <c r="B14" s="4">
        <f t="shared" si="0"/>
        <v>13297.058045752039</v>
      </c>
      <c r="C14">
        <v>29315</v>
      </c>
    </row>
    <row r="15" spans="1:5" x14ac:dyDescent="0.25">
      <c r="A15" t="s">
        <v>5</v>
      </c>
      <c r="B15">
        <f t="shared" si="0"/>
        <v>0</v>
      </c>
      <c r="C15">
        <v>0</v>
      </c>
    </row>
    <row r="16" spans="1:5" x14ac:dyDescent="0.25">
      <c r="A16" t="s">
        <v>26</v>
      </c>
      <c r="B16" s="4">
        <f t="shared" si="0"/>
        <v>879.96904686198036</v>
      </c>
      <c r="C16">
        <v>1940</v>
      </c>
    </row>
    <row r="18" spans="1:5" x14ac:dyDescent="0.25">
      <c r="A18" s="2" t="s">
        <v>3</v>
      </c>
      <c r="B18" s="2" t="s">
        <v>27</v>
      </c>
    </row>
    <row r="19" spans="1:5" x14ac:dyDescent="0.25">
      <c r="A19" t="s">
        <v>0</v>
      </c>
      <c r="B19">
        <v>530</v>
      </c>
    </row>
    <row r="20" spans="1:5" x14ac:dyDescent="0.25">
      <c r="A20" t="s">
        <v>1</v>
      </c>
      <c r="B20">
        <v>490</v>
      </c>
    </row>
    <row r="21" spans="1:5" x14ac:dyDescent="0.25">
      <c r="A21" t="s">
        <v>2</v>
      </c>
      <c r="B21">
        <v>435</v>
      </c>
    </row>
    <row r="24" spans="1:5" x14ac:dyDescent="0.25">
      <c r="A24" s="2" t="s">
        <v>11</v>
      </c>
      <c r="B24" s="2" t="s">
        <v>128</v>
      </c>
      <c r="C24" s="2" t="s">
        <v>127</v>
      </c>
      <c r="D24" s="2"/>
      <c r="E24" s="2"/>
    </row>
    <row r="25" spans="1:5" x14ac:dyDescent="0.25">
      <c r="A25" s="84" t="s">
        <v>132</v>
      </c>
      <c r="B25" s="49">
        <f>Calculator!B9/VLOOKUP('Ballasting Tool'!C2,'Data Base'!A19:B21,2,0)</f>
        <v>35.895544464758046</v>
      </c>
      <c r="C25" s="2"/>
      <c r="D25" s="2"/>
      <c r="E25" s="2"/>
    </row>
    <row r="27" spans="1:5" x14ac:dyDescent="0.25">
      <c r="A27" s="2" t="s">
        <v>28</v>
      </c>
      <c r="B27" s="2" t="s">
        <v>152</v>
      </c>
      <c r="C27" s="2" t="s">
        <v>153</v>
      </c>
      <c r="D27" s="2" t="s">
        <v>154</v>
      </c>
      <c r="E27" s="2" t="s">
        <v>155</v>
      </c>
    </row>
    <row r="28" spans="1:5" x14ac:dyDescent="0.25">
      <c r="A28" s="3" t="s">
        <v>61</v>
      </c>
      <c r="B28">
        <f>C28</f>
        <v>0</v>
      </c>
      <c r="C28" s="2"/>
      <c r="D28" s="2"/>
      <c r="E28" s="2"/>
    </row>
    <row r="29" spans="1:5" x14ac:dyDescent="0.25">
      <c r="A29" t="s">
        <v>21</v>
      </c>
      <c r="B29">
        <f>C29</f>
        <v>0</v>
      </c>
      <c r="C29">
        <v>0</v>
      </c>
      <c r="D29">
        <v>0</v>
      </c>
      <c r="E29">
        <v>0</v>
      </c>
    </row>
    <row r="30" spans="1:5" x14ac:dyDescent="0.25">
      <c r="A30" t="s">
        <v>29</v>
      </c>
      <c r="B30" s="4">
        <v>1000</v>
      </c>
      <c r="C30" s="4">
        <f t="shared" ref="C30:C39" si="2">B30*$B$87</f>
        <v>2204.623</v>
      </c>
      <c r="D30">
        <v>1800</v>
      </c>
      <c r="E30" s="4">
        <f t="shared" ref="E30:E39" si="3">D30*$B$87</f>
        <v>3968.3214000000003</v>
      </c>
    </row>
    <row r="31" spans="1:5" x14ac:dyDescent="0.25">
      <c r="A31" t="s">
        <v>30</v>
      </c>
      <c r="B31" s="4">
        <f>B30+400</f>
        <v>1400</v>
      </c>
      <c r="C31" s="4">
        <f t="shared" si="2"/>
        <v>3086.4722000000002</v>
      </c>
      <c r="D31">
        <f>D30+400</f>
        <v>2200</v>
      </c>
      <c r="E31" s="4">
        <f t="shared" si="3"/>
        <v>4850.1706000000004</v>
      </c>
    </row>
    <row r="32" spans="1:5" x14ac:dyDescent="0.25">
      <c r="A32" t="s">
        <v>31</v>
      </c>
      <c r="B32" s="4">
        <f>B31+400</f>
        <v>1800</v>
      </c>
      <c r="C32" s="4">
        <f t="shared" si="2"/>
        <v>3968.3214000000003</v>
      </c>
      <c r="D32">
        <f t="shared" ref="D32:D39" si="4">D31+400</f>
        <v>2600</v>
      </c>
      <c r="E32" s="4">
        <f t="shared" si="3"/>
        <v>5732.0198000000009</v>
      </c>
    </row>
    <row r="33" spans="1:5" x14ac:dyDescent="0.25">
      <c r="A33" t="s">
        <v>32</v>
      </c>
      <c r="B33" s="4">
        <f>B32+400</f>
        <v>2200</v>
      </c>
      <c r="C33" s="4">
        <f t="shared" si="2"/>
        <v>4850.1706000000004</v>
      </c>
      <c r="D33">
        <f t="shared" si="4"/>
        <v>3000</v>
      </c>
      <c r="E33" s="4">
        <f t="shared" si="3"/>
        <v>6613.8690000000006</v>
      </c>
    </row>
    <row r="34" spans="1:5" x14ac:dyDescent="0.25">
      <c r="A34" t="s">
        <v>33</v>
      </c>
      <c r="B34" s="4">
        <f>B33+400</f>
        <v>2600</v>
      </c>
      <c r="C34" s="4">
        <f t="shared" si="2"/>
        <v>5732.0198000000009</v>
      </c>
      <c r="D34">
        <f t="shared" si="4"/>
        <v>3400</v>
      </c>
      <c r="E34" s="4">
        <f t="shared" si="3"/>
        <v>7495.7182000000012</v>
      </c>
    </row>
    <row r="35" spans="1:5" x14ac:dyDescent="0.25">
      <c r="A35" t="s">
        <v>34</v>
      </c>
      <c r="B35" s="4">
        <f>B34+400</f>
        <v>3000</v>
      </c>
      <c r="C35" s="4">
        <f t="shared" si="2"/>
        <v>6613.8690000000006</v>
      </c>
      <c r="D35">
        <f t="shared" si="4"/>
        <v>3800</v>
      </c>
      <c r="E35" s="4">
        <f t="shared" si="3"/>
        <v>8377.5674000000017</v>
      </c>
    </row>
    <row r="36" spans="1:5" x14ac:dyDescent="0.25">
      <c r="A36" t="s">
        <v>36</v>
      </c>
      <c r="B36" s="4">
        <f t="shared" ref="B36:B39" si="5">B35+400</f>
        <v>3400</v>
      </c>
      <c r="C36" s="4">
        <f t="shared" si="2"/>
        <v>7495.7182000000012</v>
      </c>
      <c r="D36">
        <f t="shared" si="4"/>
        <v>4200</v>
      </c>
      <c r="E36" s="4">
        <f t="shared" si="3"/>
        <v>9259.4166000000005</v>
      </c>
    </row>
    <row r="37" spans="1:5" x14ac:dyDescent="0.25">
      <c r="A37" t="s">
        <v>37</v>
      </c>
      <c r="B37" s="4">
        <f t="shared" si="5"/>
        <v>3800</v>
      </c>
      <c r="C37" s="4">
        <f t="shared" si="2"/>
        <v>8377.5674000000017</v>
      </c>
      <c r="D37">
        <f t="shared" si="4"/>
        <v>4600</v>
      </c>
      <c r="E37" s="4">
        <f t="shared" si="3"/>
        <v>10141.265800000001</v>
      </c>
    </row>
    <row r="38" spans="1:5" x14ac:dyDescent="0.25">
      <c r="A38" t="s">
        <v>38</v>
      </c>
      <c r="B38" s="4">
        <f t="shared" si="5"/>
        <v>4200</v>
      </c>
      <c r="C38" s="4">
        <f t="shared" si="2"/>
        <v>9259.4166000000005</v>
      </c>
      <c r="D38">
        <f t="shared" si="4"/>
        <v>5000</v>
      </c>
      <c r="E38" s="4">
        <f t="shared" si="3"/>
        <v>11023.115000000002</v>
      </c>
    </row>
    <row r="39" spans="1:5" x14ac:dyDescent="0.25">
      <c r="A39" t="s">
        <v>39</v>
      </c>
      <c r="B39" s="4">
        <f t="shared" si="5"/>
        <v>4600</v>
      </c>
      <c r="C39" s="4">
        <f t="shared" si="2"/>
        <v>10141.265800000001</v>
      </c>
      <c r="D39">
        <f t="shared" si="4"/>
        <v>5400</v>
      </c>
      <c r="E39" s="4">
        <f t="shared" si="3"/>
        <v>11904.9642</v>
      </c>
    </row>
    <row r="41" spans="1:5" x14ac:dyDescent="0.25">
      <c r="A41" s="2" t="s">
        <v>35</v>
      </c>
      <c r="B41" s="2" t="s">
        <v>126</v>
      </c>
      <c r="C41" s="2" t="s">
        <v>25</v>
      </c>
      <c r="D41" s="2"/>
      <c r="E41" s="2"/>
    </row>
    <row r="42" spans="1:5" x14ac:dyDescent="0.25">
      <c r="A42" s="3" t="s">
        <v>61</v>
      </c>
      <c r="B42" s="4"/>
      <c r="C42" s="29">
        <f>B42*2.204623</f>
        <v>0</v>
      </c>
      <c r="D42" s="29"/>
      <c r="E42" s="29"/>
    </row>
    <row r="43" spans="1:5" x14ac:dyDescent="0.25">
      <c r="A43" t="s">
        <v>21</v>
      </c>
      <c r="B43" s="4">
        <v>0</v>
      </c>
      <c r="C43" s="29">
        <f t="shared" ref="C43:C56" si="6">B43*2.204623</f>
        <v>0</v>
      </c>
      <c r="D43" s="29"/>
      <c r="E43" s="29"/>
    </row>
    <row r="44" spans="1:5" x14ac:dyDescent="0.25">
      <c r="A44" t="s">
        <v>29</v>
      </c>
      <c r="B44" s="4">
        <v>200</v>
      </c>
      <c r="C44" s="29">
        <f t="shared" si="6"/>
        <v>440.92460000000005</v>
      </c>
      <c r="D44" s="29"/>
      <c r="E44" s="29"/>
    </row>
    <row r="45" spans="1:5" x14ac:dyDescent="0.25">
      <c r="A45" t="s">
        <v>30</v>
      </c>
      <c r="B45" s="4">
        <f>B44+400</f>
        <v>600</v>
      </c>
      <c r="C45" s="29">
        <f t="shared" si="6"/>
        <v>1322.7738000000002</v>
      </c>
      <c r="D45" s="29"/>
      <c r="E45" s="29"/>
    </row>
    <row r="46" spans="1:5" x14ac:dyDescent="0.25">
      <c r="A46" t="s">
        <v>31</v>
      </c>
      <c r="B46" s="4">
        <f t="shared" ref="B46:B56" si="7">B45+400</f>
        <v>1000</v>
      </c>
      <c r="C46" s="29">
        <f t="shared" si="6"/>
        <v>2204.623</v>
      </c>
      <c r="D46" s="29"/>
      <c r="E46" s="29"/>
    </row>
    <row r="47" spans="1:5" x14ac:dyDescent="0.25">
      <c r="A47" t="s">
        <v>32</v>
      </c>
      <c r="B47" s="4">
        <f t="shared" si="7"/>
        <v>1400</v>
      </c>
      <c r="C47" s="29">
        <f t="shared" si="6"/>
        <v>3086.4722000000002</v>
      </c>
      <c r="D47" s="29"/>
      <c r="E47" s="29"/>
    </row>
    <row r="48" spans="1:5" x14ac:dyDescent="0.25">
      <c r="A48" t="s">
        <v>33</v>
      </c>
      <c r="B48" s="4">
        <f t="shared" si="7"/>
        <v>1800</v>
      </c>
      <c r="C48" s="29">
        <f t="shared" si="6"/>
        <v>3968.3214000000003</v>
      </c>
      <c r="D48" s="29"/>
      <c r="E48" s="29"/>
    </row>
    <row r="49" spans="1:7" x14ac:dyDescent="0.25">
      <c r="A49" t="s">
        <v>34</v>
      </c>
      <c r="B49" s="4">
        <f t="shared" si="7"/>
        <v>2200</v>
      </c>
      <c r="C49" s="29">
        <f t="shared" si="6"/>
        <v>4850.1706000000004</v>
      </c>
      <c r="D49" s="29"/>
      <c r="E49" s="29"/>
    </row>
    <row r="50" spans="1:7" x14ac:dyDescent="0.25">
      <c r="A50" t="s">
        <v>36</v>
      </c>
      <c r="B50" s="4">
        <f t="shared" si="7"/>
        <v>2600</v>
      </c>
      <c r="C50" s="29">
        <f t="shared" si="6"/>
        <v>5732.0198000000009</v>
      </c>
      <c r="D50" s="29"/>
      <c r="E50" s="29"/>
    </row>
    <row r="51" spans="1:7" x14ac:dyDescent="0.25">
      <c r="A51" t="s">
        <v>37</v>
      </c>
      <c r="B51" s="4">
        <f t="shared" si="7"/>
        <v>3000</v>
      </c>
      <c r="C51" s="29">
        <f t="shared" si="6"/>
        <v>6613.8690000000006</v>
      </c>
      <c r="D51" s="29"/>
      <c r="E51" s="29"/>
    </row>
    <row r="52" spans="1:7" x14ac:dyDescent="0.25">
      <c r="A52" t="s">
        <v>38</v>
      </c>
      <c r="B52" s="4">
        <f t="shared" si="7"/>
        <v>3400</v>
      </c>
      <c r="C52" s="29">
        <f t="shared" si="6"/>
        <v>7495.7182000000012</v>
      </c>
      <c r="D52" s="29"/>
      <c r="E52" s="29"/>
    </row>
    <row r="53" spans="1:7" x14ac:dyDescent="0.25">
      <c r="A53" t="s">
        <v>39</v>
      </c>
      <c r="B53" s="4">
        <f t="shared" si="7"/>
        <v>3800</v>
      </c>
      <c r="C53" s="29">
        <f t="shared" si="6"/>
        <v>8377.5674000000017</v>
      </c>
      <c r="D53" s="29"/>
      <c r="E53" s="29"/>
    </row>
    <row r="54" spans="1:7" x14ac:dyDescent="0.25">
      <c r="A54" t="s">
        <v>40</v>
      </c>
      <c r="B54" s="4">
        <f t="shared" si="7"/>
        <v>4200</v>
      </c>
      <c r="C54" s="29">
        <f t="shared" si="6"/>
        <v>9259.4166000000005</v>
      </c>
      <c r="D54" s="29"/>
      <c r="E54" s="29"/>
    </row>
    <row r="55" spans="1:7" x14ac:dyDescent="0.25">
      <c r="A55" t="s">
        <v>41</v>
      </c>
      <c r="B55" s="4">
        <f t="shared" si="7"/>
        <v>4600</v>
      </c>
      <c r="C55" s="29">
        <f t="shared" si="6"/>
        <v>10141.265800000001</v>
      </c>
      <c r="D55" s="29"/>
      <c r="E55" s="29"/>
    </row>
    <row r="56" spans="1:7" x14ac:dyDescent="0.25">
      <c r="A56" t="s">
        <v>42</v>
      </c>
      <c r="B56" s="4">
        <f t="shared" si="7"/>
        <v>5000</v>
      </c>
      <c r="C56" s="29">
        <f t="shared" si="6"/>
        <v>11023.115000000002</v>
      </c>
      <c r="D56" s="29"/>
      <c r="E56" s="29"/>
    </row>
    <row r="58" spans="1:7" x14ac:dyDescent="0.25">
      <c r="A58" t="s">
        <v>78</v>
      </c>
    </row>
    <row r="59" spans="1:7" x14ac:dyDescent="0.25">
      <c r="A59" t="s">
        <v>43</v>
      </c>
      <c r="B59">
        <v>1.6220000000000001</v>
      </c>
      <c r="G59" t="s">
        <v>73</v>
      </c>
    </row>
    <row r="60" spans="1:7" x14ac:dyDescent="0.25">
      <c r="A60" t="s">
        <v>44</v>
      </c>
      <c r="B60">
        <v>0.91700000000000004</v>
      </c>
      <c r="G60" t="s">
        <v>77</v>
      </c>
    </row>
    <row r="61" spans="1:7" x14ac:dyDescent="0.25">
      <c r="A61" t="s">
        <v>46</v>
      </c>
      <c r="B61">
        <v>8.3000000000000004E-2</v>
      </c>
      <c r="G61" t="s">
        <v>76</v>
      </c>
    </row>
    <row r="62" spans="1:7" x14ac:dyDescent="0.25">
      <c r="A62" t="s">
        <v>45</v>
      </c>
      <c r="B62">
        <v>1.083</v>
      </c>
      <c r="G62" t="s">
        <v>75</v>
      </c>
    </row>
    <row r="63" spans="1:7" x14ac:dyDescent="0.25">
      <c r="A63" t="s">
        <v>63</v>
      </c>
      <c r="B63">
        <v>0.622</v>
      </c>
      <c r="G63" t="s">
        <v>74</v>
      </c>
    </row>
    <row r="65" spans="1:7" x14ac:dyDescent="0.25">
      <c r="A65" t="s">
        <v>79</v>
      </c>
    </row>
    <row r="66" spans="1:7" x14ac:dyDescent="0.25">
      <c r="A66" t="s">
        <v>43</v>
      </c>
      <c r="B66">
        <v>1.6719999999999999</v>
      </c>
      <c r="G66" t="s">
        <v>80</v>
      </c>
    </row>
    <row r="67" spans="1:7" x14ac:dyDescent="0.25">
      <c r="A67" t="s">
        <v>44</v>
      </c>
      <c r="B67">
        <v>0.91700000000000004</v>
      </c>
      <c r="G67" t="s">
        <v>77</v>
      </c>
    </row>
    <row r="68" spans="1:7" x14ac:dyDescent="0.25">
      <c r="A68" t="s">
        <v>46</v>
      </c>
      <c r="B68">
        <v>8.3000000000000004E-2</v>
      </c>
      <c r="G68" t="s">
        <v>76</v>
      </c>
    </row>
    <row r="69" spans="1:7" x14ac:dyDescent="0.25">
      <c r="A69" t="s">
        <v>45</v>
      </c>
      <c r="B69">
        <v>1.083</v>
      </c>
      <c r="G69" t="s">
        <v>75</v>
      </c>
    </row>
    <row r="70" spans="1:7" x14ac:dyDescent="0.25">
      <c r="A70" t="s">
        <v>63</v>
      </c>
      <c r="B70">
        <v>0.67200000000000004</v>
      </c>
      <c r="G70" t="s">
        <v>81</v>
      </c>
    </row>
    <row r="72" spans="1:7" x14ac:dyDescent="0.25">
      <c r="A72" t="s">
        <v>9</v>
      </c>
    </row>
    <row r="73" spans="1:7" x14ac:dyDescent="0.25">
      <c r="A73" t="s">
        <v>10</v>
      </c>
    </row>
    <row r="75" spans="1:7" x14ac:dyDescent="0.25">
      <c r="A75" t="s">
        <v>68</v>
      </c>
    </row>
    <row r="76" spans="1:7" x14ac:dyDescent="0.25">
      <c r="A76" t="s">
        <v>69</v>
      </c>
    </row>
    <row r="77" spans="1:7" x14ac:dyDescent="0.25">
      <c r="A77" t="s">
        <v>70</v>
      </c>
    </row>
    <row r="78" spans="1:7" x14ac:dyDescent="0.25">
      <c r="A78" t="s">
        <v>71</v>
      </c>
    </row>
    <row r="80" spans="1:7" x14ac:dyDescent="0.25">
      <c r="A80" s="38" t="s">
        <v>140</v>
      </c>
      <c r="B80" t="s">
        <v>145</v>
      </c>
    </row>
    <row r="81" spans="1:10" x14ac:dyDescent="0.25">
      <c r="A81" s="38"/>
      <c r="B81" t="s">
        <v>146</v>
      </c>
    </row>
    <row r="83" spans="1:10" x14ac:dyDescent="0.25">
      <c r="A83" s="77" t="s">
        <v>20</v>
      </c>
      <c r="B83" s="77" t="s">
        <v>166</v>
      </c>
      <c r="C83" s="77" t="s">
        <v>167</v>
      </c>
      <c r="D83" s="50" t="s">
        <v>102</v>
      </c>
      <c r="E83" s="77" t="s">
        <v>158</v>
      </c>
      <c r="F83" s="77" t="s">
        <v>159</v>
      </c>
      <c r="G83" s="77" t="s">
        <v>160</v>
      </c>
      <c r="H83" s="77" t="s">
        <v>161</v>
      </c>
      <c r="I83" s="77" t="s">
        <v>168</v>
      </c>
      <c r="J83" s="77" t="s">
        <v>169</v>
      </c>
    </row>
    <row r="84" spans="1:10" x14ac:dyDescent="0.25">
      <c r="A84" s="77" t="s">
        <v>125</v>
      </c>
      <c r="B84" s="78">
        <f t="shared" ref="B84" si="8">C84/2.204623</f>
        <v>0</v>
      </c>
      <c r="C84" s="79">
        <v>0</v>
      </c>
      <c r="D84" s="79">
        <v>4530</v>
      </c>
      <c r="E84" s="79">
        <f>Calculator!$B$11*$B$87</f>
        <v>41942.155749999998</v>
      </c>
      <c r="F84" s="78">
        <f>Calculator!$B$20*$B$87</f>
        <v>20971.077874999999</v>
      </c>
      <c r="G84" s="78">
        <f>Calculator!$B$21*$B$87</f>
        <v>20971.077874999999</v>
      </c>
      <c r="H84" s="78">
        <f>Calculator!$B$29*$B$87</f>
        <v>41942.155749999998</v>
      </c>
      <c r="I84" s="79">
        <v>50</v>
      </c>
      <c r="J84" s="79">
        <v>50</v>
      </c>
    </row>
    <row r="87" spans="1:10" x14ac:dyDescent="0.25">
      <c r="A87" t="s">
        <v>129</v>
      </c>
      <c r="B87">
        <v>2.2046230000000002</v>
      </c>
    </row>
    <row r="89" spans="1:10" x14ac:dyDescent="0.25">
      <c r="A89" s="2" t="s">
        <v>133</v>
      </c>
      <c r="B89" s="2" t="s">
        <v>143</v>
      </c>
    </row>
    <row r="90" spans="1:10" x14ac:dyDescent="0.25">
      <c r="A90" t="s">
        <v>9</v>
      </c>
      <c r="B90">
        <v>-2420</v>
      </c>
    </row>
    <row r="91" spans="1:10" x14ac:dyDescent="0.25">
      <c r="A91" t="s">
        <v>10</v>
      </c>
      <c r="B91">
        <v>-2240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C3"/>
  <sheetViews>
    <sheetView workbookViewId="0">
      <selection activeCell="AN8" sqref="AN8"/>
    </sheetView>
  </sheetViews>
  <sheetFormatPr defaultRowHeight="15" x14ac:dyDescent="0.25"/>
  <cols>
    <col min="1" max="1" width="26.85546875" bestFit="1" customWidth="1"/>
    <col min="2" max="2" width="11" customWidth="1"/>
    <col min="3" max="3" width="15.28515625" customWidth="1"/>
    <col min="4" max="4" width="12" customWidth="1"/>
    <col min="5" max="5" width="16.7109375" customWidth="1"/>
    <col min="7" max="7" width="11.5703125" customWidth="1"/>
    <col min="8" max="9" width="8.28515625" bestFit="1" customWidth="1"/>
    <col min="10" max="10" width="13.140625" customWidth="1"/>
    <col min="12" max="12" width="12.85546875" customWidth="1"/>
    <col min="13" max="13" width="13" customWidth="1"/>
    <col min="14" max="14" width="9" bestFit="1" customWidth="1"/>
    <col min="15" max="15" width="8.5703125" bestFit="1" customWidth="1"/>
    <col min="16" max="16" width="13.28515625" customWidth="1"/>
    <col min="18" max="18" width="12.42578125" bestFit="1" customWidth="1"/>
    <col min="19" max="19" width="15" bestFit="1" customWidth="1"/>
    <col min="20" max="20" width="11.5703125" bestFit="1" customWidth="1"/>
    <col min="21" max="21" width="14.85546875" bestFit="1" customWidth="1"/>
    <col min="24" max="24" width="9" bestFit="1" customWidth="1"/>
    <col min="25" max="25" width="12.42578125" bestFit="1" customWidth="1"/>
    <col min="26" max="26" width="13.28515625" bestFit="1" customWidth="1"/>
    <col min="27" max="27" width="15.7109375" bestFit="1" customWidth="1"/>
    <col min="28" max="28" width="15.140625" bestFit="1" customWidth="1"/>
    <col min="29" max="29" width="15" bestFit="1" customWidth="1"/>
    <col min="30" max="30" width="14.42578125" bestFit="1" customWidth="1"/>
    <col min="32" max="32" width="12.140625" customWidth="1"/>
    <col min="33" max="33" width="10.85546875" customWidth="1"/>
    <col min="34" max="34" width="14.5703125" customWidth="1"/>
    <col min="36" max="36" width="12.85546875" customWidth="1"/>
    <col min="37" max="37" width="12.140625" customWidth="1"/>
    <col min="38" max="38" width="8.42578125" bestFit="1" customWidth="1"/>
    <col min="39" max="39" width="6.42578125" bestFit="1" customWidth="1"/>
    <col min="40" max="40" width="8.42578125" bestFit="1" customWidth="1"/>
    <col min="41" max="41" width="6.42578125" bestFit="1" customWidth="1"/>
    <col min="42" max="42" width="8.42578125" bestFit="1" customWidth="1"/>
    <col min="43" max="43" width="11.42578125" customWidth="1"/>
    <col min="45" max="45" width="8.42578125" bestFit="1" customWidth="1"/>
    <col min="46" max="46" width="6.42578125" bestFit="1" customWidth="1"/>
    <col min="47" max="47" width="8.42578125" bestFit="1" customWidth="1"/>
    <col min="48" max="48" width="6.42578125" bestFit="1" customWidth="1"/>
    <col min="49" max="49" width="8.7109375" bestFit="1" customWidth="1"/>
    <col min="51" max="51" width="8.42578125" bestFit="1" customWidth="1"/>
    <col min="52" max="52" width="6.42578125" bestFit="1" customWidth="1"/>
    <col min="53" max="53" width="8.42578125" bestFit="1" customWidth="1"/>
    <col min="54" max="54" width="6.42578125" bestFit="1" customWidth="1"/>
    <col min="55" max="55" width="8.7109375" bestFit="1" customWidth="1"/>
  </cols>
  <sheetData>
    <row r="1" spans="1:55" x14ac:dyDescent="0.25">
      <c r="K1" s="5"/>
      <c r="L1" s="6"/>
      <c r="M1" s="6"/>
      <c r="N1" s="6"/>
      <c r="O1" s="6"/>
      <c r="P1" s="6"/>
      <c r="Q1" s="6"/>
      <c r="R1" s="133" t="s">
        <v>82</v>
      </c>
      <c r="S1" s="133"/>
      <c r="T1" s="133"/>
      <c r="U1" s="133"/>
      <c r="V1" s="7"/>
      <c r="W1" s="134" t="s">
        <v>83</v>
      </c>
      <c r="X1" s="135"/>
      <c r="Y1" s="134" t="s">
        <v>84</v>
      </c>
      <c r="Z1" s="136"/>
      <c r="AA1" s="136"/>
      <c r="AB1" s="136"/>
      <c r="AC1" s="136"/>
      <c r="AD1" s="135"/>
      <c r="AE1" s="6"/>
      <c r="AF1" s="133" t="s">
        <v>85</v>
      </c>
      <c r="AG1" s="133"/>
      <c r="AH1" s="133"/>
      <c r="AI1" s="8"/>
      <c r="AJ1" s="137" t="s">
        <v>86</v>
      </c>
      <c r="AK1" s="137"/>
      <c r="AL1" s="137"/>
      <c r="AM1" s="137"/>
      <c r="AN1" s="137"/>
      <c r="AO1" s="137"/>
      <c r="AP1" s="137"/>
      <c r="AQ1" s="137"/>
      <c r="AR1" s="8"/>
      <c r="AS1" s="132" t="s">
        <v>87</v>
      </c>
      <c r="AT1" s="132"/>
      <c r="AU1" s="132"/>
      <c r="AV1" s="132"/>
      <c r="AW1" s="132"/>
      <c r="AX1" s="8"/>
      <c r="AY1" s="132" t="s">
        <v>88</v>
      </c>
      <c r="AZ1" s="132"/>
      <c r="BA1" s="132"/>
      <c r="BB1" s="132"/>
      <c r="BC1" s="132"/>
    </row>
    <row r="2" spans="1:55" ht="75" x14ac:dyDescent="0.25">
      <c r="A2" t="s">
        <v>20</v>
      </c>
      <c r="B2" s="9" t="s">
        <v>89</v>
      </c>
      <c r="C2" s="9" t="s">
        <v>90</v>
      </c>
      <c r="D2" s="10" t="s">
        <v>91</v>
      </c>
      <c r="E2" s="10" t="s">
        <v>92</v>
      </c>
      <c r="G2" s="11" t="s">
        <v>93</v>
      </c>
      <c r="H2" s="11" t="s">
        <v>94</v>
      </c>
      <c r="I2" s="11" t="s">
        <v>95</v>
      </c>
      <c r="J2" s="11" t="s">
        <v>96</v>
      </c>
      <c r="K2" s="12"/>
      <c r="L2" s="13" t="s">
        <v>97</v>
      </c>
      <c r="M2" s="13" t="s">
        <v>98</v>
      </c>
      <c r="N2" s="13" t="s">
        <v>99</v>
      </c>
      <c r="O2" s="13" t="s">
        <v>100</v>
      </c>
      <c r="P2" s="13" t="s">
        <v>96</v>
      </c>
      <c r="Q2" s="14"/>
      <c r="R2" s="15" t="s">
        <v>101</v>
      </c>
      <c r="S2" s="15" t="s">
        <v>102</v>
      </c>
      <c r="T2" s="15" t="s">
        <v>103</v>
      </c>
      <c r="U2" s="15" t="s">
        <v>104</v>
      </c>
      <c r="V2" s="14"/>
      <c r="W2" s="16" t="s">
        <v>105</v>
      </c>
      <c r="X2" s="16" t="s">
        <v>106</v>
      </c>
      <c r="Y2" s="15" t="s">
        <v>107</v>
      </c>
      <c r="Z2" s="15" t="s">
        <v>108</v>
      </c>
      <c r="AA2" s="15" t="s">
        <v>109</v>
      </c>
      <c r="AB2" s="15" t="s">
        <v>110</v>
      </c>
      <c r="AC2" s="15" t="s">
        <v>111</v>
      </c>
      <c r="AD2" s="15" t="s">
        <v>112</v>
      </c>
      <c r="AE2" s="14"/>
      <c r="AF2" s="16" t="s">
        <v>113</v>
      </c>
      <c r="AG2" s="16" t="s">
        <v>114</v>
      </c>
      <c r="AH2" s="15" t="s">
        <v>115</v>
      </c>
      <c r="AI2" s="8"/>
      <c r="AJ2" s="17" t="s">
        <v>116</v>
      </c>
      <c r="AK2" s="17" t="s">
        <v>117</v>
      </c>
      <c r="AL2" s="17" t="s">
        <v>118</v>
      </c>
      <c r="AM2" s="17" t="s">
        <v>119</v>
      </c>
      <c r="AN2" s="17" t="s">
        <v>120</v>
      </c>
      <c r="AO2" s="17" t="s">
        <v>119</v>
      </c>
      <c r="AP2" s="17" t="s">
        <v>121</v>
      </c>
      <c r="AQ2" s="17" t="s">
        <v>122</v>
      </c>
      <c r="AR2" s="8"/>
      <c r="AS2" s="18" t="s">
        <v>118</v>
      </c>
      <c r="AT2" s="18" t="s">
        <v>119</v>
      </c>
      <c r="AU2" s="18" t="s">
        <v>120</v>
      </c>
      <c r="AV2" s="18" t="s">
        <v>119</v>
      </c>
      <c r="AW2" s="18" t="s">
        <v>123</v>
      </c>
      <c r="AX2" s="8"/>
      <c r="AY2" s="18" t="s">
        <v>118</v>
      </c>
      <c r="AZ2" s="18" t="s">
        <v>119</v>
      </c>
      <c r="BA2" s="18" t="s">
        <v>120</v>
      </c>
      <c r="BB2" s="18" t="s">
        <v>119</v>
      </c>
      <c r="BC2" s="18" t="s">
        <v>123</v>
      </c>
    </row>
    <row r="3" spans="1:55" x14ac:dyDescent="0.25">
      <c r="A3" t="s">
        <v>170</v>
      </c>
      <c r="B3" s="19">
        <v>249.6</v>
      </c>
      <c r="C3" s="19">
        <v>0.4</v>
      </c>
      <c r="D3" s="20">
        <f t="shared" ref="D3" si="0">E3*C3/100</f>
        <v>76.098554265287063</v>
      </c>
      <c r="E3" s="20">
        <f>Calculator!B11</f>
        <v>19024.638566321766</v>
      </c>
      <c r="F3" s="21"/>
      <c r="G3" s="22">
        <f>Calculator!B9</f>
        <v>19024.638566321766</v>
      </c>
      <c r="H3" s="22">
        <f>G3*0.55</f>
        <v>10463.551211476972</v>
      </c>
      <c r="I3" s="22">
        <f>G3*0.45</f>
        <v>8561.0873548447944</v>
      </c>
      <c r="J3" s="22">
        <f>(I3*3600)/G3</f>
        <v>1619.9999999999998</v>
      </c>
      <c r="K3" s="23"/>
      <c r="L3" s="24">
        <f>H3</f>
        <v>10463.551211476972</v>
      </c>
      <c r="M3" s="24">
        <f>I3</f>
        <v>8561.0873548447944</v>
      </c>
      <c r="N3" s="25">
        <f>L3+M3</f>
        <v>19024.638566321766</v>
      </c>
      <c r="O3" s="24">
        <f>3600</f>
        <v>3600</v>
      </c>
      <c r="P3" s="25">
        <f>(M3*O3)/(N3)</f>
        <v>1619.9999999999998</v>
      </c>
      <c r="Q3" s="26"/>
      <c r="R3" s="24">
        <f>Calculator!B34</f>
        <v>0</v>
      </c>
      <c r="S3" s="24">
        <f>VLOOKUP('Ballasting Tool'!C10,'Data Base'!A84:E84,4,0)</f>
        <v>4530</v>
      </c>
      <c r="T3" s="24">
        <f>D3</f>
        <v>76.098554265287063</v>
      </c>
      <c r="U3" s="24">
        <v>500</v>
      </c>
      <c r="V3" s="26"/>
      <c r="W3" s="25">
        <f>E3</f>
        <v>19024.638566321766</v>
      </c>
      <c r="X3" s="24">
        <f>O3/2</f>
        <v>1800</v>
      </c>
      <c r="Y3" s="25">
        <f>IF((W3-R3-N3)&lt;0,0,(W3-R3-N3))</f>
        <v>0</v>
      </c>
      <c r="Z3" s="25">
        <f>IF(Y3=0,0,((-(N3*P3)-(R3*S3)-((T3*100)*U3)+((W3/2)*O3))/Y3))</f>
        <v>0</v>
      </c>
      <c r="AA3" s="24">
        <f>VLOOKUP('Ballasting Tool'!C8,'Data Base'!A90:B91,2,0)</f>
        <v>-2240</v>
      </c>
      <c r="AB3" s="24">
        <v>3300</v>
      </c>
      <c r="AC3" s="25">
        <f>Calculator!B24</f>
        <v>0</v>
      </c>
      <c r="AD3" s="25">
        <f>Calculator!B25</f>
        <v>0</v>
      </c>
      <c r="AE3" s="26"/>
      <c r="AF3" s="25">
        <f>(N3+R3+AC3+AD3)-AG3</f>
        <v>9406.6268466813199</v>
      </c>
      <c r="AG3" s="25">
        <f>((AC3*AA3)+(N3*P3)+(AD3*AB3)+(R3*S3)+(T3*100*U3))/O3</f>
        <v>9618.0117196404462</v>
      </c>
      <c r="AH3" s="25">
        <f>AF3+AG3</f>
        <v>19024.638566321766</v>
      </c>
      <c r="AI3" s="27">
        <f>E3-AH3</f>
        <v>0</v>
      </c>
      <c r="AJ3" s="20">
        <f>Calculator!B24</f>
        <v>0</v>
      </c>
      <c r="AK3" s="20">
        <f>Calculator!B25</f>
        <v>0</v>
      </c>
      <c r="AL3" s="20">
        <f>(N3+R3+AJ3+AK3)-AN3</f>
        <v>9406.6268466813199</v>
      </c>
      <c r="AM3" s="20">
        <f>AL3/AP3*100</f>
        <v>49.444444444444457</v>
      </c>
      <c r="AN3" s="20">
        <f>((AJ3*AA3)+(N3*P3)+(AK3*AB3)+(R3*S3)+(T3*100*U3))/O3</f>
        <v>9618.0117196404462</v>
      </c>
      <c r="AO3" s="20">
        <f>AN3/AP3*100</f>
        <v>50.555555555555543</v>
      </c>
      <c r="AP3" s="20">
        <f>AN3+AL3</f>
        <v>19024.638566321766</v>
      </c>
      <c r="AQ3" s="28">
        <f>AP3-E3</f>
        <v>0</v>
      </c>
      <c r="AR3" s="27"/>
      <c r="AS3" s="20">
        <f>(N3+R3+AJ3+AK3)-AU3</f>
        <v>10463.551211476974</v>
      </c>
      <c r="AT3" s="20">
        <f>(AS3/AW3)*100</f>
        <v>55.000000000000014</v>
      </c>
      <c r="AU3" s="20">
        <f>((AJ3*AA3)+(N3*P3)+(AK3*AB3)+(R3*S3))/O3</f>
        <v>8561.0873548447926</v>
      </c>
      <c r="AV3" s="20">
        <f>(AU3/AW3)*100</f>
        <v>44.999999999999993</v>
      </c>
      <c r="AW3" s="20">
        <f>AS3+AU3</f>
        <v>19024.638566321766</v>
      </c>
      <c r="AX3" s="27"/>
      <c r="AY3" s="20">
        <f>(N3+AJ3+AK3)-BA3</f>
        <v>10463.551211476974</v>
      </c>
      <c r="AZ3" s="20">
        <f>(AY3/BC3)*100</f>
        <v>55.000000000000014</v>
      </c>
      <c r="BA3" s="20">
        <f>((AJ3*AA3)+(N3*P3)+(AK3*AB3))/O3</f>
        <v>8561.0873548447926</v>
      </c>
      <c r="BB3" s="20">
        <f>(BA3/BC3)*100</f>
        <v>44.999999999999993</v>
      </c>
      <c r="BC3" s="20">
        <f>AY3+BA3</f>
        <v>19024.638566321766</v>
      </c>
    </row>
  </sheetData>
  <mergeCells count="7">
    <mergeCell ref="AY1:BC1"/>
    <mergeCell ref="R1:U1"/>
    <mergeCell ref="W1:X1"/>
    <mergeCell ref="Y1:AD1"/>
    <mergeCell ref="AF1:AH1"/>
    <mergeCell ref="AJ1:AQ1"/>
    <mergeCell ref="AS1:AW1"/>
  </mergeCells>
  <conditionalFormatting sqref="AP3">
    <cfRule type="cellIs" dxfId="8" priority="36" operator="greaterThan">
      <formula>24000</formula>
    </cfRule>
  </conditionalFormatting>
  <conditionalFormatting sqref="AW3">
    <cfRule type="cellIs" dxfId="7" priority="34" operator="greaterThan">
      <formula>24000</formula>
    </cfRule>
  </conditionalFormatting>
  <conditionalFormatting sqref="BC3">
    <cfRule type="cellIs" dxfId="6" priority="32" operator="greaterThan">
      <formula>24000</formula>
    </cfRule>
  </conditionalFormatting>
  <conditionalFormatting sqref="AL3">
    <cfRule type="cellIs" dxfId="5" priority="30" operator="greaterThan">
      <formula>15000</formula>
    </cfRule>
  </conditionalFormatting>
  <conditionalFormatting sqref="AS3">
    <cfRule type="cellIs" dxfId="4" priority="28" operator="greaterThan">
      <formula>15000</formula>
    </cfRule>
  </conditionalFormatting>
  <conditionalFormatting sqref="AU3">
    <cfRule type="cellIs" dxfId="3" priority="26" operator="greaterThan">
      <formula>12000</formula>
    </cfRule>
  </conditionalFormatting>
  <conditionalFormatting sqref="AY3">
    <cfRule type="cellIs" dxfId="2" priority="25" operator="greaterThan">
      <formula>15000</formula>
    </cfRule>
  </conditionalFormatting>
  <conditionalFormatting sqref="BA3">
    <cfRule type="cellIs" dxfId="1" priority="22" operator="greaterThan">
      <formula>12000</formula>
    </cfRule>
  </conditionalFormatting>
  <conditionalFormatting sqref="AN3">
    <cfRule type="cellIs" dxfId="0" priority="20" operator="greaterThan">
      <formula>12000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6"/>
  <sheetViews>
    <sheetView zoomScale="90" zoomScaleNormal="90" workbookViewId="0">
      <selection activeCell="A35" sqref="A35"/>
    </sheetView>
  </sheetViews>
  <sheetFormatPr defaultRowHeight="15" x14ac:dyDescent="0.25"/>
  <cols>
    <col min="1" max="1" width="50.42578125" bestFit="1" customWidth="1"/>
    <col min="2" max="2" width="13.28515625" bestFit="1" customWidth="1"/>
    <col min="5" max="5" width="17.28515625" bestFit="1" customWidth="1"/>
    <col min="7" max="7" width="10.42578125" bestFit="1" customWidth="1"/>
    <col min="8" max="8" width="14.85546875" customWidth="1"/>
    <col min="9" max="9" width="10.42578125" customWidth="1"/>
    <col min="10" max="10" width="17.28515625" bestFit="1" customWidth="1"/>
    <col min="11" max="11" width="10.5703125" bestFit="1" customWidth="1"/>
    <col min="12" max="12" width="10.5703125" customWidth="1"/>
    <col min="14" max="14" width="30.42578125" bestFit="1" customWidth="1"/>
    <col min="15" max="15" width="23" bestFit="1" customWidth="1"/>
  </cols>
  <sheetData>
    <row r="1" spans="1:3" x14ac:dyDescent="0.25">
      <c r="B1" s="2" t="s">
        <v>124</v>
      </c>
      <c r="C1" s="2" t="s">
        <v>14</v>
      </c>
    </row>
    <row r="2" spans="1:3" x14ac:dyDescent="0.25">
      <c r="A2" t="s">
        <v>3</v>
      </c>
      <c r="B2" s="1">
        <f>VLOOKUP('Ballasting Tool'!C2,'Data Base'!A12:C14,2,0)</f>
        <v>13697.126447469702</v>
      </c>
    </row>
    <row r="3" spans="1:3" x14ac:dyDescent="0.25">
      <c r="A3" t="s">
        <v>4</v>
      </c>
      <c r="B3" s="1">
        <f>VLOOKUP('Ballasting Tool'!C3,'Data Base'!A15:C16,2,0)</f>
        <v>0</v>
      </c>
    </row>
    <row r="4" spans="1:3" x14ac:dyDescent="0.25">
      <c r="A4" t="s">
        <v>24</v>
      </c>
      <c r="B4">
        <f>VLOOKUP('Ballasting Tool'!C4,'Data Base'!A3:C9,2,0)</f>
        <v>5077.5121188520661</v>
      </c>
    </row>
    <row r="5" spans="1:3" x14ac:dyDescent="0.25">
      <c r="A5" t="s">
        <v>6</v>
      </c>
      <c r="B5">
        <f>IF('Ballasting Tool'!C6="Yes",491,0)</f>
        <v>0</v>
      </c>
    </row>
    <row r="6" spans="1:3" x14ac:dyDescent="0.25">
      <c r="A6" t="s">
        <v>7</v>
      </c>
      <c r="B6">
        <f>IF('Ballasting Tool'!C7="Yes",250,0)</f>
        <v>250</v>
      </c>
    </row>
    <row r="7" spans="1:3" x14ac:dyDescent="0.25">
      <c r="A7" t="s">
        <v>8</v>
      </c>
      <c r="B7">
        <f>IF('Ballasting Tool'!C8="Yes",164,0)</f>
        <v>0</v>
      </c>
    </row>
    <row r="9" spans="1:3" x14ac:dyDescent="0.25">
      <c r="A9" t="s">
        <v>12</v>
      </c>
      <c r="B9">
        <f>SUM(B2:B7)</f>
        <v>19024.638566321766</v>
      </c>
    </row>
    <row r="11" spans="1:3" x14ac:dyDescent="0.25">
      <c r="A11" t="s">
        <v>13</v>
      </c>
      <c r="B11">
        <f>(VLOOKUP('Ballasting Tool'!C11,'Data Base'!A25:C25,2,0))*(VLOOKUP('Ballasting Tool'!C2,'Data Base'!A19:B21,2,0))</f>
        <v>19024.638566321766</v>
      </c>
    </row>
    <row r="14" spans="1:3" x14ac:dyDescent="0.25">
      <c r="A14" t="s">
        <v>50</v>
      </c>
      <c r="B14" s="4">
        <f>B9*0.55</f>
        <v>10463.551211476972</v>
      </c>
    </row>
    <row r="15" spans="1:3" x14ac:dyDescent="0.25">
      <c r="A15" t="s">
        <v>51</v>
      </c>
      <c r="B15" s="4">
        <f>B9*0.45</f>
        <v>8561.0873548447944</v>
      </c>
    </row>
    <row r="16" spans="1:3" x14ac:dyDescent="0.25">
      <c r="B16" s="4"/>
    </row>
    <row r="17" spans="1:3" x14ac:dyDescent="0.25">
      <c r="A17" t="s">
        <v>130</v>
      </c>
      <c r="B17" s="4">
        <f>VLOOKUP('Ballasting Tool'!C10,'Data Base'!A84:J84,9,0)</f>
        <v>50</v>
      </c>
    </row>
    <row r="18" spans="1:3" x14ac:dyDescent="0.25">
      <c r="A18" t="s">
        <v>131</v>
      </c>
      <c r="B18" s="4">
        <f>VLOOKUP('Ballasting Tool'!C10,'Data Base'!A84:J84,10,0)</f>
        <v>50</v>
      </c>
    </row>
    <row r="19" spans="1:3" x14ac:dyDescent="0.25">
      <c r="B19" s="4"/>
    </row>
    <row r="20" spans="1:3" x14ac:dyDescent="0.25">
      <c r="A20" t="s">
        <v>52</v>
      </c>
      <c r="B20" s="4">
        <f>VLOOKUP('Ballasting Tool'!C10,'Data Base'!A84:J84,9,0)*Calculator!B11/100</f>
        <v>9512.3192831608831</v>
      </c>
    </row>
    <row r="21" spans="1:3" x14ac:dyDescent="0.25">
      <c r="A21" t="s">
        <v>53</v>
      </c>
      <c r="B21" s="4">
        <f>VLOOKUP('Ballasting Tool'!C10,'Data Base'!A84:J84,10,0)*Calculator!B11/100</f>
        <v>9512.3192831608831</v>
      </c>
    </row>
    <row r="22" spans="1:3" x14ac:dyDescent="0.25">
      <c r="B22" s="4"/>
    </row>
    <row r="23" spans="1:3" x14ac:dyDescent="0.25">
      <c r="B23" s="4"/>
    </row>
    <row r="24" spans="1:3" x14ac:dyDescent="0.25">
      <c r="A24" t="s">
        <v>54</v>
      </c>
      <c r="B24" s="4">
        <f>IF('Ballasting Tool'!H9="own weight",'Ballasting Tool'!H10/'Data Base'!B87,IF('Ballasting Tool'!C8="Yes",VLOOKUP('Ballasting Tool'!H9,'Data Base'!A28:E39,4,0),VLOOKUP('Ballasting Tool'!H9,'Data Base'!A28:E39,2,0)))</f>
        <v>0</v>
      </c>
    </row>
    <row r="25" spans="1:3" x14ac:dyDescent="0.25">
      <c r="A25" t="s">
        <v>55</v>
      </c>
      <c r="B25" s="4">
        <f>IF('Ballasting Tool'!Q9="own weight",'Ballasting Tool'!Q10/'Data Base'!B87,VLOOKUP('Ballasting Tool'!Q9,'Data Base'!A42:C56,2,0))</f>
        <v>0</v>
      </c>
    </row>
    <row r="26" spans="1:3" x14ac:dyDescent="0.25">
      <c r="B26" s="4"/>
    </row>
    <row r="27" spans="1:3" x14ac:dyDescent="0.25">
      <c r="A27" t="s">
        <v>48</v>
      </c>
      <c r="B27" s="4">
        <f>IF('Ballasting Tool'!C11="0 mph",Physics!AS3,Physics!AF3)</f>
        <v>10463.551211476974</v>
      </c>
      <c r="C27" s="4">
        <f>B27*2.2046</f>
        <v>23067.945000822136</v>
      </c>
    </row>
    <row r="28" spans="1:3" x14ac:dyDescent="0.25">
      <c r="A28" t="s">
        <v>49</v>
      </c>
      <c r="B28" s="4">
        <f>IF('Ballasting Tool'!C11="0 mph",Physics!AU3,Physics!AG3)</f>
        <v>8561.0873548447926</v>
      </c>
      <c r="C28" s="4">
        <f>B28*2.2046</f>
        <v>18873.77318249083</v>
      </c>
    </row>
    <row r="29" spans="1:3" x14ac:dyDescent="0.25">
      <c r="A29" t="s">
        <v>47</v>
      </c>
      <c r="B29" s="4">
        <f>B27+B28</f>
        <v>19024.638566321766</v>
      </c>
    </row>
    <row r="31" spans="1:3" x14ac:dyDescent="0.25">
      <c r="A31" t="s">
        <v>64</v>
      </c>
      <c r="B31" s="73">
        <f>B27/B29*100</f>
        <v>55.000000000000014</v>
      </c>
    </row>
    <row r="32" spans="1:3" x14ac:dyDescent="0.25">
      <c r="A32" t="s">
        <v>65</v>
      </c>
      <c r="B32" s="73">
        <f>B28/B29*100</f>
        <v>44.999999999999993</v>
      </c>
    </row>
    <row r="34" spans="1:3" x14ac:dyDescent="0.25">
      <c r="A34" t="s">
        <v>151</v>
      </c>
      <c r="B34">
        <f>IF('Ballasting Tool'!C12="Yes",'Ballasting Tool'!C13/'Data Base'!B87,VLOOKUP('Ballasting Tool'!C10,'Data Base'!A84:B84,2,0))</f>
        <v>0</v>
      </c>
    </row>
    <row r="36" spans="1:3" x14ac:dyDescent="0.25">
      <c r="C36" s="8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Ballasting Tool</vt:lpstr>
      <vt:lpstr>Data Base</vt:lpstr>
      <vt:lpstr>Physics</vt:lpstr>
      <vt:lpstr>Calculator</vt:lpstr>
    </vt:vector>
  </TitlesOfParts>
  <Company>CLAAS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bentfe1</dc:creator>
  <cp:lastModifiedBy>Wendorf, Justin</cp:lastModifiedBy>
  <cp:lastPrinted>2015-09-11T20:21:53Z</cp:lastPrinted>
  <dcterms:created xsi:type="dcterms:W3CDTF">2014-11-19T10:51:22Z</dcterms:created>
  <dcterms:modified xsi:type="dcterms:W3CDTF">2015-12-14T19:57:42Z</dcterms:modified>
</cp:coreProperties>
</file>