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7650"/>
  </bookViews>
  <sheets>
    <sheet name="Costo su Base Mensile" sheetId="1" r:id="rId1"/>
    <sheet name="Tabella ORE" sheetId="5" r:id="rId2"/>
  </sheets>
  <calcPr calcId="124519"/>
</workbook>
</file>

<file path=xl/calcChain.xml><?xml version="1.0" encoding="utf-8"?>
<calcChain xmlns="http://schemas.openxmlformats.org/spreadsheetml/2006/main">
  <c r="C161" i="1"/>
  <c r="B148" l="1"/>
  <c r="C149" s="1"/>
  <c r="I12" i="5"/>
  <c r="I11"/>
  <c r="C101" i="1"/>
  <c r="E101" s="1"/>
  <c r="H21" i="5"/>
  <c r="G21"/>
  <c r="F21"/>
  <c r="E21"/>
  <c r="D21"/>
  <c r="C21"/>
  <c r="C22" s="1"/>
  <c r="K58" i="1"/>
  <c r="K61"/>
  <c r="K62"/>
  <c r="K64"/>
  <c r="K65" s="1"/>
  <c r="K67" s="1"/>
  <c r="K66"/>
  <c r="K69"/>
  <c r="K70" s="1"/>
  <c r="K80"/>
  <c r="K81" s="1"/>
  <c r="K82" s="1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56"/>
  <c r="E47"/>
  <c r="C128"/>
  <c r="E128" s="1"/>
  <c r="E42"/>
  <c r="E43"/>
  <c r="E44"/>
  <c r="E45"/>
  <c r="E46"/>
  <c r="E41"/>
  <c r="E93"/>
  <c r="E94"/>
  <c r="E92"/>
  <c r="B100"/>
  <c r="E100" s="1"/>
  <c r="B99"/>
  <c r="E99" s="1"/>
  <c r="B98"/>
  <c r="E98" s="1"/>
  <c r="C133"/>
  <c r="C132"/>
  <c r="E131"/>
  <c r="C97"/>
  <c r="E97" s="1"/>
  <c r="C90"/>
  <c r="E90" s="1"/>
  <c r="C135"/>
  <c r="E135" s="1"/>
  <c r="C136"/>
  <c r="E136" s="1"/>
  <c r="E132"/>
  <c r="E133"/>
  <c r="E137"/>
  <c r="E127"/>
  <c r="C134"/>
  <c r="E134" s="1"/>
  <c r="E124"/>
  <c r="E125"/>
  <c r="E126"/>
  <c r="E89"/>
  <c r="B102" s="1"/>
  <c r="B103" s="1"/>
  <c r="E96"/>
  <c r="E123"/>
  <c r="E115"/>
  <c r="E116"/>
  <c r="E118"/>
  <c r="C120"/>
  <c r="E120" s="1"/>
  <c r="C119"/>
  <c r="E119" s="1"/>
  <c r="C112"/>
  <c r="E112" s="1"/>
  <c r="C111"/>
  <c r="E111" s="1"/>
  <c r="C110"/>
  <c r="E110" s="1"/>
  <c r="C117"/>
  <c r="E117" s="1"/>
  <c r="C114"/>
  <c r="E114" s="1"/>
  <c r="C109"/>
  <c r="E109" s="1"/>
  <c r="C113"/>
  <c r="E113" s="1"/>
  <c r="E108"/>
  <c r="D16"/>
  <c r="D30"/>
  <c r="C30"/>
  <c r="E29"/>
  <c r="D12"/>
  <c r="D18" s="1"/>
  <c r="D21" s="1"/>
  <c r="K71" l="1"/>
  <c r="K72" s="1"/>
  <c r="K73" s="1"/>
  <c r="K75" s="1"/>
  <c r="K76" s="1"/>
  <c r="K77" s="1"/>
  <c r="B138"/>
  <c r="B139" s="1"/>
  <c r="B140" s="1"/>
  <c r="C148"/>
  <c r="C150"/>
  <c r="B84"/>
  <c r="B85" s="1"/>
  <c r="B86" s="1"/>
  <c r="K59"/>
  <c r="J12" i="5"/>
  <c r="J11"/>
  <c r="B104" i="1"/>
  <c r="B48"/>
  <c r="B49" s="1"/>
  <c r="B50" s="1"/>
  <c r="D33"/>
  <c r="D35"/>
  <c r="C33"/>
  <c r="C35"/>
  <c r="E30"/>
  <c r="D20"/>
  <c r="D36" s="1"/>
  <c r="K84" l="1"/>
  <c r="K85" s="1"/>
  <c r="K86" s="1"/>
  <c r="C159" s="1"/>
  <c r="F150"/>
  <c r="J22" i="5"/>
  <c r="C163" i="1"/>
  <c r="E35"/>
  <c r="E33"/>
  <c r="D19"/>
  <c r="D23" s="1"/>
  <c r="D31" s="1"/>
  <c r="C36"/>
  <c r="E36" s="1"/>
  <c r="D22"/>
  <c r="F149" l="1"/>
  <c r="F148"/>
  <c r="D34"/>
  <c r="C34"/>
  <c r="C31"/>
  <c r="B151" l="1"/>
  <c r="B154" s="1"/>
  <c r="B152"/>
  <c r="B153" s="1"/>
  <c r="C160" s="1"/>
  <c r="C164" s="1"/>
  <c r="C176" s="1"/>
  <c r="C178" s="1"/>
  <c r="C179" s="1"/>
  <c r="E31"/>
  <c r="E34"/>
  <c r="C167" l="1"/>
  <c r="C169" s="1"/>
  <c r="C170" s="1"/>
</calcChain>
</file>

<file path=xl/sharedStrings.xml><?xml version="1.0" encoding="utf-8"?>
<sst xmlns="http://schemas.openxmlformats.org/spreadsheetml/2006/main" count="254" uniqueCount="212">
  <si>
    <t>PREZZO</t>
  </si>
  <si>
    <t>Office 2013</t>
  </si>
  <si>
    <t>Visual paradigm</t>
  </si>
  <si>
    <t>Paint</t>
  </si>
  <si>
    <t>Diagram designer</t>
  </si>
  <si>
    <t>MS Project</t>
  </si>
  <si>
    <t>JVM</t>
  </si>
  <si>
    <t>MySQL</t>
  </si>
  <si>
    <t>Git</t>
  </si>
  <si>
    <t>Git Bash</t>
  </si>
  <si>
    <t>Smart git</t>
  </si>
  <si>
    <t>Maven repository</t>
  </si>
  <si>
    <t>Photoshop</t>
  </si>
  <si>
    <t>Pencil</t>
  </si>
  <si>
    <t>Firefox</t>
  </si>
  <si>
    <t>Chorme</t>
  </si>
  <si>
    <t>Safari</t>
  </si>
  <si>
    <t>IE</t>
  </si>
  <si>
    <t>Bootstrap</t>
  </si>
  <si>
    <t>Firebug</t>
  </si>
  <si>
    <t>Javascript</t>
  </si>
  <si>
    <t>JQuery</t>
  </si>
  <si>
    <t>Windows 8.1</t>
  </si>
  <si>
    <t>Windows Vista</t>
  </si>
  <si>
    <t>Maverick</t>
  </si>
  <si>
    <t>Avira</t>
  </si>
  <si>
    <t>Skype</t>
  </si>
  <si>
    <t>Whatsapp</t>
  </si>
  <si>
    <t>Gmail</t>
  </si>
  <si>
    <t>trascorso</t>
  </si>
  <si>
    <t>futuro</t>
  </si>
  <si>
    <t>Per il calcolo dei tempi, sono partito dalla considerazione che non si ha lavorato solo</t>
  </si>
  <si>
    <t>sul progetto di fumetteria, ma almeno su altri 3 progetti (altri esami o  impegni lavorativi)</t>
  </si>
  <si>
    <t>quindi il monte delle ore mensili deve essere suddiviso più o meno tra 4 progetti contemporanei</t>
  </si>
  <si>
    <t>Settimane/mese</t>
  </si>
  <si>
    <t>Totale giorni lavorativi/mese</t>
  </si>
  <si>
    <t xml:space="preserve">Si stima, altresì, che complessivamente vi siano 8 ore al giorno di lavoro ordinario e, </t>
  </si>
  <si>
    <t>mediamente, 12 ore a settimana di lavoro straordinario</t>
  </si>
  <si>
    <t>TEMPI PROGETTO Fumetteria (stima)</t>
  </si>
  <si>
    <t>totale</t>
  </si>
  <si>
    <t>Tempo trascorso (mesi)</t>
  </si>
  <si>
    <t>Mesi/anno</t>
  </si>
  <si>
    <t>Settimane/anno</t>
  </si>
  <si>
    <t>Giorni/anno</t>
  </si>
  <si>
    <t>Giorni lavorativi/settimana</t>
  </si>
  <si>
    <t>Ore ordinarie/giorno</t>
  </si>
  <si>
    <t>Ore straordinarie/settimana</t>
  </si>
  <si>
    <t>Giorni lavorativi ordinari/mese</t>
  </si>
  <si>
    <t>Giorni lavorativi straordinari/mese</t>
  </si>
  <si>
    <t>Progetti in corso contemporaneamente</t>
  </si>
  <si>
    <t>Ore lavoro ordinario</t>
  </si>
  <si>
    <t>Ore lavoro straordinario</t>
  </si>
  <si>
    <t>Giorni lavoro ordinario</t>
  </si>
  <si>
    <t>Giorni lavoro straordinario</t>
  </si>
  <si>
    <t>Tempo progetto (mesi)</t>
  </si>
  <si>
    <t>Tempo progetto (ore)</t>
  </si>
  <si>
    <t>Totale ore lavorative/mese</t>
  </si>
  <si>
    <t>Ore ordinarie/settimana</t>
  </si>
  <si>
    <t>Ore ordinarie/mese</t>
  </si>
  <si>
    <t>Ore straordinarie/mese</t>
  </si>
  <si>
    <t>Retribuzione lorda (euro/anno)</t>
  </si>
  <si>
    <t>A partire da</t>
  </si>
  <si>
    <t xml:space="preserve">fino a </t>
  </si>
  <si>
    <t>Aliquota</t>
  </si>
  <si>
    <t>ALIQUOTE DI IMPOSTA</t>
  </si>
  <si>
    <t>Aliquote e Scaglioni IRPEF</t>
  </si>
  <si>
    <t>Aliquote e Scaglioni Addizionale Regionale FVG(2014-2015)</t>
  </si>
  <si>
    <t>TEMPI LAVORATIVI AZIENDALI I-Trio</t>
  </si>
  <si>
    <t>A titolo esemplificativo: Si considera una retribuzione annua lorda pari a 25000 euro a dipendente</t>
  </si>
  <si>
    <t>Retribuzione netta (euro/anno)</t>
  </si>
  <si>
    <t>Stipendio Netto mensile (euro/mese)</t>
  </si>
  <si>
    <t>Stipendio Lordo mensile (euro/mese)</t>
  </si>
  <si>
    <t>Retribuzione Netta Oraria (euro/ora)</t>
  </si>
  <si>
    <t>Retribuzione Lorda Oraria (euro/ora)</t>
  </si>
  <si>
    <t>Aliquota INPS a carico dipendente</t>
  </si>
  <si>
    <t>Aliquota INPS a carico Ditta</t>
  </si>
  <si>
    <t>COSTO MATERIALI</t>
  </si>
  <si>
    <t>TOTALI PARZIALI</t>
  </si>
  <si>
    <t>QUANTITA'/MESE</t>
  </si>
  <si>
    <t>MATERIALE DI CANCELLERIA</t>
  </si>
  <si>
    <t>CIBO</t>
  </si>
  <si>
    <t>Cialde bevande (200 unità)</t>
  </si>
  <si>
    <t>Cioccolatini (pacco)</t>
  </si>
  <si>
    <t>zucchero (kg)</t>
  </si>
  <si>
    <t>Toner stampante (2000 pg)</t>
  </si>
  <si>
    <t>Carta (500 fogli)</t>
  </si>
  <si>
    <t>Brios (pacco da 10)</t>
  </si>
  <si>
    <t>Biscotti (350 gr)</t>
  </si>
  <si>
    <t>COSTO SERVIZI DI TERZI</t>
  </si>
  <si>
    <t>Costo Affitto</t>
  </si>
  <si>
    <t>ALTRO</t>
  </si>
  <si>
    <t>Carta igienica (pacco da 12)</t>
  </si>
  <si>
    <t>Carta assorbente (500 strappi)</t>
  </si>
  <si>
    <t>Servizio di Pulizia (ore)</t>
  </si>
  <si>
    <t>Salviettine profumate (20 pz)</t>
  </si>
  <si>
    <t>COSTO STRUMENTI HW</t>
  </si>
  <si>
    <t>macchinetta per il caffè</t>
  </si>
  <si>
    <t>PC Elisa Antolli</t>
  </si>
  <si>
    <t>PC Alice Culaon</t>
  </si>
  <si>
    <t>PC Diego Pillon</t>
  </si>
  <si>
    <t>Stampante Laser a colori</t>
  </si>
  <si>
    <t>AMMORTAMENTO MENSILE</t>
  </si>
  <si>
    <t>Questi tempi sono frutto della suddivisione del tempo passato per il numero di progetti in corso</t>
  </si>
  <si>
    <t>Switch/router Wireless</t>
  </si>
  <si>
    <t>Gruppo di continuita 4 Uscite</t>
  </si>
  <si>
    <t>Fornitura Elettricità (mese)</t>
  </si>
  <si>
    <t>Telefono e ADSL (mese)</t>
  </si>
  <si>
    <t>Fornitura Gas Riscaldamento (mese)</t>
  </si>
  <si>
    <t>Fatturazione Digitale Aruba (anno)</t>
  </si>
  <si>
    <t>Firma Digitale Aruba (anno)</t>
  </si>
  <si>
    <t>PEC Aruba (anno)</t>
  </si>
  <si>
    <t>Registrazione Dominio (anno)</t>
  </si>
  <si>
    <t>Google advice (mese)</t>
  </si>
  <si>
    <t>Raccoglitore per Docs (1 pz)</t>
  </si>
  <si>
    <t>Cartellette 3 lembi (3 pz)</t>
  </si>
  <si>
    <t>Buste trasparenti docs (30 pz)</t>
  </si>
  <si>
    <t>Fermagli Zincati (200 pz)</t>
  </si>
  <si>
    <t>Evidenziatori multicolore (4 pz)</t>
  </si>
  <si>
    <t>Post-it (4 pz)</t>
  </si>
  <si>
    <t>Nastro Adesivo (3 pz)</t>
  </si>
  <si>
    <t>Colla Stick (5 pz)</t>
  </si>
  <si>
    <t>Matite (6 pz)</t>
  </si>
  <si>
    <t>Correttore (2 pz)</t>
  </si>
  <si>
    <t>Penne a sfera (3 pz)</t>
  </si>
  <si>
    <t>Acqua (1 L)</t>
  </si>
  <si>
    <t>Detersivo Pavimenti (1 L)</t>
  </si>
  <si>
    <t>Detergente per mani (0,25 L)</t>
  </si>
  <si>
    <t>Detergente per il bagno (0,5 L)</t>
  </si>
  <si>
    <t>Candeggina (2 L)</t>
  </si>
  <si>
    <t>PERIODO DI AMMORTAMENTO (ANNI)</t>
  </si>
  <si>
    <t>COSTI STRUMENTI SW</t>
  </si>
  <si>
    <t>COSTO TOTALE MENSILE GENERALE</t>
  </si>
  <si>
    <t>COSTO TOTALE MENSILE FUMETTERIA</t>
  </si>
  <si>
    <t>COSTO TOTALE FUMETTERIA (stima)</t>
  </si>
  <si>
    <t>TOTALE  COSTO MATERIALE E STRUMENTI FUMETTERIA</t>
  </si>
  <si>
    <t xml:space="preserve">TOTALE  COSTO MANODOPERA FUMETTERIA </t>
  </si>
  <si>
    <t>Nessun famigliare a carico; Nessun altro reddito; qui si considera solo il costo ordinario</t>
  </si>
  <si>
    <t>COSTO MENSILE SINGOLO DIPENDENTE</t>
  </si>
  <si>
    <t>COSTO MENSILE SINGOLO DIPENDENTE FUMETTERIA</t>
  </si>
  <si>
    <t>TOTALE COSTO ANNUO SINGOLO DIPENDENTE</t>
  </si>
  <si>
    <t>MARGINE DI UTILE</t>
  </si>
  <si>
    <t>IVA</t>
  </si>
  <si>
    <t>Aliquota IVA(%)</t>
  </si>
  <si>
    <t>Percentuale di Margine (%)</t>
  </si>
  <si>
    <t>Addizionale ANMIL</t>
  </si>
  <si>
    <t>Aliquota INAIL 2014</t>
  </si>
  <si>
    <t>Minimale INAIL</t>
  </si>
  <si>
    <t>Massimale INAIL</t>
  </si>
  <si>
    <t>mesi</t>
  </si>
  <si>
    <t>settimane</t>
  </si>
  <si>
    <t>giorni</t>
  </si>
  <si>
    <t>ore</t>
  </si>
  <si>
    <t>progetti</t>
  </si>
  <si>
    <t>qualsiasi importo oltre € 15.000</t>
  </si>
  <si>
    <t>qualsiasi importo oltre € 75.000</t>
  </si>
  <si>
    <t xml:space="preserve">COSTO (SINGOLO) DIPENDENTE </t>
  </si>
  <si>
    <t>costo corso sicurezza</t>
  </si>
  <si>
    <t>Bonus 80 (euro/anno)</t>
  </si>
  <si>
    <t>Totale Detrazioni (euro/anno)</t>
  </si>
  <si>
    <t>Imposta Netta (euro/anno)</t>
  </si>
  <si>
    <t>Detrazione da Lavoro Dipendente (euro/anno)</t>
  </si>
  <si>
    <t>Quoziente Detrazioni Lavoro Dipendente (euro/anno)</t>
  </si>
  <si>
    <t>IRPEF (euro/anno)</t>
  </si>
  <si>
    <t>Addizionale Regionale FVG (euro/anno)</t>
  </si>
  <si>
    <t>Imposta Lorda (euro/anno)</t>
  </si>
  <si>
    <t>Contributi previdenziali obbligatori (ditta) (euro/anno)</t>
  </si>
  <si>
    <t>Reddito Imponibile Fiscale = Reddito Complessivo (euro/anno)</t>
  </si>
  <si>
    <t>Contributi previdenziali obbligatori (dipendente) (euro/anno)</t>
  </si>
  <si>
    <t>Premio INAIL (euro/anno)</t>
  </si>
  <si>
    <t>Addizionale ANMIL (euro/anno)</t>
  </si>
  <si>
    <t>Rata Anticipata Premio Dovuto Anno 2014 (versata) (euro/anno)</t>
  </si>
  <si>
    <t>Costo CM</t>
  </si>
  <si>
    <t>DIEGO</t>
  </si>
  <si>
    <t>ELISA</t>
  </si>
  <si>
    <t>ALICE</t>
  </si>
  <si>
    <t>Fatte</t>
  </si>
  <si>
    <t>Da fare</t>
  </si>
  <si>
    <t>CM</t>
  </si>
  <si>
    <t>Design</t>
  </si>
  <si>
    <t>TOTALE:</t>
  </si>
  <si>
    <t>Ore Elisa Antolli</t>
  </si>
  <si>
    <t>Ore Alice Culaon</t>
  </si>
  <si>
    <t>Ore Diego Pillon</t>
  </si>
  <si>
    <t>Costo Totale CM Generale</t>
  </si>
  <si>
    <t>Costo Totale CM Generale in 3 anni</t>
  </si>
  <si>
    <t>Mesi Trascorsi</t>
  </si>
  <si>
    <t>Totale Attività</t>
  </si>
  <si>
    <t>Rapporto Su Totale</t>
  </si>
  <si>
    <t>Altre Att.</t>
  </si>
  <si>
    <t>Attività</t>
  </si>
  <si>
    <t>Costo CM (in 3 anni) Fumetteria</t>
  </si>
  <si>
    <t>Costo CM (in 1 anno) Fumetteria</t>
  </si>
  <si>
    <t>Costo Mensile</t>
  </si>
  <si>
    <t>Rapporto al monte ore</t>
  </si>
  <si>
    <t>COSTO CM</t>
  </si>
  <si>
    <t>e del tempo in cui il costo sostenuto per il CM si va' ad ammortizzare (che si assume sia di tre anni)</t>
  </si>
  <si>
    <t xml:space="preserve">Si è tenuto conto del rapporto tra il monte ore impiegato per fare il CM rispetto al totale delle </t>
  </si>
  <si>
    <t>ore di lavoro (quindi gli effettivi mesi impiegati</t>
  </si>
  <si>
    <t>Quelle del CM Sono da considerarsi tutte ore di straordinario</t>
  </si>
  <si>
    <t>PREZZO SISTEMA FUMETTERIA</t>
  </si>
  <si>
    <t>OFFERTA PREVENTIVO con IVA</t>
  </si>
  <si>
    <t>VERIFICA FUNZIONAMENTO SISTEMA SW</t>
  </si>
  <si>
    <t>FORMAZIONE DEL PERSONALE AZIENDALE</t>
  </si>
  <si>
    <t>VALORE ANNUALE CONTRATTO MANUTENTIVO</t>
  </si>
  <si>
    <t xml:space="preserve">Non forniamo il macchinario HW; diamo solo indicazioni di quale macchina </t>
  </si>
  <si>
    <t xml:space="preserve">annuo del valore di vendita del Sistema. Tale contratto comprenderà tutti i guasti SW </t>
  </si>
  <si>
    <t>OFFERTA PREVENTIVO senza IVA</t>
  </si>
  <si>
    <t>PROPOSTA SISTEMA SW</t>
  </si>
  <si>
    <t>TOTALE CONTRATTO MANUTENTIVO con IVA</t>
  </si>
  <si>
    <t>il cliente si deve procurare; Il sistema sarà ospitato in un web server in affitto</t>
  </si>
  <si>
    <t>MANUTENZIONE MENSILE SW</t>
  </si>
  <si>
    <t>Stimiamo un contratto di Manutenzione pari al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</si>
</sst>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&quot;€&quot;\ #,##0.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8"/>
      <name val="Helvetica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 style="thin">
        <color indexed="8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/>
      <right style="thin">
        <color indexed="8"/>
      </right>
      <top style="double">
        <color indexed="64"/>
      </top>
      <bottom style="thin">
        <color indexed="8"/>
      </bottom>
      <diagonal/>
    </border>
  </borders>
  <cellStyleXfs count="1">
    <xf numFmtId="0" fontId="0" fillId="0" borderId="0"/>
  </cellStyleXfs>
  <cellXfs count="248">
    <xf numFmtId="0" fontId="0" fillId="0" borderId="0" xfId="0"/>
    <xf numFmtId="10" fontId="0" fillId="0" borderId="2" xfId="0" applyNumberFormat="1" applyBorder="1"/>
    <xf numFmtId="0" fontId="0" fillId="0" borderId="0" xfId="0" applyFont="1"/>
    <xf numFmtId="10" fontId="0" fillId="0" borderId="0" xfId="0" applyNumberFormat="1" applyFont="1"/>
    <xf numFmtId="10" fontId="0" fillId="0" borderId="2" xfId="0" applyNumberFormat="1" applyFont="1" applyBorder="1"/>
    <xf numFmtId="0" fontId="1" fillId="2" borderId="1" xfId="0" applyNumberFormat="1" applyFont="1" applyFill="1" applyBorder="1" applyAlignment="1">
      <alignment vertical="top" wrapText="1"/>
    </xf>
    <xf numFmtId="2" fontId="0" fillId="0" borderId="0" xfId="0" applyNumberFormat="1" applyFont="1"/>
    <xf numFmtId="164" fontId="0" fillId="0" borderId="0" xfId="0" applyNumberFormat="1" applyFont="1"/>
    <xf numFmtId="164" fontId="2" fillId="7" borderId="22" xfId="0" applyNumberFormat="1" applyFont="1" applyFill="1" applyBorder="1" applyAlignment="1">
      <alignment horizontal="center" vertical="center" wrapText="1"/>
    </xf>
    <xf numFmtId="164" fontId="2" fillId="7" borderId="23" xfId="0" applyNumberFormat="1" applyFont="1" applyFill="1" applyBorder="1" applyAlignment="1">
      <alignment horizontal="center" vertical="center" wrapText="1"/>
    </xf>
    <xf numFmtId="164" fontId="2" fillId="7" borderId="24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vertical="top" wrapText="1"/>
    </xf>
    <xf numFmtId="164" fontId="5" fillId="0" borderId="17" xfId="0" applyNumberFormat="1" applyFont="1" applyBorder="1" applyAlignment="1">
      <alignment vertical="top" wrapText="1"/>
    </xf>
    <xf numFmtId="2" fontId="3" fillId="5" borderId="2" xfId="0" applyNumberFormat="1" applyFont="1" applyFill="1" applyBorder="1"/>
    <xf numFmtId="2" fontId="1" fillId="2" borderId="12" xfId="0" applyNumberFormat="1" applyFont="1" applyFill="1" applyBorder="1" applyAlignment="1">
      <alignment vertical="top" wrapText="1"/>
    </xf>
    <xf numFmtId="2" fontId="1" fillId="2" borderId="25" xfId="0" applyNumberFormat="1" applyFont="1" applyFill="1" applyBorder="1" applyAlignment="1">
      <alignment vertical="top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applyFont="1" applyFill="1"/>
    <xf numFmtId="2" fontId="1" fillId="2" borderId="1" xfId="0" applyNumberFormat="1" applyFont="1" applyFill="1" applyBorder="1" applyAlignment="1">
      <alignment vertical="top" wrapText="1"/>
    </xf>
    <xf numFmtId="164" fontId="0" fillId="0" borderId="0" xfId="0" applyNumberFormat="1"/>
    <xf numFmtId="0" fontId="1" fillId="2" borderId="3" xfId="0" applyNumberFormat="1" applyFont="1" applyFill="1" applyBorder="1" applyAlignment="1">
      <alignment vertical="top" wrapText="1"/>
    </xf>
    <xf numFmtId="2" fontId="1" fillId="2" borderId="2" xfId="0" applyNumberFormat="1" applyFont="1" applyFill="1" applyBorder="1" applyAlignment="1">
      <alignment vertical="top" wrapText="1"/>
    </xf>
    <xf numFmtId="0" fontId="1" fillId="2" borderId="32" xfId="0" applyNumberFormat="1" applyFont="1" applyFill="1" applyBorder="1" applyAlignment="1">
      <alignment vertical="top" wrapText="1"/>
    </xf>
    <xf numFmtId="2" fontId="6" fillId="3" borderId="27" xfId="0" applyNumberFormat="1" applyFont="1" applyFill="1" applyBorder="1" applyAlignment="1">
      <alignment vertical="top" wrapText="1"/>
    </xf>
    <xf numFmtId="2" fontId="5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/>
    </xf>
    <xf numFmtId="2" fontId="4" fillId="7" borderId="44" xfId="0" applyNumberFormat="1" applyFont="1" applyFill="1" applyBorder="1" applyAlignment="1">
      <alignment horizontal="center" vertical="center" wrapText="1"/>
    </xf>
    <xf numFmtId="2" fontId="4" fillId="7" borderId="45" xfId="0" applyNumberFormat="1" applyFont="1" applyFill="1" applyBorder="1" applyAlignment="1">
      <alignment horizontal="center" vertical="center" wrapText="1"/>
    </xf>
    <xf numFmtId="2" fontId="1" fillId="2" borderId="46" xfId="0" applyNumberFormat="1" applyFont="1" applyFill="1" applyBorder="1" applyAlignment="1">
      <alignment vertical="top" wrapText="1"/>
    </xf>
    <xf numFmtId="2" fontId="4" fillId="7" borderId="49" xfId="0" applyNumberFormat="1" applyFont="1" applyFill="1" applyBorder="1" applyAlignment="1">
      <alignment horizontal="center" vertical="center" wrapText="1"/>
    </xf>
    <xf numFmtId="2" fontId="4" fillId="7" borderId="50" xfId="0" applyNumberFormat="1" applyFont="1" applyFill="1" applyBorder="1" applyAlignment="1">
      <alignment horizontal="center" vertical="center" wrapText="1"/>
    </xf>
    <xf numFmtId="164" fontId="5" fillId="0" borderId="51" xfId="0" applyNumberFormat="1" applyFont="1" applyBorder="1" applyAlignment="1">
      <alignment vertical="top" wrapText="1"/>
    </xf>
    <xf numFmtId="164" fontId="5" fillId="0" borderId="52" xfId="0" applyNumberFormat="1" applyFont="1" applyBorder="1" applyAlignment="1">
      <alignment vertical="top" wrapText="1"/>
    </xf>
    <xf numFmtId="164" fontId="5" fillId="0" borderId="53" xfId="0" applyNumberFormat="1" applyFont="1" applyBorder="1" applyAlignment="1">
      <alignment vertical="top" wrapText="1"/>
    </xf>
    <xf numFmtId="164" fontId="0" fillId="0" borderId="54" xfId="0" applyNumberFormat="1" applyBorder="1"/>
    <xf numFmtId="166" fontId="5" fillId="0" borderId="28" xfId="0" applyNumberFormat="1" applyFont="1" applyBorder="1" applyAlignment="1">
      <alignment horizontal="center" vertical="top" wrapText="1"/>
    </xf>
    <xf numFmtId="166" fontId="5" fillId="0" borderId="33" xfId="0" applyNumberFormat="1" applyFont="1" applyBorder="1" applyAlignment="1">
      <alignment horizontal="center" vertical="top" wrapText="1"/>
    </xf>
    <xf numFmtId="166" fontId="5" fillId="0" borderId="36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166" fontId="0" fillId="0" borderId="2" xfId="0" applyNumberFormat="1" applyFont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 wrapText="1"/>
    </xf>
    <xf numFmtId="164" fontId="5" fillId="0" borderId="13" xfId="0" applyNumberFormat="1" applyFont="1" applyBorder="1" applyAlignment="1">
      <alignment horizontal="right" vertical="top" wrapText="1"/>
    </xf>
    <xf numFmtId="164" fontId="5" fillId="0" borderId="20" xfId="0" applyNumberFormat="1" applyFont="1" applyBorder="1" applyAlignment="1">
      <alignment horizontal="right" vertical="top" wrapText="1"/>
    </xf>
    <xf numFmtId="164" fontId="5" fillId="0" borderId="16" xfId="0" applyNumberFormat="1" applyFont="1" applyBorder="1" applyAlignment="1">
      <alignment horizontal="right" vertical="top" wrapText="1"/>
    </xf>
    <xf numFmtId="164" fontId="5" fillId="0" borderId="17" xfId="0" applyNumberFormat="1" applyFont="1" applyBorder="1" applyAlignment="1">
      <alignment horizontal="right" vertical="top" wrapText="1"/>
    </xf>
    <xf numFmtId="10" fontId="3" fillId="5" borderId="2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0" fontId="0" fillId="0" borderId="0" xfId="0" applyNumberFormat="1" applyFont="1" applyBorder="1"/>
    <xf numFmtId="2" fontId="4" fillId="7" borderId="5" xfId="0" applyNumberFormat="1" applyFont="1" applyFill="1" applyBorder="1" applyAlignment="1">
      <alignment vertical="center" wrapText="1"/>
    </xf>
    <xf numFmtId="2" fontId="4" fillId="7" borderId="7" xfId="0" applyNumberFormat="1" applyFont="1" applyFill="1" applyBorder="1" applyAlignment="1">
      <alignment vertical="center" wrapText="1"/>
    </xf>
    <xf numFmtId="2" fontId="4" fillId="7" borderId="2" xfId="0" applyNumberFormat="1" applyFont="1" applyFill="1" applyBorder="1" applyAlignment="1">
      <alignment vertical="center" wrapText="1"/>
    </xf>
    <xf numFmtId="166" fontId="5" fillId="0" borderId="60" xfId="0" applyNumberFormat="1" applyFont="1" applyBorder="1" applyAlignment="1">
      <alignment horizontal="center" vertical="top" wrapText="1"/>
    </xf>
    <xf numFmtId="2" fontId="1" fillId="2" borderId="61" xfId="0" applyNumberFormat="1" applyFont="1" applyFill="1" applyBorder="1" applyAlignment="1">
      <alignment vertical="top" wrapText="1"/>
    </xf>
    <xf numFmtId="0" fontId="9" fillId="0" borderId="68" xfId="0" applyNumberFormat="1" applyFont="1" applyBorder="1" applyAlignment="1">
      <alignment vertical="top" wrapText="1"/>
    </xf>
    <xf numFmtId="0" fontId="9" fillId="0" borderId="69" xfId="0" applyNumberFormat="1" applyFont="1" applyBorder="1" applyAlignment="1">
      <alignment vertical="top" wrapText="1"/>
    </xf>
    <xf numFmtId="0" fontId="8" fillId="12" borderId="65" xfId="0" applyNumberFormat="1" applyFont="1" applyFill="1" applyBorder="1" applyAlignment="1">
      <alignment horizontal="center" vertical="center" wrapText="1"/>
    </xf>
    <xf numFmtId="0" fontId="9" fillId="12" borderId="65" xfId="0" applyNumberFormat="1" applyFont="1" applyFill="1" applyBorder="1" applyAlignment="1">
      <alignment horizontal="center" vertical="center" wrapText="1"/>
    </xf>
    <xf numFmtId="0" fontId="9" fillId="12" borderId="66" xfId="0" applyNumberFormat="1" applyFont="1" applyFill="1" applyBorder="1" applyAlignment="1">
      <alignment horizontal="center" vertical="center" wrapText="1"/>
    </xf>
    <xf numFmtId="0" fontId="8" fillId="13" borderId="67" xfId="0" applyNumberFormat="1" applyFont="1" applyFill="1" applyBorder="1" applyAlignment="1">
      <alignment vertical="top" wrapText="1"/>
    </xf>
    <xf numFmtId="0" fontId="8" fillId="13" borderId="62" xfId="0" applyNumberFormat="1" applyFont="1" applyFill="1" applyBorder="1" applyAlignment="1">
      <alignment vertical="top" wrapText="1"/>
    </xf>
    <xf numFmtId="0" fontId="9" fillId="0" borderId="70" xfId="0" applyNumberFormat="1" applyFont="1" applyBorder="1" applyAlignment="1">
      <alignment vertical="top" wrapText="1"/>
    </xf>
    <xf numFmtId="0" fontId="9" fillId="0" borderId="71" xfId="0" applyNumberFormat="1" applyFont="1" applyBorder="1" applyAlignment="1">
      <alignment vertical="top" wrapText="1"/>
    </xf>
    <xf numFmtId="3" fontId="9" fillId="0" borderId="58" xfId="0" applyNumberFormat="1" applyFont="1" applyBorder="1" applyAlignment="1">
      <alignment vertical="top" wrapText="1"/>
    </xf>
    <xf numFmtId="3" fontId="9" fillId="0" borderId="57" xfId="0" applyNumberFormat="1" applyFont="1" applyBorder="1" applyAlignment="1">
      <alignment vertical="top" wrapText="1"/>
    </xf>
    <xf numFmtId="3" fontId="9" fillId="0" borderId="72" xfId="0" applyNumberFormat="1" applyFont="1" applyBorder="1" applyAlignment="1">
      <alignment vertical="top" wrapText="1"/>
    </xf>
    <xf numFmtId="3" fontId="9" fillId="0" borderId="73" xfId="0" applyNumberFormat="1" applyFont="1" applyBorder="1" applyAlignment="1">
      <alignment vertical="top" wrapText="1"/>
    </xf>
    <xf numFmtId="0" fontId="8" fillId="0" borderId="73" xfId="0" applyNumberFormat="1" applyFont="1" applyBorder="1" applyAlignment="1">
      <alignment vertical="top" wrapText="1"/>
    </xf>
    <xf numFmtId="0" fontId="9" fillId="0" borderId="72" xfId="0" applyNumberFormat="1" applyFont="1" applyBorder="1" applyAlignment="1">
      <alignment vertical="top" wrapText="1"/>
    </xf>
    <xf numFmtId="0" fontId="9" fillId="0" borderId="73" xfId="0" applyNumberFormat="1" applyFont="1" applyBorder="1" applyAlignment="1">
      <alignment vertical="top" wrapText="1"/>
    </xf>
    <xf numFmtId="0" fontId="8" fillId="0" borderId="77" xfId="0" applyNumberFormat="1" applyFont="1" applyBorder="1" applyAlignment="1">
      <alignment vertical="top" wrapText="1"/>
    </xf>
    <xf numFmtId="3" fontId="10" fillId="0" borderId="76" xfId="0" applyNumberFormat="1" applyFont="1" applyBorder="1" applyAlignment="1">
      <alignment vertical="top" wrapText="1"/>
    </xf>
    <xf numFmtId="3" fontId="10" fillId="0" borderId="75" xfId="0" applyNumberFormat="1" applyFont="1" applyBorder="1" applyAlignment="1">
      <alignment vertical="top" wrapText="1"/>
    </xf>
    <xf numFmtId="3" fontId="10" fillId="0" borderId="77" xfId="0" applyNumberFormat="1" applyFont="1" applyBorder="1" applyAlignment="1">
      <alignment vertical="top" wrapText="1"/>
    </xf>
    <xf numFmtId="3" fontId="10" fillId="0" borderId="74" xfId="0" applyNumberFormat="1" applyFont="1" applyBorder="1" applyAlignment="1">
      <alignment vertical="top" wrapText="1"/>
    </xf>
    <xf numFmtId="0" fontId="9" fillId="0" borderId="76" xfId="0" applyNumberFormat="1" applyFont="1" applyBorder="1" applyAlignment="1">
      <alignment vertical="top" wrapText="1"/>
    </xf>
    <xf numFmtId="0" fontId="9" fillId="0" borderId="77" xfId="0" applyNumberFormat="1" applyFont="1" applyBorder="1" applyAlignment="1">
      <alignment vertical="top" wrapText="1"/>
    </xf>
    <xf numFmtId="3" fontId="9" fillId="0" borderId="78" xfId="0" applyNumberFormat="1" applyFont="1" applyBorder="1" applyAlignment="1">
      <alignment vertical="top" wrapText="1"/>
    </xf>
    <xf numFmtId="3" fontId="9" fillId="0" borderId="79" xfId="0" applyNumberFormat="1" applyFont="1" applyBorder="1" applyAlignment="1">
      <alignment vertical="top" wrapText="1"/>
    </xf>
    <xf numFmtId="3" fontId="9" fillId="0" borderId="80" xfId="0" applyNumberFormat="1" applyFont="1" applyBorder="1" applyAlignment="1">
      <alignment vertical="top" wrapText="1"/>
    </xf>
    <xf numFmtId="3" fontId="9" fillId="0" borderId="81" xfId="0" applyNumberFormat="1" applyFont="1" applyBorder="1" applyAlignment="1">
      <alignment vertical="top" wrapText="1"/>
    </xf>
    <xf numFmtId="3" fontId="9" fillId="0" borderId="82" xfId="0" applyNumberFormat="1" applyFont="1" applyBorder="1" applyAlignment="1">
      <alignment vertical="top" wrapText="1"/>
    </xf>
    <xf numFmtId="3" fontId="9" fillId="0" borderId="35" xfId="0" applyNumberFormat="1" applyFont="1" applyBorder="1" applyAlignment="1">
      <alignment vertical="top" wrapText="1"/>
    </xf>
    <xf numFmtId="3" fontId="9" fillId="0" borderId="83" xfId="0" applyNumberFormat="1" applyFont="1" applyBorder="1" applyAlignment="1">
      <alignment vertical="top" wrapText="1"/>
    </xf>
    <xf numFmtId="3" fontId="9" fillId="0" borderId="29" xfId="0" applyNumberFormat="1" applyFont="1" applyBorder="1" applyAlignment="1">
      <alignment vertical="top" wrapText="1"/>
    </xf>
    <xf numFmtId="3" fontId="9" fillId="0" borderId="85" xfId="0" applyNumberFormat="1" applyFont="1" applyBorder="1" applyAlignment="1">
      <alignment vertical="top" wrapText="1"/>
    </xf>
    <xf numFmtId="0" fontId="8" fillId="0" borderId="86" xfId="0" applyNumberFormat="1" applyFont="1" applyBorder="1" applyAlignment="1">
      <alignment vertical="top" wrapText="1"/>
    </xf>
    <xf numFmtId="0" fontId="8" fillId="13" borderId="84" xfId="0" applyNumberFormat="1" applyFont="1" applyFill="1" applyBorder="1" applyAlignment="1">
      <alignment vertical="top" wrapText="1"/>
    </xf>
    <xf numFmtId="0" fontId="8" fillId="13" borderId="87" xfId="0" applyNumberFormat="1" applyFont="1" applyFill="1" applyBorder="1" applyAlignment="1">
      <alignment vertical="top" wrapText="1"/>
    </xf>
    <xf numFmtId="0" fontId="8" fillId="13" borderId="67" xfId="0" applyNumberFormat="1" applyFont="1" applyFill="1" applyBorder="1" applyAlignment="1">
      <alignment horizontal="right" vertical="top" wrapText="1"/>
    </xf>
    <xf numFmtId="0" fontId="0" fillId="0" borderId="88" xfId="0" applyBorder="1"/>
    <xf numFmtId="2" fontId="1" fillId="2" borderId="91" xfId="0" applyNumberFormat="1" applyFont="1" applyFill="1" applyBorder="1" applyAlignment="1">
      <alignment vertical="top" wrapText="1"/>
    </xf>
    <xf numFmtId="2" fontId="1" fillId="2" borderId="56" xfId="0" applyNumberFormat="1" applyFont="1" applyFill="1" applyBorder="1" applyAlignment="1">
      <alignment vertical="top" wrapText="1"/>
    </xf>
    <xf numFmtId="2" fontId="1" fillId="2" borderId="59" xfId="0" applyNumberFormat="1" applyFont="1" applyFill="1" applyBorder="1" applyAlignment="1">
      <alignment vertical="top" wrapText="1"/>
    </xf>
    <xf numFmtId="2" fontId="6" fillId="3" borderId="5" xfId="0" applyNumberFormat="1" applyFont="1" applyFill="1" applyBorder="1" applyAlignment="1">
      <alignment vertical="top" wrapText="1"/>
    </xf>
    <xf numFmtId="4" fontId="5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7" fillId="0" borderId="35" xfId="0" applyNumberFormat="1" applyFont="1" applyBorder="1" applyAlignment="1">
      <alignment horizontal="center" vertical="top" wrapText="1"/>
    </xf>
    <xf numFmtId="10" fontId="7" fillId="0" borderId="7" xfId="0" applyNumberFormat="1" applyFont="1" applyBorder="1" applyAlignment="1">
      <alignment horizontal="center" vertical="top" wrapText="1"/>
    </xf>
    <xf numFmtId="0" fontId="1" fillId="8" borderId="28" xfId="0" applyNumberFormat="1" applyFont="1" applyFill="1" applyBorder="1" applyAlignment="1">
      <alignment horizontal="left" vertical="top" wrapText="1"/>
    </xf>
    <xf numFmtId="0" fontId="1" fillId="8" borderId="3" xfId="0" applyNumberFormat="1" applyFont="1" applyFill="1" applyBorder="1" applyAlignment="1">
      <alignment horizontal="left" vertical="top" wrapText="1"/>
    </xf>
    <xf numFmtId="0" fontId="1" fillId="8" borderId="38" xfId="0" applyNumberFormat="1" applyFont="1" applyFill="1" applyBorder="1" applyAlignment="1">
      <alignment horizontal="left" vertical="top" wrapText="1"/>
    </xf>
    <xf numFmtId="0" fontId="1" fillId="8" borderId="39" xfId="0" applyNumberFormat="1" applyFont="1" applyFill="1" applyBorder="1" applyAlignment="1">
      <alignment horizontal="left" vertical="top" wrapText="1"/>
    </xf>
    <xf numFmtId="166" fontId="7" fillId="0" borderId="40" xfId="0" applyNumberFormat="1" applyFont="1" applyBorder="1" applyAlignment="1">
      <alignment horizontal="center" vertical="top" wrapText="1"/>
    </xf>
    <xf numFmtId="166" fontId="7" fillId="0" borderId="41" xfId="0" applyNumberFormat="1" applyFont="1" applyBorder="1" applyAlignment="1">
      <alignment horizontal="center" vertical="top" wrapText="1"/>
    </xf>
    <xf numFmtId="0" fontId="6" fillId="3" borderId="92" xfId="0" applyNumberFormat="1" applyFont="1" applyFill="1" applyBorder="1" applyAlignment="1">
      <alignment horizontal="left" vertical="top" wrapText="1"/>
    </xf>
    <xf numFmtId="0" fontId="6" fillId="3" borderId="93" xfId="0" applyNumberFormat="1" applyFont="1" applyFill="1" applyBorder="1" applyAlignment="1">
      <alignment horizontal="left" vertical="top" wrapText="1"/>
    </xf>
    <xf numFmtId="166" fontId="4" fillId="0" borderId="37" xfId="0" applyNumberFormat="1" applyFont="1" applyBorder="1" applyAlignment="1">
      <alignment horizontal="center" vertical="top" wrapText="1"/>
    </xf>
    <xf numFmtId="166" fontId="4" fillId="0" borderId="30" xfId="0" applyNumberFormat="1" applyFont="1" applyBorder="1" applyAlignment="1">
      <alignment horizontal="center" vertical="top" wrapText="1"/>
    </xf>
    <xf numFmtId="2" fontId="4" fillId="7" borderId="5" xfId="0" applyNumberFormat="1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166" fontId="5" fillId="0" borderId="37" xfId="0" applyNumberFormat="1" applyFont="1" applyBorder="1" applyAlignment="1">
      <alignment horizontal="center" vertical="top" wrapText="1"/>
    </xf>
    <xf numFmtId="166" fontId="5" fillId="0" borderId="30" xfId="0" applyNumberFormat="1" applyFont="1" applyBorder="1" applyAlignment="1">
      <alignment horizontal="center" vertical="top" wrapText="1"/>
    </xf>
    <xf numFmtId="0" fontId="4" fillId="7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14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Border="1" applyAlignment="1">
      <alignment horizontal="center" vertical="top" wrapText="1"/>
    </xf>
    <xf numFmtId="0" fontId="1" fillId="3" borderId="15" xfId="0" applyNumberFormat="1" applyFont="1" applyFill="1" applyBorder="1" applyAlignment="1">
      <alignment horizontal="center" vertical="top" wrapText="1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66" fontId="5" fillId="0" borderId="6" xfId="0" applyNumberFormat="1" applyFont="1" applyBorder="1" applyAlignment="1">
      <alignment horizontal="center" vertical="top" wrapText="1"/>
    </xf>
    <xf numFmtId="166" fontId="5" fillId="0" borderId="7" xfId="0" applyNumberFormat="1" applyFont="1" applyBorder="1" applyAlignment="1">
      <alignment horizontal="center" vertical="top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7" borderId="11" xfId="0" applyNumberFormat="1" applyFont="1" applyFill="1" applyBorder="1" applyAlignment="1">
      <alignment horizontal="center" vertical="center" wrapText="1"/>
    </xf>
    <xf numFmtId="2" fontId="4" fillId="7" borderId="21" xfId="0" applyNumberFormat="1" applyFont="1" applyFill="1" applyBorder="1" applyAlignment="1">
      <alignment horizontal="center" vertical="center" wrapText="1"/>
    </xf>
    <xf numFmtId="2" fontId="4" fillId="7" borderId="30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top" wrapText="1"/>
    </xf>
    <xf numFmtId="2" fontId="5" fillId="0" borderId="47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left" vertical="top" wrapText="1"/>
    </xf>
    <xf numFmtId="2" fontId="4" fillId="7" borderId="34" xfId="0" applyNumberFormat="1" applyFont="1" applyFill="1" applyBorder="1" applyAlignment="1">
      <alignment horizontal="center" vertical="center" wrapText="1"/>
    </xf>
    <xf numFmtId="2" fontId="4" fillId="7" borderId="8" xfId="0" applyNumberFormat="1" applyFont="1" applyFill="1" applyBorder="1" applyAlignment="1">
      <alignment horizontal="center" vertical="center" wrapText="1"/>
    </xf>
    <xf numFmtId="2" fontId="4" fillId="7" borderId="32" xfId="0" applyNumberFormat="1" applyFont="1" applyFill="1" applyBorder="1" applyAlignment="1">
      <alignment horizontal="center" vertical="center" wrapText="1"/>
    </xf>
    <xf numFmtId="2" fontId="4" fillId="7" borderId="26" xfId="0" applyNumberFormat="1" applyFont="1" applyFill="1" applyBorder="1" applyAlignment="1">
      <alignment horizontal="center" vertical="center" wrapText="1"/>
    </xf>
    <xf numFmtId="2" fontId="4" fillId="7" borderId="31" xfId="0" applyNumberFormat="1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 vertical="top" wrapText="1"/>
    </xf>
    <xf numFmtId="2" fontId="1" fillId="3" borderId="0" xfId="0" applyNumberFormat="1" applyFont="1" applyFill="1" applyBorder="1" applyAlignment="1">
      <alignment horizontal="center" vertical="top" wrapText="1"/>
    </xf>
    <xf numFmtId="2" fontId="1" fillId="3" borderId="15" xfId="0" applyNumberFormat="1" applyFont="1" applyFill="1" applyBorder="1" applyAlignment="1">
      <alignment horizontal="center" vertical="top" wrapText="1"/>
    </xf>
    <xf numFmtId="0" fontId="2" fillId="8" borderId="2" xfId="0" applyNumberFormat="1" applyFont="1" applyFill="1" applyBorder="1" applyAlignment="1">
      <alignment horizontal="left" vertical="top" wrapText="1"/>
    </xf>
    <xf numFmtId="0" fontId="2" fillId="7" borderId="2" xfId="0" applyNumberFormat="1" applyFont="1" applyFill="1" applyBorder="1" applyAlignment="1">
      <alignment horizontal="center" vertical="center" wrapText="1"/>
    </xf>
    <xf numFmtId="0" fontId="2" fillId="8" borderId="5" xfId="0" applyNumberFormat="1" applyFont="1" applyFill="1" applyBorder="1" applyAlignment="1">
      <alignment horizontal="left" vertical="top" wrapText="1"/>
    </xf>
    <xf numFmtId="0" fontId="2" fillId="8" borderId="7" xfId="0" applyNumberFormat="1" applyFont="1" applyFill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center" vertical="top" wrapText="1"/>
    </xf>
    <xf numFmtId="166" fontId="5" fillId="0" borderId="42" xfId="0" applyNumberFormat="1" applyFont="1" applyBorder="1" applyAlignment="1">
      <alignment horizontal="center" vertical="top" wrapText="1"/>
    </xf>
    <xf numFmtId="166" fontId="5" fillId="0" borderId="29" xfId="0" applyNumberFormat="1" applyFont="1" applyBorder="1" applyAlignment="1">
      <alignment horizontal="center" vertical="top" wrapText="1"/>
    </xf>
    <xf numFmtId="2" fontId="5" fillId="0" borderId="34" xfId="0" applyNumberFormat="1" applyFont="1" applyBorder="1" applyAlignment="1">
      <alignment horizontal="center" vertical="top" wrapText="1"/>
    </xf>
    <xf numFmtId="166" fontId="5" fillId="0" borderId="55" xfId="0" applyNumberFormat="1" applyFont="1" applyBorder="1" applyAlignment="1">
      <alignment horizontal="center" vertical="top" wrapText="1"/>
    </xf>
    <xf numFmtId="166" fontId="5" fillId="0" borderId="43" xfId="0" applyNumberFormat="1" applyFont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2" fontId="5" fillId="0" borderId="7" xfId="0" applyNumberFormat="1" applyFont="1" applyBorder="1" applyAlignment="1">
      <alignment horizontal="center" vertical="top" wrapText="1"/>
    </xf>
    <xf numFmtId="166" fontId="5" fillId="0" borderId="18" xfId="0" applyNumberFormat="1" applyFont="1" applyBorder="1" applyAlignment="1">
      <alignment horizontal="center" vertical="top" wrapText="1"/>
    </xf>
    <xf numFmtId="166" fontId="5" fillId="0" borderId="19" xfId="0" applyNumberFormat="1" applyFont="1" applyBorder="1" applyAlignment="1">
      <alignment horizontal="center" vertical="top" wrapText="1"/>
    </xf>
    <xf numFmtId="0" fontId="4" fillId="7" borderId="5" xfId="0" applyNumberFormat="1" applyFont="1" applyFill="1" applyBorder="1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 wrapText="1"/>
    </xf>
    <xf numFmtId="0" fontId="4" fillId="7" borderId="7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left" vertical="top" wrapText="1"/>
    </xf>
    <xf numFmtId="2" fontId="3" fillId="5" borderId="5" xfId="0" applyNumberFormat="1" applyFont="1" applyFill="1" applyBorder="1" applyAlignment="1">
      <alignment horizontal="left"/>
    </xf>
    <xf numFmtId="2" fontId="3" fillId="5" borderId="6" xfId="0" applyNumberFormat="1" applyFont="1" applyFill="1" applyBorder="1" applyAlignment="1">
      <alignment horizontal="left"/>
    </xf>
    <xf numFmtId="166" fontId="0" fillId="0" borderId="5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2" fontId="3" fillId="5" borderId="7" xfId="0" applyNumberFormat="1" applyFont="1" applyFill="1" applyBorder="1" applyAlignment="1">
      <alignment horizontal="left"/>
    </xf>
    <xf numFmtId="0" fontId="2" fillId="5" borderId="5" xfId="0" applyNumberFormat="1" applyFont="1" applyFill="1" applyBorder="1" applyAlignment="1">
      <alignment horizontal="left" vertical="top" wrapText="1"/>
    </xf>
    <xf numFmtId="0" fontId="2" fillId="5" borderId="6" xfId="0" applyNumberFormat="1" applyFont="1" applyFill="1" applyBorder="1" applyAlignment="1">
      <alignment horizontal="left" vertical="top" wrapText="1"/>
    </xf>
    <xf numFmtId="0" fontId="2" fillId="5" borderId="7" xfId="0" applyNumberFormat="1" applyFont="1" applyFill="1" applyBorder="1" applyAlignment="1">
      <alignment horizontal="left" vertical="top" wrapText="1"/>
    </xf>
    <xf numFmtId="0" fontId="2" fillId="5" borderId="21" xfId="0" applyNumberFormat="1" applyFont="1" applyFill="1" applyBorder="1" applyAlignment="1">
      <alignment horizontal="left" vertical="top" wrapText="1"/>
    </xf>
    <xf numFmtId="0" fontId="2" fillId="5" borderId="48" xfId="0" applyNumberFormat="1" applyFont="1" applyFill="1" applyBorder="1" applyAlignment="1">
      <alignment horizontal="left" vertical="top" wrapText="1"/>
    </xf>
    <xf numFmtId="0" fontId="2" fillId="5" borderId="30" xfId="0" applyNumberFormat="1" applyFont="1" applyFill="1" applyBorder="1" applyAlignment="1">
      <alignment horizontal="left" vertical="top" wrapText="1"/>
    </xf>
    <xf numFmtId="0" fontId="6" fillId="6" borderId="2" xfId="0" applyNumberFormat="1" applyFont="1" applyFill="1" applyBorder="1" applyAlignment="1">
      <alignment horizontal="left" vertical="top" wrapText="1"/>
    </xf>
    <xf numFmtId="166" fontId="2" fillId="0" borderId="3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6" fontId="5" fillId="0" borderId="40" xfId="0" applyNumberFormat="1" applyFont="1" applyBorder="1" applyAlignment="1">
      <alignment horizontal="center" vertical="top" wrapText="1"/>
    </xf>
    <xf numFmtId="166" fontId="5" fillId="0" borderId="41" xfId="0" applyNumberFormat="1" applyFont="1" applyBorder="1" applyAlignment="1">
      <alignment horizontal="center" vertical="top" wrapText="1"/>
    </xf>
    <xf numFmtId="0" fontId="1" fillId="8" borderId="36" xfId="0" applyNumberFormat="1" applyFont="1" applyFill="1" applyBorder="1" applyAlignment="1">
      <alignment horizontal="left" vertical="top" wrapText="1"/>
    </xf>
    <xf numFmtId="0" fontId="1" fillId="8" borderId="4" xfId="0" applyNumberFormat="1" applyFont="1" applyFill="1" applyBorder="1" applyAlignment="1">
      <alignment horizontal="left" vertical="top" wrapText="1"/>
    </xf>
    <xf numFmtId="0" fontId="1" fillId="8" borderId="57" xfId="0" applyNumberFormat="1" applyFont="1" applyFill="1" applyBorder="1" applyAlignment="1">
      <alignment horizontal="left" vertical="top" wrapText="1"/>
    </xf>
    <xf numFmtId="0" fontId="1" fillId="8" borderId="58" xfId="0" applyNumberFormat="1" applyFont="1" applyFill="1" applyBorder="1" applyAlignment="1">
      <alignment horizontal="left" vertical="top" wrapText="1"/>
    </xf>
    <xf numFmtId="0" fontId="6" fillId="3" borderId="28" xfId="0" applyNumberFormat="1" applyFont="1" applyFill="1" applyBorder="1" applyAlignment="1">
      <alignment horizontal="left" vertical="top" wrapText="1"/>
    </xf>
    <xf numFmtId="0" fontId="6" fillId="3" borderId="3" xfId="0" applyNumberFormat="1" applyFont="1" applyFill="1" applyBorder="1" applyAlignment="1">
      <alignment horizontal="left" vertical="top" wrapText="1"/>
    </xf>
    <xf numFmtId="166" fontId="5" fillId="0" borderId="2" xfId="0" applyNumberFormat="1" applyFont="1" applyBorder="1" applyAlignment="1">
      <alignment horizontal="center" vertical="top" wrapText="1"/>
    </xf>
    <xf numFmtId="0" fontId="1" fillId="8" borderId="5" xfId="0" applyNumberFormat="1" applyFont="1" applyFill="1" applyBorder="1" applyAlignment="1">
      <alignment horizontal="left" vertical="top" wrapText="1"/>
    </xf>
    <xf numFmtId="0" fontId="1" fillId="8" borderId="7" xfId="0" applyNumberFormat="1" applyFont="1" applyFill="1" applyBorder="1" applyAlignment="1">
      <alignment horizontal="left" vertical="top" wrapText="1"/>
    </xf>
    <xf numFmtId="166" fontId="5" fillId="0" borderId="35" xfId="0" applyNumberFormat="1" applyFont="1" applyBorder="1" applyAlignment="1">
      <alignment horizontal="center" vertical="top" wrapText="1"/>
    </xf>
    <xf numFmtId="166" fontId="5" fillId="0" borderId="10" xfId="0" applyNumberFormat="1" applyFont="1" applyBorder="1" applyAlignment="1">
      <alignment horizontal="center" vertical="top" wrapText="1"/>
    </xf>
    <xf numFmtId="166" fontId="5" fillId="0" borderId="11" xfId="0" applyNumberFormat="1" applyFont="1" applyBorder="1" applyAlignment="1">
      <alignment horizontal="center" vertical="top" wrapText="1"/>
    </xf>
    <xf numFmtId="166" fontId="5" fillId="0" borderId="48" xfId="0" applyNumberFormat="1" applyFont="1" applyBorder="1" applyAlignment="1">
      <alignment horizontal="center" vertical="top" wrapText="1"/>
    </xf>
    <xf numFmtId="2" fontId="4" fillId="7" borderId="10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6" fontId="5" fillId="0" borderId="57" xfId="0" applyNumberFormat="1" applyFont="1" applyBorder="1" applyAlignment="1">
      <alignment horizontal="center" vertical="top" wrapText="1"/>
    </xf>
    <xf numFmtId="166" fontId="5" fillId="0" borderId="15" xfId="0" applyNumberFormat="1" applyFont="1" applyBorder="1" applyAlignment="1">
      <alignment horizontal="center" vertical="top" wrapText="1"/>
    </xf>
    <xf numFmtId="166" fontId="5" fillId="0" borderId="5" xfId="0" applyNumberFormat="1" applyFont="1" applyBorder="1" applyAlignment="1">
      <alignment horizontal="center" vertical="top" wrapText="1"/>
    </xf>
    <xf numFmtId="2" fontId="1" fillId="10" borderId="5" xfId="0" applyNumberFormat="1" applyFont="1" applyFill="1" applyBorder="1" applyAlignment="1">
      <alignment horizontal="left" vertical="top" wrapText="1"/>
    </xf>
    <xf numFmtId="2" fontId="1" fillId="10" borderId="7" xfId="0" applyNumberFormat="1" applyFont="1" applyFill="1" applyBorder="1" applyAlignment="1">
      <alignment horizontal="left" vertical="top" wrapText="1"/>
    </xf>
    <xf numFmtId="2" fontId="1" fillId="2" borderId="5" xfId="0" applyNumberFormat="1" applyFont="1" applyFill="1" applyBorder="1" applyAlignment="1">
      <alignment horizontal="left" vertical="top" wrapText="1"/>
    </xf>
    <xf numFmtId="2" fontId="1" fillId="2" borderId="7" xfId="0" applyNumberFormat="1" applyFont="1" applyFill="1" applyBorder="1" applyAlignment="1">
      <alignment horizontal="left" vertical="top" wrapText="1"/>
    </xf>
    <xf numFmtId="166" fontId="0" fillId="0" borderId="5" xfId="0" applyNumberFormat="1" applyFont="1" applyFill="1" applyBorder="1" applyAlignment="1">
      <alignment horizontal="center"/>
    </xf>
    <xf numFmtId="166" fontId="0" fillId="0" borderId="7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horizontal="center" vertical="top" wrapText="1"/>
    </xf>
    <xf numFmtId="2" fontId="0" fillId="0" borderId="5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2" fillId="7" borderId="5" xfId="0" applyNumberFormat="1" applyFont="1" applyFill="1" applyBorder="1" applyAlignment="1">
      <alignment horizontal="center" vertical="center" wrapText="1"/>
    </xf>
    <xf numFmtId="2" fontId="2" fillId="7" borderId="6" xfId="0" applyNumberFormat="1" applyFont="1" applyFill="1" applyBorder="1" applyAlignment="1">
      <alignment horizontal="center" vertical="center" wrapText="1"/>
    </xf>
    <xf numFmtId="2" fontId="2" fillId="7" borderId="7" xfId="0" applyNumberFormat="1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 vertical="top" wrapText="1"/>
    </xf>
    <xf numFmtId="166" fontId="4" fillId="0" borderId="7" xfId="0" applyNumberFormat="1" applyFont="1" applyBorder="1" applyAlignment="1">
      <alignment horizontal="center" vertical="top" wrapText="1"/>
    </xf>
    <xf numFmtId="166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2" fontId="6" fillId="3" borderId="5" xfId="0" applyNumberFormat="1" applyFont="1" applyFill="1" applyBorder="1" applyAlignment="1">
      <alignment horizontal="left" vertical="top" wrapText="1"/>
    </xf>
    <xf numFmtId="2" fontId="6" fillId="3" borderId="7" xfId="0" applyNumberFormat="1" applyFont="1" applyFill="1" applyBorder="1" applyAlignment="1">
      <alignment horizontal="left" vertical="top" wrapText="1"/>
    </xf>
    <xf numFmtId="2" fontId="1" fillId="9" borderId="5" xfId="0" applyNumberFormat="1" applyFont="1" applyFill="1" applyBorder="1" applyAlignment="1">
      <alignment horizontal="left" vertical="top" wrapText="1"/>
    </xf>
    <xf numFmtId="2" fontId="1" fillId="9" borderId="7" xfId="0" applyNumberFormat="1" applyFont="1" applyFill="1" applyBorder="1" applyAlignment="1">
      <alignment horizontal="left" vertical="top" wrapText="1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5" fontId="1" fillId="2" borderId="5" xfId="0" applyNumberFormat="1" applyFont="1" applyFill="1" applyBorder="1" applyAlignment="1">
      <alignment horizontal="left" vertical="top" wrapText="1"/>
    </xf>
    <xf numFmtId="165" fontId="1" fillId="2" borderId="7" xfId="0" applyNumberFormat="1" applyFont="1" applyFill="1" applyBorder="1" applyAlignment="1">
      <alignment horizontal="left" vertical="top" wrapText="1"/>
    </xf>
    <xf numFmtId="2" fontId="1" fillId="11" borderId="5" xfId="0" applyNumberFormat="1" applyFont="1" applyFill="1" applyBorder="1" applyAlignment="1">
      <alignment horizontal="left" vertical="top" wrapText="1"/>
    </xf>
    <xf numFmtId="2" fontId="1" fillId="11" borderId="7" xfId="0" applyNumberFormat="1" applyFont="1" applyFill="1" applyBorder="1" applyAlignment="1">
      <alignment horizontal="left" vertical="top" wrapText="1"/>
    </xf>
    <xf numFmtId="4" fontId="5" fillId="0" borderId="2" xfId="0" applyNumberFormat="1" applyFont="1" applyBorder="1" applyAlignment="1">
      <alignment horizontal="center" vertical="top" wrapText="1"/>
    </xf>
    <xf numFmtId="166" fontId="4" fillId="0" borderId="2" xfId="0" applyNumberFormat="1" applyFont="1" applyBorder="1" applyAlignment="1">
      <alignment horizontal="center" vertical="top" wrapText="1"/>
    </xf>
    <xf numFmtId="0" fontId="8" fillId="12" borderId="65" xfId="0" applyNumberFormat="1" applyFont="1" applyFill="1" applyBorder="1" applyAlignment="1">
      <alignment horizontal="center" vertical="center" wrapText="1"/>
    </xf>
    <xf numFmtId="0" fontId="8" fillId="12" borderId="66" xfId="0" applyNumberFormat="1" applyFont="1" applyFill="1" applyBorder="1" applyAlignment="1">
      <alignment vertical="center" wrapText="1"/>
    </xf>
    <xf numFmtId="0" fontId="8" fillId="12" borderId="64" xfId="0" applyNumberFormat="1" applyFont="1" applyFill="1" applyBorder="1" applyAlignment="1">
      <alignment vertical="center" wrapText="1"/>
    </xf>
    <xf numFmtId="3" fontId="8" fillId="0" borderId="89" xfId="0" applyNumberFormat="1" applyFont="1" applyBorder="1" applyAlignment="1">
      <alignment horizontal="right" vertical="top" wrapText="1"/>
    </xf>
    <xf numFmtId="3" fontId="8" fillId="0" borderId="90" xfId="0" applyNumberFormat="1" applyFont="1" applyBorder="1" applyAlignment="1">
      <alignment horizontal="right" vertical="top" wrapText="1"/>
    </xf>
    <xf numFmtId="3" fontId="8" fillId="0" borderId="6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2"/>
  <sheetViews>
    <sheetView tabSelected="1" topLeftCell="A151" zoomScale="75" zoomScaleNormal="75" workbookViewId="0">
      <selection activeCell="C148" sqref="C148:E148"/>
    </sheetView>
  </sheetViews>
  <sheetFormatPr defaultRowHeight="15" customHeight="1"/>
  <cols>
    <col min="1" max="1" width="32.85546875" style="2" customWidth="1"/>
    <col min="2" max="2" width="14.42578125" style="2" customWidth="1"/>
    <col min="3" max="3" width="14.28515625" style="7" customWidth="1"/>
    <col min="4" max="4" width="12" style="7" customWidth="1"/>
    <col min="5" max="5" width="11.7109375" style="7" customWidth="1"/>
    <col min="6" max="6" width="10.42578125" style="2" customWidth="1"/>
    <col min="7" max="7" width="3.42578125" style="2" customWidth="1"/>
    <col min="8" max="8" width="5.5703125" style="2" customWidth="1"/>
    <col min="9" max="9" width="48.140625" style="6" customWidth="1"/>
    <col min="10" max="10" width="29.5703125" style="6" customWidth="1"/>
    <col min="11" max="11" width="8.28515625" style="6" customWidth="1"/>
    <col min="12" max="12" width="8.7109375" style="3" customWidth="1"/>
    <col min="13" max="13" width="7.42578125" style="2" customWidth="1"/>
    <col min="14" max="14" width="5.7109375" style="2" customWidth="1"/>
    <col min="15" max="16384" width="9.140625" style="2"/>
  </cols>
  <sheetData>
    <row r="1" spans="1:12" ht="15" customHeight="1">
      <c r="A1" s="2" t="s">
        <v>31</v>
      </c>
    </row>
    <row r="2" spans="1:12" ht="15" customHeight="1">
      <c r="A2" s="2" t="s">
        <v>32</v>
      </c>
      <c r="I2" s="162" t="s">
        <v>64</v>
      </c>
      <c r="J2" s="163"/>
      <c r="K2" s="163"/>
      <c r="L2" s="164"/>
    </row>
    <row r="3" spans="1:12" ht="15" customHeight="1">
      <c r="A3" s="2" t="s">
        <v>33</v>
      </c>
      <c r="I3" s="165" t="s">
        <v>65</v>
      </c>
      <c r="J3" s="166"/>
      <c r="K3" s="166"/>
      <c r="L3" s="167"/>
    </row>
    <row r="4" spans="1:12" ht="15" customHeight="1">
      <c r="A4" s="2" t="s">
        <v>36</v>
      </c>
      <c r="I4" s="13" t="s">
        <v>61</v>
      </c>
      <c r="J4" s="171" t="s">
        <v>62</v>
      </c>
      <c r="K4" s="175"/>
      <c r="L4" s="48" t="s">
        <v>63</v>
      </c>
    </row>
    <row r="5" spans="1:12" ht="15" customHeight="1">
      <c r="A5" s="2" t="s">
        <v>37</v>
      </c>
      <c r="I5" s="40">
        <v>0</v>
      </c>
      <c r="J5" s="173">
        <v>15000</v>
      </c>
      <c r="K5" s="174"/>
      <c r="L5" s="4">
        <v>0.23</v>
      </c>
    </row>
    <row r="6" spans="1:12" ht="15" customHeight="1">
      <c r="I6" s="40">
        <v>15001</v>
      </c>
      <c r="J6" s="173">
        <v>28000</v>
      </c>
      <c r="K6" s="174"/>
      <c r="L6" s="4">
        <v>0.27</v>
      </c>
    </row>
    <row r="7" spans="1:12" ht="15" customHeight="1">
      <c r="A7" s="119" t="s">
        <v>67</v>
      </c>
      <c r="B7" s="119"/>
      <c r="C7" s="119"/>
      <c r="D7" s="119"/>
      <c r="E7" s="119"/>
      <c r="I7" s="40">
        <v>28001</v>
      </c>
      <c r="J7" s="173">
        <v>55000</v>
      </c>
      <c r="K7" s="174"/>
      <c r="L7" s="4">
        <v>0.38</v>
      </c>
    </row>
    <row r="8" spans="1:12" ht="15" customHeight="1">
      <c r="A8" s="120"/>
      <c r="B8" s="120"/>
      <c r="C8" s="120"/>
      <c r="D8" s="120"/>
      <c r="E8" s="120"/>
      <c r="I8" s="41">
        <v>55001</v>
      </c>
      <c r="J8" s="211">
        <v>75000</v>
      </c>
      <c r="K8" s="212"/>
      <c r="L8" s="4">
        <v>0.41</v>
      </c>
    </row>
    <row r="9" spans="1:12" ht="15" customHeight="1">
      <c r="A9" s="179" t="s">
        <v>41</v>
      </c>
      <c r="B9" s="180"/>
      <c r="C9" s="181"/>
      <c r="D9" s="32">
        <v>12</v>
      </c>
      <c r="E9" s="35" t="s">
        <v>148</v>
      </c>
      <c r="I9" s="40">
        <v>75001</v>
      </c>
      <c r="J9" s="202" t="s">
        <v>154</v>
      </c>
      <c r="K9" s="203"/>
      <c r="L9" s="4">
        <v>0.43</v>
      </c>
    </row>
    <row r="10" spans="1:12" ht="15" customHeight="1">
      <c r="A10" s="176" t="s">
        <v>42</v>
      </c>
      <c r="B10" s="177"/>
      <c r="C10" s="178"/>
      <c r="D10" s="33">
        <v>52</v>
      </c>
      <c r="E10" s="35" t="s">
        <v>149</v>
      </c>
      <c r="I10" s="216"/>
      <c r="J10" s="217"/>
      <c r="K10" s="217"/>
      <c r="L10" s="218"/>
    </row>
    <row r="11" spans="1:12" ht="15" customHeight="1">
      <c r="A11" s="176" t="s">
        <v>43</v>
      </c>
      <c r="B11" s="177"/>
      <c r="C11" s="178"/>
      <c r="D11" s="33">
        <v>365</v>
      </c>
      <c r="E11" s="35" t="s">
        <v>150</v>
      </c>
      <c r="I11" s="171" t="s">
        <v>74</v>
      </c>
      <c r="J11" s="172"/>
      <c r="K11" s="175"/>
      <c r="L11" s="4">
        <v>9.1899999999999996E-2</v>
      </c>
    </row>
    <row r="12" spans="1:12" ht="15" customHeight="1">
      <c r="A12" s="176" t="s">
        <v>34</v>
      </c>
      <c r="B12" s="177"/>
      <c r="C12" s="178"/>
      <c r="D12" s="33">
        <f>D10/D9</f>
        <v>4.333333333333333</v>
      </c>
      <c r="E12" s="35" t="s">
        <v>149</v>
      </c>
      <c r="I12" s="171" t="s">
        <v>75</v>
      </c>
      <c r="J12" s="172"/>
      <c r="K12" s="175"/>
      <c r="L12" s="1">
        <v>0.32700000000000001</v>
      </c>
    </row>
    <row r="13" spans="1:12" ht="15" customHeight="1">
      <c r="A13" s="121"/>
      <c r="B13" s="122"/>
      <c r="C13" s="122"/>
      <c r="D13" s="122"/>
      <c r="E13" s="123"/>
      <c r="I13" s="216"/>
      <c r="J13" s="217"/>
      <c r="K13" s="217"/>
      <c r="L13" s="218"/>
    </row>
    <row r="14" spans="1:12" ht="15" customHeight="1">
      <c r="A14" s="138" t="s">
        <v>44</v>
      </c>
      <c r="B14" s="138"/>
      <c r="C14" s="138"/>
      <c r="D14" s="33">
        <v>5</v>
      </c>
      <c r="E14" s="35" t="s">
        <v>150</v>
      </c>
      <c r="I14" s="165" t="s">
        <v>66</v>
      </c>
      <c r="J14" s="166"/>
      <c r="K14" s="166"/>
      <c r="L14" s="167"/>
    </row>
    <row r="15" spans="1:12" ht="15" customHeight="1">
      <c r="A15" s="138" t="s">
        <v>45</v>
      </c>
      <c r="B15" s="138"/>
      <c r="C15" s="138"/>
      <c r="D15" s="33">
        <v>8</v>
      </c>
      <c r="E15" s="35" t="s">
        <v>151</v>
      </c>
      <c r="I15" s="13" t="s">
        <v>61</v>
      </c>
      <c r="J15" s="171" t="s">
        <v>62</v>
      </c>
      <c r="K15" s="175"/>
      <c r="L15" s="48" t="s">
        <v>63</v>
      </c>
    </row>
    <row r="16" spans="1:12" ht="15" customHeight="1">
      <c r="A16" s="138" t="s">
        <v>57</v>
      </c>
      <c r="B16" s="138"/>
      <c r="C16" s="138"/>
      <c r="D16" s="33">
        <f>D15*D14</f>
        <v>40</v>
      </c>
      <c r="E16" s="35" t="s">
        <v>151</v>
      </c>
      <c r="I16" s="40">
        <v>0</v>
      </c>
      <c r="J16" s="173">
        <v>15000</v>
      </c>
      <c r="K16" s="174"/>
      <c r="L16" s="4">
        <v>7.0000000000000001E-3</v>
      </c>
    </row>
    <row r="17" spans="1:12" ht="15" customHeight="1">
      <c r="A17" s="168" t="s">
        <v>46</v>
      </c>
      <c r="B17" s="169"/>
      <c r="C17" s="170"/>
      <c r="D17" s="33">
        <v>12</v>
      </c>
      <c r="E17" s="35" t="s">
        <v>151</v>
      </c>
      <c r="I17" s="40">
        <v>15001</v>
      </c>
      <c r="J17" s="202" t="s">
        <v>153</v>
      </c>
      <c r="K17" s="203"/>
      <c r="L17" s="4">
        <v>1.23E-2</v>
      </c>
    </row>
    <row r="18" spans="1:12" ht="15" customHeight="1">
      <c r="A18" s="138" t="s">
        <v>47</v>
      </c>
      <c r="B18" s="138"/>
      <c r="C18" s="138"/>
      <c r="D18" s="33">
        <f>CEILING(D12*D14, 1)</f>
        <v>22</v>
      </c>
      <c r="E18" s="35" t="s">
        <v>150</v>
      </c>
      <c r="I18" s="216"/>
      <c r="J18" s="217"/>
      <c r="K18" s="217"/>
      <c r="L18" s="218"/>
    </row>
    <row r="19" spans="1:12" ht="15" customHeight="1">
      <c r="A19" s="138" t="s">
        <v>35</v>
      </c>
      <c r="B19" s="138"/>
      <c r="C19" s="138"/>
      <c r="D19" s="33">
        <f>D18+D20</f>
        <v>29</v>
      </c>
      <c r="E19" s="35" t="s">
        <v>150</v>
      </c>
      <c r="I19" s="171" t="s">
        <v>145</v>
      </c>
      <c r="J19" s="172"/>
      <c r="K19" s="175"/>
      <c r="L19" s="4">
        <v>2.8000000000000001E-2</v>
      </c>
    </row>
    <row r="20" spans="1:12" ht="15" customHeight="1">
      <c r="A20" s="138" t="s">
        <v>48</v>
      </c>
      <c r="B20" s="138"/>
      <c r="C20" s="138"/>
      <c r="D20" s="33">
        <f>CEILING(D17*D12/D15,1)</f>
        <v>7</v>
      </c>
      <c r="E20" s="35" t="s">
        <v>150</v>
      </c>
      <c r="I20" s="171" t="s">
        <v>144</v>
      </c>
      <c r="J20" s="172"/>
      <c r="K20" s="175"/>
      <c r="L20" s="1">
        <v>0.01</v>
      </c>
    </row>
    <row r="21" spans="1:12" ht="15" customHeight="1">
      <c r="A21" s="138" t="s">
        <v>58</v>
      </c>
      <c r="B21" s="138"/>
      <c r="C21" s="138"/>
      <c r="D21" s="33">
        <f>D15*D18</f>
        <v>176</v>
      </c>
      <c r="E21" s="35" t="s">
        <v>151</v>
      </c>
      <c r="I21" s="171" t="s">
        <v>146</v>
      </c>
      <c r="J21" s="172"/>
      <c r="K21" s="173">
        <v>16163.7</v>
      </c>
      <c r="L21" s="174"/>
    </row>
    <row r="22" spans="1:12" ht="15" customHeight="1">
      <c r="A22" s="168" t="s">
        <v>59</v>
      </c>
      <c r="B22" s="169"/>
      <c r="C22" s="170"/>
      <c r="D22" s="33">
        <f>D20*D15</f>
        <v>56</v>
      </c>
      <c r="E22" s="35" t="s">
        <v>151</v>
      </c>
      <c r="I22" s="171" t="s">
        <v>147</v>
      </c>
      <c r="J22" s="172"/>
      <c r="K22" s="173">
        <v>30018.3</v>
      </c>
      <c r="L22" s="174"/>
    </row>
    <row r="23" spans="1:12" ht="15" customHeight="1">
      <c r="A23" s="138" t="s">
        <v>56</v>
      </c>
      <c r="B23" s="138"/>
      <c r="C23" s="138"/>
      <c r="D23" s="33">
        <f>D15*D19</f>
        <v>232</v>
      </c>
      <c r="E23" s="35" t="s">
        <v>151</v>
      </c>
    </row>
    <row r="24" spans="1:12" ht="15" customHeight="1">
      <c r="A24" s="121"/>
      <c r="B24" s="122"/>
      <c r="C24" s="122"/>
      <c r="D24" s="122"/>
      <c r="E24" s="123"/>
      <c r="I24" s="16"/>
    </row>
    <row r="25" spans="1:12" ht="15" customHeight="1">
      <c r="A25" s="182" t="s">
        <v>49</v>
      </c>
      <c r="B25" s="182"/>
      <c r="C25" s="182"/>
      <c r="D25" s="34">
        <v>4</v>
      </c>
      <c r="E25" s="35" t="s">
        <v>152</v>
      </c>
    </row>
    <row r="27" spans="1:12" ht="15" customHeight="1">
      <c r="A27" t="s">
        <v>102</v>
      </c>
      <c r="C27" s="2"/>
      <c r="D27" s="2"/>
      <c r="E27" s="2"/>
    </row>
    <row r="28" spans="1:12" ht="15" customHeight="1">
      <c r="A28" s="149" t="s">
        <v>38</v>
      </c>
      <c r="B28" s="149"/>
      <c r="C28" s="8" t="s">
        <v>29</v>
      </c>
      <c r="D28" s="9" t="s">
        <v>30</v>
      </c>
      <c r="E28" s="10" t="s">
        <v>39</v>
      </c>
      <c r="F28" s="10"/>
    </row>
    <row r="29" spans="1:12" ht="15" customHeight="1">
      <c r="A29" s="148" t="s">
        <v>40</v>
      </c>
      <c r="B29" s="148"/>
      <c r="C29" s="42">
        <v>6</v>
      </c>
      <c r="D29" s="43">
        <v>2</v>
      </c>
      <c r="E29" s="44">
        <f>C29+D29</f>
        <v>8</v>
      </c>
      <c r="F29" s="11" t="s">
        <v>148</v>
      </c>
    </row>
    <row r="30" spans="1:12" ht="15" customHeight="1">
      <c r="A30" s="150" t="s">
        <v>54</v>
      </c>
      <c r="B30" s="151"/>
      <c r="C30" s="42">
        <f>C29/$D25</f>
        <v>1.5</v>
      </c>
      <c r="D30" s="43">
        <f>D29/$D25</f>
        <v>0.5</v>
      </c>
      <c r="E30" s="44">
        <f>C30+D30</f>
        <v>2</v>
      </c>
      <c r="F30" s="11" t="s">
        <v>148</v>
      </c>
    </row>
    <row r="31" spans="1:12" ht="15" customHeight="1">
      <c r="A31" s="150" t="s">
        <v>55</v>
      </c>
      <c r="B31" s="151"/>
      <c r="C31" s="42">
        <f>C30*$D23</f>
        <v>348</v>
      </c>
      <c r="D31" s="43">
        <f>D30*$D23</f>
        <v>116</v>
      </c>
      <c r="E31" s="44">
        <f>C31+D31</f>
        <v>464</v>
      </c>
      <c r="F31" s="11" t="s">
        <v>151</v>
      </c>
    </row>
    <row r="32" spans="1:12" ht="15" customHeight="1">
      <c r="A32" s="124"/>
      <c r="B32" s="125"/>
      <c r="C32" s="125"/>
      <c r="D32" s="125"/>
      <c r="E32" s="125"/>
      <c r="F32" s="126"/>
    </row>
    <row r="33" spans="1:6" ht="15" customHeight="1">
      <c r="A33" s="150" t="s">
        <v>50</v>
      </c>
      <c r="B33" s="151"/>
      <c r="C33" s="42">
        <f>C$30*D21</f>
        <v>264</v>
      </c>
      <c r="D33" s="43">
        <f>D$30*D21</f>
        <v>88</v>
      </c>
      <c r="E33" s="44">
        <f>C33+D33</f>
        <v>352</v>
      </c>
      <c r="F33" s="11" t="s">
        <v>151</v>
      </c>
    </row>
    <row r="34" spans="1:6" ht="15" customHeight="1">
      <c r="A34" s="150" t="s">
        <v>51</v>
      </c>
      <c r="B34" s="151"/>
      <c r="C34" s="42">
        <f>C$30*D22</f>
        <v>84</v>
      </c>
      <c r="D34" s="43">
        <f>D$30*D22</f>
        <v>28</v>
      </c>
      <c r="E34" s="44">
        <f>C34+D34</f>
        <v>112</v>
      </c>
      <c r="F34" s="11" t="s">
        <v>151</v>
      </c>
    </row>
    <row r="35" spans="1:6" ht="15" customHeight="1">
      <c r="A35" s="150" t="s">
        <v>52</v>
      </c>
      <c r="B35" s="151"/>
      <c r="C35" s="42">
        <f>D18*C30</f>
        <v>33</v>
      </c>
      <c r="D35" s="43">
        <f>D18*D30</f>
        <v>11</v>
      </c>
      <c r="E35" s="44">
        <f>C35+D35</f>
        <v>44</v>
      </c>
      <c r="F35" s="11" t="s">
        <v>150</v>
      </c>
    </row>
    <row r="36" spans="1:6" ht="15" customHeight="1">
      <c r="A36" s="150" t="s">
        <v>53</v>
      </c>
      <c r="B36" s="151"/>
      <c r="C36" s="45">
        <f>D20*C30</f>
        <v>10.5</v>
      </c>
      <c r="D36" s="46">
        <f>D30*D20</f>
        <v>3.5</v>
      </c>
      <c r="E36" s="47">
        <f>C36+D36</f>
        <v>14</v>
      </c>
      <c r="F36" s="12" t="s">
        <v>150</v>
      </c>
    </row>
    <row r="37" spans="1:6" ht="15" customHeight="1">
      <c r="C37" s="2"/>
      <c r="D37" s="2"/>
      <c r="E37" s="2"/>
    </row>
    <row r="38" spans="1:6" ht="15" customHeight="1">
      <c r="C38" s="2"/>
      <c r="D38" s="2"/>
      <c r="E38" s="2"/>
    </row>
    <row r="39" spans="1:6" ht="15" customHeight="1">
      <c r="A39" s="140" t="s">
        <v>95</v>
      </c>
      <c r="B39" s="142" t="s">
        <v>0</v>
      </c>
      <c r="C39" s="129" t="s">
        <v>129</v>
      </c>
      <c r="D39" s="130"/>
      <c r="E39" s="129" t="s">
        <v>101</v>
      </c>
      <c r="F39" s="130"/>
    </row>
    <row r="40" spans="1:6" ht="15" customHeight="1">
      <c r="A40" s="141"/>
      <c r="B40" s="143"/>
      <c r="C40" s="131"/>
      <c r="D40" s="132"/>
      <c r="E40" s="131"/>
      <c r="F40" s="132"/>
    </row>
    <row r="41" spans="1:6" ht="15" customHeight="1">
      <c r="A41" s="19" t="s">
        <v>96</v>
      </c>
      <c r="B41" s="36">
        <v>69.900000000000006</v>
      </c>
      <c r="C41" s="133">
        <v>5</v>
      </c>
      <c r="D41" s="133"/>
      <c r="E41" s="160">
        <f>B41/(C41*12)</f>
        <v>1.165</v>
      </c>
      <c r="F41" s="161"/>
    </row>
    <row r="42" spans="1:6" ht="15" customHeight="1">
      <c r="A42" s="19" t="s">
        <v>97</v>
      </c>
      <c r="B42" s="36">
        <v>500</v>
      </c>
      <c r="C42" s="133">
        <v>4</v>
      </c>
      <c r="D42" s="133"/>
      <c r="E42" s="152">
        <f t="shared" ref="E42:E47" si="0">B42/(C42*12)</f>
        <v>10.416666666666666</v>
      </c>
      <c r="F42" s="153"/>
    </row>
    <row r="43" spans="1:6" ht="15" customHeight="1">
      <c r="A43" s="19" t="s">
        <v>98</v>
      </c>
      <c r="B43" s="36">
        <v>1000</v>
      </c>
      <c r="C43" s="133">
        <v>4</v>
      </c>
      <c r="D43" s="133"/>
      <c r="E43" s="152">
        <f t="shared" si="0"/>
        <v>20.833333333333332</v>
      </c>
      <c r="F43" s="153"/>
    </row>
    <row r="44" spans="1:6" ht="15" customHeight="1">
      <c r="A44" s="19" t="s">
        <v>99</v>
      </c>
      <c r="B44" s="36">
        <v>530</v>
      </c>
      <c r="C44" s="133">
        <v>4</v>
      </c>
      <c r="D44" s="133"/>
      <c r="E44" s="152">
        <f t="shared" si="0"/>
        <v>11.041666666666666</v>
      </c>
      <c r="F44" s="153"/>
    </row>
    <row r="45" spans="1:6" ht="15" customHeight="1">
      <c r="A45" s="19" t="s">
        <v>100</v>
      </c>
      <c r="B45" s="36">
        <v>82</v>
      </c>
      <c r="C45" s="133">
        <v>3</v>
      </c>
      <c r="D45" s="133"/>
      <c r="E45" s="152">
        <f t="shared" si="0"/>
        <v>2.2777777777777777</v>
      </c>
      <c r="F45" s="153"/>
    </row>
    <row r="46" spans="1:6" ht="15" customHeight="1">
      <c r="A46" s="19" t="s">
        <v>103</v>
      </c>
      <c r="B46" s="36">
        <v>44.45</v>
      </c>
      <c r="C46" s="133">
        <v>3</v>
      </c>
      <c r="D46" s="133"/>
      <c r="E46" s="152">
        <f t="shared" si="0"/>
        <v>1.2347222222222223</v>
      </c>
      <c r="F46" s="153"/>
    </row>
    <row r="47" spans="1:6" ht="15" customHeight="1">
      <c r="A47" s="19" t="s">
        <v>104</v>
      </c>
      <c r="B47" s="36">
        <v>186.51</v>
      </c>
      <c r="C47" s="133">
        <v>2</v>
      </c>
      <c r="D47" s="133"/>
      <c r="E47" s="156">
        <f t="shared" si="0"/>
        <v>7.7712499999999993</v>
      </c>
      <c r="F47" s="157"/>
    </row>
    <row r="48" spans="1:6" ht="15" customHeight="1">
      <c r="A48" s="24" t="s">
        <v>131</v>
      </c>
      <c r="B48" s="183">
        <f>SUM(E41:F47)</f>
        <v>54.740416666666668</v>
      </c>
      <c r="C48" s="184"/>
      <c r="D48" s="184"/>
      <c r="E48" s="184"/>
      <c r="F48" s="185"/>
    </row>
    <row r="49" spans="1:16" ht="15" customHeight="1">
      <c r="A49" s="24" t="s">
        <v>132</v>
      </c>
      <c r="B49" s="183">
        <f>B48/$D$25</f>
        <v>13.685104166666667</v>
      </c>
      <c r="C49" s="184"/>
      <c r="D49" s="184"/>
      <c r="E49" s="184"/>
      <c r="F49" s="185"/>
    </row>
    <row r="50" spans="1:16" ht="15" customHeight="1">
      <c r="A50" s="24" t="s">
        <v>133</v>
      </c>
      <c r="B50" s="183">
        <f>B49*$E$29</f>
        <v>109.48083333333334</v>
      </c>
      <c r="C50" s="184"/>
      <c r="D50" s="184"/>
      <c r="E50" s="184"/>
      <c r="F50" s="185"/>
    </row>
    <row r="51" spans="1:16" ht="15" customHeight="1">
      <c r="A51" s="6"/>
      <c r="B51" s="6"/>
      <c r="C51" s="6"/>
      <c r="D51" s="6"/>
      <c r="E51" s="6"/>
      <c r="F51" s="6"/>
      <c r="H51" s="6"/>
    </row>
    <row r="52" spans="1:16" ht="15" customHeight="1">
      <c r="A52" s="6"/>
      <c r="B52" s="6"/>
      <c r="C52" s="6"/>
      <c r="D52" s="6"/>
      <c r="E52" s="6"/>
      <c r="F52" s="6"/>
      <c r="H52" s="6"/>
    </row>
    <row r="53" spans="1:16" ht="15" customHeight="1">
      <c r="A53" s="6"/>
      <c r="B53" s="6"/>
      <c r="C53" s="6"/>
      <c r="D53" s="6"/>
      <c r="E53" s="6"/>
      <c r="F53" s="6"/>
      <c r="M53" s="18"/>
      <c r="N53" s="18"/>
      <c r="O53" s="18"/>
    </row>
    <row r="54" spans="1:16" ht="15" customHeight="1">
      <c r="A54" s="119" t="s">
        <v>130</v>
      </c>
      <c r="B54" s="119" t="s">
        <v>0</v>
      </c>
      <c r="C54" s="129" t="s">
        <v>129</v>
      </c>
      <c r="D54" s="130"/>
      <c r="E54" s="129" t="s">
        <v>101</v>
      </c>
      <c r="F54" s="130"/>
      <c r="I54" s="16" t="s">
        <v>68</v>
      </c>
      <c r="M54" s="7"/>
      <c r="O54" s="6"/>
      <c r="P54" s="6"/>
    </row>
    <row r="55" spans="1:16" ht="15" customHeight="1">
      <c r="A55" s="119"/>
      <c r="B55" s="119"/>
      <c r="C55" s="131"/>
      <c r="D55" s="132"/>
      <c r="E55" s="131"/>
      <c r="F55" s="132"/>
      <c r="I55" s="16" t="s">
        <v>136</v>
      </c>
      <c r="J55" s="2"/>
      <c r="K55" s="2"/>
      <c r="M55" s="7"/>
      <c r="O55" s="6"/>
      <c r="P55" s="6"/>
    </row>
    <row r="56" spans="1:16" ht="15" customHeight="1">
      <c r="A56" s="23" t="s">
        <v>27</v>
      </c>
      <c r="B56" s="36">
        <v>0.89</v>
      </c>
      <c r="C56" s="133">
        <v>1</v>
      </c>
      <c r="D56" s="133"/>
      <c r="E56" s="127">
        <f>B56/(C56*12)</f>
        <v>7.4166666666666672E-2</v>
      </c>
      <c r="F56" s="154"/>
      <c r="I56" s="219" t="s">
        <v>155</v>
      </c>
      <c r="J56" s="220"/>
      <c r="K56" s="220"/>
      <c r="L56" s="221"/>
      <c r="M56" s="7"/>
      <c r="O56" s="6"/>
      <c r="P56" s="6"/>
    </row>
    <row r="57" spans="1:16" ht="15" customHeight="1">
      <c r="A57" s="5" t="s">
        <v>25</v>
      </c>
      <c r="B57" s="36">
        <v>26.3</v>
      </c>
      <c r="C57" s="133">
        <v>1</v>
      </c>
      <c r="D57" s="133"/>
      <c r="E57" s="127">
        <f t="shared" ref="E57:E83" si="1">B57/(C57*12)</f>
        <v>2.1916666666666669</v>
      </c>
      <c r="F57" s="154"/>
      <c r="I57" s="231" t="s">
        <v>60</v>
      </c>
      <c r="J57" s="232"/>
      <c r="K57" s="206">
        <v>25000</v>
      </c>
      <c r="L57" s="128"/>
      <c r="M57" s="7"/>
      <c r="O57" s="6"/>
      <c r="P57" s="6"/>
    </row>
    <row r="58" spans="1:16" ht="15" customHeight="1">
      <c r="A58" s="5" t="s">
        <v>23</v>
      </c>
      <c r="B58" s="36">
        <v>110</v>
      </c>
      <c r="C58" s="133">
        <v>3</v>
      </c>
      <c r="D58" s="133"/>
      <c r="E58" s="127">
        <f t="shared" si="1"/>
        <v>3.0555555555555554</v>
      </c>
      <c r="F58" s="154"/>
      <c r="I58" s="231" t="s">
        <v>71</v>
      </c>
      <c r="J58" s="232"/>
      <c r="K58" s="206">
        <f>K57/13</f>
        <v>1923.0769230769231</v>
      </c>
      <c r="L58" s="128"/>
      <c r="M58" s="7"/>
      <c r="O58" s="6"/>
      <c r="P58" s="6"/>
    </row>
    <row r="59" spans="1:16" ht="15" customHeight="1">
      <c r="A59" s="5" t="s">
        <v>22</v>
      </c>
      <c r="B59" s="36">
        <v>119</v>
      </c>
      <c r="C59" s="133">
        <v>3</v>
      </c>
      <c r="D59" s="133"/>
      <c r="E59" s="127">
        <f t="shared" si="1"/>
        <v>3.3055555555555554</v>
      </c>
      <c r="F59" s="154"/>
      <c r="I59" s="231" t="s">
        <v>73</v>
      </c>
      <c r="J59" s="232"/>
      <c r="K59" s="206">
        <f>K58/D21</f>
        <v>10.926573426573427</v>
      </c>
      <c r="L59" s="128"/>
      <c r="M59" s="7"/>
      <c r="O59" s="6"/>
      <c r="P59" s="6"/>
    </row>
    <row r="60" spans="1:16" ht="15" customHeight="1">
      <c r="A60" s="5" t="s">
        <v>1</v>
      </c>
      <c r="B60" s="36">
        <v>539</v>
      </c>
      <c r="C60" s="133">
        <v>3</v>
      </c>
      <c r="D60" s="133"/>
      <c r="E60" s="127">
        <f t="shared" si="1"/>
        <v>14.972222222222221</v>
      </c>
      <c r="F60" s="154"/>
      <c r="I60" s="216"/>
      <c r="J60" s="234"/>
      <c r="K60" s="234"/>
      <c r="L60" s="235"/>
      <c r="M60" s="7"/>
      <c r="O60" s="6"/>
      <c r="P60" s="6"/>
    </row>
    <row r="61" spans="1:16" ht="15" customHeight="1">
      <c r="A61" s="5" t="s">
        <v>12</v>
      </c>
      <c r="B61" s="36">
        <v>820.43</v>
      </c>
      <c r="C61" s="133">
        <v>3</v>
      </c>
      <c r="D61" s="133"/>
      <c r="E61" s="127">
        <f t="shared" si="1"/>
        <v>22.78972222222222</v>
      </c>
      <c r="F61" s="154"/>
      <c r="I61" s="238" t="s">
        <v>167</v>
      </c>
      <c r="J61" s="239"/>
      <c r="K61" s="206">
        <f>K57*L11</f>
        <v>2297.5</v>
      </c>
      <c r="L61" s="128"/>
      <c r="M61" s="7"/>
      <c r="O61" s="6"/>
      <c r="P61" s="6"/>
    </row>
    <row r="62" spans="1:16" ht="15" customHeight="1">
      <c r="A62" s="5" t="s">
        <v>2</v>
      </c>
      <c r="B62" s="36">
        <v>1286.44</v>
      </c>
      <c r="C62" s="133">
        <v>3</v>
      </c>
      <c r="D62" s="133"/>
      <c r="E62" s="127">
        <f t="shared" si="1"/>
        <v>35.734444444444449</v>
      </c>
      <c r="F62" s="154"/>
      <c r="I62" s="231" t="s">
        <v>165</v>
      </c>
      <c r="J62" s="232"/>
      <c r="K62" s="173">
        <f>K57*L12</f>
        <v>8175</v>
      </c>
      <c r="L62" s="174"/>
      <c r="M62" s="7"/>
      <c r="O62" s="6"/>
      <c r="P62" s="6"/>
    </row>
    <row r="63" spans="1:16" ht="15" customHeight="1">
      <c r="A63" s="5" t="s">
        <v>5</v>
      </c>
      <c r="B63" s="36">
        <v>1369</v>
      </c>
      <c r="C63" s="133">
        <v>3</v>
      </c>
      <c r="D63" s="133"/>
      <c r="E63" s="127">
        <f t="shared" si="1"/>
        <v>38.027777777777779</v>
      </c>
      <c r="F63" s="154"/>
      <c r="I63" s="216"/>
      <c r="J63" s="234"/>
      <c r="K63" s="234"/>
      <c r="L63" s="235"/>
      <c r="M63" s="7"/>
      <c r="O63" s="6"/>
      <c r="P63" s="6"/>
    </row>
    <row r="64" spans="1:16" ht="15" customHeight="1">
      <c r="A64" s="5" t="s">
        <v>3</v>
      </c>
      <c r="B64" s="36">
        <v>0</v>
      </c>
      <c r="C64" s="133">
        <v>1</v>
      </c>
      <c r="D64" s="133"/>
      <c r="E64" s="127">
        <f t="shared" si="1"/>
        <v>0</v>
      </c>
      <c r="F64" s="154"/>
      <c r="I64" s="209" t="s">
        <v>166</v>
      </c>
      <c r="J64" s="210"/>
      <c r="K64" s="206">
        <f>K57-K61</f>
        <v>22702.5</v>
      </c>
      <c r="L64" s="128"/>
      <c r="M64" s="7"/>
      <c r="O64" s="6"/>
      <c r="P64" s="6"/>
    </row>
    <row r="65" spans="1:16" ht="15" customHeight="1">
      <c r="A65" s="5" t="s">
        <v>4</v>
      </c>
      <c r="B65" s="36">
        <v>0</v>
      </c>
      <c r="C65" s="133">
        <v>1</v>
      </c>
      <c r="D65" s="133"/>
      <c r="E65" s="127">
        <f t="shared" si="1"/>
        <v>0</v>
      </c>
      <c r="F65" s="154"/>
      <c r="I65" s="209" t="s">
        <v>162</v>
      </c>
      <c r="J65" s="210"/>
      <c r="K65" s="206">
        <f>(J5-I5)*L5+(K64-J5)*L6</f>
        <v>5529.6750000000002</v>
      </c>
      <c r="L65" s="128"/>
      <c r="M65" s="7"/>
      <c r="O65" s="6"/>
      <c r="P65" s="6"/>
    </row>
    <row r="66" spans="1:16" ht="15" customHeight="1">
      <c r="A66" s="5" t="s">
        <v>6</v>
      </c>
      <c r="B66" s="36">
        <v>0</v>
      </c>
      <c r="C66" s="133">
        <v>1</v>
      </c>
      <c r="D66" s="133"/>
      <c r="E66" s="127">
        <f t="shared" si="1"/>
        <v>0</v>
      </c>
      <c r="F66" s="154"/>
      <c r="I66" s="209" t="s">
        <v>163</v>
      </c>
      <c r="J66" s="210"/>
      <c r="K66" s="206">
        <f>(J16-I16)*L16+(K64-J16)*L17</f>
        <v>199.74074999999999</v>
      </c>
      <c r="L66" s="128"/>
      <c r="M66" s="7"/>
      <c r="O66" s="6"/>
      <c r="P66" s="6"/>
    </row>
    <row r="67" spans="1:16" ht="15" customHeight="1">
      <c r="A67" s="5" t="s">
        <v>7</v>
      </c>
      <c r="B67" s="36">
        <v>0</v>
      </c>
      <c r="C67" s="133">
        <v>1</v>
      </c>
      <c r="D67" s="133"/>
      <c r="E67" s="127">
        <f t="shared" si="1"/>
        <v>0</v>
      </c>
      <c r="F67" s="154"/>
      <c r="I67" s="209" t="s">
        <v>164</v>
      </c>
      <c r="J67" s="210"/>
      <c r="K67" s="173">
        <f>K65+K66</f>
        <v>5729.4157500000001</v>
      </c>
      <c r="L67" s="174"/>
      <c r="M67" s="7"/>
      <c r="O67" s="6"/>
      <c r="P67" s="6"/>
    </row>
    <row r="68" spans="1:16" ht="15" customHeight="1">
      <c r="A68" s="5" t="s">
        <v>8</v>
      </c>
      <c r="B68" s="36">
        <v>0</v>
      </c>
      <c r="C68" s="133">
        <v>1</v>
      </c>
      <c r="D68" s="133"/>
      <c r="E68" s="127">
        <f t="shared" si="1"/>
        <v>0</v>
      </c>
      <c r="F68" s="154"/>
      <c r="I68" s="216"/>
      <c r="J68" s="234"/>
      <c r="K68" s="234"/>
      <c r="L68" s="235"/>
      <c r="M68" s="7"/>
      <c r="O68" s="6"/>
      <c r="P68" s="6"/>
    </row>
    <row r="69" spans="1:16" ht="15" customHeight="1">
      <c r="A69" s="5" t="s">
        <v>9</v>
      </c>
      <c r="B69" s="36">
        <v>0</v>
      </c>
      <c r="C69" s="133">
        <v>1</v>
      </c>
      <c r="D69" s="133"/>
      <c r="E69" s="127">
        <f t="shared" si="1"/>
        <v>0</v>
      </c>
      <c r="F69" s="154"/>
      <c r="I69" s="236" t="s">
        <v>161</v>
      </c>
      <c r="J69" s="237"/>
      <c r="K69" s="222">
        <f>TRUNC((28000 - K64)/20000,4)</f>
        <v>0.26479999999999998</v>
      </c>
      <c r="L69" s="223"/>
      <c r="M69" s="7"/>
      <c r="O69" s="6"/>
      <c r="P69" s="6"/>
    </row>
    <row r="70" spans="1:16" ht="15" customHeight="1">
      <c r="A70" s="5" t="s">
        <v>10</v>
      </c>
      <c r="B70" s="36">
        <v>0</v>
      </c>
      <c r="C70" s="133">
        <v>1</v>
      </c>
      <c r="D70" s="133"/>
      <c r="E70" s="127">
        <f t="shared" si="1"/>
        <v>0</v>
      </c>
      <c r="F70" s="154"/>
      <c r="I70" s="209" t="s">
        <v>160</v>
      </c>
      <c r="J70" s="210"/>
      <c r="K70" s="206">
        <f>978+(902*K69)*(D11/365)</f>
        <v>1216.8496</v>
      </c>
      <c r="L70" s="128"/>
      <c r="M70" s="20"/>
      <c r="O70" s="6"/>
      <c r="P70" s="6"/>
    </row>
    <row r="71" spans="1:16" ht="15" customHeight="1">
      <c r="A71" s="5" t="s">
        <v>11</v>
      </c>
      <c r="B71" s="36">
        <v>0</v>
      </c>
      <c r="C71" s="133">
        <v>1</v>
      </c>
      <c r="D71" s="133"/>
      <c r="E71" s="127">
        <f t="shared" si="1"/>
        <v>0</v>
      </c>
      <c r="F71" s="154"/>
      <c r="I71" s="209" t="s">
        <v>157</v>
      </c>
      <c r="J71" s="210"/>
      <c r="K71" s="206">
        <f>IF(K64&lt;24000,80,0)*D17</f>
        <v>960</v>
      </c>
      <c r="L71" s="128"/>
      <c r="M71" s="7"/>
      <c r="O71" s="6"/>
      <c r="P71" s="6"/>
    </row>
    <row r="72" spans="1:16" ht="15" customHeight="1">
      <c r="A72" s="5" t="s">
        <v>13</v>
      </c>
      <c r="B72" s="36">
        <v>0</v>
      </c>
      <c r="C72" s="133">
        <v>1</v>
      </c>
      <c r="D72" s="133"/>
      <c r="E72" s="127">
        <f t="shared" si="1"/>
        <v>0</v>
      </c>
      <c r="F72" s="154"/>
      <c r="I72" s="209" t="s">
        <v>158</v>
      </c>
      <c r="J72" s="210"/>
      <c r="K72" s="206">
        <f>K70+K71</f>
        <v>2176.8496</v>
      </c>
      <c r="L72" s="128"/>
      <c r="M72" s="7"/>
      <c r="O72" s="6"/>
      <c r="P72" s="6"/>
    </row>
    <row r="73" spans="1:16" ht="15" customHeight="1">
      <c r="A73" s="5" t="s">
        <v>14</v>
      </c>
      <c r="B73" s="36">
        <v>0</v>
      </c>
      <c r="C73" s="133">
        <v>1</v>
      </c>
      <c r="D73" s="133"/>
      <c r="E73" s="127">
        <f t="shared" si="1"/>
        <v>0</v>
      </c>
      <c r="F73" s="154"/>
      <c r="I73" s="209" t="s">
        <v>159</v>
      </c>
      <c r="J73" s="210"/>
      <c r="K73" s="206">
        <f>K67-K72</f>
        <v>3552.5661500000001</v>
      </c>
      <c r="L73" s="128"/>
      <c r="M73" s="7"/>
      <c r="O73" s="6"/>
      <c r="P73" s="6"/>
    </row>
    <row r="74" spans="1:16" ht="15" customHeight="1">
      <c r="A74" s="5" t="s">
        <v>15</v>
      </c>
      <c r="B74" s="36">
        <v>0</v>
      </c>
      <c r="C74" s="133">
        <v>1</v>
      </c>
      <c r="D74" s="133"/>
      <c r="E74" s="127">
        <f t="shared" si="1"/>
        <v>0</v>
      </c>
      <c r="F74" s="154"/>
      <c r="I74" s="216"/>
      <c r="J74" s="234"/>
      <c r="K74" s="234"/>
      <c r="L74" s="235"/>
      <c r="M74" s="7"/>
      <c r="O74" s="16"/>
      <c r="P74" s="16"/>
    </row>
    <row r="75" spans="1:16" ht="15" customHeight="1">
      <c r="A75" s="5" t="s">
        <v>16</v>
      </c>
      <c r="B75" s="36">
        <v>0</v>
      </c>
      <c r="C75" s="133">
        <v>1</v>
      </c>
      <c r="D75" s="133"/>
      <c r="E75" s="127">
        <f t="shared" si="1"/>
        <v>0</v>
      </c>
      <c r="F75" s="154"/>
      <c r="I75" s="207" t="s">
        <v>69</v>
      </c>
      <c r="J75" s="208"/>
      <c r="K75" s="206">
        <f>K64-K73</f>
        <v>19149.933850000001</v>
      </c>
      <c r="L75" s="128"/>
      <c r="M75" s="7"/>
      <c r="O75" s="16"/>
      <c r="P75" s="16"/>
    </row>
    <row r="76" spans="1:16" ht="15" customHeight="1">
      <c r="A76" s="5" t="s">
        <v>17</v>
      </c>
      <c r="B76" s="36">
        <v>0</v>
      </c>
      <c r="C76" s="133">
        <v>1</v>
      </c>
      <c r="D76" s="133"/>
      <c r="E76" s="127">
        <f t="shared" si="1"/>
        <v>0</v>
      </c>
      <c r="F76" s="154"/>
      <c r="I76" s="207" t="s">
        <v>70</v>
      </c>
      <c r="J76" s="208"/>
      <c r="K76" s="206">
        <f>K75/13</f>
        <v>1473.0718346153847</v>
      </c>
      <c r="L76" s="128"/>
      <c r="M76" s="7"/>
      <c r="O76" s="16"/>
      <c r="P76" s="16"/>
    </row>
    <row r="77" spans="1:16" ht="15" customHeight="1">
      <c r="A77" s="21" t="s">
        <v>18</v>
      </c>
      <c r="B77" s="36">
        <v>0</v>
      </c>
      <c r="C77" s="133">
        <v>1</v>
      </c>
      <c r="D77" s="133"/>
      <c r="E77" s="127">
        <f t="shared" si="1"/>
        <v>0</v>
      </c>
      <c r="F77" s="154"/>
      <c r="I77" s="207" t="s">
        <v>72</v>
      </c>
      <c r="J77" s="208"/>
      <c r="K77" s="206">
        <f>K76/D21</f>
        <v>8.3697263330419585</v>
      </c>
      <c r="L77" s="128"/>
      <c r="M77" s="7"/>
      <c r="O77" s="6"/>
      <c r="P77" s="6"/>
    </row>
    <row r="78" spans="1:16" ht="15" customHeight="1">
      <c r="A78" s="5" t="s">
        <v>19</v>
      </c>
      <c r="B78" s="36">
        <v>0</v>
      </c>
      <c r="C78" s="133">
        <v>1</v>
      </c>
      <c r="D78" s="133"/>
      <c r="E78" s="127">
        <f t="shared" si="1"/>
        <v>0</v>
      </c>
      <c r="F78" s="154"/>
      <c r="I78" s="216"/>
      <c r="J78" s="234"/>
      <c r="K78" s="234"/>
      <c r="L78" s="235"/>
      <c r="N78"/>
    </row>
    <row r="79" spans="1:16" ht="15" customHeight="1">
      <c r="A79" s="5" t="s">
        <v>20</v>
      </c>
      <c r="B79" s="36">
        <v>0</v>
      </c>
      <c r="C79" s="133">
        <v>1</v>
      </c>
      <c r="D79" s="133"/>
      <c r="E79" s="127">
        <f t="shared" si="1"/>
        <v>0</v>
      </c>
      <c r="F79" s="154"/>
      <c r="I79" s="216"/>
      <c r="J79" s="234"/>
      <c r="K79" s="234"/>
      <c r="L79" s="235"/>
    </row>
    <row r="80" spans="1:16" ht="15" customHeight="1">
      <c r="A80" s="5" t="s">
        <v>21</v>
      </c>
      <c r="B80" s="36">
        <v>0</v>
      </c>
      <c r="C80" s="133">
        <v>1</v>
      </c>
      <c r="D80" s="133"/>
      <c r="E80" s="127">
        <f t="shared" si="1"/>
        <v>0</v>
      </c>
      <c r="F80" s="154"/>
      <c r="I80" s="209" t="s">
        <v>168</v>
      </c>
      <c r="J80" s="210"/>
      <c r="K80" s="206">
        <f>IF(K57&lt;=K21,K21*L19,IF(K57&gt;=K22,K22*L19,K57*L19))</f>
        <v>700</v>
      </c>
      <c r="L80" s="128"/>
    </row>
    <row r="81" spans="1:13" ht="15" customHeight="1">
      <c r="A81" s="5" t="s">
        <v>24</v>
      </c>
      <c r="B81" s="36">
        <v>0</v>
      </c>
      <c r="C81" s="133">
        <v>1</v>
      </c>
      <c r="D81" s="133"/>
      <c r="E81" s="127">
        <f t="shared" si="1"/>
        <v>0</v>
      </c>
      <c r="F81" s="154"/>
      <c r="I81" s="209" t="s">
        <v>169</v>
      </c>
      <c r="J81" s="210"/>
      <c r="K81" s="206">
        <f>K80*L20</f>
        <v>7</v>
      </c>
      <c r="L81" s="128"/>
    </row>
    <row r="82" spans="1:13" ht="15" customHeight="1">
      <c r="A82" s="5" t="s">
        <v>26</v>
      </c>
      <c r="B82" s="36">
        <v>0</v>
      </c>
      <c r="C82" s="133">
        <v>1</v>
      </c>
      <c r="D82" s="133"/>
      <c r="E82" s="127">
        <f t="shared" si="1"/>
        <v>0</v>
      </c>
      <c r="F82" s="154"/>
      <c r="I82" s="231" t="s">
        <v>170</v>
      </c>
      <c r="J82" s="232"/>
      <c r="K82" s="206">
        <f>K81+K80</f>
        <v>707</v>
      </c>
      <c r="L82" s="128"/>
    </row>
    <row r="83" spans="1:13" ht="15" customHeight="1">
      <c r="A83" s="5" t="s">
        <v>28</v>
      </c>
      <c r="B83" s="36">
        <v>0</v>
      </c>
      <c r="C83" s="133">
        <v>1</v>
      </c>
      <c r="D83" s="133"/>
      <c r="E83" s="127">
        <f t="shared" si="1"/>
        <v>0</v>
      </c>
      <c r="F83" s="154"/>
      <c r="I83" s="233"/>
      <c r="J83" s="234"/>
      <c r="K83" s="234"/>
      <c r="L83" s="235"/>
    </row>
    <row r="84" spans="1:13" ht="15" customHeight="1">
      <c r="A84" s="24" t="s">
        <v>131</v>
      </c>
      <c r="B84" s="183">
        <f>SUM(E56:F83)</f>
        <v>120.15111111111111</v>
      </c>
      <c r="C84" s="184"/>
      <c r="D84" s="184"/>
      <c r="E84" s="184"/>
      <c r="F84" s="185"/>
      <c r="I84" s="229" t="s">
        <v>139</v>
      </c>
      <c r="J84" s="230"/>
      <c r="K84" s="224">
        <f>SUM(K82,K75,K61,K62,K73)</f>
        <v>33882</v>
      </c>
      <c r="L84" s="225"/>
    </row>
    <row r="85" spans="1:13" ht="15" customHeight="1">
      <c r="A85" s="24" t="s">
        <v>132</v>
      </c>
      <c r="B85" s="183">
        <f>B84/$D$25</f>
        <v>30.037777777777777</v>
      </c>
      <c r="C85" s="184"/>
      <c r="D85" s="184"/>
      <c r="E85" s="184"/>
      <c r="F85" s="185"/>
      <c r="I85" s="227" t="s">
        <v>137</v>
      </c>
      <c r="J85" s="228"/>
      <c r="K85" s="226">
        <f>K84/12</f>
        <v>2823.5</v>
      </c>
      <c r="L85" s="185"/>
    </row>
    <row r="86" spans="1:13" ht="15" customHeight="1">
      <c r="A86" s="24" t="s">
        <v>133</v>
      </c>
      <c r="B86" s="183">
        <f>B85*$E$29</f>
        <v>240.30222222222221</v>
      </c>
      <c r="C86" s="184"/>
      <c r="D86" s="184"/>
      <c r="E86" s="184"/>
      <c r="F86" s="185"/>
      <c r="I86" s="227" t="s">
        <v>138</v>
      </c>
      <c r="J86" s="228"/>
      <c r="K86" s="226">
        <f>K85/D25</f>
        <v>705.875</v>
      </c>
      <c r="L86" s="185"/>
    </row>
    <row r="87" spans="1:13" ht="15" customHeight="1">
      <c r="C87" s="2"/>
      <c r="D87" s="2"/>
      <c r="E87" s="2"/>
    </row>
    <row r="88" spans="1:13" ht="15" customHeight="1">
      <c r="A88" s="27" t="s">
        <v>88</v>
      </c>
      <c r="B88" s="28" t="s">
        <v>0</v>
      </c>
      <c r="C88" s="144" t="s">
        <v>78</v>
      </c>
      <c r="D88" s="144"/>
      <c r="E88" s="115" t="s">
        <v>77</v>
      </c>
      <c r="F88" s="116"/>
    </row>
    <row r="89" spans="1:13" ht="15" customHeight="1">
      <c r="A89" s="14" t="s">
        <v>89</v>
      </c>
      <c r="B89" s="36">
        <v>400</v>
      </c>
      <c r="C89" s="133">
        <v>1</v>
      </c>
      <c r="D89" s="133"/>
      <c r="E89" s="127">
        <f>B89*C89</f>
        <v>400</v>
      </c>
      <c r="F89" s="128"/>
    </row>
    <row r="90" spans="1:13" ht="15" customHeight="1">
      <c r="A90" s="14" t="s">
        <v>93</v>
      </c>
      <c r="B90" s="36">
        <v>10</v>
      </c>
      <c r="C90" s="133">
        <f>3*4</f>
        <v>12</v>
      </c>
      <c r="D90" s="133"/>
      <c r="E90" s="127">
        <f>B90*C90</f>
        <v>120</v>
      </c>
      <c r="F90" s="128"/>
    </row>
    <row r="91" spans="1:13" ht="15" customHeight="1">
      <c r="A91" s="135"/>
      <c r="B91" s="136"/>
      <c r="C91" s="136"/>
      <c r="D91" s="136"/>
      <c r="E91" s="136"/>
      <c r="F91" s="137"/>
      <c r="M91"/>
    </row>
    <row r="92" spans="1:13" ht="15" customHeight="1">
      <c r="A92" s="14" t="s">
        <v>106</v>
      </c>
      <c r="B92" s="36">
        <v>29.95</v>
      </c>
      <c r="C92" s="133">
        <v>1</v>
      </c>
      <c r="D92" s="133"/>
      <c r="E92" s="127">
        <f>B92*C92</f>
        <v>29.95</v>
      </c>
      <c r="F92" s="128"/>
    </row>
    <row r="93" spans="1:13" ht="15" customHeight="1">
      <c r="A93" s="14" t="s">
        <v>105</v>
      </c>
      <c r="B93" s="36">
        <v>25.9</v>
      </c>
      <c r="C93" s="133">
        <v>1</v>
      </c>
      <c r="D93" s="133"/>
      <c r="E93" s="127">
        <f>B93*C93</f>
        <v>25.9</v>
      </c>
      <c r="F93" s="128"/>
    </row>
    <row r="94" spans="1:13" ht="15" customHeight="1">
      <c r="A94" s="14" t="s">
        <v>107</v>
      </c>
      <c r="B94" s="36">
        <v>34.9</v>
      </c>
      <c r="C94" s="133">
        <v>1</v>
      </c>
      <c r="D94" s="133"/>
      <c r="E94" s="127">
        <f>B94*C94</f>
        <v>34.9</v>
      </c>
      <c r="F94" s="128"/>
    </row>
    <row r="95" spans="1:13" ht="15" customHeight="1">
      <c r="A95" s="124"/>
      <c r="B95" s="125"/>
      <c r="C95" s="125"/>
      <c r="D95" s="125"/>
      <c r="E95" s="125"/>
      <c r="F95" s="126"/>
    </row>
    <row r="96" spans="1:13" ht="15" customHeight="1">
      <c r="A96" s="14" t="s">
        <v>112</v>
      </c>
      <c r="B96" s="36">
        <v>62.24</v>
      </c>
      <c r="C96" s="133">
        <v>1</v>
      </c>
      <c r="D96" s="133"/>
      <c r="E96" s="127">
        <f t="shared" ref="E96:E101" si="2">B96*C96</f>
        <v>62.24</v>
      </c>
      <c r="F96" s="128"/>
    </row>
    <row r="97" spans="1:12" ht="15" customHeight="1">
      <c r="A97" s="14" t="s">
        <v>111</v>
      </c>
      <c r="B97" s="36">
        <v>35</v>
      </c>
      <c r="C97" s="133">
        <f>1/12</f>
        <v>8.3333333333333329E-2</v>
      </c>
      <c r="D97" s="133"/>
      <c r="E97" s="127">
        <f t="shared" si="2"/>
        <v>2.9166666666666665</v>
      </c>
      <c r="F97" s="128"/>
      <c r="H97" s="52"/>
      <c r="I97" s="50"/>
      <c r="J97" s="50"/>
      <c r="K97" s="26"/>
      <c r="L97" s="51"/>
    </row>
    <row r="98" spans="1:12" ht="15" customHeight="1">
      <c r="A98" s="14" t="s">
        <v>110</v>
      </c>
      <c r="B98" s="36">
        <f>5+(22%*5)</f>
        <v>6.1</v>
      </c>
      <c r="C98" s="133">
        <v>8.3333333333333329E-2</v>
      </c>
      <c r="D98" s="133"/>
      <c r="E98" s="127">
        <f t="shared" si="2"/>
        <v>0.5083333333333333</v>
      </c>
      <c r="F98" s="128"/>
      <c r="H98" s="52"/>
      <c r="I98" s="49"/>
      <c r="J98" s="50"/>
      <c r="K98" s="26"/>
      <c r="L98" s="51"/>
    </row>
    <row r="99" spans="1:12" ht="15" customHeight="1">
      <c r="A99" s="15" t="s">
        <v>109</v>
      </c>
      <c r="B99" s="36">
        <f>25+(22%*25)</f>
        <v>30.5</v>
      </c>
      <c r="C99" s="133">
        <v>8.3333333333333329E-2</v>
      </c>
      <c r="D99" s="133"/>
      <c r="E99" s="127">
        <f t="shared" si="2"/>
        <v>2.5416666666666665</v>
      </c>
      <c r="F99" s="128"/>
      <c r="H99" s="52"/>
      <c r="I99" s="50"/>
      <c r="J99" s="50"/>
      <c r="K99" s="26"/>
      <c r="L99" s="51"/>
    </row>
    <row r="100" spans="1:12" ht="15" customHeight="1">
      <c r="A100" s="22" t="s">
        <v>108</v>
      </c>
      <c r="B100" s="57">
        <f>25+(22%*25)</f>
        <v>30.5</v>
      </c>
      <c r="C100" s="155">
        <v>8.3333333333333329E-2</v>
      </c>
      <c r="D100" s="155"/>
      <c r="E100" s="198">
        <f t="shared" si="2"/>
        <v>2.5416666666666665</v>
      </c>
      <c r="F100" s="199"/>
      <c r="H100" s="52"/>
      <c r="I100" s="17"/>
      <c r="J100" s="17"/>
      <c r="K100" s="17"/>
      <c r="L100" s="53"/>
    </row>
    <row r="101" spans="1:12" ht="15" customHeight="1">
      <c r="A101" s="58" t="s">
        <v>156</v>
      </c>
      <c r="B101" s="36">
        <v>200</v>
      </c>
      <c r="C101" s="133">
        <f>1/12</f>
        <v>8.3333333333333329E-2</v>
      </c>
      <c r="D101" s="133"/>
      <c r="E101" s="127">
        <f t="shared" si="2"/>
        <v>16.666666666666664</v>
      </c>
      <c r="F101" s="128"/>
    </row>
    <row r="102" spans="1:12" ht="15" customHeight="1">
      <c r="A102" s="24" t="s">
        <v>131</v>
      </c>
      <c r="B102" s="183">
        <f>SUM(E89:F90,E92:F94,E96:F101)</f>
        <v>698.16499999999985</v>
      </c>
      <c r="C102" s="184"/>
      <c r="D102" s="184"/>
      <c r="E102" s="184"/>
      <c r="F102" s="185"/>
    </row>
    <row r="103" spans="1:12" ht="15" customHeight="1">
      <c r="A103" s="24" t="s">
        <v>132</v>
      </c>
      <c r="B103" s="183">
        <f>B102/$D$25</f>
        <v>174.54124999999996</v>
      </c>
      <c r="C103" s="184"/>
      <c r="D103" s="184"/>
      <c r="E103" s="184"/>
      <c r="F103" s="185"/>
    </row>
    <row r="104" spans="1:12" ht="15" customHeight="1">
      <c r="A104" s="24" t="s">
        <v>133</v>
      </c>
      <c r="B104" s="183">
        <f>B103*$E$29</f>
        <v>1396.3299999999997</v>
      </c>
      <c r="C104" s="184"/>
      <c r="D104" s="184"/>
      <c r="E104" s="184"/>
      <c r="F104" s="185"/>
    </row>
    <row r="105" spans="1:12" ht="15" customHeight="1">
      <c r="C105" s="2"/>
      <c r="D105" s="2"/>
      <c r="E105" s="2"/>
    </row>
    <row r="106" spans="1:12" ht="15" customHeight="1">
      <c r="A106" s="30" t="s">
        <v>76</v>
      </c>
      <c r="B106" s="31" t="s">
        <v>0</v>
      </c>
      <c r="C106" s="139" t="s">
        <v>78</v>
      </c>
      <c r="D106" s="139"/>
      <c r="E106" s="201" t="s">
        <v>77</v>
      </c>
      <c r="F106" s="130"/>
    </row>
    <row r="107" spans="1:12" ht="15" customHeight="1">
      <c r="A107" s="213" t="s">
        <v>79</v>
      </c>
      <c r="B107" s="214"/>
      <c r="C107" s="214"/>
      <c r="D107" s="214"/>
      <c r="E107" s="214"/>
      <c r="F107" s="215"/>
    </row>
    <row r="108" spans="1:12" ht="15" customHeight="1">
      <c r="A108" s="29" t="s">
        <v>85</v>
      </c>
      <c r="B108" s="38">
        <v>3.99</v>
      </c>
      <c r="C108" s="134">
        <v>2</v>
      </c>
      <c r="D108" s="134"/>
      <c r="E108" s="200">
        <f>B108*C108</f>
        <v>7.98</v>
      </c>
      <c r="F108" s="118"/>
    </row>
    <row r="109" spans="1:12" ht="15" customHeight="1">
      <c r="A109" s="14" t="s">
        <v>123</v>
      </c>
      <c r="B109" s="36">
        <v>2.2400000000000002</v>
      </c>
      <c r="C109" s="133">
        <f>1/3</f>
        <v>0.33333333333333331</v>
      </c>
      <c r="D109" s="133"/>
      <c r="E109" s="127">
        <f t="shared" ref="E109:E120" si="3">B109*C109</f>
        <v>0.7466666666666667</v>
      </c>
      <c r="F109" s="128"/>
    </row>
    <row r="110" spans="1:12" ht="15" customHeight="1">
      <c r="A110" s="14" t="s">
        <v>122</v>
      </c>
      <c r="B110" s="36">
        <v>5.29</v>
      </c>
      <c r="C110" s="133">
        <f>1/2</f>
        <v>0.5</v>
      </c>
      <c r="D110" s="133"/>
      <c r="E110" s="127">
        <f t="shared" si="3"/>
        <v>2.645</v>
      </c>
      <c r="F110" s="128"/>
    </row>
    <row r="111" spans="1:12" ht="15" customHeight="1">
      <c r="A111" s="14" t="s">
        <v>121</v>
      </c>
      <c r="B111" s="36">
        <v>1.99</v>
      </c>
      <c r="C111" s="133">
        <f>1/2</f>
        <v>0.5</v>
      </c>
      <c r="D111" s="133"/>
      <c r="E111" s="127">
        <f t="shared" si="3"/>
        <v>0.995</v>
      </c>
      <c r="F111" s="128"/>
    </row>
    <row r="112" spans="1:12" ht="15" customHeight="1">
      <c r="A112" s="14" t="s">
        <v>84</v>
      </c>
      <c r="B112" s="36">
        <v>8.4</v>
      </c>
      <c r="C112" s="133">
        <f>1/2</f>
        <v>0.5</v>
      </c>
      <c r="D112" s="133"/>
      <c r="E112" s="127">
        <f t="shared" si="3"/>
        <v>4.2</v>
      </c>
      <c r="F112" s="128"/>
    </row>
    <row r="113" spans="1:6" ht="15" customHeight="1">
      <c r="A113" s="14" t="s">
        <v>120</v>
      </c>
      <c r="B113" s="36">
        <v>5.62</v>
      </c>
      <c r="C113" s="133">
        <f>1/12</f>
        <v>8.3333333333333329E-2</v>
      </c>
      <c r="D113" s="133"/>
      <c r="E113" s="127">
        <f t="shared" si="3"/>
        <v>0.46833333333333332</v>
      </c>
      <c r="F113" s="128"/>
    </row>
    <row r="114" spans="1:6" ht="15" customHeight="1">
      <c r="A114" s="14" t="s">
        <v>119</v>
      </c>
      <c r="B114" s="36">
        <v>5.99</v>
      </c>
      <c r="C114" s="133">
        <f>1/12</f>
        <v>8.3333333333333329E-2</v>
      </c>
      <c r="D114" s="133"/>
      <c r="E114" s="127">
        <f t="shared" si="3"/>
        <v>0.49916666666666665</v>
      </c>
      <c r="F114" s="128"/>
    </row>
    <row r="115" spans="1:6" ht="15" customHeight="1">
      <c r="A115" s="14" t="s">
        <v>118</v>
      </c>
      <c r="B115" s="36">
        <v>2.99</v>
      </c>
      <c r="C115" s="133">
        <v>1</v>
      </c>
      <c r="D115" s="133"/>
      <c r="E115" s="127">
        <f t="shared" si="3"/>
        <v>2.99</v>
      </c>
      <c r="F115" s="128"/>
    </row>
    <row r="116" spans="1:6" ht="15" customHeight="1">
      <c r="A116" s="14" t="s">
        <v>117</v>
      </c>
      <c r="B116" s="36">
        <v>3.67</v>
      </c>
      <c r="C116" s="133">
        <v>1</v>
      </c>
      <c r="D116" s="133"/>
      <c r="E116" s="127">
        <f t="shared" si="3"/>
        <v>3.67</v>
      </c>
      <c r="F116" s="128"/>
    </row>
    <row r="117" spans="1:6" ht="15" customHeight="1">
      <c r="A117" s="14" t="s">
        <v>116</v>
      </c>
      <c r="B117" s="36">
        <v>2.69</v>
      </c>
      <c r="C117" s="133">
        <f>1/2</f>
        <v>0.5</v>
      </c>
      <c r="D117" s="133"/>
      <c r="E117" s="127">
        <f t="shared" si="3"/>
        <v>1.345</v>
      </c>
      <c r="F117" s="128"/>
    </row>
    <row r="118" spans="1:6" ht="15" customHeight="1">
      <c r="A118" s="14" t="s">
        <v>115</v>
      </c>
      <c r="B118" s="36">
        <v>3.39</v>
      </c>
      <c r="C118" s="133">
        <v>1</v>
      </c>
      <c r="D118" s="133"/>
      <c r="E118" s="127">
        <f t="shared" si="3"/>
        <v>3.39</v>
      </c>
      <c r="F118" s="128"/>
    </row>
    <row r="119" spans="1:6" ht="15" customHeight="1">
      <c r="A119" s="14" t="s">
        <v>114</v>
      </c>
      <c r="B119" s="36">
        <v>3.39</v>
      </c>
      <c r="C119" s="133">
        <f>1/6</f>
        <v>0.16666666666666666</v>
      </c>
      <c r="D119" s="133"/>
      <c r="E119" s="127">
        <f t="shared" si="3"/>
        <v>0.56499999999999995</v>
      </c>
      <c r="F119" s="128"/>
    </row>
    <row r="120" spans="1:6" ht="15" customHeight="1">
      <c r="A120" s="14" t="s">
        <v>113</v>
      </c>
      <c r="B120" s="36">
        <v>3.49</v>
      </c>
      <c r="C120" s="158">
        <f>1/6</f>
        <v>0.16666666666666666</v>
      </c>
      <c r="D120" s="159"/>
      <c r="E120" s="127">
        <f t="shared" si="3"/>
        <v>0.58166666666666667</v>
      </c>
      <c r="F120" s="128"/>
    </row>
    <row r="121" spans="1:6" ht="15" customHeight="1">
      <c r="A121" s="145"/>
      <c r="B121" s="146"/>
      <c r="C121" s="146"/>
      <c r="D121" s="146"/>
      <c r="E121" s="146"/>
      <c r="F121" s="147"/>
    </row>
    <row r="122" spans="1:6" ht="15" customHeight="1">
      <c r="A122" s="213" t="s">
        <v>80</v>
      </c>
      <c r="B122" s="214"/>
      <c r="C122" s="214"/>
      <c r="D122" s="214"/>
      <c r="E122" s="214"/>
      <c r="F122" s="215"/>
    </row>
    <row r="123" spans="1:6" ht="15" customHeight="1">
      <c r="A123" s="29" t="s">
        <v>87</v>
      </c>
      <c r="B123" s="38">
        <v>1.99</v>
      </c>
      <c r="C123" s="134">
        <v>5</v>
      </c>
      <c r="D123" s="134"/>
      <c r="E123" s="200">
        <f>B123*C123</f>
        <v>9.9499999999999993</v>
      </c>
      <c r="F123" s="118"/>
    </row>
    <row r="124" spans="1:6" ht="15" customHeight="1">
      <c r="A124" s="14" t="s">
        <v>86</v>
      </c>
      <c r="B124" s="36">
        <v>2.61</v>
      </c>
      <c r="C124" s="133">
        <v>4</v>
      </c>
      <c r="D124" s="133"/>
      <c r="E124" s="127">
        <f>B124*C124</f>
        <v>10.44</v>
      </c>
      <c r="F124" s="128"/>
    </row>
    <row r="125" spans="1:6" ht="15" customHeight="1">
      <c r="A125" s="14" t="s">
        <v>82</v>
      </c>
      <c r="B125" s="36">
        <v>3.2</v>
      </c>
      <c r="C125" s="133">
        <v>3</v>
      </c>
      <c r="D125" s="133"/>
      <c r="E125" s="127">
        <f>B125*C125</f>
        <v>9.6000000000000014</v>
      </c>
      <c r="F125" s="128"/>
    </row>
    <row r="126" spans="1:6" ht="15" customHeight="1">
      <c r="A126" s="14" t="s">
        <v>81</v>
      </c>
      <c r="B126" s="36">
        <v>30</v>
      </c>
      <c r="C126" s="133">
        <v>1</v>
      </c>
      <c r="D126" s="133"/>
      <c r="E126" s="127">
        <f>B126*C126</f>
        <v>30</v>
      </c>
      <c r="F126" s="128"/>
    </row>
    <row r="127" spans="1:6" ht="15" customHeight="1">
      <c r="A127" s="15" t="s">
        <v>83</v>
      </c>
      <c r="B127" s="37">
        <v>0.8</v>
      </c>
      <c r="C127" s="155">
        <v>3</v>
      </c>
      <c r="D127" s="155"/>
      <c r="E127" s="198">
        <f>B127*C127</f>
        <v>2.4000000000000004</v>
      </c>
      <c r="F127" s="199"/>
    </row>
    <row r="128" spans="1:6" ht="15" customHeight="1">
      <c r="A128" s="22" t="s">
        <v>124</v>
      </c>
      <c r="B128" s="39">
        <v>0.13</v>
      </c>
      <c r="C128" s="133">
        <f>1.5*3*29</f>
        <v>130.5</v>
      </c>
      <c r="D128" s="133"/>
      <c r="E128" s="194">
        <f>C128*B128</f>
        <v>16.965</v>
      </c>
      <c r="F128" s="194"/>
    </row>
    <row r="129" spans="1:6" ht="15" customHeight="1">
      <c r="A129" s="135"/>
      <c r="B129" s="136"/>
      <c r="C129" s="136"/>
      <c r="D129" s="136"/>
      <c r="E129" s="136"/>
      <c r="F129" s="137"/>
    </row>
    <row r="130" spans="1:6" ht="15" customHeight="1">
      <c r="A130" s="213" t="s">
        <v>90</v>
      </c>
      <c r="B130" s="214"/>
      <c r="C130" s="214"/>
      <c r="D130" s="214"/>
      <c r="E130" s="214"/>
      <c r="F130" s="215"/>
    </row>
    <row r="131" spans="1:6" ht="15" customHeight="1">
      <c r="A131" s="29" t="s">
        <v>125</v>
      </c>
      <c r="B131" s="38">
        <v>1.05</v>
      </c>
      <c r="C131" s="134">
        <v>1</v>
      </c>
      <c r="D131" s="134"/>
      <c r="E131" s="200">
        <f>B131*C131</f>
        <v>1.05</v>
      </c>
      <c r="F131" s="118"/>
    </row>
    <row r="132" spans="1:6" ht="15" customHeight="1">
      <c r="A132" s="14" t="s">
        <v>126</v>
      </c>
      <c r="B132" s="36">
        <v>1.25</v>
      </c>
      <c r="C132" s="133">
        <f>1/1.5</f>
        <v>0.66666666666666663</v>
      </c>
      <c r="D132" s="133"/>
      <c r="E132" s="127">
        <f t="shared" ref="E132:E137" si="4">B132*C132</f>
        <v>0.83333333333333326</v>
      </c>
      <c r="F132" s="128"/>
    </row>
    <row r="133" spans="1:6" ht="15" customHeight="1">
      <c r="A133" s="14" t="s">
        <v>127</v>
      </c>
      <c r="B133" s="36">
        <v>1.59</v>
      </c>
      <c r="C133" s="133">
        <f>1/2</f>
        <v>0.5</v>
      </c>
      <c r="D133" s="133"/>
      <c r="E133" s="127">
        <f t="shared" si="4"/>
        <v>0.79500000000000004</v>
      </c>
      <c r="F133" s="128"/>
    </row>
    <row r="134" spans="1:6" ht="15" customHeight="1">
      <c r="A134" s="14" t="s">
        <v>128</v>
      </c>
      <c r="B134" s="36">
        <v>0.79</v>
      </c>
      <c r="C134" s="133">
        <f>1/6</f>
        <v>0.16666666666666666</v>
      </c>
      <c r="D134" s="133"/>
      <c r="E134" s="127">
        <f t="shared" si="4"/>
        <v>0.13166666666666665</v>
      </c>
      <c r="F134" s="128"/>
    </row>
    <row r="135" spans="1:6" ht="15" customHeight="1">
      <c r="A135" s="14" t="s">
        <v>91</v>
      </c>
      <c r="B135" s="36">
        <v>4.0999999999999996</v>
      </c>
      <c r="C135" s="133">
        <f>1/6</f>
        <v>0.16666666666666666</v>
      </c>
      <c r="D135" s="133"/>
      <c r="E135" s="127">
        <f t="shared" si="4"/>
        <v>0.68333333333333324</v>
      </c>
      <c r="F135" s="128"/>
    </row>
    <row r="136" spans="1:6" ht="15" customHeight="1">
      <c r="A136" s="14" t="s">
        <v>92</v>
      </c>
      <c r="B136" s="36">
        <v>4.3899999999999997</v>
      </c>
      <c r="C136" s="133">
        <f>1/12</f>
        <v>8.3333333333333329E-2</v>
      </c>
      <c r="D136" s="133"/>
      <c r="E136" s="127">
        <f t="shared" si="4"/>
        <v>0.36583333333333329</v>
      </c>
      <c r="F136" s="128"/>
    </row>
    <row r="137" spans="1:6" ht="15" customHeight="1">
      <c r="A137" s="14" t="s">
        <v>94</v>
      </c>
      <c r="B137" s="36">
        <v>0.99</v>
      </c>
      <c r="C137" s="133">
        <v>3</v>
      </c>
      <c r="D137" s="133"/>
      <c r="E137" s="127">
        <f t="shared" si="4"/>
        <v>2.9699999999999998</v>
      </c>
      <c r="F137" s="128"/>
    </row>
    <row r="138" spans="1:6" ht="15" customHeight="1">
      <c r="A138" s="24" t="s">
        <v>131</v>
      </c>
      <c r="B138" s="183">
        <f>SUM(E131:F137,E123:F128,E108:F120)</f>
        <v>116.26</v>
      </c>
      <c r="C138" s="184"/>
      <c r="D138" s="184"/>
      <c r="E138" s="184"/>
      <c r="F138" s="185"/>
    </row>
    <row r="139" spans="1:6" ht="15" customHeight="1">
      <c r="A139" s="24" t="s">
        <v>132</v>
      </c>
      <c r="B139" s="183">
        <f>B138/$D$25</f>
        <v>29.065000000000001</v>
      </c>
      <c r="C139" s="184"/>
      <c r="D139" s="184"/>
      <c r="E139" s="184"/>
      <c r="F139" s="185"/>
    </row>
    <row r="140" spans="1:6" ht="15" customHeight="1">
      <c r="A140" s="24" t="s">
        <v>133</v>
      </c>
      <c r="B140" s="183">
        <f>B139*$E$29</f>
        <v>232.52</v>
      </c>
      <c r="C140" s="184"/>
      <c r="D140" s="184"/>
      <c r="E140" s="184"/>
      <c r="F140" s="185"/>
    </row>
    <row r="143" spans="1:6" ht="15" customHeight="1">
      <c r="A143" s="20" t="s">
        <v>196</v>
      </c>
      <c r="B143" s="7"/>
      <c r="F143" s="7"/>
    </row>
    <row r="144" spans="1:6" ht="15" customHeight="1">
      <c r="A144" s="6" t="s">
        <v>197</v>
      </c>
      <c r="B144" s="7"/>
      <c r="F144" s="7"/>
    </row>
    <row r="145" spans="1:6" ht="15" customHeight="1">
      <c r="A145" s="20" t="s">
        <v>195</v>
      </c>
    </row>
    <row r="146" spans="1:6" ht="15" customHeight="1">
      <c r="A146" t="s">
        <v>198</v>
      </c>
    </row>
    <row r="147" spans="1:6" ht="15" customHeight="1">
      <c r="A147" s="54" t="s">
        <v>171</v>
      </c>
      <c r="B147" s="56" t="s">
        <v>185</v>
      </c>
      <c r="C147" s="114" t="s">
        <v>193</v>
      </c>
      <c r="D147" s="115"/>
      <c r="E147" s="116"/>
      <c r="F147" s="55" t="s">
        <v>192</v>
      </c>
    </row>
    <row r="148" spans="1:6" ht="15" customHeight="1">
      <c r="A148" s="96" t="s">
        <v>182</v>
      </c>
      <c r="B148" s="100">
        <f>6</f>
        <v>6</v>
      </c>
      <c r="C148" s="240">
        <f>B148*'Tabella ORE'!J11</f>
        <v>2.8687230989956962</v>
      </c>
      <c r="D148" s="240"/>
      <c r="E148" s="240"/>
      <c r="F148" s="39">
        <f>$K$85</f>
        <v>2823.5</v>
      </c>
    </row>
    <row r="149" spans="1:6" ht="15" customHeight="1">
      <c r="A149" s="97" t="s">
        <v>180</v>
      </c>
      <c r="B149" s="100">
        <v>6</v>
      </c>
      <c r="C149" s="240">
        <f>B148*'Tabella ORE'!J11</f>
        <v>2.8687230989956962</v>
      </c>
      <c r="D149" s="240"/>
      <c r="E149" s="240"/>
      <c r="F149" s="39">
        <f>$K$85</f>
        <v>2823.5</v>
      </c>
    </row>
    <row r="150" spans="1:6" ht="15" customHeight="1">
      <c r="A150" s="98" t="s">
        <v>181</v>
      </c>
      <c r="B150" s="100">
        <v>6</v>
      </c>
      <c r="C150" s="240">
        <f>B148*'Tabella ORE'!J11</f>
        <v>2.8687230989956962</v>
      </c>
      <c r="D150" s="240"/>
      <c r="E150" s="240"/>
      <c r="F150" s="39">
        <f>$K$85</f>
        <v>2823.5</v>
      </c>
    </row>
    <row r="151" spans="1:6" ht="15" customHeight="1">
      <c r="A151" s="99" t="s">
        <v>183</v>
      </c>
      <c r="B151" s="241">
        <f>SUM(F148:F150)</f>
        <v>8470.5</v>
      </c>
      <c r="C151" s="241"/>
      <c r="D151" s="241"/>
      <c r="E151" s="241"/>
      <c r="F151" s="241"/>
    </row>
    <row r="152" spans="1:6" ht="15" customHeight="1">
      <c r="A152" s="99" t="s">
        <v>184</v>
      </c>
      <c r="B152" s="241">
        <f>B151/3</f>
        <v>2823.5</v>
      </c>
      <c r="C152" s="241"/>
      <c r="D152" s="241"/>
      <c r="E152" s="241"/>
      <c r="F152" s="241"/>
    </row>
    <row r="153" spans="1:6" ht="15" customHeight="1">
      <c r="A153" s="99" t="s">
        <v>190</v>
      </c>
      <c r="B153" s="241">
        <f>B152/D25</f>
        <v>705.875</v>
      </c>
      <c r="C153" s="241"/>
      <c r="D153" s="241"/>
      <c r="E153" s="241"/>
      <c r="F153" s="241"/>
    </row>
    <row r="154" spans="1:6" ht="15" customHeight="1">
      <c r="A154" s="99" t="s">
        <v>191</v>
      </c>
      <c r="B154" s="241">
        <f>B151/D25</f>
        <v>2117.625</v>
      </c>
      <c r="C154" s="241"/>
      <c r="D154" s="241"/>
      <c r="E154" s="241"/>
      <c r="F154" s="241"/>
    </row>
    <row r="155" spans="1:6" ht="15" customHeight="1">
      <c r="A155" s="16"/>
    </row>
    <row r="158" spans="1:6" ht="15" customHeight="1">
      <c r="A158" s="114" t="s">
        <v>207</v>
      </c>
      <c r="B158" s="115"/>
      <c r="C158" s="115"/>
      <c r="D158" s="116"/>
    </row>
    <row r="159" spans="1:6" ht="15" customHeight="1">
      <c r="A159" s="190" t="s">
        <v>135</v>
      </c>
      <c r="B159" s="191"/>
      <c r="C159" s="204">
        <f>K86*3</f>
        <v>2117.625</v>
      </c>
      <c r="D159" s="205"/>
    </row>
    <row r="160" spans="1:6" ht="15" customHeight="1">
      <c r="A160" s="195" t="s">
        <v>194</v>
      </c>
      <c r="B160" s="196"/>
      <c r="C160" s="194">
        <f>B153</f>
        <v>705.875</v>
      </c>
      <c r="D160" s="194"/>
    </row>
    <row r="161" spans="1:5" ht="15" customHeight="1">
      <c r="A161" s="188" t="s">
        <v>134</v>
      </c>
      <c r="B161" s="189"/>
      <c r="C161" s="117">
        <f>B86+B50+B104+B140</f>
        <v>1978.6330555555553</v>
      </c>
      <c r="D161" s="118"/>
    </row>
    <row r="162" spans="1:5" ht="15" customHeight="1">
      <c r="A162" s="104" t="s">
        <v>143</v>
      </c>
      <c r="B162" s="105"/>
      <c r="C162" s="102">
        <v>0.2</v>
      </c>
      <c r="D162" s="103"/>
      <c r="E162" s="25"/>
    </row>
    <row r="163" spans="1:5" ht="15" customHeight="1" thickBot="1">
      <c r="A163" s="106" t="s">
        <v>140</v>
      </c>
      <c r="B163" s="107"/>
      <c r="C163" s="186">
        <f>C161*C162</f>
        <v>395.72661111111108</v>
      </c>
      <c r="D163" s="187"/>
    </row>
    <row r="164" spans="1:5" ht="15" customHeight="1" thickTop="1">
      <c r="A164" s="110" t="s">
        <v>199</v>
      </c>
      <c r="B164" s="111"/>
      <c r="C164" s="112">
        <f>SUM(C159:D161,C163)</f>
        <v>5197.8596666666663</v>
      </c>
      <c r="D164" s="113"/>
    </row>
    <row r="165" spans="1:5" ht="15" customHeight="1">
      <c r="A165" s="104" t="s">
        <v>201</v>
      </c>
      <c r="B165" s="105"/>
      <c r="C165" s="197">
        <v>300</v>
      </c>
      <c r="D165" s="128"/>
    </row>
    <row r="166" spans="1:5" ht="15" customHeight="1">
      <c r="A166" s="104" t="s">
        <v>202</v>
      </c>
      <c r="B166" s="105"/>
      <c r="C166" s="197">
        <v>200</v>
      </c>
      <c r="D166" s="128"/>
    </row>
    <row r="167" spans="1:5" ht="15" customHeight="1">
      <c r="A167" s="192" t="s">
        <v>206</v>
      </c>
      <c r="B167" s="193"/>
      <c r="C167" s="112">
        <f>SUM(C164:D166)</f>
        <v>5697.8596666666663</v>
      </c>
      <c r="D167" s="113"/>
    </row>
    <row r="168" spans="1:5" ht="15" customHeight="1">
      <c r="A168" s="104" t="s">
        <v>142</v>
      </c>
      <c r="B168" s="105"/>
      <c r="C168" s="102">
        <v>0.22</v>
      </c>
      <c r="D168" s="103">
        <v>0.22</v>
      </c>
    </row>
    <row r="169" spans="1:5" ht="15" customHeight="1" thickBot="1">
      <c r="A169" s="106" t="s">
        <v>141</v>
      </c>
      <c r="B169" s="107"/>
      <c r="C169" s="108">
        <f>C167*C168</f>
        <v>1253.5291266666666</v>
      </c>
      <c r="D169" s="109"/>
    </row>
    <row r="170" spans="1:5" ht="15" customHeight="1" thickTop="1">
      <c r="A170" s="110" t="s">
        <v>200</v>
      </c>
      <c r="B170" s="111"/>
      <c r="C170" s="112">
        <f>C167+C169</f>
        <v>6951.3887933333326</v>
      </c>
      <c r="D170" s="113"/>
    </row>
    <row r="171" spans="1:5" ht="15" customHeight="1">
      <c r="A171" s="101"/>
    </row>
    <row r="172" spans="1:5" ht="15" customHeight="1">
      <c r="A172" t="s">
        <v>211</v>
      </c>
      <c r="C172" s="102">
        <v>0.15</v>
      </c>
      <c r="D172" s="103"/>
    </row>
    <row r="173" spans="1:5" ht="15" customHeight="1">
      <c r="A173" t="s">
        <v>205</v>
      </c>
    </row>
    <row r="174" spans="1:5" ht="15" customHeight="1">
      <c r="C174" s="2"/>
      <c r="D174" s="2"/>
      <c r="E174" s="2"/>
    </row>
    <row r="175" spans="1:5" ht="15" customHeight="1">
      <c r="A175" s="114" t="s">
        <v>203</v>
      </c>
      <c r="B175" s="115"/>
      <c r="C175" s="115"/>
      <c r="D175" s="116"/>
    </row>
    <row r="176" spans="1:5" ht="15" customHeight="1">
      <c r="A176" s="104" t="s">
        <v>210</v>
      </c>
      <c r="B176" s="105"/>
      <c r="C176" s="117">
        <f>C164*C172</f>
        <v>779.67894999999987</v>
      </c>
      <c r="D176" s="118">
        <v>200</v>
      </c>
    </row>
    <row r="177" spans="1:4" ht="15" customHeight="1">
      <c r="A177" s="104" t="s">
        <v>142</v>
      </c>
      <c r="B177" s="105"/>
      <c r="C177" s="102">
        <v>0.22</v>
      </c>
      <c r="D177" s="103">
        <v>0.22</v>
      </c>
    </row>
    <row r="178" spans="1:4" ht="15" customHeight="1" thickBot="1">
      <c r="A178" s="106" t="s">
        <v>141</v>
      </c>
      <c r="B178" s="107"/>
      <c r="C178" s="108">
        <f>C177*C176</f>
        <v>171.52936899999997</v>
      </c>
      <c r="D178" s="109"/>
    </row>
    <row r="179" spans="1:4" ht="15" customHeight="1" thickTop="1">
      <c r="A179" s="110" t="s">
        <v>208</v>
      </c>
      <c r="B179" s="111"/>
      <c r="C179" s="112">
        <f>C178+C176</f>
        <v>951.20831899999985</v>
      </c>
      <c r="D179" s="113"/>
    </row>
    <row r="181" spans="1:4" ht="15" customHeight="1">
      <c r="A181" t="s">
        <v>204</v>
      </c>
    </row>
    <row r="182" spans="1:4" ht="15" customHeight="1">
      <c r="A182" t="s">
        <v>209</v>
      </c>
    </row>
  </sheetData>
  <sortState ref="I95:K122">
    <sortCondition ref="J2:J29"/>
  </sortState>
  <mergeCells count="323">
    <mergeCell ref="C147:E147"/>
    <mergeCell ref="C150:E150"/>
    <mergeCell ref="C149:E149"/>
    <mergeCell ref="C148:E148"/>
    <mergeCell ref="B154:F154"/>
    <mergeCell ref="B153:F153"/>
    <mergeCell ref="B152:F152"/>
    <mergeCell ref="B151:F151"/>
    <mergeCell ref="C115:D115"/>
    <mergeCell ref="E115:F115"/>
    <mergeCell ref="E119:F119"/>
    <mergeCell ref="C119:D119"/>
    <mergeCell ref="E131:F131"/>
    <mergeCell ref="E128:F128"/>
    <mergeCell ref="E127:F127"/>
    <mergeCell ref="E126:F126"/>
    <mergeCell ref="E125:F125"/>
    <mergeCell ref="E124:F124"/>
    <mergeCell ref="E123:F123"/>
    <mergeCell ref="C125:D125"/>
    <mergeCell ref="E132:F132"/>
    <mergeCell ref="C128:D128"/>
    <mergeCell ref="C135:D135"/>
    <mergeCell ref="C137:D137"/>
    <mergeCell ref="I57:J57"/>
    <mergeCell ref="I78:L78"/>
    <mergeCell ref="I79:L79"/>
    <mergeCell ref="I74:L74"/>
    <mergeCell ref="I68:L68"/>
    <mergeCell ref="I63:L63"/>
    <mergeCell ref="I60:L60"/>
    <mergeCell ref="I81:J81"/>
    <mergeCell ref="K81:L81"/>
    <mergeCell ref="I69:J69"/>
    <mergeCell ref="I67:J67"/>
    <mergeCell ref="I66:J66"/>
    <mergeCell ref="I65:J65"/>
    <mergeCell ref="I64:J64"/>
    <mergeCell ref="I62:J62"/>
    <mergeCell ref="I61:J61"/>
    <mergeCell ref="I59:J59"/>
    <mergeCell ref="I58:J58"/>
    <mergeCell ref="I71:J71"/>
    <mergeCell ref="I70:J70"/>
    <mergeCell ref="K80:L80"/>
    <mergeCell ref="K84:L84"/>
    <mergeCell ref="K85:L85"/>
    <mergeCell ref="K86:L86"/>
    <mergeCell ref="I86:J86"/>
    <mergeCell ref="I85:J85"/>
    <mergeCell ref="I84:J84"/>
    <mergeCell ref="I80:J80"/>
    <mergeCell ref="I77:J77"/>
    <mergeCell ref="I82:J82"/>
    <mergeCell ref="K82:L82"/>
    <mergeCell ref="I83:L83"/>
    <mergeCell ref="J9:K9"/>
    <mergeCell ref="J8:K8"/>
    <mergeCell ref="A95:F95"/>
    <mergeCell ref="A130:F130"/>
    <mergeCell ref="A122:F122"/>
    <mergeCell ref="A107:F107"/>
    <mergeCell ref="I10:L10"/>
    <mergeCell ref="I13:L13"/>
    <mergeCell ref="I18:L18"/>
    <mergeCell ref="I19:K19"/>
    <mergeCell ref="I20:K20"/>
    <mergeCell ref="K21:L21"/>
    <mergeCell ref="K22:L22"/>
    <mergeCell ref="I56:L56"/>
    <mergeCell ref="K77:L77"/>
    <mergeCell ref="K76:L76"/>
    <mergeCell ref="K75:L75"/>
    <mergeCell ref="K73:L73"/>
    <mergeCell ref="K72:L72"/>
    <mergeCell ref="K71:L71"/>
    <mergeCell ref="K70:L70"/>
    <mergeCell ref="K69:L69"/>
    <mergeCell ref="K67:L67"/>
    <mergeCell ref="K66:L66"/>
    <mergeCell ref="E108:F108"/>
    <mergeCell ref="E106:F106"/>
    <mergeCell ref="A170:B170"/>
    <mergeCell ref="C170:D170"/>
    <mergeCell ref="J17:K17"/>
    <mergeCell ref="J16:K16"/>
    <mergeCell ref="J15:K15"/>
    <mergeCell ref="I12:K12"/>
    <mergeCell ref="I11:K11"/>
    <mergeCell ref="A158:D158"/>
    <mergeCell ref="C159:D159"/>
    <mergeCell ref="C161:D161"/>
    <mergeCell ref="C162:D162"/>
    <mergeCell ref="K65:L65"/>
    <mergeCell ref="K64:L64"/>
    <mergeCell ref="K62:L62"/>
    <mergeCell ref="K61:L61"/>
    <mergeCell ref="K59:L59"/>
    <mergeCell ref="K58:L58"/>
    <mergeCell ref="K57:L57"/>
    <mergeCell ref="I76:J76"/>
    <mergeCell ref="I75:J75"/>
    <mergeCell ref="I73:J73"/>
    <mergeCell ref="I72:J72"/>
    <mergeCell ref="E88:F88"/>
    <mergeCell ref="B102:F102"/>
    <mergeCell ref="C96:D96"/>
    <mergeCell ref="C100:D100"/>
    <mergeCell ref="E100:F100"/>
    <mergeCell ref="A91:F91"/>
    <mergeCell ref="E97:F97"/>
    <mergeCell ref="E96:F96"/>
    <mergeCell ref="E90:F90"/>
    <mergeCell ref="C101:D101"/>
    <mergeCell ref="E101:F101"/>
    <mergeCell ref="C89:D89"/>
    <mergeCell ref="C90:D90"/>
    <mergeCell ref="C163:D163"/>
    <mergeCell ref="C164:D164"/>
    <mergeCell ref="A164:B164"/>
    <mergeCell ref="A163:B163"/>
    <mergeCell ref="A162:B162"/>
    <mergeCell ref="A161:B161"/>
    <mergeCell ref="A159:B159"/>
    <mergeCell ref="A168:B168"/>
    <mergeCell ref="C168:D168"/>
    <mergeCell ref="A167:B167"/>
    <mergeCell ref="C167:D167"/>
    <mergeCell ref="C160:D160"/>
    <mergeCell ref="A160:B160"/>
    <mergeCell ref="A165:B165"/>
    <mergeCell ref="C165:D165"/>
    <mergeCell ref="A166:B166"/>
    <mergeCell ref="C166:D166"/>
    <mergeCell ref="A169:B169"/>
    <mergeCell ref="C169:D169"/>
    <mergeCell ref="B48:F48"/>
    <mergeCell ref="B138:F138"/>
    <mergeCell ref="B84:F84"/>
    <mergeCell ref="B85:F85"/>
    <mergeCell ref="B86:F86"/>
    <mergeCell ref="B49:F49"/>
    <mergeCell ref="B50:F50"/>
    <mergeCell ref="B103:F103"/>
    <mergeCell ref="B104:F104"/>
    <mergeCell ref="B139:F139"/>
    <mergeCell ref="B140:F140"/>
    <mergeCell ref="C82:D82"/>
    <mergeCell ref="C83:D83"/>
    <mergeCell ref="E56:F56"/>
    <mergeCell ref="E64:F64"/>
    <mergeCell ref="E65:F65"/>
    <mergeCell ref="E66:F66"/>
    <mergeCell ref="E67:F67"/>
    <mergeCell ref="E68:F68"/>
    <mergeCell ref="E69:F69"/>
    <mergeCell ref="E70:F70"/>
    <mergeCell ref="C69:D69"/>
    <mergeCell ref="C72:D72"/>
    <mergeCell ref="E72:F72"/>
    <mergeCell ref="E73:F73"/>
    <mergeCell ref="E83:F83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C67:D67"/>
    <mergeCell ref="C68:D68"/>
    <mergeCell ref="C62:D62"/>
    <mergeCell ref="E62:F62"/>
    <mergeCell ref="C63:D63"/>
    <mergeCell ref="E63:F63"/>
    <mergeCell ref="C70:D70"/>
    <mergeCell ref="C71:D71"/>
    <mergeCell ref="E71:F71"/>
    <mergeCell ref="E59:F59"/>
    <mergeCell ref="C54:D55"/>
    <mergeCell ref="C60:D60"/>
    <mergeCell ref="E60:F60"/>
    <mergeCell ref="C61:D61"/>
    <mergeCell ref="E61:F61"/>
    <mergeCell ref="C64:D64"/>
    <mergeCell ref="C65:D65"/>
    <mergeCell ref="C66:D66"/>
    <mergeCell ref="I2:L2"/>
    <mergeCell ref="I3:L3"/>
    <mergeCell ref="I14:L14"/>
    <mergeCell ref="A35:B35"/>
    <mergeCell ref="A34:B34"/>
    <mergeCell ref="A33:B33"/>
    <mergeCell ref="A30:B30"/>
    <mergeCell ref="A17:C17"/>
    <mergeCell ref="I21:J21"/>
    <mergeCell ref="I22:J22"/>
    <mergeCell ref="J7:K7"/>
    <mergeCell ref="J6:K6"/>
    <mergeCell ref="J5:K5"/>
    <mergeCell ref="J4:K4"/>
    <mergeCell ref="A23:C23"/>
    <mergeCell ref="A21:C21"/>
    <mergeCell ref="A22:C22"/>
    <mergeCell ref="A14:C14"/>
    <mergeCell ref="A12:C12"/>
    <mergeCell ref="A11:C11"/>
    <mergeCell ref="A10:C10"/>
    <mergeCell ref="A9:C9"/>
    <mergeCell ref="A25:C25"/>
    <mergeCell ref="A19:C19"/>
    <mergeCell ref="C133:D133"/>
    <mergeCell ref="E133:F133"/>
    <mergeCell ref="C134:D134"/>
    <mergeCell ref="E134:F134"/>
    <mergeCell ref="C126:D126"/>
    <mergeCell ref="C127:D127"/>
    <mergeCell ref="C97:D97"/>
    <mergeCell ref="E39:F40"/>
    <mergeCell ref="E46:F46"/>
    <mergeCell ref="E47:F47"/>
    <mergeCell ref="E114:F114"/>
    <mergeCell ref="E113:F113"/>
    <mergeCell ref="E112:F112"/>
    <mergeCell ref="E111:F111"/>
    <mergeCell ref="E110:F110"/>
    <mergeCell ref="E109:F109"/>
    <mergeCell ref="E99:F99"/>
    <mergeCell ref="C132:D132"/>
    <mergeCell ref="C120:D120"/>
    <mergeCell ref="C41:D41"/>
    <mergeCell ref="E41:F41"/>
    <mergeCell ref="C42:D42"/>
    <mergeCell ref="E42:F42"/>
    <mergeCell ref="C59:D59"/>
    <mergeCell ref="E54:F55"/>
    <mergeCell ref="B54:B55"/>
    <mergeCell ref="A54:A55"/>
    <mergeCell ref="C56:D56"/>
    <mergeCell ref="C57:D57"/>
    <mergeCell ref="E57:F57"/>
    <mergeCell ref="C58:D58"/>
    <mergeCell ref="E58:F58"/>
    <mergeCell ref="A20:C20"/>
    <mergeCell ref="A29:B29"/>
    <mergeCell ref="A28:B28"/>
    <mergeCell ref="A31:B31"/>
    <mergeCell ref="A36:B36"/>
    <mergeCell ref="C43:D43"/>
    <mergeCell ref="E43:F43"/>
    <mergeCell ref="C44:D44"/>
    <mergeCell ref="E44:F44"/>
    <mergeCell ref="C45:D45"/>
    <mergeCell ref="E45:F45"/>
    <mergeCell ref="E136:F136"/>
    <mergeCell ref="E137:F137"/>
    <mergeCell ref="A16:C16"/>
    <mergeCell ref="A15:C15"/>
    <mergeCell ref="C117:D117"/>
    <mergeCell ref="C106:D106"/>
    <mergeCell ref="C108:D108"/>
    <mergeCell ref="C109:D109"/>
    <mergeCell ref="C123:D123"/>
    <mergeCell ref="C124:D124"/>
    <mergeCell ref="A18:C18"/>
    <mergeCell ref="A39:A40"/>
    <mergeCell ref="B39:B40"/>
    <mergeCell ref="C46:D46"/>
    <mergeCell ref="C47:D47"/>
    <mergeCell ref="C88:D88"/>
    <mergeCell ref="C110:D110"/>
    <mergeCell ref="C111:D111"/>
    <mergeCell ref="C112:D112"/>
    <mergeCell ref="C113:D113"/>
    <mergeCell ref="C136:D136"/>
    <mergeCell ref="C114:D114"/>
    <mergeCell ref="A121:F121"/>
    <mergeCell ref="E117:F117"/>
    <mergeCell ref="A7:E7"/>
    <mergeCell ref="A8:E8"/>
    <mergeCell ref="A24:E24"/>
    <mergeCell ref="A13:E13"/>
    <mergeCell ref="A32:F32"/>
    <mergeCell ref="E89:F89"/>
    <mergeCell ref="E135:F135"/>
    <mergeCell ref="C39:D40"/>
    <mergeCell ref="C92:D92"/>
    <mergeCell ref="E92:F92"/>
    <mergeCell ref="C93:D93"/>
    <mergeCell ref="E93:F93"/>
    <mergeCell ref="C94:D94"/>
    <mergeCell ref="E94:F94"/>
    <mergeCell ref="C98:D98"/>
    <mergeCell ref="E98:F98"/>
    <mergeCell ref="C99:D99"/>
    <mergeCell ref="C131:D131"/>
    <mergeCell ref="A129:F129"/>
    <mergeCell ref="C116:D116"/>
    <mergeCell ref="E116:F116"/>
    <mergeCell ref="C118:D118"/>
    <mergeCell ref="E118:F118"/>
    <mergeCell ref="E120:F120"/>
    <mergeCell ref="C172:D172"/>
    <mergeCell ref="A177:B177"/>
    <mergeCell ref="C177:D177"/>
    <mergeCell ref="A178:B178"/>
    <mergeCell ref="C178:D178"/>
    <mergeCell ref="A179:B179"/>
    <mergeCell ref="C179:D179"/>
    <mergeCell ref="A175:D175"/>
    <mergeCell ref="A176:B176"/>
    <mergeCell ref="C176:D176"/>
  </mergeCells>
  <pageMargins left="0.31496062992125984" right="0.31496062992125984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9"/>
  <sheetViews>
    <sheetView zoomScale="85" zoomScaleNormal="85" workbookViewId="0">
      <selection activeCell="E25" sqref="E25"/>
    </sheetView>
  </sheetViews>
  <sheetFormatPr defaultRowHeight="15"/>
  <cols>
    <col min="2" max="2" width="17.28515625" customWidth="1"/>
    <col min="3" max="3" width="10.7109375" bestFit="1" customWidth="1"/>
    <col min="4" max="4" width="9.28515625" bestFit="1" customWidth="1"/>
    <col min="5" max="5" width="10.7109375" bestFit="1" customWidth="1"/>
    <col min="6" max="6" width="9.28515625" bestFit="1" customWidth="1"/>
    <col min="7" max="7" width="10.7109375" bestFit="1" customWidth="1"/>
    <col min="8" max="8" width="9.28515625" bestFit="1" customWidth="1"/>
    <col min="9" max="9" width="14.7109375" customWidth="1"/>
    <col min="10" max="10" width="16.85546875" customWidth="1"/>
  </cols>
  <sheetData>
    <row r="1" spans="2:10" ht="15" customHeight="1"/>
    <row r="2" spans="2:10" ht="15" customHeight="1"/>
    <row r="3" spans="2:10" ht="15" customHeight="1"/>
    <row r="4" spans="2:10" ht="15" customHeight="1"/>
    <row r="5" spans="2:10" ht="15" customHeight="1"/>
    <row r="8" spans="2:10" ht="15" customHeight="1" thickBot="1"/>
    <row r="9" spans="2:10" ht="15" customHeight="1" thickBot="1">
      <c r="B9" s="61" t="s">
        <v>189</v>
      </c>
      <c r="C9" s="242" t="s">
        <v>172</v>
      </c>
      <c r="D9" s="243"/>
      <c r="E9" s="242" t="s">
        <v>173</v>
      </c>
      <c r="F9" s="243"/>
      <c r="G9" s="242" t="s">
        <v>174</v>
      </c>
      <c r="H9" s="244"/>
      <c r="I9" s="62" t="s">
        <v>186</v>
      </c>
      <c r="J9" s="63" t="s">
        <v>187</v>
      </c>
    </row>
    <row r="10" spans="2:10" ht="15" customHeight="1">
      <c r="B10" s="93"/>
      <c r="C10" s="66" t="s">
        <v>175</v>
      </c>
      <c r="D10" s="67" t="s">
        <v>176</v>
      </c>
      <c r="E10" s="59" t="s">
        <v>175</v>
      </c>
      <c r="F10" s="60" t="s">
        <v>176</v>
      </c>
      <c r="G10" s="66" t="s">
        <v>175</v>
      </c>
      <c r="H10" s="67" t="s">
        <v>176</v>
      </c>
      <c r="I10" s="59"/>
      <c r="J10" s="60"/>
    </row>
    <row r="11" spans="2:10" ht="15" customHeight="1">
      <c r="B11" s="92" t="s">
        <v>177</v>
      </c>
      <c r="C11" s="86">
        <v>3432</v>
      </c>
      <c r="D11" s="87">
        <v>96</v>
      </c>
      <c r="E11" s="86">
        <v>3432</v>
      </c>
      <c r="F11" s="88">
        <v>96</v>
      </c>
      <c r="G11" s="89">
        <v>3432</v>
      </c>
      <c r="H11" s="87">
        <v>176</v>
      </c>
      <c r="I11" s="90">
        <f>SUM(C11:H11)</f>
        <v>10664</v>
      </c>
      <c r="J11" s="91">
        <f>I11/C22</f>
        <v>0.47812051649928267</v>
      </c>
    </row>
    <row r="12" spans="2:10" ht="15" customHeight="1">
      <c r="B12" s="64" t="s">
        <v>188</v>
      </c>
      <c r="C12" s="68">
        <v>128</v>
      </c>
      <c r="D12" s="69">
        <v>96</v>
      </c>
      <c r="E12" s="70">
        <v>104</v>
      </c>
      <c r="F12" s="71">
        <v>96</v>
      </c>
      <c r="G12" s="68">
        <v>104</v>
      </c>
      <c r="H12" s="69">
        <v>336</v>
      </c>
      <c r="I12" s="70">
        <f>SUM(C12:H20)</f>
        <v>11640</v>
      </c>
      <c r="J12" s="72">
        <f>I12/C22</f>
        <v>0.52187948350071733</v>
      </c>
    </row>
    <row r="13" spans="2:10" ht="15" customHeight="1">
      <c r="B13" s="64"/>
      <c r="C13" s="68">
        <v>104</v>
      </c>
      <c r="D13" s="69">
        <v>136</v>
      </c>
      <c r="E13" s="70">
        <v>240</v>
      </c>
      <c r="F13" s="71">
        <v>136</v>
      </c>
      <c r="G13" s="68">
        <v>240</v>
      </c>
      <c r="H13" s="69">
        <v>96</v>
      </c>
      <c r="I13" s="73"/>
      <c r="J13" s="95"/>
    </row>
    <row r="14" spans="2:10" ht="15" customHeight="1">
      <c r="B14" s="64"/>
      <c r="C14" s="68">
        <v>240</v>
      </c>
      <c r="D14" s="69"/>
      <c r="E14" s="70">
        <v>96</v>
      </c>
      <c r="F14" s="71"/>
      <c r="G14" s="68">
        <v>96</v>
      </c>
      <c r="H14" s="69">
        <v>96</v>
      </c>
      <c r="I14" s="73"/>
      <c r="J14" s="74"/>
    </row>
    <row r="15" spans="2:10" ht="15" customHeight="1">
      <c r="B15" s="64"/>
      <c r="C15" s="68">
        <v>96</v>
      </c>
      <c r="D15" s="69"/>
      <c r="E15" s="70">
        <v>2120</v>
      </c>
      <c r="F15" s="71"/>
      <c r="G15" s="68">
        <v>2120</v>
      </c>
      <c r="H15" s="69">
        <v>136</v>
      </c>
      <c r="I15" s="73"/>
      <c r="J15" s="74"/>
    </row>
    <row r="16" spans="2:10" ht="15" customHeight="1">
      <c r="B16" s="64"/>
      <c r="C16" s="68">
        <v>96</v>
      </c>
      <c r="D16" s="69"/>
      <c r="E16" s="70">
        <v>96</v>
      </c>
      <c r="F16" s="71"/>
      <c r="G16" s="68">
        <v>96</v>
      </c>
      <c r="H16" s="69"/>
      <c r="I16" s="73"/>
      <c r="J16" s="74"/>
    </row>
    <row r="17" spans="2:10" ht="15" customHeight="1">
      <c r="B17" s="64"/>
      <c r="C17" s="68">
        <v>48</v>
      </c>
      <c r="D17" s="69"/>
      <c r="E17" s="70">
        <v>48</v>
      </c>
      <c r="F17" s="71"/>
      <c r="G17" s="68">
        <v>48</v>
      </c>
      <c r="H17" s="69"/>
      <c r="I17" s="73"/>
      <c r="J17" s="74"/>
    </row>
    <row r="18" spans="2:10" ht="15" customHeight="1">
      <c r="B18" s="64"/>
      <c r="C18" s="68">
        <v>520</v>
      </c>
      <c r="D18" s="69"/>
      <c r="E18" s="70">
        <v>520</v>
      </c>
      <c r="F18" s="71"/>
      <c r="G18" s="68">
        <v>520</v>
      </c>
      <c r="H18" s="69"/>
      <c r="I18" s="73"/>
      <c r="J18" s="74"/>
    </row>
    <row r="19" spans="2:10" ht="15" customHeight="1">
      <c r="B19" s="94" t="s">
        <v>178</v>
      </c>
      <c r="C19" s="68">
        <v>712</v>
      </c>
      <c r="D19" s="69"/>
      <c r="E19" s="70"/>
      <c r="F19" s="71"/>
      <c r="G19" s="68"/>
      <c r="H19" s="69"/>
      <c r="I19" s="73"/>
      <c r="J19" s="74"/>
    </row>
    <row r="20" spans="2:10" ht="15" customHeight="1" thickBot="1">
      <c r="B20" s="64"/>
      <c r="C20" s="82">
        <v>2120</v>
      </c>
      <c r="D20" s="83"/>
      <c r="E20" s="82"/>
      <c r="F20" s="84"/>
      <c r="G20" s="85"/>
      <c r="H20" s="83"/>
      <c r="I20" s="73"/>
      <c r="J20" s="74"/>
    </row>
    <row r="21" spans="2:10" ht="15" customHeight="1" thickTop="1" thickBot="1">
      <c r="B21" s="64"/>
      <c r="C21" s="76">
        <f>SUM(C9:C20)</f>
        <v>7496</v>
      </c>
      <c r="D21" s="77">
        <f>SUM(D11:D20)</f>
        <v>328</v>
      </c>
      <c r="E21" s="76">
        <f>SUM(E11:E20)</f>
        <v>6656</v>
      </c>
      <c r="F21" s="78">
        <f>SUM(F11:F20)</f>
        <v>328</v>
      </c>
      <c r="G21" s="79">
        <f>SUM(G11:G20)</f>
        <v>6656</v>
      </c>
      <c r="H21" s="77">
        <f>SUM(H11:H20)</f>
        <v>840</v>
      </c>
      <c r="I21" s="80"/>
      <c r="J21" s="81"/>
    </row>
    <row r="22" spans="2:10" ht="15" customHeight="1" thickBot="1">
      <c r="B22" s="65" t="s">
        <v>179</v>
      </c>
      <c r="C22" s="245">
        <f>C21+D21+E21+F21+G21+H21</f>
        <v>22304</v>
      </c>
      <c r="D22" s="246"/>
      <c r="E22" s="246"/>
      <c r="F22" s="246"/>
      <c r="G22" s="246"/>
      <c r="H22" s="246"/>
      <c r="I22" s="247"/>
      <c r="J22" s="75">
        <f>J11+J12</f>
        <v>1</v>
      </c>
    </row>
    <row r="23" spans="2:10" ht="15" customHeight="1"/>
    <row r="24" spans="2:10" ht="15" customHeight="1"/>
    <row r="25" spans="2:10" ht="15" customHeight="1"/>
    <row r="26" spans="2:10" ht="15" customHeight="1"/>
    <row r="27" spans="2:10" ht="15" customHeight="1"/>
    <row r="28" spans="2:10" ht="15" customHeight="1"/>
    <row r="29" spans="2:10" ht="15" customHeight="1"/>
  </sheetData>
  <mergeCells count="4">
    <mergeCell ref="C9:D9"/>
    <mergeCell ref="E9:F9"/>
    <mergeCell ref="G9:H9"/>
    <mergeCell ref="C22:I22"/>
  </mergeCells>
  <pageMargins left="0.31496062992125984" right="0.31496062992125984" top="0.19685039370078741" bottom="0.19685039370078741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Costo su Base Mensile</vt:lpstr>
      <vt:lpstr>Tabella 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2015-05-04T05:26:10Z</cp:lastPrinted>
  <dcterms:created xsi:type="dcterms:W3CDTF">2015-04-30T09:19:13Z</dcterms:created>
  <dcterms:modified xsi:type="dcterms:W3CDTF">2015-08-06T06:25:03Z</dcterms:modified>
</cp:coreProperties>
</file>