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7650"/>
  </bookViews>
  <sheets>
    <sheet name="Costo su Base Mensile" sheetId="1" r:id="rId1"/>
    <sheet name="Tabella ORE" sheetId="5" r:id="rId2"/>
  </sheets>
  <calcPr calcId="124519"/>
</workbook>
</file>

<file path=xl/calcChain.xml><?xml version="1.0" encoding="utf-8"?>
<calcChain xmlns="http://schemas.openxmlformats.org/spreadsheetml/2006/main">
  <c r="C172" i="1"/>
  <c r="C169"/>
  <c r="K86"/>
  <c r="C165"/>
  <c r="B107"/>
  <c r="B105"/>
  <c r="C167"/>
  <c r="B151"/>
  <c r="I5" i="5"/>
  <c r="I4"/>
  <c r="C104" i="1"/>
  <c r="E104" s="1"/>
  <c r="H18" i="5"/>
  <c r="G18"/>
  <c r="F18"/>
  <c r="E18"/>
  <c r="D18"/>
  <c r="C18"/>
  <c r="K60" i="1"/>
  <c r="K63"/>
  <c r="K64"/>
  <c r="K66"/>
  <c r="K67" s="1"/>
  <c r="K82"/>
  <c r="K83" s="1"/>
  <c r="K84" s="1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58"/>
  <c r="E49"/>
  <c r="C132"/>
  <c r="E132" s="1"/>
  <c r="E44"/>
  <c r="E45"/>
  <c r="E46"/>
  <c r="E47"/>
  <c r="E48"/>
  <c r="E43"/>
  <c r="E96"/>
  <c r="E97"/>
  <c r="E95"/>
  <c r="B103"/>
  <c r="E103" s="1"/>
  <c r="B102"/>
  <c r="E102" s="1"/>
  <c r="B101"/>
  <c r="E101" s="1"/>
  <c r="C137"/>
  <c r="C136"/>
  <c r="E135"/>
  <c r="C100"/>
  <c r="E100" s="1"/>
  <c r="C93"/>
  <c r="E93" s="1"/>
  <c r="C139"/>
  <c r="E139" s="1"/>
  <c r="C140"/>
  <c r="E140" s="1"/>
  <c r="E136"/>
  <c r="E137"/>
  <c r="E141"/>
  <c r="E131"/>
  <c r="C138"/>
  <c r="E138" s="1"/>
  <c r="E128"/>
  <c r="E129"/>
  <c r="E130"/>
  <c r="E92"/>
  <c r="E99"/>
  <c r="E127"/>
  <c r="E119"/>
  <c r="E120"/>
  <c r="E122"/>
  <c r="C124"/>
  <c r="E124" s="1"/>
  <c r="C123"/>
  <c r="E123" s="1"/>
  <c r="C116"/>
  <c r="E116" s="1"/>
  <c r="C115"/>
  <c r="E115" s="1"/>
  <c r="C114"/>
  <c r="E114" s="1"/>
  <c r="C121"/>
  <c r="E121" s="1"/>
  <c r="C118"/>
  <c r="E118" s="1"/>
  <c r="C113"/>
  <c r="E113" s="1"/>
  <c r="C117"/>
  <c r="E117" s="1"/>
  <c r="E112"/>
  <c r="D18"/>
  <c r="D32"/>
  <c r="C32"/>
  <c r="E31"/>
  <c r="D14"/>
  <c r="D20" s="1"/>
  <c r="D23" s="1"/>
  <c r="B106" l="1"/>
  <c r="K71"/>
  <c r="K72" s="1"/>
  <c r="K68"/>
  <c r="C19" i="5"/>
  <c r="J4" s="1"/>
  <c r="K69" i="1"/>
  <c r="K73"/>
  <c r="B142"/>
  <c r="B143" s="1"/>
  <c r="B144" s="1"/>
  <c r="B86"/>
  <c r="B87" s="1"/>
  <c r="B88" s="1"/>
  <c r="K61"/>
  <c r="B50"/>
  <c r="B51" s="1"/>
  <c r="B52" s="1"/>
  <c r="D35"/>
  <c r="D37"/>
  <c r="C35"/>
  <c r="C37"/>
  <c r="E32"/>
  <c r="D22"/>
  <c r="D38" s="1"/>
  <c r="C153" l="1"/>
  <c r="C152"/>
  <c r="K74"/>
  <c r="K75" s="1"/>
  <c r="K77" s="1"/>
  <c r="J5" i="5"/>
  <c r="J19" s="1"/>
  <c r="C151" i="1"/>
  <c r="E37"/>
  <c r="E35"/>
  <c r="D21"/>
  <c r="D25" s="1"/>
  <c r="D33" s="1"/>
  <c r="C38"/>
  <c r="E38" s="1"/>
  <c r="D24"/>
  <c r="K78" l="1"/>
  <c r="K79" s="1"/>
  <c r="K87"/>
  <c r="D36"/>
  <c r="C36"/>
  <c r="C33"/>
  <c r="F152" l="1"/>
  <c r="F151"/>
  <c r="F153"/>
  <c r="K88"/>
  <c r="C163" s="1"/>
  <c r="E33"/>
  <c r="E36"/>
  <c r="B154" l="1"/>
  <c r="B155" l="1"/>
  <c r="B156" s="1"/>
  <c r="C164" s="1"/>
  <c r="C166" l="1"/>
  <c r="C178" s="1"/>
  <c r="C180" l="1"/>
  <c r="C181" s="1"/>
  <c r="C171" l="1"/>
</calcChain>
</file>

<file path=xl/sharedStrings.xml><?xml version="1.0" encoding="utf-8"?>
<sst xmlns="http://schemas.openxmlformats.org/spreadsheetml/2006/main" count="266" uniqueCount="223">
  <si>
    <t>PREZZO</t>
  </si>
  <si>
    <t>Office 2013</t>
  </si>
  <si>
    <t>Visual paradigm</t>
  </si>
  <si>
    <t>Paint</t>
  </si>
  <si>
    <t>Diagram designer</t>
  </si>
  <si>
    <t>MS Project</t>
  </si>
  <si>
    <t>JVM</t>
  </si>
  <si>
    <t>MySQL</t>
  </si>
  <si>
    <t>Git</t>
  </si>
  <si>
    <t>Git Bash</t>
  </si>
  <si>
    <t>Smart git</t>
  </si>
  <si>
    <t>Maven repository</t>
  </si>
  <si>
    <t>Photoshop</t>
  </si>
  <si>
    <t>Pencil</t>
  </si>
  <si>
    <t>Firefox</t>
  </si>
  <si>
    <t>Chorme</t>
  </si>
  <si>
    <t>Safari</t>
  </si>
  <si>
    <t>IE</t>
  </si>
  <si>
    <t>Bootstrap</t>
  </si>
  <si>
    <t>Firebug</t>
  </si>
  <si>
    <t>Javascript</t>
  </si>
  <si>
    <t>JQuery</t>
  </si>
  <si>
    <t>Windows 8.1</t>
  </si>
  <si>
    <t>Windows Vista</t>
  </si>
  <si>
    <t>Maverick</t>
  </si>
  <si>
    <t>Avira</t>
  </si>
  <si>
    <t>Skype</t>
  </si>
  <si>
    <t>Whatsapp</t>
  </si>
  <si>
    <t>Gmail</t>
  </si>
  <si>
    <t>trascorso</t>
  </si>
  <si>
    <t>futuro</t>
  </si>
  <si>
    <t>sul progetto di fumetteria, ma almeno su altri 3 progetti (altri esami o  impegni lavorativi)</t>
  </si>
  <si>
    <t>quindi il monte delle ore mensili deve essere suddiviso più o meno tra 4 progetti contemporanei</t>
  </si>
  <si>
    <t>Settimane/mese</t>
  </si>
  <si>
    <t>Totale giorni lavorativi/mese</t>
  </si>
  <si>
    <t xml:space="preserve">Si stima, altresì, che complessivamente vi siano 8 ore al giorno di lavoro ordinario e, </t>
  </si>
  <si>
    <t>mediamente, 12 ore a settimana di lavoro straordinario</t>
  </si>
  <si>
    <t>TEMPI PROGETTO Fumetteria (stima)</t>
  </si>
  <si>
    <t>totale</t>
  </si>
  <si>
    <t>Tempo trascorso (mesi)</t>
  </si>
  <si>
    <t>Mesi/anno</t>
  </si>
  <si>
    <t>Settimane/anno</t>
  </si>
  <si>
    <t>Giorni/anno</t>
  </si>
  <si>
    <t>Giorni lavorativi/settimana</t>
  </si>
  <si>
    <t>Ore ordinarie/giorno</t>
  </si>
  <si>
    <t>Ore straordinarie/settimana</t>
  </si>
  <si>
    <t>Giorni lavorativi ordinari/mese</t>
  </si>
  <si>
    <t>Giorni lavorativi straordinari/mese</t>
  </si>
  <si>
    <t>Progetti in corso contemporaneamente</t>
  </si>
  <si>
    <t>Ore lavoro ordinario</t>
  </si>
  <si>
    <t>Ore lavoro straordinario</t>
  </si>
  <si>
    <t>Giorni lavoro ordinario</t>
  </si>
  <si>
    <t>Giorni lavoro straordinario</t>
  </si>
  <si>
    <t>Tempo progetto (mesi)</t>
  </si>
  <si>
    <t>Tempo progetto (ore)</t>
  </si>
  <si>
    <t>Totale ore lavorative/mese</t>
  </si>
  <si>
    <t>Ore ordinarie/settimana</t>
  </si>
  <si>
    <t>Ore ordinarie/mese</t>
  </si>
  <si>
    <t>Ore straordinarie/mese</t>
  </si>
  <si>
    <t>Retribuzione lorda (euro/anno)</t>
  </si>
  <si>
    <t>A partire da</t>
  </si>
  <si>
    <t xml:space="preserve">fino a </t>
  </si>
  <si>
    <t>Aliquota</t>
  </si>
  <si>
    <t>ALIQUOTE DI IMPOSTA</t>
  </si>
  <si>
    <t>Aliquote e Scaglioni IRPEF</t>
  </si>
  <si>
    <t>Aliquote e Scaglioni Addizionale Regionale FVG(2014-2015)</t>
  </si>
  <si>
    <t>TEMPI LAVORATIVI AZIENDALI I-Trio</t>
  </si>
  <si>
    <t>Retribuzione netta (euro/anno)</t>
  </si>
  <si>
    <t>Stipendio Netto mensile (euro/mese)</t>
  </si>
  <si>
    <t>Stipendio Lordo mensile (euro/mese)</t>
  </si>
  <si>
    <t>Retribuzione Netta Oraria (euro/ora)</t>
  </si>
  <si>
    <t>Retribuzione Lorda Oraria (euro/ora)</t>
  </si>
  <si>
    <t>Aliquota INPS a carico dipendente</t>
  </si>
  <si>
    <t>Aliquota INPS a carico Ditta</t>
  </si>
  <si>
    <t>COSTO MATERIALI</t>
  </si>
  <si>
    <t>TOTALI PARZIALI</t>
  </si>
  <si>
    <t>QUANTITA'/MESE</t>
  </si>
  <si>
    <t>MATERIALE DI CANCELLERIA</t>
  </si>
  <si>
    <t>CIBO</t>
  </si>
  <si>
    <t>Cialde bevande (200 unità)</t>
  </si>
  <si>
    <t>Cioccolatini (pacco)</t>
  </si>
  <si>
    <t>zucchero (kg)</t>
  </si>
  <si>
    <t>Toner stampante (2000 pg)</t>
  </si>
  <si>
    <t>Carta (500 fogli)</t>
  </si>
  <si>
    <t>Brios (pacco da 10)</t>
  </si>
  <si>
    <t>Biscotti (350 gr)</t>
  </si>
  <si>
    <t>COSTO SERVIZI DI TERZI</t>
  </si>
  <si>
    <t>Costo Affitto</t>
  </si>
  <si>
    <t>ALTRO</t>
  </si>
  <si>
    <t>Carta igienica (pacco da 12)</t>
  </si>
  <si>
    <t>Carta assorbente (500 strappi)</t>
  </si>
  <si>
    <t>Servizio di Pulizia (ore)</t>
  </si>
  <si>
    <t>Salviettine profumate (20 pz)</t>
  </si>
  <si>
    <t>COSTO STRUMENTI HW</t>
  </si>
  <si>
    <t>macchinetta per il caffè</t>
  </si>
  <si>
    <t>PC Elisa Antolli</t>
  </si>
  <si>
    <t>PC Alice Culaon</t>
  </si>
  <si>
    <t>PC Diego Pillon</t>
  </si>
  <si>
    <t>Stampante Laser a colori</t>
  </si>
  <si>
    <t>AMMORTAMENTO MENSILE</t>
  </si>
  <si>
    <t>Questi tempi sono frutto della suddivisione del tempo passato per il numero di progetti in corso</t>
  </si>
  <si>
    <t>Switch/router Wireless</t>
  </si>
  <si>
    <t>Gruppo di continuita 4 Uscite</t>
  </si>
  <si>
    <t>Fornitura Elettricità (mese)</t>
  </si>
  <si>
    <t>Telefono e ADSL (mese)</t>
  </si>
  <si>
    <t>Fornitura Gas Riscaldamento (mese)</t>
  </si>
  <si>
    <t>Fatturazione Digitale Aruba (anno)</t>
  </si>
  <si>
    <t>Firma Digitale Aruba (anno)</t>
  </si>
  <si>
    <t>PEC Aruba (anno)</t>
  </si>
  <si>
    <t>Registrazione Dominio (anno)</t>
  </si>
  <si>
    <t>Google advice (mese)</t>
  </si>
  <si>
    <t>Raccoglitore per Docs (1 pz)</t>
  </si>
  <si>
    <t>Cartellette 3 lembi (3 pz)</t>
  </si>
  <si>
    <t>Buste trasparenti docs (30 pz)</t>
  </si>
  <si>
    <t>Fermagli Zincati (200 pz)</t>
  </si>
  <si>
    <t>Evidenziatori multicolore (4 pz)</t>
  </si>
  <si>
    <t>Post-it (4 pz)</t>
  </si>
  <si>
    <t>Nastro Adesivo (3 pz)</t>
  </si>
  <si>
    <t>Colla Stick (5 pz)</t>
  </si>
  <si>
    <t>Matite (6 pz)</t>
  </si>
  <si>
    <t>Correttore (2 pz)</t>
  </si>
  <si>
    <t>Penne a sfera (3 pz)</t>
  </si>
  <si>
    <t>Acqua (1 L)</t>
  </si>
  <si>
    <t>Detersivo Pavimenti (1 L)</t>
  </si>
  <si>
    <t>Detergente per mani (0,25 L)</t>
  </si>
  <si>
    <t>Detergente per il bagno (0,5 L)</t>
  </si>
  <si>
    <t>Candeggina (2 L)</t>
  </si>
  <si>
    <t>PERIODO DI AMMORTAMENTO (ANNI)</t>
  </si>
  <si>
    <t>COSTI STRUMENTI SW</t>
  </si>
  <si>
    <t>COSTO TOTALE MENSILE GENERALE</t>
  </si>
  <si>
    <t>COSTO TOTALE MENSILE FUMETTERIA</t>
  </si>
  <si>
    <t>COSTO TOTALE FUMETTERIA (stima)</t>
  </si>
  <si>
    <t>TOTALE  COSTO MATERIALE E STRUMENTI FUMETTERIA</t>
  </si>
  <si>
    <t>Nessun famigliare a carico; Nessun altro reddito; qui si considera solo il costo ordinario</t>
  </si>
  <si>
    <t>COSTO MENSILE SINGOLO DIPENDENTE</t>
  </si>
  <si>
    <t>COSTO MENSILE SINGOLO DIPENDENTE FUMETTERIA</t>
  </si>
  <si>
    <t>TOTALE COSTO ANNUO SINGOLO DIPENDENTE</t>
  </si>
  <si>
    <t>IVA</t>
  </si>
  <si>
    <t>Aliquota IVA(%)</t>
  </si>
  <si>
    <t>Addizionale ANMIL</t>
  </si>
  <si>
    <t>Aliquota INAIL 2014</t>
  </si>
  <si>
    <t>Minimale INAIL</t>
  </si>
  <si>
    <t>Massimale INAIL</t>
  </si>
  <si>
    <t>mesi</t>
  </si>
  <si>
    <t>settimane</t>
  </si>
  <si>
    <t>giorni</t>
  </si>
  <si>
    <t>ore</t>
  </si>
  <si>
    <t>progetti</t>
  </si>
  <si>
    <t>qualsiasi importo oltre € 15.000</t>
  </si>
  <si>
    <t>qualsiasi importo oltre € 75.000</t>
  </si>
  <si>
    <t xml:space="preserve">COSTO (SINGOLO) DIPENDENTE </t>
  </si>
  <si>
    <t>costo corso sicurezza</t>
  </si>
  <si>
    <t>Bonus 80 (euro/anno)</t>
  </si>
  <si>
    <t>Totale Detrazioni (euro/anno)</t>
  </si>
  <si>
    <t>Imposta Netta (euro/anno)</t>
  </si>
  <si>
    <t>Detrazione da Lavoro Dipendente (euro/anno)</t>
  </si>
  <si>
    <t>Quoziente Detrazioni Lavoro Dipendente (euro/anno)</t>
  </si>
  <si>
    <t>IRPEF (euro/anno)</t>
  </si>
  <si>
    <t>Addizionale Regionale FVG (euro/anno)</t>
  </si>
  <si>
    <t>Imposta Lorda (euro/anno)</t>
  </si>
  <si>
    <t>Contributi previdenziali obbligatori (ditta) (euro/anno)</t>
  </si>
  <si>
    <t>Reddito Imponibile Fiscale = Reddito Complessivo (euro/anno)</t>
  </si>
  <si>
    <t>Contributi previdenziali obbligatori (dipendente) (euro/anno)</t>
  </si>
  <si>
    <t>Premio INAIL (euro/anno)</t>
  </si>
  <si>
    <t>Addizionale ANMIL (euro/anno)</t>
  </si>
  <si>
    <t>Rata Anticipata Premio Dovuto Anno 2014 (versata) (euro/anno)</t>
  </si>
  <si>
    <t>Costo CM</t>
  </si>
  <si>
    <t>DIEGO</t>
  </si>
  <si>
    <t>ELISA</t>
  </si>
  <si>
    <t>ALICE</t>
  </si>
  <si>
    <t>Fatte</t>
  </si>
  <si>
    <t>Da fare</t>
  </si>
  <si>
    <t>CM</t>
  </si>
  <si>
    <t>TOTALE:</t>
  </si>
  <si>
    <t>Ore Elisa Antolli</t>
  </si>
  <si>
    <t>Ore Alice Culaon</t>
  </si>
  <si>
    <t>Ore Diego Pillon</t>
  </si>
  <si>
    <t>Costo Totale CM Generale</t>
  </si>
  <si>
    <t>Mesi Trascorsi</t>
  </si>
  <si>
    <t>Totale Attività</t>
  </si>
  <si>
    <t>Rapporto Su Totale</t>
  </si>
  <si>
    <t>Attività</t>
  </si>
  <si>
    <t>Costo Mensile</t>
  </si>
  <si>
    <t>Rapporto al monte ore</t>
  </si>
  <si>
    <t>COSTO CM</t>
  </si>
  <si>
    <t>e del tempo in cui il costo sostenuto per il CM si va' ad ammortizzare (che si assume sia di tre anni)</t>
  </si>
  <si>
    <t xml:space="preserve">Si è tenuto conto del rapporto tra il monte ore impiegato per fare il CM rispetto al totale delle </t>
  </si>
  <si>
    <t>OFFERTA PREVENTIVO con IVA</t>
  </si>
  <si>
    <t>VALORE ANNUALE CONTRATTO MANUTENTIVO</t>
  </si>
  <si>
    <t xml:space="preserve">Non forniamo il macchinario HW; diamo solo indicazioni di quale macchina </t>
  </si>
  <si>
    <t xml:space="preserve">annuo del valore di vendita del Sistema. Tale contratto comprenderà tutti i guasti SW </t>
  </si>
  <si>
    <t>Stimiamo un contratto di Manodopera pari al</t>
  </si>
  <si>
    <t>OFFERTA PREVENTIVO senza IVA</t>
  </si>
  <si>
    <t>PROPOSTA SISTEMA SW</t>
  </si>
  <si>
    <t>TOTALE CONTRATTO MANUTENTIVO con IVA</t>
  </si>
  <si>
    <t>il cliente si deve procurare; Il sistema sarà ospitato in un web server in affitto</t>
  </si>
  <si>
    <t>MANUTENZIONE MENSILE SW</t>
  </si>
  <si>
    <t>Analisi Requisiti</t>
  </si>
  <si>
    <t>Creazione Ambiente lavoro</t>
  </si>
  <si>
    <t>Specifica dei Requisiti</t>
  </si>
  <si>
    <t>Template per i documenti</t>
  </si>
  <si>
    <t>Documento gestione modifiche</t>
  </si>
  <si>
    <t>Progetto di sviluppo</t>
  </si>
  <si>
    <t xml:space="preserve">Metrica </t>
  </si>
  <si>
    <t>Analisi dei Costi</t>
  </si>
  <si>
    <t>Preventivo</t>
  </si>
  <si>
    <t>Qualità</t>
  </si>
  <si>
    <t>Testing</t>
  </si>
  <si>
    <t>Presentazione</t>
  </si>
  <si>
    <t>Consuntivo</t>
  </si>
  <si>
    <t>ore di lavoro (quindi gli effettivi mesi impiegati)</t>
  </si>
  <si>
    <t>Costo CM per un anno</t>
  </si>
  <si>
    <t>Costo CM attribuibile a Fumetteria</t>
  </si>
  <si>
    <t>aggiungo il costo complessivo legato al cm</t>
  </si>
  <si>
    <t>TOTALE  COSTO MANODOPERA FUMETTERIA 
(al netto del CM)</t>
  </si>
  <si>
    <t>TOTALE COSTO MENSILE SISTEMA</t>
  </si>
  <si>
    <t>Durata progetto (mesi)</t>
  </si>
  <si>
    <t>A titolo esemplificativo: Si considera una retribuzione annua lorda pari a 35000 euro a dipendente</t>
  </si>
  <si>
    <t>Non sono state prese in considerazione le eventuali ore di straordinario</t>
  </si>
  <si>
    <t>In questo calcolo l'unità di misura è il mese</t>
  </si>
  <si>
    <t>Moltiplico il costo di manodopera della fumetteria di un singolo dipendente per 3 dipendenti</t>
  </si>
  <si>
    <t>Il periodo di ammortamento è in pratica la stima della "vita" dello strumento stesso</t>
  </si>
  <si>
    <t>Per il calcolo dei tempi, siamo partiti dalla considerazione che non si ha lavorato solo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</si>
</sst>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&quot;€&quot;\ #,##0.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Helvetica"/>
    </font>
    <font>
      <sz val="10"/>
      <color indexed="8"/>
      <name val="Helvetica"/>
    </font>
    <font>
      <b/>
      <i/>
      <sz val="10"/>
      <color indexed="8"/>
      <name val="Helvetica"/>
    </font>
  </fonts>
  <fills count="1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9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double">
        <color indexed="64"/>
      </top>
      <bottom style="thin">
        <color indexed="8"/>
      </bottom>
      <diagonal/>
    </border>
    <border>
      <left/>
      <right style="thin">
        <color indexed="8"/>
      </right>
      <top style="double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10" fontId="0" fillId="0" borderId="2" xfId="0" applyNumberFormat="1" applyBorder="1"/>
    <xf numFmtId="0" fontId="0" fillId="0" borderId="0" xfId="0" applyFont="1"/>
    <xf numFmtId="10" fontId="0" fillId="0" borderId="0" xfId="0" applyNumberFormat="1" applyFont="1"/>
    <xf numFmtId="10" fontId="0" fillId="0" borderId="2" xfId="0" applyNumberFormat="1" applyFont="1" applyBorder="1"/>
    <xf numFmtId="0" fontId="1" fillId="2" borderId="1" xfId="0" applyNumberFormat="1" applyFont="1" applyFill="1" applyBorder="1" applyAlignment="1">
      <alignment vertical="top" wrapText="1"/>
    </xf>
    <xf numFmtId="2" fontId="0" fillId="0" borderId="0" xfId="0" applyNumberFormat="1" applyFont="1"/>
    <xf numFmtId="164" fontId="0" fillId="0" borderId="0" xfId="0" applyNumberFormat="1" applyFont="1"/>
    <xf numFmtId="164" fontId="2" fillId="7" borderId="22" xfId="0" applyNumberFormat="1" applyFont="1" applyFill="1" applyBorder="1" applyAlignment="1">
      <alignment horizontal="center" vertical="center" wrapText="1"/>
    </xf>
    <xf numFmtId="164" fontId="2" fillId="7" borderId="23" xfId="0" applyNumberFormat="1" applyFont="1" applyFill="1" applyBorder="1" applyAlignment="1">
      <alignment horizontal="center" vertical="center" wrapText="1"/>
    </xf>
    <xf numFmtId="164" fontId="2" fillId="7" borderId="24" xfId="0" applyNumberFormat="1" applyFont="1" applyFill="1" applyBorder="1" applyAlignment="1">
      <alignment horizontal="center" vertical="center" wrapText="1"/>
    </xf>
    <xf numFmtId="164" fontId="5" fillId="0" borderId="13" xfId="0" applyNumberFormat="1" applyFont="1" applyBorder="1" applyAlignment="1">
      <alignment vertical="top" wrapText="1"/>
    </xf>
    <xf numFmtId="164" fontId="5" fillId="0" borderId="17" xfId="0" applyNumberFormat="1" applyFont="1" applyBorder="1" applyAlignment="1">
      <alignment vertical="top" wrapText="1"/>
    </xf>
    <xf numFmtId="2" fontId="3" fillId="5" borderId="2" xfId="0" applyNumberFormat="1" applyFont="1" applyFill="1" applyBorder="1"/>
    <xf numFmtId="2" fontId="1" fillId="2" borderId="12" xfId="0" applyNumberFormat="1" applyFont="1" applyFill="1" applyBorder="1" applyAlignment="1">
      <alignment vertical="top" wrapText="1"/>
    </xf>
    <xf numFmtId="2" fontId="1" fillId="2" borderId="25" xfId="0" applyNumberFormat="1" applyFont="1" applyFill="1" applyBorder="1" applyAlignment="1">
      <alignment vertical="top" wrapText="1"/>
    </xf>
    <xf numFmtId="2" fontId="0" fillId="0" borderId="0" xfId="0" applyNumberFormat="1"/>
    <xf numFmtId="2" fontId="0" fillId="0" borderId="0" xfId="0" applyNumberFormat="1" applyFont="1" applyBorder="1"/>
    <xf numFmtId="0" fontId="0" fillId="0" borderId="0" xfId="0" applyFont="1" applyFill="1"/>
    <xf numFmtId="2" fontId="1" fillId="2" borderId="1" xfId="0" applyNumberFormat="1" applyFont="1" applyFill="1" applyBorder="1" applyAlignment="1">
      <alignment vertical="top" wrapText="1"/>
    </xf>
    <xf numFmtId="164" fontId="0" fillId="0" borderId="0" xfId="0" applyNumberFormat="1"/>
    <xf numFmtId="0" fontId="1" fillId="2" borderId="3" xfId="0" applyNumberFormat="1" applyFont="1" applyFill="1" applyBorder="1" applyAlignment="1">
      <alignment vertical="top" wrapText="1"/>
    </xf>
    <xf numFmtId="2" fontId="1" fillId="2" borderId="2" xfId="0" applyNumberFormat="1" applyFont="1" applyFill="1" applyBorder="1" applyAlignment="1">
      <alignment vertical="top" wrapText="1"/>
    </xf>
    <xf numFmtId="0" fontId="1" fillId="2" borderId="32" xfId="0" applyNumberFormat="1" applyFont="1" applyFill="1" applyBorder="1" applyAlignment="1">
      <alignment vertical="top" wrapText="1"/>
    </xf>
    <xf numFmtId="2" fontId="6" fillId="3" borderId="27" xfId="0" applyNumberFormat="1" applyFont="1" applyFill="1" applyBorder="1" applyAlignment="1">
      <alignment vertical="top" wrapText="1"/>
    </xf>
    <xf numFmtId="2" fontId="0" fillId="0" borderId="0" xfId="0" applyNumberFormat="1" applyFont="1" applyBorder="1" applyAlignment="1">
      <alignment horizontal="center"/>
    </xf>
    <xf numFmtId="2" fontId="4" fillId="7" borderId="44" xfId="0" applyNumberFormat="1" applyFont="1" applyFill="1" applyBorder="1" applyAlignment="1">
      <alignment horizontal="center" vertical="center" wrapText="1"/>
    </xf>
    <xf numFmtId="2" fontId="4" fillId="7" borderId="45" xfId="0" applyNumberFormat="1" applyFont="1" applyFill="1" applyBorder="1" applyAlignment="1">
      <alignment horizontal="center" vertical="center" wrapText="1"/>
    </xf>
    <xf numFmtId="2" fontId="1" fillId="2" borderId="46" xfId="0" applyNumberFormat="1" applyFont="1" applyFill="1" applyBorder="1" applyAlignment="1">
      <alignment vertical="top" wrapText="1"/>
    </xf>
    <xf numFmtId="2" fontId="4" fillId="7" borderId="49" xfId="0" applyNumberFormat="1" applyFont="1" applyFill="1" applyBorder="1" applyAlignment="1">
      <alignment horizontal="center" vertical="center" wrapText="1"/>
    </xf>
    <xf numFmtId="2" fontId="4" fillId="7" borderId="50" xfId="0" applyNumberFormat="1" applyFont="1" applyFill="1" applyBorder="1" applyAlignment="1">
      <alignment horizontal="center" vertical="center" wrapText="1"/>
    </xf>
    <xf numFmtId="164" fontId="5" fillId="0" borderId="51" xfId="0" applyNumberFormat="1" applyFont="1" applyBorder="1" applyAlignment="1">
      <alignment vertical="top" wrapText="1"/>
    </xf>
    <xf numFmtId="164" fontId="5" fillId="0" borderId="52" xfId="0" applyNumberFormat="1" applyFont="1" applyBorder="1" applyAlignment="1">
      <alignment vertical="top" wrapText="1"/>
    </xf>
    <xf numFmtId="164" fontId="5" fillId="0" borderId="53" xfId="0" applyNumberFormat="1" applyFont="1" applyBorder="1" applyAlignment="1">
      <alignment vertical="top" wrapText="1"/>
    </xf>
    <xf numFmtId="164" fontId="0" fillId="0" borderId="54" xfId="0" applyNumberFormat="1" applyBorder="1"/>
    <xf numFmtId="166" fontId="5" fillId="0" borderId="28" xfId="0" applyNumberFormat="1" applyFont="1" applyBorder="1" applyAlignment="1">
      <alignment horizontal="center" vertical="top" wrapText="1"/>
    </xf>
    <xf numFmtId="166" fontId="5" fillId="0" borderId="33" xfId="0" applyNumberFormat="1" applyFont="1" applyBorder="1" applyAlignment="1">
      <alignment horizontal="center" vertical="top" wrapText="1"/>
    </xf>
    <xf numFmtId="166" fontId="5" fillId="0" borderId="36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166" fontId="0" fillId="0" borderId="2" xfId="0" applyNumberFormat="1" applyFont="1" applyBorder="1" applyAlignment="1">
      <alignment horizontal="center"/>
    </xf>
    <xf numFmtId="166" fontId="0" fillId="0" borderId="2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right" vertical="top" wrapText="1"/>
    </xf>
    <xf numFmtId="164" fontId="5" fillId="0" borderId="1" xfId="0" applyNumberFormat="1" applyFont="1" applyBorder="1" applyAlignment="1">
      <alignment horizontal="right" vertical="top" wrapText="1"/>
    </xf>
    <xf numFmtId="164" fontId="5" fillId="0" borderId="13" xfId="0" applyNumberFormat="1" applyFont="1" applyBorder="1" applyAlignment="1">
      <alignment horizontal="right" vertical="top" wrapText="1"/>
    </xf>
    <xf numFmtId="164" fontId="5" fillId="0" borderId="20" xfId="0" applyNumberFormat="1" applyFont="1" applyBorder="1" applyAlignment="1">
      <alignment horizontal="right" vertical="top" wrapText="1"/>
    </xf>
    <xf numFmtId="164" fontId="5" fillId="0" borderId="16" xfId="0" applyNumberFormat="1" applyFont="1" applyBorder="1" applyAlignment="1">
      <alignment horizontal="right" vertical="top" wrapText="1"/>
    </xf>
    <xf numFmtId="164" fontId="5" fillId="0" borderId="17" xfId="0" applyNumberFormat="1" applyFont="1" applyBorder="1" applyAlignment="1">
      <alignment horizontal="right" vertical="top" wrapText="1"/>
    </xf>
    <xf numFmtId="10" fontId="3" fillId="5" borderId="2" xfId="0" applyNumberFormat="1" applyFont="1" applyFill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10" fontId="0" fillId="0" borderId="0" xfId="0" applyNumberFormat="1" applyFont="1" applyBorder="1"/>
    <xf numFmtId="2" fontId="4" fillId="7" borderId="5" xfId="0" applyNumberFormat="1" applyFont="1" applyFill="1" applyBorder="1" applyAlignment="1">
      <alignment vertical="center" wrapText="1"/>
    </xf>
    <xf numFmtId="2" fontId="4" fillId="7" borderId="7" xfId="0" applyNumberFormat="1" applyFont="1" applyFill="1" applyBorder="1" applyAlignment="1">
      <alignment vertical="center" wrapText="1"/>
    </xf>
    <xf numFmtId="2" fontId="4" fillId="7" borderId="2" xfId="0" applyNumberFormat="1" applyFont="1" applyFill="1" applyBorder="1" applyAlignment="1">
      <alignment vertical="center" wrapText="1"/>
    </xf>
    <xf numFmtId="166" fontId="5" fillId="0" borderId="60" xfId="0" applyNumberFormat="1" applyFont="1" applyBorder="1" applyAlignment="1">
      <alignment horizontal="center" vertical="top" wrapText="1"/>
    </xf>
    <xf numFmtId="2" fontId="1" fillId="2" borderId="61" xfId="0" applyNumberFormat="1" applyFont="1" applyFill="1" applyBorder="1" applyAlignment="1">
      <alignment vertical="top" wrapText="1"/>
    </xf>
    <xf numFmtId="0" fontId="9" fillId="0" borderId="68" xfId="0" applyNumberFormat="1" applyFont="1" applyBorder="1" applyAlignment="1">
      <alignment vertical="top" wrapText="1"/>
    </xf>
    <xf numFmtId="0" fontId="9" fillId="0" borderId="69" xfId="0" applyNumberFormat="1" applyFont="1" applyBorder="1" applyAlignment="1">
      <alignment vertical="top" wrapText="1"/>
    </xf>
    <xf numFmtId="0" fontId="8" fillId="12" borderId="65" xfId="0" applyNumberFormat="1" applyFont="1" applyFill="1" applyBorder="1" applyAlignment="1">
      <alignment horizontal="center" vertical="center" wrapText="1"/>
    </xf>
    <xf numFmtId="0" fontId="9" fillId="12" borderId="65" xfId="0" applyNumberFormat="1" applyFont="1" applyFill="1" applyBorder="1" applyAlignment="1">
      <alignment horizontal="center" vertical="center" wrapText="1"/>
    </xf>
    <xf numFmtId="0" fontId="9" fillId="12" borderId="66" xfId="0" applyNumberFormat="1" applyFont="1" applyFill="1" applyBorder="1" applyAlignment="1">
      <alignment horizontal="center" vertical="center" wrapText="1"/>
    </xf>
    <xf numFmtId="0" fontId="8" fillId="13" borderId="67" xfId="0" applyNumberFormat="1" applyFont="1" applyFill="1" applyBorder="1" applyAlignment="1">
      <alignment vertical="top" wrapText="1"/>
    </xf>
    <xf numFmtId="0" fontId="8" fillId="13" borderId="62" xfId="0" applyNumberFormat="1" applyFont="1" applyFill="1" applyBorder="1" applyAlignment="1">
      <alignment vertical="top" wrapText="1"/>
    </xf>
    <xf numFmtId="0" fontId="9" fillId="0" borderId="70" xfId="0" applyNumberFormat="1" applyFont="1" applyBorder="1" applyAlignment="1">
      <alignment vertical="top" wrapText="1"/>
    </xf>
    <xf numFmtId="0" fontId="9" fillId="0" borderId="71" xfId="0" applyNumberFormat="1" applyFont="1" applyBorder="1" applyAlignment="1">
      <alignment vertical="top" wrapText="1"/>
    </xf>
    <xf numFmtId="3" fontId="9" fillId="0" borderId="58" xfId="0" applyNumberFormat="1" applyFont="1" applyBorder="1" applyAlignment="1">
      <alignment vertical="top" wrapText="1"/>
    </xf>
    <xf numFmtId="3" fontId="9" fillId="0" borderId="57" xfId="0" applyNumberFormat="1" applyFont="1" applyBorder="1" applyAlignment="1">
      <alignment vertical="top" wrapText="1"/>
    </xf>
    <xf numFmtId="3" fontId="9" fillId="0" borderId="72" xfId="0" applyNumberFormat="1" applyFont="1" applyBorder="1" applyAlignment="1">
      <alignment vertical="top" wrapText="1"/>
    </xf>
    <xf numFmtId="3" fontId="9" fillId="0" borderId="73" xfId="0" applyNumberFormat="1" applyFont="1" applyBorder="1" applyAlignment="1">
      <alignment vertical="top" wrapText="1"/>
    </xf>
    <xf numFmtId="0" fontId="8" fillId="0" borderId="73" xfId="0" applyNumberFormat="1" applyFont="1" applyBorder="1" applyAlignment="1">
      <alignment vertical="top" wrapText="1"/>
    </xf>
    <xf numFmtId="0" fontId="9" fillId="0" borderId="72" xfId="0" applyNumberFormat="1" applyFont="1" applyBorder="1" applyAlignment="1">
      <alignment vertical="top" wrapText="1"/>
    </xf>
    <xf numFmtId="0" fontId="9" fillId="0" borderId="73" xfId="0" applyNumberFormat="1" applyFont="1" applyBorder="1" applyAlignment="1">
      <alignment vertical="top" wrapText="1"/>
    </xf>
    <xf numFmtId="0" fontId="8" fillId="0" borderId="77" xfId="0" applyNumberFormat="1" applyFont="1" applyBorder="1" applyAlignment="1">
      <alignment vertical="top" wrapText="1"/>
    </xf>
    <xf numFmtId="3" fontId="10" fillId="0" borderId="76" xfId="0" applyNumberFormat="1" applyFont="1" applyBorder="1" applyAlignment="1">
      <alignment vertical="top" wrapText="1"/>
    </xf>
    <xf numFmtId="3" fontId="10" fillId="0" borderId="75" xfId="0" applyNumberFormat="1" applyFont="1" applyBorder="1" applyAlignment="1">
      <alignment vertical="top" wrapText="1"/>
    </xf>
    <xf numFmtId="3" fontId="10" fillId="0" borderId="77" xfId="0" applyNumberFormat="1" applyFont="1" applyBorder="1" applyAlignment="1">
      <alignment vertical="top" wrapText="1"/>
    </xf>
    <xf numFmtId="3" fontId="10" fillId="0" borderId="74" xfId="0" applyNumberFormat="1" applyFont="1" applyBorder="1" applyAlignment="1">
      <alignment vertical="top" wrapText="1"/>
    </xf>
    <xf numFmtId="0" fontId="9" fillId="0" borderId="76" xfId="0" applyNumberFormat="1" applyFont="1" applyBorder="1" applyAlignment="1">
      <alignment vertical="top" wrapText="1"/>
    </xf>
    <xf numFmtId="0" fontId="9" fillId="0" borderId="77" xfId="0" applyNumberFormat="1" applyFont="1" applyBorder="1" applyAlignment="1">
      <alignment vertical="top" wrapText="1"/>
    </xf>
    <xf numFmtId="3" fontId="9" fillId="0" borderId="78" xfId="0" applyNumberFormat="1" applyFont="1" applyBorder="1" applyAlignment="1">
      <alignment vertical="top" wrapText="1"/>
    </xf>
    <xf numFmtId="3" fontId="9" fillId="0" borderId="35" xfId="0" applyNumberFormat="1" applyFont="1" applyBorder="1" applyAlignment="1">
      <alignment vertical="top" wrapText="1"/>
    </xf>
    <xf numFmtId="3" fontId="9" fillId="0" borderId="79" xfId="0" applyNumberFormat="1" applyFont="1" applyBorder="1" applyAlignment="1">
      <alignment vertical="top" wrapText="1"/>
    </xf>
    <xf numFmtId="3" fontId="9" fillId="0" borderId="29" xfId="0" applyNumberFormat="1" applyFont="1" applyBorder="1" applyAlignment="1">
      <alignment vertical="top" wrapText="1"/>
    </xf>
    <xf numFmtId="3" fontId="9" fillId="0" borderId="81" xfId="0" applyNumberFormat="1" applyFont="1" applyBorder="1" applyAlignment="1">
      <alignment vertical="top" wrapText="1"/>
    </xf>
    <xf numFmtId="0" fontId="8" fillId="0" borderId="82" xfId="0" applyNumberFormat="1" applyFont="1" applyBorder="1" applyAlignment="1">
      <alignment vertical="top" wrapText="1"/>
    </xf>
    <xf numFmtId="0" fontId="8" fillId="13" borderId="80" xfId="0" applyNumberFormat="1" applyFont="1" applyFill="1" applyBorder="1" applyAlignment="1">
      <alignment vertical="top" wrapText="1"/>
    </xf>
    <xf numFmtId="0" fontId="8" fillId="13" borderId="83" xfId="0" applyNumberFormat="1" applyFont="1" applyFill="1" applyBorder="1" applyAlignment="1">
      <alignment vertical="top" wrapText="1"/>
    </xf>
    <xf numFmtId="0" fontId="0" fillId="0" borderId="84" xfId="0" applyBorder="1"/>
    <xf numFmtId="2" fontId="1" fillId="2" borderId="87" xfId="0" applyNumberFormat="1" applyFont="1" applyFill="1" applyBorder="1" applyAlignment="1">
      <alignment vertical="top" wrapText="1"/>
    </xf>
    <xf numFmtId="2" fontId="1" fillId="2" borderId="56" xfId="0" applyNumberFormat="1" applyFont="1" applyFill="1" applyBorder="1" applyAlignment="1">
      <alignment vertical="top" wrapText="1"/>
    </xf>
    <xf numFmtId="2" fontId="1" fillId="2" borderId="59" xfId="0" applyNumberFormat="1" applyFont="1" applyFill="1" applyBorder="1" applyAlignment="1">
      <alignment vertical="top" wrapText="1"/>
    </xf>
    <xf numFmtId="2" fontId="6" fillId="3" borderId="5" xfId="0" applyNumberFormat="1" applyFont="1" applyFill="1" applyBorder="1" applyAlignment="1">
      <alignment vertical="top" wrapText="1"/>
    </xf>
    <xf numFmtId="4" fontId="5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66" fontId="5" fillId="0" borderId="2" xfId="0" applyNumberFormat="1" applyFont="1" applyBorder="1" applyAlignment="1">
      <alignment horizontal="center" vertical="top" wrapText="1"/>
    </xf>
    <xf numFmtId="0" fontId="8" fillId="13" borderId="67" xfId="0" applyNumberFormat="1" applyFont="1" applyFill="1" applyBorder="1" applyAlignment="1">
      <alignment horizontal="left" vertical="top" wrapText="1"/>
    </xf>
    <xf numFmtId="0" fontId="0" fillId="0" borderId="14" xfId="0" applyFont="1" applyBorder="1" applyAlignment="1"/>
    <xf numFmtId="2" fontId="4" fillId="7" borderId="5" xfId="0" applyNumberFormat="1" applyFont="1" applyFill="1" applyBorder="1" applyAlignment="1">
      <alignment horizontal="center" vertical="center" wrapText="1"/>
    </xf>
    <xf numFmtId="2" fontId="4" fillId="7" borderId="6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 vertical="center" wrapText="1"/>
    </xf>
    <xf numFmtId="4" fontId="5" fillId="0" borderId="2" xfId="0" applyNumberFormat="1" applyFont="1" applyBorder="1" applyAlignment="1">
      <alignment horizontal="center" vertical="top" wrapText="1"/>
    </xf>
    <xf numFmtId="166" fontId="4" fillId="0" borderId="2" xfId="0" applyNumberFormat="1" applyFont="1" applyBorder="1" applyAlignment="1">
      <alignment horizontal="center" vertical="top" wrapText="1"/>
    </xf>
    <xf numFmtId="2" fontId="5" fillId="0" borderId="2" xfId="0" applyNumberFormat="1" applyFont="1" applyBorder="1" applyAlignment="1">
      <alignment horizontal="center" vertical="top" wrapText="1"/>
    </xf>
    <xf numFmtId="166" fontId="5" fillId="0" borderId="6" xfId="0" applyNumberFormat="1" applyFont="1" applyBorder="1" applyAlignment="1">
      <alignment horizontal="center" vertical="top" wrapText="1"/>
    </xf>
    <xf numFmtId="166" fontId="5" fillId="0" borderId="7" xfId="0" applyNumberFormat="1" applyFont="1" applyBorder="1" applyAlignment="1">
      <alignment horizontal="center" vertical="top" wrapText="1"/>
    </xf>
    <xf numFmtId="166" fontId="5" fillId="0" borderId="48" xfId="0" applyNumberFormat="1" applyFont="1" applyBorder="1" applyAlignment="1">
      <alignment horizontal="center" vertical="top" wrapText="1"/>
    </xf>
    <xf numFmtId="166" fontId="5" fillId="0" borderId="30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horizontal="center" vertical="top" wrapText="1"/>
    </xf>
    <xf numFmtId="166" fontId="5" fillId="0" borderId="10" xfId="0" applyNumberFormat="1" applyFont="1" applyBorder="1" applyAlignment="1">
      <alignment horizontal="center" vertical="top" wrapText="1"/>
    </xf>
    <xf numFmtId="166" fontId="5" fillId="0" borderId="11" xfId="0" applyNumberFormat="1" applyFont="1" applyBorder="1" applyAlignment="1">
      <alignment horizontal="center" vertical="top" wrapText="1"/>
    </xf>
    <xf numFmtId="2" fontId="1" fillId="9" borderId="5" xfId="0" applyNumberFormat="1" applyFont="1" applyFill="1" applyBorder="1" applyAlignment="1">
      <alignment horizontal="left" vertical="top" wrapText="1"/>
    </xf>
    <xf numFmtId="2" fontId="1" fillId="9" borderId="7" xfId="0" applyNumberFormat="1" applyFont="1" applyFill="1" applyBorder="1" applyAlignment="1">
      <alignment horizontal="left" vertical="top" wrapText="1"/>
    </xf>
    <xf numFmtId="2" fontId="0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2" fontId="1" fillId="2" borderId="5" xfId="0" applyNumberFormat="1" applyFont="1" applyFill="1" applyBorder="1" applyAlignment="1">
      <alignment horizontal="left" vertical="top" wrapText="1"/>
    </xf>
    <xf numFmtId="2" fontId="1" fillId="2" borderId="7" xfId="0" applyNumberFormat="1" applyFont="1" applyFill="1" applyBorder="1" applyAlignment="1">
      <alignment horizontal="left" vertical="top" wrapText="1"/>
    </xf>
    <xf numFmtId="166" fontId="5" fillId="0" borderId="5" xfId="0" applyNumberFormat="1" applyFont="1" applyBorder="1" applyAlignment="1">
      <alignment horizontal="center" vertical="top" wrapText="1"/>
    </xf>
    <xf numFmtId="165" fontId="1" fillId="2" borderId="5" xfId="0" applyNumberFormat="1" applyFont="1" applyFill="1" applyBorder="1" applyAlignment="1">
      <alignment horizontal="left" vertical="top" wrapText="1"/>
    </xf>
    <xf numFmtId="165" fontId="1" fillId="2" borderId="7" xfId="0" applyNumberFormat="1" applyFont="1" applyFill="1" applyBorder="1" applyAlignment="1">
      <alignment horizontal="left" vertical="top" wrapText="1"/>
    </xf>
    <xf numFmtId="2" fontId="1" fillId="11" borderId="5" xfId="0" applyNumberFormat="1" applyFont="1" applyFill="1" applyBorder="1" applyAlignment="1">
      <alignment horizontal="left" vertical="top" wrapText="1"/>
    </xf>
    <xf numFmtId="2" fontId="1" fillId="11" borderId="7" xfId="0" applyNumberFormat="1" applyFont="1" applyFill="1" applyBorder="1" applyAlignment="1">
      <alignment horizontal="left" vertical="top" wrapText="1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2" fontId="6" fillId="3" borderId="5" xfId="0" applyNumberFormat="1" applyFont="1" applyFill="1" applyBorder="1" applyAlignment="1">
      <alignment horizontal="left" vertical="top" wrapText="1"/>
    </xf>
    <xf numFmtId="2" fontId="6" fillId="3" borderId="7" xfId="0" applyNumberFormat="1" applyFont="1" applyFill="1" applyBorder="1" applyAlignment="1">
      <alignment horizontal="left" vertical="top" wrapText="1"/>
    </xf>
    <xf numFmtId="2" fontId="1" fillId="10" borderId="5" xfId="0" applyNumberFormat="1" applyFont="1" applyFill="1" applyBorder="1" applyAlignment="1">
      <alignment horizontal="left" vertical="top" wrapText="1"/>
    </xf>
    <xf numFmtId="2" fontId="1" fillId="10" borderId="7" xfId="0" applyNumberFormat="1" applyFont="1" applyFill="1" applyBorder="1" applyAlignment="1">
      <alignment horizontal="left" vertical="top" wrapText="1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166" fontId="0" fillId="0" borderId="5" xfId="0" applyNumberFormat="1" applyFont="1" applyFill="1" applyBorder="1" applyAlignment="1">
      <alignment horizontal="center"/>
    </xf>
    <xf numFmtId="166" fontId="0" fillId="0" borderId="7" xfId="0" applyNumberFormat="1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1" fillId="2" borderId="5" xfId="0" applyNumberFormat="1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horizontal="center" vertical="top" wrapText="1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3" fillId="5" borderId="5" xfId="0" applyNumberFormat="1" applyFont="1" applyFill="1" applyBorder="1" applyAlignment="1">
      <alignment horizontal="left"/>
    </xf>
    <xf numFmtId="2" fontId="3" fillId="5" borderId="6" xfId="0" applyNumberFormat="1" applyFont="1" applyFill="1" applyBorder="1" applyAlignment="1">
      <alignment horizontal="left"/>
    </xf>
    <xf numFmtId="2" fontId="3" fillId="5" borderId="7" xfId="0" applyNumberFormat="1" applyFont="1" applyFill="1" applyBorder="1" applyAlignment="1">
      <alignment horizontal="left"/>
    </xf>
    <xf numFmtId="166" fontId="0" fillId="0" borderId="5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2" fontId="2" fillId="7" borderId="5" xfId="0" applyNumberFormat="1" applyFont="1" applyFill="1" applyBorder="1" applyAlignment="1">
      <alignment horizontal="center" vertical="center" wrapText="1"/>
    </xf>
    <xf numFmtId="2" fontId="2" fillId="7" borderId="6" xfId="0" applyNumberFormat="1" applyFont="1" applyFill="1" applyBorder="1" applyAlignment="1">
      <alignment horizontal="center" vertical="center" wrapText="1"/>
    </xf>
    <xf numFmtId="2" fontId="2" fillId="7" borderId="7" xfId="0" applyNumberFormat="1" applyFont="1" applyFill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2" fontId="4" fillId="7" borderId="10" xfId="0" applyNumberFormat="1" applyFont="1" applyFill="1" applyBorder="1" applyAlignment="1">
      <alignment horizontal="center" vertical="center" wrapText="1"/>
    </xf>
    <xf numFmtId="2" fontId="4" fillId="7" borderId="11" xfId="0" applyNumberFormat="1" applyFont="1" applyFill="1" applyBorder="1" applyAlignment="1">
      <alignment horizontal="center" vertical="center" wrapText="1"/>
    </xf>
    <xf numFmtId="0" fontId="6" fillId="3" borderId="88" xfId="0" applyNumberFormat="1" applyFont="1" applyFill="1" applyBorder="1" applyAlignment="1">
      <alignment horizontal="left" vertical="top" wrapText="1"/>
    </xf>
    <xf numFmtId="0" fontId="6" fillId="3" borderId="89" xfId="0" applyNumberFormat="1" applyFont="1" applyFill="1" applyBorder="1" applyAlignment="1">
      <alignment horizontal="left" vertical="top" wrapText="1"/>
    </xf>
    <xf numFmtId="166" fontId="4" fillId="0" borderId="37" xfId="0" applyNumberFormat="1" applyFont="1" applyBorder="1" applyAlignment="1">
      <alignment horizontal="center" vertical="top" wrapText="1"/>
    </xf>
    <xf numFmtId="166" fontId="4" fillId="0" borderId="30" xfId="0" applyNumberFormat="1" applyFont="1" applyBorder="1" applyAlignment="1">
      <alignment horizontal="center" vertical="top" wrapText="1"/>
    </xf>
    <xf numFmtId="166" fontId="5" fillId="0" borderId="57" xfId="0" applyNumberFormat="1" applyFont="1" applyBorder="1" applyAlignment="1">
      <alignment horizontal="center" vertical="top" wrapText="1"/>
    </xf>
    <xf numFmtId="166" fontId="5" fillId="0" borderId="15" xfId="0" applyNumberFormat="1" applyFont="1" applyBorder="1" applyAlignment="1">
      <alignment horizontal="center" vertical="top" wrapText="1"/>
    </xf>
    <xf numFmtId="166" fontId="5" fillId="0" borderId="37" xfId="0" applyNumberFormat="1" applyFont="1" applyBorder="1" applyAlignment="1">
      <alignment horizontal="center" vertical="top" wrapText="1"/>
    </xf>
    <xf numFmtId="166" fontId="4" fillId="0" borderId="5" xfId="0" applyNumberFormat="1" applyFont="1" applyBorder="1" applyAlignment="1">
      <alignment horizontal="center" vertical="top" wrapText="1"/>
    </xf>
    <xf numFmtId="166" fontId="4" fillId="0" borderId="7" xfId="0" applyNumberFormat="1" applyFont="1" applyBorder="1" applyAlignment="1">
      <alignment horizontal="center" vertical="top" wrapText="1"/>
    </xf>
    <xf numFmtId="166" fontId="2" fillId="0" borderId="3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2" fontId="5" fillId="0" borderId="34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6" fillId="14" borderId="57" xfId="0" applyNumberFormat="1" applyFont="1" applyFill="1" applyBorder="1" applyAlignment="1">
      <alignment horizontal="left" vertical="top" wrapText="1"/>
    </xf>
    <xf numFmtId="0" fontId="6" fillId="14" borderId="58" xfId="0" applyNumberFormat="1" applyFont="1" applyFill="1" applyBorder="1" applyAlignment="1">
      <alignment horizontal="left" vertical="top" wrapText="1"/>
    </xf>
    <xf numFmtId="0" fontId="6" fillId="3" borderId="36" xfId="0" applyNumberFormat="1" applyFont="1" applyFill="1" applyBorder="1" applyAlignment="1">
      <alignment horizontal="left" vertical="top" wrapText="1"/>
    </xf>
    <xf numFmtId="0" fontId="6" fillId="3" borderId="4" xfId="0" applyNumberFormat="1" applyFont="1" applyFill="1" applyBorder="1" applyAlignment="1">
      <alignment horizontal="left" vertical="top" wrapText="1"/>
    </xf>
    <xf numFmtId="0" fontId="1" fillId="8" borderId="35" xfId="0" applyNumberFormat="1" applyFont="1" applyFill="1" applyBorder="1" applyAlignment="1">
      <alignment horizontal="left" vertical="top" wrapText="1"/>
    </xf>
    <xf numFmtId="0" fontId="1" fillId="8" borderId="29" xfId="0" applyNumberFormat="1" applyFont="1" applyFill="1" applyBorder="1" applyAlignment="1">
      <alignment horizontal="left" vertical="top" wrapText="1"/>
    </xf>
    <xf numFmtId="0" fontId="1" fillId="8" borderId="57" xfId="0" applyNumberFormat="1" applyFont="1" applyFill="1" applyBorder="1" applyAlignment="1">
      <alignment horizontal="left" vertical="top" wrapText="1"/>
    </xf>
    <xf numFmtId="0" fontId="1" fillId="8" borderId="58" xfId="0" applyNumberFormat="1" applyFont="1" applyFill="1" applyBorder="1" applyAlignment="1">
      <alignment horizontal="left" vertical="top" wrapText="1"/>
    </xf>
    <xf numFmtId="0" fontId="1" fillId="8" borderId="28" xfId="0" applyNumberFormat="1" applyFont="1" applyFill="1" applyBorder="1" applyAlignment="1">
      <alignment horizontal="left" vertical="top" wrapText="1"/>
    </xf>
    <xf numFmtId="0" fontId="1" fillId="8" borderId="3" xfId="0" applyNumberFormat="1" applyFont="1" applyFill="1" applyBorder="1" applyAlignment="1">
      <alignment horizontal="left" vertical="top" wrapText="1"/>
    </xf>
    <xf numFmtId="10" fontId="7" fillId="0" borderId="35" xfId="0" applyNumberFormat="1" applyFont="1" applyBorder="1" applyAlignment="1">
      <alignment horizontal="center" vertical="top" wrapText="1"/>
    </xf>
    <xf numFmtId="10" fontId="7" fillId="0" borderId="7" xfId="0" applyNumberFormat="1" applyFont="1" applyBorder="1" applyAlignment="1">
      <alignment horizontal="center" vertical="top" wrapText="1"/>
    </xf>
    <xf numFmtId="0" fontId="6" fillId="14" borderId="35" xfId="0" applyNumberFormat="1" applyFont="1" applyFill="1" applyBorder="1" applyAlignment="1">
      <alignment horizontal="left" vertical="top" wrapText="1"/>
    </xf>
    <xf numFmtId="0" fontId="6" fillId="14" borderId="29" xfId="0" applyNumberFormat="1" applyFont="1" applyFill="1" applyBorder="1" applyAlignment="1">
      <alignment horizontal="left" vertical="top" wrapText="1"/>
    </xf>
    <xf numFmtId="164" fontId="5" fillId="0" borderId="35" xfId="0" applyNumberFormat="1" applyFont="1" applyBorder="1" applyAlignment="1">
      <alignment horizontal="center" vertical="top" wrapText="1"/>
    </xf>
    <xf numFmtId="164" fontId="5" fillId="0" borderId="7" xfId="0" applyNumberFormat="1" applyFont="1" applyBorder="1" applyAlignment="1">
      <alignment horizontal="center" vertical="top" wrapText="1"/>
    </xf>
    <xf numFmtId="0" fontId="1" fillId="8" borderId="5" xfId="0" applyNumberFormat="1" applyFont="1" applyFill="1" applyBorder="1" applyAlignment="1">
      <alignment horizontal="left" vertical="top" wrapText="1"/>
    </xf>
    <xf numFmtId="0" fontId="1" fillId="8" borderId="7" xfId="0" applyNumberFormat="1" applyFont="1" applyFill="1" applyBorder="1" applyAlignment="1">
      <alignment horizontal="left" vertical="top" wrapText="1"/>
    </xf>
    <xf numFmtId="0" fontId="6" fillId="14" borderId="40" xfId="0" applyNumberFormat="1" applyFont="1" applyFill="1" applyBorder="1" applyAlignment="1">
      <alignment horizontal="left" vertical="top" wrapText="1"/>
    </xf>
    <xf numFmtId="0" fontId="6" fillId="14" borderId="90" xfId="0" applyNumberFormat="1" applyFont="1" applyFill="1" applyBorder="1" applyAlignment="1">
      <alignment horizontal="left" vertical="top" wrapText="1"/>
    </xf>
    <xf numFmtId="164" fontId="5" fillId="0" borderId="40" xfId="0" applyNumberFormat="1" applyFont="1" applyBorder="1" applyAlignment="1">
      <alignment horizontal="center" vertical="top" wrapText="1"/>
    </xf>
    <xf numFmtId="164" fontId="5" fillId="0" borderId="41" xfId="0" applyNumberFormat="1" applyFont="1" applyBorder="1" applyAlignment="1">
      <alignment horizontal="center" vertical="top" wrapText="1"/>
    </xf>
    <xf numFmtId="0" fontId="1" fillId="8" borderId="38" xfId="0" applyNumberFormat="1" applyFont="1" applyFill="1" applyBorder="1" applyAlignment="1">
      <alignment horizontal="left" vertical="top" wrapText="1"/>
    </xf>
    <xf numFmtId="0" fontId="1" fillId="8" borderId="39" xfId="0" applyNumberFormat="1" applyFont="1" applyFill="1" applyBorder="1" applyAlignment="1">
      <alignment horizontal="left" vertical="top" wrapText="1"/>
    </xf>
    <xf numFmtId="166" fontId="7" fillId="0" borderId="40" xfId="0" applyNumberFormat="1" applyFont="1" applyBorder="1" applyAlignment="1">
      <alignment horizontal="center" vertical="top" wrapText="1"/>
    </xf>
    <xf numFmtId="166" fontId="7" fillId="0" borderId="41" xfId="0" applyNumberFormat="1" applyFont="1" applyBorder="1" applyAlignment="1">
      <alignment horizontal="center" vertical="top" wrapText="1"/>
    </xf>
    <xf numFmtId="166" fontId="5" fillId="0" borderId="29" xfId="0" applyNumberFormat="1" applyFont="1" applyBorder="1" applyAlignment="1">
      <alignment horizontal="center" vertical="top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7" borderId="21" xfId="0" applyNumberFormat="1" applyFont="1" applyFill="1" applyBorder="1" applyAlignment="1">
      <alignment horizontal="center" vertical="center" wrapText="1"/>
    </xf>
    <xf numFmtId="2" fontId="4" fillId="7" borderId="30" xfId="0" applyNumberFormat="1" applyFont="1" applyFill="1" applyBorder="1" applyAlignment="1">
      <alignment horizontal="center" vertical="center" wrapText="1"/>
    </xf>
    <xf numFmtId="0" fontId="4" fillId="7" borderId="5" xfId="0" applyNumberFormat="1" applyFont="1" applyFill="1" applyBorder="1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 wrapText="1"/>
    </xf>
    <xf numFmtId="0" fontId="4" fillId="7" borderId="7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2" fillId="8" borderId="5" xfId="0" applyNumberFormat="1" applyFont="1" applyFill="1" applyBorder="1" applyAlignment="1">
      <alignment horizontal="left" vertical="top" wrapText="1"/>
    </xf>
    <xf numFmtId="0" fontId="2" fillId="8" borderId="7" xfId="0" applyNumberFormat="1" applyFont="1" applyFill="1" applyBorder="1" applyAlignment="1">
      <alignment horizontal="left" vertical="top" wrapText="1"/>
    </xf>
    <xf numFmtId="0" fontId="1" fillId="4" borderId="5" xfId="0" applyNumberFormat="1" applyFont="1" applyFill="1" applyBorder="1" applyAlignment="1">
      <alignment horizontal="left" vertical="top" wrapText="1"/>
    </xf>
    <xf numFmtId="0" fontId="1" fillId="4" borderId="6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2" xfId="0" applyNumberFormat="1" applyFont="1" applyFill="1" applyBorder="1" applyAlignment="1">
      <alignment horizontal="left"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2" fillId="5" borderId="6" xfId="0" applyNumberFormat="1" applyFont="1" applyFill="1" applyBorder="1" applyAlignment="1">
      <alignment horizontal="left" vertical="top" wrapText="1"/>
    </xf>
    <xf numFmtId="0" fontId="2" fillId="5" borderId="7" xfId="0" applyNumberFormat="1" applyFont="1" applyFill="1" applyBorder="1" applyAlignment="1">
      <alignment horizontal="left" vertical="top" wrapText="1"/>
    </xf>
    <xf numFmtId="0" fontId="2" fillId="5" borderId="21" xfId="0" applyNumberFormat="1" applyFont="1" applyFill="1" applyBorder="1" applyAlignment="1">
      <alignment horizontal="left" vertical="top" wrapText="1"/>
    </xf>
    <xf numFmtId="0" fontId="2" fillId="5" borderId="48" xfId="0" applyNumberFormat="1" applyFont="1" applyFill="1" applyBorder="1" applyAlignment="1">
      <alignment horizontal="left" vertical="top" wrapText="1"/>
    </xf>
    <xf numFmtId="0" fontId="2" fillId="5" borderId="30" xfId="0" applyNumberFormat="1" applyFont="1" applyFill="1" applyBorder="1" applyAlignment="1">
      <alignment horizontal="left" vertical="top" wrapText="1"/>
    </xf>
    <xf numFmtId="0" fontId="6" fillId="6" borderId="2" xfId="0" applyNumberFormat="1" applyFont="1" applyFill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center" vertical="top" wrapText="1"/>
    </xf>
    <xf numFmtId="166" fontId="5" fillId="0" borderId="42" xfId="0" applyNumberFormat="1" applyFont="1" applyBorder="1" applyAlignment="1">
      <alignment horizontal="center" vertical="top" wrapText="1"/>
    </xf>
    <xf numFmtId="166" fontId="5" fillId="0" borderId="55" xfId="0" applyNumberFormat="1" applyFont="1" applyBorder="1" applyAlignment="1">
      <alignment horizontal="center" vertical="top" wrapText="1"/>
    </xf>
    <xf numFmtId="166" fontId="5" fillId="0" borderId="43" xfId="0" applyNumberFormat="1" applyFont="1" applyBorder="1" applyAlignment="1">
      <alignment horizontal="center" vertical="top" wrapText="1"/>
    </xf>
    <xf numFmtId="2" fontId="5" fillId="0" borderId="5" xfId="0" applyNumberFormat="1" applyFont="1" applyBorder="1" applyAlignment="1">
      <alignment horizontal="center" vertical="top" wrapText="1"/>
    </xf>
    <xf numFmtId="2" fontId="5" fillId="0" borderId="7" xfId="0" applyNumberFormat="1" applyFont="1" applyBorder="1" applyAlignment="1">
      <alignment horizontal="center" vertical="top" wrapText="1"/>
    </xf>
    <xf numFmtId="166" fontId="5" fillId="0" borderId="18" xfId="0" applyNumberFormat="1" applyFont="1" applyBorder="1" applyAlignment="1">
      <alignment horizontal="center" vertical="top" wrapText="1"/>
    </xf>
    <xf numFmtId="166" fontId="5" fillId="0" borderId="19" xfId="0" applyNumberFormat="1" applyFont="1" applyBorder="1" applyAlignment="1">
      <alignment horizontal="center" vertical="top" wrapText="1"/>
    </xf>
    <xf numFmtId="0" fontId="4" fillId="7" borderId="2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left" vertical="top" wrapText="1"/>
    </xf>
    <xf numFmtId="0" fontId="2" fillId="7" borderId="2" xfId="0" applyNumberFormat="1" applyFont="1" applyFill="1" applyBorder="1" applyAlignment="1">
      <alignment horizontal="center" vertical="center" wrapText="1"/>
    </xf>
    <xf numFmtId="2" fontId="4" fillId="7" borderId="34" xfId="0" applyNumberFormat="1" applyFont="1" applyFill="1" applyBorder="1" applyAlignment="1">
      <alignment horizontal="center" vertical="center" wrapText="1"/>
    </xf>
    <xf numFmtId="2" fontId="5" fillId="0" borderId="47" xfId="0" applyNumberFormat="1" applyFont="1" applyBorder="1" applyAlignment="1">
      <alignment horizontal="center" vertical="top" wrapText="1"/>
    </xf>
    <xf numFmtId="2" fontId="4" fillId="7" borderId="8" xfId="0" applyNumberFormat="1" applyFont="1" applyFill="1" applyBorder="1" applyAlignment="1">
      <alignment horizontal="center" vertical="center" wrapText="1"/>
    </xf>
    <xf numFmtId="2" fontId="4" fillId="7" borderId="32" xfId="0" applyNumberFormat="1" applyFont="1" applyFill="1" applyBorder="1" applyAlignment="1">
      <alignment horizontal="center" vertical="center" wrapText="1"/>
    </xf>
    <xf numFmtId="2" fontId="4" fillId="7" borderId="26" xfId="0" applyNumberFormat="1" applyFont="1" applyFill="1" applyBorder="1" applyAlignment="1">
      <alignment horizontal="center" vertical="center" wrapText="1"/>
    </xf>
    <xf numFmtId="2" fontId="4" fillId="7" borderId="31" xfId="0" applyNumberFormat="1" applyFont="1" applyFill="1" applyBorder="1" applyAlignment="1">
      <alignment horizontal="center" vertical="center" wrapText="1"/>
    </xf>
    <xf numFmtId="2" fontId="4" fillId="7" borderId="2" xfId="0" applyNumberFormat="1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 vertical="top" wrapText="1"/>
    </xf>
    <xf numFmtId="2" fontId="1" fillId="3" borderId="0" xfId="0" applyNumberFormat="1" applyFont="1" applyFill="1" applyBorder="1" applyAlignment="1">
      <alignment horizontal="center" vertical="top" wrapText="1"/>
    </xf>
    <xf numFmtId="2" fontId="1" fillId="3" borderId="15" xfId="0" applyNumberFormat="1" applyFont="1" applyFill="1" applyBorder="1" applyAlignment="1">
      <alignment horizontal="center" vertical="top" wrapText="1"/>
    </xf>
    <xf numFmtId="0" fontId="1" fillId="3" borderId="2" xfId="0" applyNumberFormat="1" applyFont="1" applyFill="1" applyBorder="1" applyAlignment="1">
      <alignment horizontal="center" vertical="top" wrapText="1"/>
    </xf>
    <xf numFmtId="0" fontId="1" fillId="3" borderId="14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Border="1" applyAlignment="1">
      <alignment horizontal="center" vertical="top" wrapText="1"/>
    </xf>
    <xf numFmtId="0" fontId="1" fillId="3" borderId="15" xfId="0" applyNumberFormat="1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12" borderId="65" xfId="0" applyNumberFormat="1" applyFont="1" applyFill="1" applyBorder="1" applyAlignment="1">
      <alignment horizontal="center" vertical="center" wrapText="1"/>
    </xf>
    <xf numFmtId="0" fontId="8" fillId="12" borderId="66" xfId="0" applyNumberFormat="1" applyFont="1" applyFill="1" applyBorder="1" applyAlignment="1">
      <alignment vertical="center" wrapText="1"/>
    </xf>
    <xf numFmtId="0" fontId="8" fillId="12" borderId="64" xfId="0" applyNumberFormat="1" applyFont="1" applyFill="1" applyBorder="1" applyAlignment="1">
      <alignment vertical="center" wrapText="1"/>
    </xf>
    <xf numFmtId="3" fontId="8" fillId="0" borderId="85" xfId="0" applyNumberFormat="1" applyFont="1" applyBorder="1" applyAlignment="1">
      <alignment horizontal="right" vertical="top" wrapText="1"/>
    </xf>
    <xf numFmtId="3" fontId="8" fillId="0" borderId="86" xfId="0" applyNumberFormat="1" applyFont="1" applyBorder="1" applyAlignment="1">
      <alignment horizontal="right" vertical="top" wrapText="1"/>
    </xf>
    <xf numFmtId="3" fontId="8" fillId="0" borderId="63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4"/>
  <sheetViews>
    <sheetView tabSelected="1" topLeftCell="A164" zoomScale="75" zoomScaleNormal="75" workbookViewId="0">
      <selection activeCell="B195" sqref="B195"/>
    </sheetView>
  </sheetViews>
  <sheetFormatPr defaultRowHeight="15" customHeight="1"/>
  <cols>
    <col min="1" max="1" width="32.85546875" style="2" customWidth="1"/>
    <col min="2" max="2" width="14.42578125" style="2" customWidth="1"/>
    <col min="3" max="3" width="14.28515625" style="7" customWidth="1"/>
    <col min="4" max="4" width="12.140625" style="7" customWidth="1"/>
    <col min="5" max="5" width="11.7109375" style="7" customWidth="1"/>
    <col min="6" max="6" width="10.42578125" style="2" customWidth="1"/>
    <col min="7" max="7" width="3.42578125" style="2" customWidth="1"/>
    <col min="8" max="8" width="5.5703125" style="2" customWidth="1"/>
    <col min="9" max="9" width="48.140625" style="6" customWidth="1"/>
    <col min="10" max="10" width="29.5703125" style="6" customWidth="1"/>
    <col min="11" max="11" width="8.28515625" style="6" customWidth="1"/>
    <col min="12" max="12" width="8.7109375" style="3" customWidth="1"/>
    <col min="13" max="13" width="7.42578125" style="2" customWidth="1"/>
    <col min="14" max="14" width="5.7109375" style="2" customWidth="1"/>
    <col min="15" max="16384" width="9.140625" style="2"/>
  </cols>
  <sheetData>
    <row r="1" spans="1:12" ht="15" customHeight="1">
      <c r="A1" t="s">
        <v>219</v>
      </c>
    </row>
    <row r="3" spans="1:12" ht="15" customHeight="1">
      <c r="A3" t="s">
        <v>222</v>
      </c>
    </row>
    <row r="4" spans="1:12" ht="15" customHeight="1">
      <c r="A4" s="2" t="s">
        <v>31</v>
      </c>
      <c r="I4" s="202" t="s">
        <v>63</v>
      </c>
      <c r="J4" s="203"/>
      <c r="K4" s="203"/>
      <c r="L4" s="204"/>
    </row>
    <row r="5" spans="1:12" ht="15" customHeight="1">
      <c r="A5" s="2" t="s">
        <v>32</v>
      </c>
      <c r="I5" s="205" t="s">
        <v>64</v>
      </c>
      <c r="J5" s="206"/>
      <c r="K5" s="206"/>
      <c r="L5" s="207"/>
    </row>
    <row r="6" spans="1:12" ht="15" customHeight="1">
      <c r="A6" s="2" t="s">
        <v>35</v>
      </c>
      <c r="I6" s="13" t="s">
        <v>60</v>
      </c>
      <c r="J6" s="145" t="s">
        <v>61</v>
      </c>
      <c r="K6" s="147"/>
      <c r="L6" s="47" t="s">
        <v>62</v>
      </c>
    </row>
    <row r="7" spans="1:12" ht="15" customHeight="1">
      <c r="A7" s="2" t="s">
        <v>36</v>
      </c>
      <c r="I7" s="39">
        <v>0</v>
      </c>
      <c r="J7" s="148">
        <v>15000</v>
      </c>
      <c r="K7" s="149"/>
      <c r="L7" s="4">
        <v>0.23</v>
      </c>
    </row>
    <row r="8" spans="1:12" ht="15" customHeight="1">
      <c r="I8" s="39">
        <v>15001</v>
      </c>
      <c r="J8" s="148">
        <v>28000</v>
      </c>
      <c r="K8" s="149"/>
      <c r="L8" s="4">
        <v>0.27</v>
      </c>
    </row>
    <row r="9" spans="1:12" ht="15" customHeight="1">
      <c r="A9" s="229" t="s">
        <v>66</v>
      </c>
      <c r="B9" s="229"/>
      <c r="C9" s="229"/>
      <c r="D9" s="229"/>
      <c r="E9" s="229"/>
      <c r="I9" s="39">
        <v>28001</v>
      </c>
      <c r="J9" s="148">
        <v>55000</v>
      </c>
      <c r="K9" s="149"/>
      <c r="L9" s="4">
        <v>0.38</v>
      </c>
    </row>
    <row r="10" spans="1:12" ht="15" customHeight="1">
      <c r="A10" s="242"/>
      <c r="B10" s="242"/>
      <c r="C10" s="242"/>
      <c r="D10" s="242"/>
      <c r="E10" s="242"/>
      <c r="I10" s="40">
        <v>55001</v>
      </c>
      <c r="J10" s="135">
        <v>75000</v>
      </c>
      <c r="K10" s="136"/>
      <c r="L10" s="4">
        <v>0.41</v>
      </c>
    </row>
    <row r="11" spans="1:12" ht="15" customHeight="1">
      <c r="A11" s="217" t="s">
        <v>40</v>
      </c>
      <c r="B11" s="218"/>
      <c r="C11" s="219"/>
      <c r="D11" s="31">
        <v>12</v>
      </c>
      <c r="E11" s="34" t="s">
        <v>143</v>
      </c>
      <c r="I11" s="39">
        <v>75001</v>
      </c>
      <c r="J11" s="133" t="s">
        <v>149</v>
      </c>
      <c r="K11" s="134"/>
      <c r="L11" s="4">
        <v>0.43</v>
      </c>
    </row>
    <row r="12" spans="1:12" ht="15" customHeight="1">
      <c r="A12" s="214" t="s">
        <v>41</v>
      </c>
      <c r="B12" s="215"/>
      <c r="C12" s="216"/>
      <c r="D12" s="32">
        <v>52</v>
      </c>
      <c r="E12" s="34" t="s">
        <v>144</v>
      </c>
      <c r="I12" s="114"/>
      <c r="J12" s="143"/>
      <c r="K12" s="143"/>
      <c r="L12" s="144"/>
    </row>
    <row r="13" spans="1:12" ht="15" customHeight="1">
      <c r="A13" s="214" t="s">
        <v>42</v>
      </c>
      <c r="B13" s="215"/>
      <c r="C13" s="216"/>
      <c r="D13" s="32">
        <v>365</v>
      </c>
      <c r="E13" s="34" t="s">
        <v>145</v>
      </c>
      <c r="I13" s="145" t="s">
        <v>72</v>
      </c>
      <c r="J13" s="146"/>
      <c r="K13" s="147"/>
      <c r="L13" s="4">
        <v>9.1899999999999996E-2</v>
      </c>
    </row>
    <row r="14" spans="1:12" ht="15" customHeight="1">
      <c r="A14" s="214" t="s">
        <v>33</v>
      </c>
      <c r="B14" s="215"/>
      <c r="C14" s="216"/>
      <c r="D14" s="32">
        <f>D12/D11</f>
        <v>4.333333333333333</v>
      </c>
      <c r="E14" s="34" t="s">
        <v>144</v>
      </c>
      <c r="I14" s="145" t="s">
        <v>73</v>
      </c>
      <c r="J14" s="146"/>
      <c r="K14" s="147"/>
      <c r="L14" s="1">
        <v>0.32700000000000001</v>
      </c>
    </row>
    <row r="15" spans="1:12" ht="15" customHeight="1">
      <c r="A15" s="246"/>
      <c r="B15" s="247"/>
      <c r="C15" s="247"/>
      <c r="D15" s="247"/>
      <c r="E15" s="248"/>
      <c r="F15" s="98"/>
      <c r="I15" s="114"/>
      <c r="J15" s="143"/>
      <c r="K15" s="143"/>
      <c r="L15" s="144"/>
    </row>
    <row r="16" spans="1:12" ht="15" customHeight="1">
      <c r="A16" s="213" t="s">
        <v>43</v>
      </c>
      <c r="B16" s="213"/>
      <c r="C16" s="213"/>
      <c r="D16" s="32">
        <v>5</v>
      </c>
      <c r="E16" s="34" t="s">
        <v>145</v>
      </c>
      <c r="I16" s="205" t="s">
        <v>65</v>
      </c>
      <c r="J16" s="206"/>
      <c r="K16" s="206"/>
      <c r="L16" s="207"/>
    </row>
    <row r="17" spans="1:12" ht="15" customHeight="1">
      <c r="A17" s="213" t="s">
        <v>44</v>
      </c>
      <c r="B17" s="213"/>
      <c r="C17" s="213"/>
      <c r="D17" s="32">
        <v>8</v>
      </c>
      <c r="E17" s="34" t="s">
        <v>146</v>
      </c>
      <c r="I17" s="13" t="s">
        <v>60</v>
      </c>
      <c r="J17" s="145" t="s">
        <v>61</v>
      </c>
      <c r="K17" s="147"/>
      <c r="L17" s="47" t="s">
        <v>62</v>
      </c>
    </row>
    <row r="18" spans="1:12" ht="15" customHeight="1">
      <c r="A18" s="213" t="s">
        <v>56</v>
      </c>
      <c r="B18" s="213"/>
      <c r="C18" s="213"/>
      <c r="D18" s="32">
        <f>D17*D16</f>
        <v>40</v>
      </c>
      <c r="E18" s="34" t="s">
        <v>146</v>
      </c>
      <c r="I18" s="39">
        <v>0</v>
      </c>
      <c r="J18" s="148">
        <v>15000</v>
      </c>
      <c r="K18" s="149"/>
      <c r="L18" s="4">
        <v>7.0000000000000001E-3</v>
      </c>
    </row>
    <row r="19" spans="1:12" ht="15" customHeight="1">
      <c r="A19" s="210" t="s">
        <v>45</v>
      </c>
      <c r="B19" s="211"/>
      <c r="C19" s="212"/>
      <c r="D19" s="32">
        <v>12</v>
      </c>
      <c r="E19" s="34" t="s">
        <v>146</v>
      </c>
      <c r="I19" s="39">
        <v>15001</v>
      </c>
      <c r="J19" s="133" t="s">
        <v>148</v>
      </c>
      <c r="K19" s="134"/>
      <c r="L19" s="4">
        <v>1.23E-2</v>
      </c>
    </row>
    <row r="20" spans="1:12" ht="15" customHeight="1">
      <c r="A20" s="213" t="s">
        <v>46</v>
      </c>
      <c r="B20" s="213"/>
      <c r="C20" s="213"/>
      <c r="D20" s="32">
        <f>CEILING(D14*D16, 1)</f>
        <v>22</v>
      </c>
      <c r="E20" s="34" t="s">
        <v>145</v>
      </c>
      <c r="I20" s="114"/>
      <c r="J20" s="143"/>
      <c r="K20" s="143"/>
      <c r="L20" s="144"/>
    </row>
    <row r="21" spans="1:12" ht="15" customHeight="1">
      <c r="A21" s="213" t="s">
        <v>34</v>
      </c>
      <c r="B21" s="213"/>
      <c r="C21" s="213"/>
      <c r="D21" s="32">
        <f>D20+D22</f>
        <v>29</v>
      </c>
      <c r="E21" s="34" t="s">
        <v>145</v>
      </c>
      <c r="I21" s="145" t="s">
        <v>140</v>
      </c>
      <c r="J21" s="146"/>
      <c r="K21" s="147"/>
      <c r="L21" s="4">
        <v>2.8000000000000001E-2</v>
      </c>
    </row>
    <row r="22" spans="1:12" ht="15" customHeight="1">
      <c r="A22" s="213" t="s">
        <v>47</v>
      </c>
      <c r="B22" s="213"/>
      <c r="C22" s="213"/>
      <c r="D22" s="32">
        <f>CEILING(D19*D14/D17,1)</f>
        <v>7</v>
      </c>
      <c r="E22" s="34" t="s">
        <v>145</v>
      </c>
      <c r="I22" s="145" t="s">
        <v>139</v>
      </c>
      <c r="J22" s="146"/>
      <c r="K22" s="147"/>
      <c r="L22" s="1">
        <v>0.01</v>
      </c>
    </row>
    <row r="23" spans="1:12" ht="15" customHeight="1">
      <c r="A23" s="213" t="s">
        <v>57</v>
      </c>
      <c r="B23" s="213"/>
      <c r="C23" s="213"/>
      <c r="D23" s="32">
        <f>D17*D20</f>
        <v>176</v>
      </c>
      <c r="E23" s="34" t="s">
        <v>146</v>
      </c>
      <c r="I23" s="145" t="s">
        <v>141</v>
      </c>
      <c r="J23" s="146"/>
      <c r="K23" s="148">
        <v>16163.7</v>
      </c>
      <c r="L23" s="149"/>
    </row>
    <row r="24" spans="1:12" ht="15" customHeight="1">
      <c r="A24" s="210" t="s">
        <v>58</v>
      </c>
      <c r="B24" s="211"/>
      <c r="C24" s="212"/>
      <c r="D24" s="32">
        <f>D22*D17</f>
        <v>56</v>
      </c>
      <c r="E24" s="34" t="s">
        <v>146</v>
      </c>
      <c r="I24" s="145" t="s">
        <v>142</v>
      </c>
      <c r="J24" s="146"/>
      <c r="K24" s="148">
        <v>30018.3</v>
      </c>
      <c r="L24" s="149"/>
    </row>
    <row r="25" spans="1:12" ht="15" customHeight="1">
      <c r="A25" s="213" t="s">
        <v>55</v>
      </c>
      <c r="B25" s="213"/>
      <c r="C25" s="213"/>
      <c r="D25" s="32">
        <f>D17*D21</f>
        <v>232</v>
      </c>
      <c r="E25" s="34" t="s">
        <v>146</v>
      </c>
    </row>
    <row r="26" spans="1:12" ht="15" customHeight="1">
      <c r="A26" s="243"/>
      <c r="B26" s="244"/>
      <c r="C26" s="244"/>
      <c r="D26" s="244"/>
      <c r="E26" s="245"/>
      <c r="I26" s="16"/>
    </row>
    <row r="27" spans="1:12" ht="15" customHeight="1">
      <c r="A27" s="220" t="s">
        <v>48</v>
      </c>
      <c r="B27" s="220"/>
      <c r="C27" s="220"/>
      <c r="D27" s="33">
        <v>4</v>
      </c>
      <c r="E27" s="34" t="s">
        <v>147</v>
      </c>
    </row>
    <row r="29" spans="1:12" ht="15" customHeight="1">
      <c r="A29" t="s">
        <v>100</v>
      </c>
      <c r="C29" s="2"/>
      <c r="D29" s="2"/>
      <c r="E29" s="2"/>
    </row>
    <row r="30" spans="1:12" ht="15" customHeight="1">
      <c r="A30" s="231" t="s">
        <v>37</v>
      </c>
      <c r="B30" s="231"/>
      <c r="C30" s="8" t="s">
        <v>29</v>
      </c>
      <c r="D30" s="9" t="s">
        <v>30</v>
      </c>
      <c r="E30" s="10" t="s">
        <v>38</v>
      </c>
      <c r="F30" s="10"/>
    </row>
    <row r="31" spans="1:12" ht="15" customHeight="1">
      <c r="A31" s="230" t="s">
        <v>39</v>
      </c>
      <c r="B31" s="230"/>
      <c r="C31" s="41">
        <v>6</v>
      </c>
      <c r="D31" s="42">
        <v>2</v>
      </c>
      <c r="E31" s="43">
        <f>C31+D31</f>
        <v>8</v>
      </c>
      <c r="F31" s="11" t="s">
        <v>143</v>
      </c>
    </row>
    <row r="32" spans="1:12" ht="15" customHeight="1">
      <c r="A32" s="208" t="s">
        <v>53</v>
      </c>
      <c r="B32" s="209"/>
      <c r="C32" s="41">
        <f>C31/$D27</f>
        <v>1.5</v>
      </c>
      <c r="D32" s="42">
        <f>D31/$D27</f>
        <v>0.5</v>
      </c>
      <c r="E32" s="43">
        <f>C32+D32</f>
        <v>2</v>
      </c>
      <c r="F32" s="11" t="s">
        <v>143</v>
      </c>
    </row>
    <row r="33" spans="1:6" ht="15" customHeight="1">
      <c r="A33" s="208" t="s">
        <v>54</v>
      </c>
      <c r="B33" s="209"/>
      <c r="C33" s="41">
        <f>C32*$D25</f>
        <v>348</v>
      </c>
      <c r="D33" s="42">
        <f>D32*$D25</f>
        <v>116</v>
      </c>
      <c r="E33" s="43">
        <f>C33+D33</f>
        <v>464</v>
      </c>
      <c r="F33" s="11" t="s">
        <v>146</v>
      </c>
    </row>
    <row r="34" spans="1:6" ht="15" customHeight="1">
      <c r="A34" s="246" t="s">
        <v>218</v>
      </c>
      <c r="B34" s="138"/>
      <c r="C34" s="138"/>
      <c r="D34" s="138"/>
      <c r="E34" s="138"/>
      <c r="F34" s="139"/>
    </row>
    <row r="35" spans="1:6" ht="15" customHeight="1">
      <c r="A35" s="208" t="s">
        <v>49</v>
      </c>
      <c r="B35" s="209"/>
      <c r="C35" s="41">
        <f>C$32*D23</f>
        <v>264</v>
      </c>
      <c r="D35" s="42">
        <f>D$32*D23</f>
        <v>88</v>
      </c>
      <c r="E35" s="43">
        <f>C35+D35</f>
        <v>352</v>
      </c>
      <c r="F35" s="11" t="s">
        <v>146</v>
      </c>
    </row>
    <row r="36" spans="1:6" ht="15" customHeight="1">
      <c r="A36" s="208" t="s">
        <v>50</v>
      </c>
      <c r="B36" s="209"/>
      <c r="C36" s="41">
        <f>C$32*D24</f>
        <v>84</v>
      </c>
      <c r="D36" s="42">
        <f>D$32*D24</f>
        <v>28</v>
      </c>
      <c r="E36" s="43">
        <f>C36+D36</f>
        <v>112</v>
      </c>
      <c r="F36" s="11" t="s">
        <v>146</v>
      </c>
    </row>
    <row r="37" spans="1:6" ht="15" customHeight="1">
      <c r="A37" s="208" t="s">
        <v>51</v>
      </c>
      <c r="B37" s="209"/>
      <c r="C37" s="41">
        <f>D20*C32</f>
        <v>33</v>
      </c>
      <c r="D37" s="42">
        <f>D20*D32</f>
        <v>11</v>
      </c>
      <c r="E37" s="43">
        <f>C37+D37</f>
        <v>44</v>
      </c>
      <c r="F37" s="11" t="s">
        <v>145</v>
      </c>
    </row>
    <row r="38" spans="1:6" ht="15" customHeight="1">
      <c r="A38" s="208" t="s">
        <v>52</v>
      </c>
      <c r="B38" s="209"/>
      <c r="C38" s="44">
        <f>D22*C32</f>
        <v>10.5</v>
      </c>
      <c r="D38" s="45">
        <f>D32*D22</f>
        <v>3.5</v>
      </c>
      <c r="E38" s="46">
        <f>C38+D38</f>
        <v>14</v>
      </c>
      <c r="F38" s="12" t="s">
        <v>145</v>
      </c>
    </row>
    <row r="39" spans="1:6" ht="15" customHeight="1">
      <c r="C39" s="2"/>
      <c r="D39" s="2"/>
      <c r="E39" s="2"/>
    </row>
    <row r="40" spans="1:6" ht="15" customHeight="1">
      <c r="A40" s="16" t="s">
        <v>221</v>
      </c>
      <c r="C40" s="2"/>
      <c r="D40" s="2"/>
      <c r="E40" s="2"/>
    </row>
    <row r="41" spans="1:6" ht="15" customHeight="1">
      <c r="A41" s="234" t="s">
        <v>93</v>
      </c>
      <c r="B41" s="236" t="s">
        <v>0</v>
      </c>
      <c r="C41" s="199" t="s">
        <v>127</v>
      </c>
      <c r="D41" s="156"/>
      <c r="E41" s="199" t="s">
        <v>99</v>
      </c>
      <c r="F41" s="156"/>
    </row>
    <row r="42" spans="1:6" ht="15" customHeight="1">
      <c r="A42" s="235"/>
      <c r="B42" s="237"/>
      <c r="C42" s="200"/>
      <c r="D42" s="201"/>
      <c r="E42" s="200"/>
      <c r="F42" s="201"/>
    </row>
    <row r="43" spans="1:6" ht="15" customHeight="1">
      <c r="A43" s="19" t="s">
        <v>94</v>
      </c>
      <c r="B43" s="35">
        <v>69.900000000000006</v>
      </c>
      <c r="C43" s="104">
        <v>7</v>
      </c>
      <c r="D43" s="104"/>
      <c r="E43" s="227">
        <f>B43/(C43*12)</f>
        <v>0.83214285714285718</v>
      </c>
      <c r="F43" s="228"/>
    </row>
    <row r="44" spans="1:6" ht="15" customHeight="1">
      <c r="A44" s="19" t="s">
        <v>95</v>
      </c>
      <c r="B44" s="35">
        <v>500</v>
      </c>
      <c r="C44" s="104">
        <v>5</v>
      </c>
      <c r="D44" s="104"/>
      <c r="E44" s="221">
        <f t="shared" ref="E44:E49" si="0">B44/(C44*12)</f>
        <v>8.3333333333333339</v>
      </c>
      <c r="F44" s="222"/>
    </row>
    <row r="45" spans="1:6" ht="15" customHeight="1">
      <c r="A45" s="19" t="s">
        <v>96</v>
      </c>
      <c r="B45" s="35">
        <v>1000</v>
      </c>
      <c r="C45" s="104">
        <v>5</v>
      </c>
      <c r="D45" s="104"/>
      <c r="E45" s="221">
        <f t="shared" si="0"/>
        <v>16.666666666666668</v>
      </c>
      <c r="F45" s="222"/>
    </row>
    <row r="46" spans="1:6" ht="15" customHeight="1">
      <c r="A46" s="19" t="s">
        <v>97</v>
      </c>
      <c r="B46" s="35">
        <v>530</v>
      </c>
      <c r="C46" s="104">
        <v>5</v>
      </c>
      <c r="D46" s="104"/>
      <c r="E46" s="221">
        <f t="shared" si="0"/>
        <v>8.8333333333333339</v>
      </c>
      <c r="F46" s="222"/>
    </row>
    <row r="47" spans="1:6" ht="15" customHeight="1">
      <c r="A47" s="19" t="s">
        <v>98</v>
      </c>
      <c r="B47" s="35">
        <v>82</v>
      </c>
      <c r="C47" s="104">
        <v>5</v>
      </c>
      <c r="D47" s="104"/>
      <c r="E47" s="221">
        <f t="shared" si="0"/>
        <v>1.3666666666666667</v>
      </c>
      <c r="F47" s="222"/>
    </row>
    <row r="48" spans="1:6" ht="15" customHeight="1">
      <c r="A48" s="19" t="s">
        <v>101</v>
      </c>
      <c r="B48" s="35">
        <v>44.45</v>
      </c>
      <c r="C48" s="104">
        <v>5</v>
      </c>
      <c r="D48" s="104"/>
      <c r="E48" s="221">
        <f t="shared" si="0"/>
        <v>0.74083333333333334</v>
      </c>
      <c r="F48" s="222"/>
    </row>
    <row r="49" spans="1:16" ht="15" customHeight="1">
      <c r="A49" s="19" t="s">
        <v>102</v>
      </c>
      <c r="B49" s="35">
        <v>186.51</v>
      </c>
      <c r="C49" s="104">
        <v>4</v>
      </c>
      <c r="D49" s="104"/>
      <c r="E49" s="223">
        <f t="shared" si="0"/>
        <v>3.8856249999999997</v>
      </c>
      <c r="F49" s="224"/>
    </row>
    <row r="50" spans="1:16" ht="15" customHeight="1">
      <c r="A50" s="24" t="s">
        <v>129</v>
      </c>
      <c r="B50" s="166">
        <f>SUM(E43:F49)</f>
        <v>40.65860119047619</v>
      </c>
      <c r="C50" s="167"/>
      <c r="D50" s="167"/>
      <c r="E50" s="167"/>
      <c r="F50" s="125"/>
    </row>
    <row r="51" spans="1:16" ht="15" customHeight="1">
      <c r="A51" s="24" t="s">
        <v>130</v>
      </c>
      <c r="B51" s="166">
        <f>B50/$D$27</f>
        <v>10.164650297619048</v>
      </c>
      <c r="C51" s="167"/>
      <c r="D51" s="167"/>
      <c r="E51" s="167"/>
      <c r="F51" s="125"/>
    </row>
    <row r="52" spans="1:16" ht="15" customHeight="1">
      <c r="A52" s="24" t="s">
        <v>131</v>
      </c>
      <c r="B52" s="166">
        <f>B51*$E$31</f>
        <v>81.317202380952381</v>
      </c>
      <c r="C52" s="167"/>
      <c r="D52" s="167"/>
      <c r="E52" s="167"/>
      <c r="F52" s="125"/>
    </row>
    <row r="53" spans="1:16" ht="15" customHeight="1">
      <c r="A53" s="6"/>
      <c r="B53" s="6"/>
      <c r="C53" s="6"/>
      <c r="D53" s="6"/>
      <c r="E53" s="6"/>
      <c r="F53" s="6"/>
      <c r="H53" s="6"/>
    </row>
    <row r="54" spans="1:16" ht="15" customHeight="1">
      <c r="A54" s="6"/>
      <c r="B54" s="6"/>
      <c r="C54" s="6"/>
      <c r="D54" s="6"/>
      <c r="E54" s="6"/>
      <c r="F54" s="6"/>
      <c r="H54" s="6"/>
    </row>
    <row r="55" spans="1:16" ht="15" customHeight="1">
      <c r="A55" s="16" t="s">
        <v>221</v>
      </c>
      <c r="B55" s="6"/>
      <c r="C55" s="6"/>
      <c r="D55" s="6"/>
      <c r="E55" s="6"/>
      <c r="F55" s="6"/>
      <c r="M55" s="18"/>
      <c r="N55" s="18"/>
      <c r="O55" s="18"/>
    </row>
    <row r="56" spans="1:16" ht="15" customHeight="1">
      <c r="A56" s="229" t="s">
        <v>128</v>
      </c>
      <c r="B56" s="229" t="s">
        <v>0</v>
      </c>
      <c r="C56" s="199" t="s">
        <v>127</v>
      </c>
      <c r="D56" s="156"/>
      <c r="E56" s="199" t="s">
        <v>99</v>
      </c>
      <c r="F56" s="156"/>
      <c r="I56" s="16" t="s">
        <v>217</v>
      </c>
      <c r="M56" s="7"/>
      <c r="O56" s="6"/>
      <c r="P56" s="6"/>
    </row>
    <row r="57" spans="1:16" ht="15" customHeight="1">
      <c r="A57" s="229"/>
      <c r="B57" s="229"/>
      <c r="C57" s="200"/>
      <c r="D57" s="201"/>
      <c r="E57" s="200"/>
      <c r="F57" s="201"/>
      <c r="I57" s="16" t="s">
        <v>133</v>
      </c>
      <c r="J57" s="2"/>
      <c r="K57" s="2"/>
      <c r="M57" s="7"/>
      <c r="O57" s="6"/>
      <c r="P57" s="6"/>
    </row>
    <row r="58" spans="1:16" ht="15" customHeight="1">
      <c r="A58" s="23" t="s">
        <v>27</v>
      </c>
      <c r="B58" s="35">
        <v>0.89</v>
      </c>
      <c r="C58" s="104">
        <v>1</v>
      </c>
      <c r="D58" s="104"/>
      <c r="E58" s="105">
        <f>B58/(C58*12)</f>
        <v>7.4166666666666672E-2</v>
      </c>
      <c r="F58" s="198"/>
      <c r="I58" s="150" t="s">
        <v>150</v>
      </c>
      <c r="J58" s="151"/>
      <c r="K58" s="151"/>
      <c r="L58" s="152"/>
      <c r="M58" s="7"/>
      <c r="O58" s="6"/>
      <c r="P58" s="6"/>
    </row>
    <row r="59" spans="1:16" ht="15" customHeight="1">
      <c r="A59" s="5" t="s">
        <v>25</v>
      </c>
      <c r="B59" s="35">
        <v>26.3</v>
      </c>
      <c r="C59" s="104">
        <v>1</v>
      </c>
      <c r="D59" s="104"/>
      <c r="E59" s="105">
        <f t="shared" ref="E59:E85" si="1">B59/(C59*12)</f>
        <v>2.1916666666666669</v>
      </c>
      <c r="F59" s="198"/>
      <c r="I59" s="112" t="s">
        <v>59</v>
      </c>
      <c r="J59" s="113"/>
      <c r="K59" s="119">
        <v>35000</v>
      </c>
      <c r="L59" s="106"/>
      <c r="M59" s="7"/>
      <c r="O59" s="6"/>
      <c r="P59" s="6"/>
    </row>
    <row r="60" spans="1:16" ht="15" customHeight="1">
      <c r="A60" s="5" t="s">
        <v>23</v>
      </c>
      <c r="B60" s="35">
        <v>110</v>
      </c>
      <c r="C60" s="104">
        <v>3</v>
      </c>
      <c r="D60" s="104"/>
      <c r="E60" s="105">
        <f t="shared" si="1"/>
        <v>3.0555555555555554</v>
      </c>
      <c r="F60" s="198"/>
      <c r="I60" s="112" t="s">
        <v>69</v>
      </c>
      <c r="J60" s="113"/>
      <c r="K60" s="119">
        <f>K59/13</f>
        <v>2692.3076923076924</v>
      </c>
      <c r="L60" s="106"/>
      <c r="M60" s="7"/>
      <c r="O60" s="6"/>
      <c r="P60" s="6"/>
    </row>
    <row r="61" spans="1:16" ht="15" customHeight="1">
      <c r="A61" s="5" t="s">
        <v>22</v>
      </c>
      <c r="B61" s="35">
        <v>119</v>
      </c>
      <c r="C61" s="104">
        <v>3</v>
      </c>
      <c r="D61" s="104"/>
      <c r="E61" s="105">
        <f t="shared" si="1"/>
        <v>3.3055555555555554</v>
      </c>
      <c r="F61" s="198"/>
      <c r="I61" s="112" t="s">
        <v>71</v>
      </c>
      <c r="J61" s="113"/>
      <c r="K61" s="119">
        <f>K60/D23</f>
        <v>15.297202797202798</v>
      </c>
      <c r="L61" s="106"/>
      <c r="M61" s="7"/>
      <c r="O61" s="6"/>
      <c r="P61" s="6"/>
    </row>
    <row r="62" spans="1:16" ht="15" customHeight="1">
      <c r="A62" s="5" t="s">
        <v>1</v>
      </c>
      <c r="B62" s="35">
        <v>539</v>
      </c>
      <c r="C62" s="104">
        <v>3</v>
      </c>
      <c r="D62" s="104"/>
      <c r="E62" s="105">
        <f t="shared" si="1"/>
        <v>14.972222222222221</v>
      </c>
      <c r="F62" s="198"/>
      <c r="I62" s="114"/>
      <c r="J62" s="115"/>
      <c r="K62" s="115"/>
      <c r="L62" s="116"/>
      <c r="M62" s="7"/>
      <c r="O62" s="6"/>
      <c r="P62" s="6"/>
    </row>
    <row r="63" spans="1:16" ht="15" customHeight="1">
      <c r="A63" s="5" t="s">
        <v>12</v>
      </c>
      <c r="B63" s="35">
        <v>820.43</v>
      </c>
      <c r="C63" s="104">
        <v>3</v>
      </c>
      <c r="D63" s="104"/>
      <c r="E63" s="105">
        <f t="shared" si="1"/>
        <v>22.78972222222222</v>
      </c>
      <c r="F63" s="198"/>
      <c r="I63" s="122" t="s">
        <v>162</v>
      </c>
      <c r="J63" s="123"/>
      <c r="K63" s="119">
        <f>K59*L13</f>
        <v>3216.5</v>
      </c>
      <c r="L63" s="106"/>
      <c r="M63" s="7"/>
      <c r="O63" s="6"/>
      <c r="P63" s="6"/>
    </row>
    <row r="64" spans="1:16" ht="15" customHeight="1">
      <c r="A64" s="5" t="s">
        <v>2</v>
      </c>
      <c r="B64" s="35">
        <v>1286.44</v>
      </c>
      <c r="C64" s="104">
        <v>3</v>
      </c>
      <c r="D64" s="104"/>
      <c r="E64" s="105">
        <f t="shared" si="1"/>
        <v>35.734444444444449</v>
      </c>
      <c r="F64" s="198"/>
      <c r="I64" s="112" t="s">
        <v>160</v>
      </c>
      <c r="J64" s="113"/>
      <c r="K64" s="148">
        <f>K59*L14</f>
        <v>11445</v>
      </c>
      <c r="L64" s="149"/>
      <c r="M64" s="7"/>
      <c r="O64" s="6"/>
      <c r="P64" s="6"/>
    </row>
    <row r="65" spans="1:16" ht="15" customHeight="1">
      <c r="A65" s="5" t="s">
        <v>5</v>
      </c>
      <c r="B65" s="35">
        <v>1369</v>
      </c>
      <c r="C65" s="104">
        <v>3</v>
      </c>
      <c r="D65" s="104"/>
      <c r="E65" s="105">
        <f t="shared" si="1"/>
        <v>38.027777777777779</v>
      </c>
      <c r="F65" s="198"/>
      <c r="I65" s="114"/>
      <c r="J65" s="115"/>
      <c r="K65" s="115"/>
      <c r="L65" s="116"/>
      <c r="M65" s="7"/>
      <c r="O65" s="6"/>
      <c r="P65" s="6"/>
    </row>
    <row r="66" spans="1:16" ht="15" customHeight="1">
      <c r="A66" s="5" t="s">
        <v>3</v>
      </c>
      <c r="B66" s="35">
        <v>0</v>
      </c>
      <c r="C66" s="104">
        <v>1</v>
      </c>
      <c r="D66" s="104"/>
      <c r="E66" s="105">
        <f t="shared" si="1"/>
        <v>0</v>
      </c>
      <c r="F66" s="198"/>
      <c r="I66" s="117" t="s">
        <v>161</v>
      </c>
      <c r="J66" s="118"/>
      <c r="K66" s="119">
        <f>K59-K63</f>
        <v>31783.5</v>
      </c>
      <c r="L66" s="106"/>
      <c r="M66" s="7"/>
      <c r="O66" s="6"/>
      <c r="P66" s="6"/>
    </row>
    <row r="67" spans="1:16" ht="15" customHeight="1">
      <c r="A67" s="5" t="s">
        <v>4</v>
      </c>
      <c r="B67" s="35">
        <v>0</v>
      </c>
      <c r="C67" s="104">
        <v>1</v>
      </c>
      <c r="D67" s="104"/>
      <c r="E67" s="105">
        <f t="shared" si="1"/>
        <v>0</v>
      </c>
      <c r="F67" s="198"/>
      <c r="I67" s="117" t="s">
        <v>157</v>
      </c>
      <c r="J67" s="118"/>
      <c r="K67" s="119">
        <f>J7*L7+(J8-J7)*L8+(K66-J8)*L9</f>
        <v>8397.73</v>
      </c>
      <c r="L67" s="106"/>
      <c r="M67" s="7"/>
      <c r="O67" s="6"/>
      <c r="P67" s="6"/>
    </row>
    <row r="68" spans="1:16" ht="15" customHeight="1">
      <c r="A68" s="5" t="s">
        <v>6</v>
      </c>
      <c r="B68" s="35">
        <v>0</v>
      </c>
      <c r="C68" s="104">
        <v>1</v>
      </c>
      <c r="D68" s="104"/>
      <c r="E68" s="105">
        <f t="shared" si="1"/>
        <v>0</v>
      </c>
      <c r="F68" s="198"/>
      <c r="I68" s="117" t="s">
        <v>158</v>
      </c>
      <c r="J68" s="118"/>
      <c r="K68" s="119">
        <f>(J18-I18)*L18+(K66-J18)*L19</f>
        <v>311.43705</v>
      </c>
      <c r="L68" s="106"/>
      <c r="M68" s="7"/>
      <c r="O68" s="6"/>
      <c r="P68" s="6"/>
    </row>
    <row r="69" spans="1:16" ht="15" customHeight="1">
      <c r="A69" s="5" t="s">
        <v>7</v>
      </c>
      <c r="B69" s="35">
        <v>0</v>
      </c>
      <c r="C69" s="104">
        <v>1</v>
      </c>
      <c r="D69" s="104"/>
      <c r="E69" s="105">
        <f t="shared" si="1"/>
        <v>0</v>
      </c>
      <c r="F69" s="198"/>
      <c r="I69" s="117" t="s">
        <v>159</v>
      </c>
      <c r="J69" s="118"/>
      <c r="K69" s="148">
        <f>K67+K68</f>
        <v>8709.16705</v>
      </c>
      <c r="L69" s="149"/>
      <c r="M69" s="7"/>
      <c r="O69" s="6"/>
      <c r="P69" s="6"/>
    </row>
    <row r="70" spans="1:16" ht="15" customHeight="1">
      <c r="A70" s="5" t="s">
        <v>8</v>
      </c>
      <c r="B70" s="35">
        <v>0</v>
      </c>
      <c r="C70" s="104">
        <v>1</v>
      </c>
      <c r="D70" s="104"/>
      <c r="E70" s="105">
        <f t="shared" si="1"/>
        <v>0</v>
      </c>
      <c r="F70" s="198"/>
      <c r="I70" s="114"/>
      <c r="J70" s="115"/>
      <c r="K70" s="115"/>
      <c r="L70" s="116"/>
      <c r="M70" s="7"/>
      <c r="O70" s="6"/>
      <c r="P70" s="6"/>
    </row>
    <row r="71" spans="1:16" ht="15" customHeight="1">
      <c r="A71" s="5" t="s">
        <v>9</v>
      </c>
      <c r="B71" s="35">
        <v>0</v>
      </c>
      <c r="C71" s="104">
        <v>1</v>
      </c>
      <c r="D71" s="104"/>
      <c r="E71" s="105">
        <f t="shared" si="1"/>
        <v>0</v>
      </c>
      <c r="F71" s="198"/>
      <c r="I71" s="120" t="s">
        <v>156</v>
      </c>
      <c r="J71" s="121"/>
      <c r="K71" s="153">
        <f>TRUNC((28000 - K66)/20000,4)</f>
        <v>-0.18909999999999999</v>
      </c>
      <c r="L71" s="154"/>
      <c r="M71" s="7"/>
      <c r="O71" s="6"/>
      <c r="P71" s="6"/>
    </row>
    <row r="72" spans="1:16" ht="15" customHeight="1">
      <c r="A72" s="5" t="s">
        <v>10</v>
      </c>
      <c r="B72" s="35">
        <v>0</v>
      </c>
      <c r="C72" s="104">
        <v>1</v>
      </c>
      <c r="D72" s="104"/>
      <c r="E72" s="105">
        <f t="shared" si="1"/>
        <v>0</v>
      </c>
      <c r="F72" s="198"/>
      <c r="I72" s="117" t="s">
        <v>155</v>
      </c>
      <c r="J72" s="118"/>
      <c r="K72" s="119">
        <f>978+(902*K71)*(D13/365)</f>
        <v>807.43180000000007</v>
      </c>
      <c r="L72" s="106"/>
      <c r="M72" s="20"/>
      <c r="O72" s="6"/>
      <c r="P72" s="6"/>
    </row>
    <row r="73" spans="1:16" ht="15" customHeight="1">
      <c r="A73" s="5" t="s">
        <v>11</v>
      </c>
      <c r="B73" s="35">
        <v>0</v>
      </c>
      <c r="C73" s="104">
        <v>1</v>
      </c>
      <c r="D73" s="104"/>
      <c r="E73" s="105">
        <f t="shared" si="1"/>
        <v>0</v>
      </c>
      <c r="F73" s="198"/>
      <c r="I73" s="117" t="s">
        <v>152</v>
      </c>
      <c r="J73" s="118"/>
      <c r="K73" s="119">
        <f>IF(K66&lt;24000,80,0)*D19</f>
        <v>0</v>
      </c>
      <c r="L73" s="106"/>
      <c r="M73" s="7"/>
      <c r="O73" s="6"/>
      <c r="P73" s="6"/>
    </row>
    <row r="74" spans="1:16" ht="15" customHeight="1">
      <c r="A74" s="5" t="s">
        <v>13</v>
      </c>
      <c r="B74" s="35">
        <v>0</v>
      </c>
      <c r="C74" s="104">
        <v>1</v>
      </c>
      <c r="D74" s="104"/>
      <c r="E74" s="105">
        <f t="shared" si="1"/>
        <v>0</v>
      </c>
      <c r="F74" s="198"/>
      <c r="I74" s="117" t="s">
        <v>153</v>
      </c>
      <c r="J74" s="118"/>
      <c r="K74" s="119">
        <f>K72+K73</f>
        <v>807.43180000000007</v>
      </c>
      <c r="L74" s="106"/>
      <c r="M74" s="7"/>
      <c r="O74" s="6"/>
      <c r="P74" s="6"/>
    </row>
    <row r="75" spans="1:16" ht="15" customHeight="1">
      <c r="A75" s="5" t="s">
        <v>14</v>
      </c>
      <c r="B75" s="35">
        <v>0</v>
      </c>
      <c r="C75" s="104">
        <v>1</v>
      </c>
      <c r="D75" s="104"/>
      <c r="E75" s="105">
        <f t="shared" si="1"/>
        <v>0</v>
      </c>
      <c r="F75" s="198"/>
      <c r="I75" s="117" t="s">
        <v>154</v>
      </c>
      <c r="J75" s="118"/>
      <c r="K75" s="119">
        <f>K69-K74</f>
        <v>7901.7352499999997</v>
      </c>
      <c r="L75" s="106"/>
      <c r="M75" s="7"/>
      <c r="O75" s="6"/>
      <c r="P75" s="6"/>
    </row>
    <row r="76" spans="1:16" ht="15" customHeight="1">
      <c r="A76" s="5" t="s">
        <v>15</v>
      </c>
      <c r="B76" s="35">
        <v>0</v>
      </c>
      <c r="C76" s="104">
        <v>1</v>
      </c>
      <c r="D76" s="104"/>
      <c r="E76" s="105">
        <f t="shared" si="1"/>
        <v>0</v>
      </c>
      <c r="F76" s="198"/>
      <c r="I76" s="114"/>
      <c r="J76" s="115"/>
      <c r="K76" s="115"/>
      <c r="L76" s="116"/>
      <c r="M76" s="7"/>
      <c r="O76" s="16"/>
      <c r="P76" s="16"/>
    </row>
    <row r="77" spans="1:16" ht="15" customHeight="1">
      <c r="A77" s="5" t="s">
        <v>16</v>
      </c>
      <c r="B77" s="35">
        <v>0</v>
      </c>
      <c r="C77" s="104">
        <v>1</v>
      </c>
      <c r="D77" s="104"/>
      <c r="E77" s="105">
        <f t="shared" si="1"/>
        <v>0</v>
      </c>
      <c r="F77" s="198"/>
      <c r="I77" s="130" t="s">
        <v>67</v>
      </c>
      <c r="J77" s="131"/>
      <c r="K77" s="119">
        <f>K66-K75</f>
        <v>23881.764750000002</v>
      </c>
      <c r="L77" s="106"/>
      <c r="M77" s="7"/>
      <c r="O77" s="16"/>
      <c r="P77" s="16"/>
    </row>
    <row r="78" spans="1:16" ht="15" customHeight="1">
      <c r="A78" s="5" t="s">
        <v>17</v>
      </c>
      <c r="B78" s="35">
        <v>0</v>
      </c>
      <c r="C78" s="104">
        <v>1</v>
      </c>
      <c r="D78" s="104"/>
      <c r="E78" s="105">
        <f t="shared" si="1"/>
        <v>0</v>
      </c>
      <c r="F78" s="198"/>
      <c r="I78" s="130" t="s">
        <v>68</v>
      </c>
      <c r="J78" s="131"/>
      <c r="K78" s="119">
        <f>K77/13</f>
        <v>1837.058826923077</v>
      </c>
      <c r="L78" s="106"/>
      <c r="M78" s="7"/>
      <c r="O78" s="16"/>
      <c r="P78" s="16"/>
    </row>
    <row r="79" spans="1:16" ht="15" customHeight="1">
      <c r="A79" s="21" t="s">
        <v>18</v>
      </c>
      <c r="B79" s="35">
        <v>0</v>
      </c>
      <c r="C79" s="104">
        <v>1</v>
      </c>
      <c r="D79" s="104"/>
      <c r="E79" s="105">
        <f t="shared" si="1"/>
        <v>0</v>
      </c>
      <c r="F79" s="198"/>
      <c r="I79" s="130" t="s">
        <v>70</v>
      </c>
      <c r="J79" s="131"/>
      <c r="K79" s="119">
        <f>K78/D23</f>
        <v>10.43783424388112</v>
      </c>
      <c r="L79" s="106"/>
      <c r="M79" s="7"/>
      <c r="O79" s="6"/>
      <c r="P79" s="6"/>
    </row>
    <row r="80" spans="1:16" ht="15" customHeight="1">
      <c r="A80" s="5" t="s">
        <v>19</v>
      </c>
      <c r="B80" s="35">
        <v>0</v>
      </c>
      <c r="C80" s="104">
        <v>1</v>
      </c>
      <c r="D80" s="104"/>
      <c r="E80" s="105">
        <f t="shared" si="1"/>
        <v>0</v>
      </c>
      <c r="F80" s="198"/>
      <c r="I80" s="114"/>
      <c r="J80" s="115"/>
      <c r="K80" s="115"/>
      <c r="L80" s="116"/>
      <c r="N80"/>
    </row>
    <row r="81" spans="1:13" ht="15" customHeight="1">
      <c r="A81" s="5" t="s">
        <v>20</v>
      </c>
      <c r="B81" s="35">
        <v>0</v>
      </c>
      <c r="C81" s="104">
        <v>1</v>
      </c>
      <c r="D81" s="104"/>
      <c r="E81" s="105">
        <f t="shared" si="1"/>
        <v>0</v>
      </c>
      <c r="F81" s="198"/>
      <c r="I81" s="114"/>
      <c r="J81" s="115"/>
      <c r="K81" s="115"/>
      <c r="L81" s="116"/>
    </row>
    <row r="82" spans="1:13" ht="15" customHeight="1">
      <c r="A82" s="5" t="s">
        <v>21</v>
      </c>
      <c r="B82" s="35">
        <v>0</v>
      </c>
      <c r="C82" s="104">
        <v>1</v>
      </c>
      <c r="D82" s="104"/>
      <c r="E82" s="105">
        <f t="shared" si="1"/>
        <v>0</v>
      </c>
      <c r="F82" s="198"/>
      <c r="I82" s="117" t="s">
        <v>163</v>
      </c>
      <c r="J82" s="118"/>
      <c r="K82" s="119">
        <f>IF(K59&lt;=K23,K23*L21,IF(K59&gt;=K24,K24*L21,K59*L21))</f>
        <v>840.51239999999996</v>
      </c>
      <c r="L82" s="106"/>
    </row>
    <row r="83" spans="1:13" ht="15" customHeight="1">
      <c r="A83" s="5" t="s">
        <v>24</v>
      </c>
      <c r="B83" s="35">
        <v>0</v>
      </c>
      <c r="C83" s="104">
        <v>1</v>
      </c>
      <c r="D83" s="104"/>
      <c r="E83" s="105">
        <f t="shared" si="1"/>
        <v>0</v>
      </c>
      <c r="F83" s="198"/>
      <c r="I83" s="117" t="s">
        <v>164</v>
      </c>
      <c r="J83" s="118"/>
      <c r="K83" s="119">
        <f>K82*L22</f>
        <v>8.4051239999999989</v>
      </c>
      <c r="L83" s="106"/>
    </row>
    <row r="84" spans="1:13" ht="15" customHeight="1">
      <c r="A84" s="5" t="s">
        <v>26</v>
      </c>
      <c r="B84" s="35">
        <v>0</v>
      </c>
      <c r="C84" s="104">
        <v>1</v>
      </c>
      <c r="D84" s="104"/>
      <c r="E84" s="105">
        <f t="shared" si="1"/>
        <v>0</v>
      </c>
      <c r="F84" s="198"/>
      <c r="I84" s="112" t="s">
        <v>165</v>
      </c>
      <c r="J84" s="113"/>
      <c r="K84" s="119">
        <f>K83+K82</f>
        <v>848.91752399999996</v>
      </c>
      <c r="L84" s="106"/>
    </row>
    <row r="85" spans="1:13" ht="15" customHeight="1">
      <c r="A85" s="5" t="s">
        <v>28</v>
      </c>
      <c r="B85" s="35">
        <v>0</v>
      </c>
      <c r="C85" s="104">
        <v>1</v>
      </c>
      <c r="D85" s="104"/>
      <c r="E85" s="105">
        <f t="shared" si="1"/>
        <v>0</v>
      </c>
      <c r="F85" s="198"/>
      <c r="I85" s="132"/>
      <c r="J85" s="115"/>
      <c r="K85" s="115"/>
      <c r="L85" s="116"/>
    </row>
    <row r="86" spans="1:13" ht="15" customHeight="1">
      <c r="A86" s="24" t="s">
        <v>129</v>
      </c>
      <c r="B86" s="166">
        <f>SUM(E58:F85)</f>
        <v>120.15111111111111</v>
      </c>
      <c r="C86" s="167"/>
      <c r="D86" s="167"/>
      <c r="E86" s="167"/>
      <c r="F86" s="125"/>
      <c r="I86" s="128" t="s">
        <v>136</v>
      </c>
      <c r="J86" s="129"/>
      <c r="K86" s="164">
        <f>SUM(K84,K77,K63,K64,K75)</f>
        <v>47293.917524000004</v>
      </c>
      <c r="L86" s="165"/>
    </row>
    <row r="87" spans="1:13" ht="15" customHeight="1">
      <c r="A87" s="24" t="s">
        <v>130</v>
      </c>
      <c r="B87" s="166">
        <f>B86/$D$27</f>
        <v>30.037777777777777</v>
      </c>
      <c r="C87" s="167"/>
      <c r="D87" s="167"/>
      <c r="E87" s="167"/>
      <c r="F87" s="125"/>
      <c r="I87" s="126" t="s">
        <v>134</v>
      </c>
      <c r="J87" s="127"/>
      <c r="K87" s="124">
        <f>K86/12</f>
        <v>3941.1597936666672</v>
      </c>
      <c r="L87" s="125"/>
    </row>
    <row r="88" spans="1:13" ht="15" customHeight="1">
      <c r="A88" s="24" t="s">
        <v>131</v>
      </c>
      <c r="B88" s="166">
        <f>B87*$E$31</f>
        <v>240.30222222222221</v>
      </c>
      <c r="C88" s="167"/>
      <c r="D88" s="167"/>
      <c r="E88" s="167"/>
      <c r="F88" s="125"/>
      <c r="I88" s="126" t="s">
        <v>135</v>
      </c>
      <c r="J88" s="127"/>
      <c r="K88" s="124">
        <f>K87/D27</f>
        <v>985.28994841666679</v>
      </c>
      <c r="L88" s="125"/>
    </row>
    <row r="89" spans="1:13" ht="15" customHeight="1">
      <c r="C89" s="2"/>
      <c r="D89" s="2"/>
      <c r="E89" s="2"/>
    </row>
    <row r="90" spans="1:13" ht="15" customHeight="1">
      <c r="A90" s="16"/>
      <c r="C90" s="2"/>
      <c r="D90" s="2"/>
      <c r="E90" s="2"/>
    </row>
    <row r="91" spans="1:13" ht="15" customHeight="1">
      <c r="A91" s="26" t="s">
        <v>86</v>
      </c>
      <c r="B91" s="27" t="s">
        <v>0</v>
      </c>
      <c r="C91" s="238" t="s">
        <v>76</v>
      </c>
      <c r="D91" s="238"/>
      <c r="E91" s="100" t="s">
        <v>75</v>
      </c>
      <c r="F91" s="101"/>
    </row>
    <row r="92" spans="1:13" ht="15" customHeight="1">
      <c r="A92" s="14" t="s">
        <v>87</v>
      </c>
      <c r="B92" s="35">
        <v>400</v>
      </c>
      <c r="C92" s="104">
        <v>1</v>
      </c>
      <c r="D92" s="104"/>
      <c r="E92" s="105">
        <f>B92*C92</f>
        <v>400</v>
      </c>
      <c r="F92" s="106"/>
    </row>
    <row r="93" spans="1:13" ht="15" customHeight="1">
      <c r="A93" s="14" t="s">
        <v>91</v>
      </c>
      <c r="B93" s="35">
        <v>10</v>
      </c>
      <c r="C93" s="104">
        <f>3*4</f>
        <v>12</v>
      </c>
      <c r="D93" s="104"/>
      <c r="E93" s="105">
        <f>B93*C93</f>
        <v>120</v>
      </c>
      <c r="F93" s="106"/>
    </row>
    <row r="94" spans="1:13" ht="15" customHeight="1">
      <c r="A94" s="169"/>
      <c r="B94" s="170"/>
      <c r="C94" s="170"/>
      <c r="D94" s="170"/>
      <c r="E94" s="170"/>
      <c r="F94" s="171"/>
      <c r="M94"/>
    </row>
    <row r="95" spans="1:13" ht="15" customHeight="1">
      <c r="A95" s="14" t="s">
        <v>104</v>
      </c>
      <c r="B95" s="35">
        <v>29.95</v>
      </c>
      <c r="C95" s="104">
        <v>1</v>
      </c>
      <c r="D95" s="104"/>
      <c r="E95" s="105">
        <f>B95*C95</f>
        <v>29.95</v>
      </c>
      <c r="F95" s="106"/>
    </row>
    <row r="96" spans="1:13" ht="15" customHeight="1">
      <c r="A96" s="14" t="s">
        <v>103</v>
      </c>
      <c r="B96" s="35">
        <v>25.9</v>
      </c>
      <c r="C96" s="104">
        <v>1</v>
      </c>
      <c r="D96" s="104"/>
      <c r="E96" s="105">
        <f>B96*C96</f>
        <v>25.9</v>
      </c>
      <c r="F96" s="106"/>
    </row>
    <row r="97" spans="1:12" ht="15" customHeight="1">
      <c r="A97" s="14" t="s">
        <v>105</v>
      </c>
      <c r="B97" s="35">
        <v>34.9</v>
      </c>
      <c r="C97" s="104">
        <v>1</v>
      </c>
      <c r="D97" s="104"/>
      <c r="E97" s="105">
        <f>B97*C97</f>
        <v>34.9</v>
      </c>
      <c r="F97" s="106"/>
    </row>
    <row r="98" spans="1:12" ht="15" customHeight="1">
      <c r="A98" s="137"/>
      <c r="B98" s="138"/>
      <c r="C98" s="138"/>
      <c r="D98" s="138"/>
      <c r="E98" s="138"/>
      <c r="F98" s="139"/>
    </row>
    <row r="99" spans="1:12" ht="15" customHeight="1">
      <c r="A99" s="14" t="s">
        <v>110</v>
      </c>
      <c r="B99" s="35">
        <v>62.24</v>
      </c>
      <c r="C99" s="104">
        <v>1</v>
      </c>
      <c r="D99" s="104"/>
      <c r="E99" s="105">
        <f t="shared" ref="E99:E104" si="2">B99*C99</f>
        <v>62.24</v>
      </c>
      <c r="F99" s="106"/>
    </row>
    <row r="100" spans="1:12" ht="15" customHeight="1">
      <c r="A100" s="14" t="s">
        <v>109</v>
      </c>
      <c r="B100" s="35">
        <v>35</v>
      </c>
      <c r="C100" s="104">
        <f>1/12</f>
        <v>8.3333333333333329E-2</v>
      </c>
      <c r="D100" s="104"/>
      <c r="E100" s="105">
        <f t="shared" si="2"/>
        <v>2.9166666666666665</v>
      </c>
      <c r="F100" s="106"/>
      <c r="H100" s="51"/>
      <c r="I100" s="49"/>
      <c r="J100" s="49"/>
      <c r="K100" s="25"/>
      <c r="L100" s="50"/>
    </row>
    <row r="101" spans="1:12" ht="15" customHeight="1">
      <c r="A101" s="14" t="s">
        <v>108</v>
      </c>
      <c r="B101" s="35">
        <f>5+(22%*5)</f>
        <v>6.1</v>
      </c>
      <c r="C101" s="104">
        <v>8.3333333333333329E-2</v>
      </c>
      <c r="D101" s="104"/>
      <c r="E101" s="105">
        <f t="shared" si="2"/>
        <v>0.5083333333333333</v>
      </c>
      <c r="F101" s="106"/>
      <c r="H101" s="51"/>
      <c r="I101" s="48"/>
      <c r="J101" s="49"/>
      <c r="K101" s="25"/>
      <c r="L101" s="50"/>
    </row>
    <row r="102" spans="1:12" ht="15" customHeight="1">
      <c r="A102" s="15" t="s">
        <v>107</v>
      </c>
      <c r="B102" s="35">
        <f>25+(22%*25)</f>
        <v>30.5</v>
      </c>
      <c r="C102" s="104">
        <v>8.3333333333333329E-2</v>
      </c>
      <c r="D102" s="104"/>
      <c r="E102" s="105">
        <f t="shared" si="2"/>
        <v>2.5416666666666665</v>
      </c>
      <c r="F102" s="106"/>
      <c r="H102" s="51"/>
      <c r="I102" s="49"/>
      <c r="J102" s="49"/>
      <c r="K102" s="25"/>
      <c r="L102" s="50"/>
    </row>
    <row r="103" spans="1:12" ht="15" customHeight="1">
      <c r="A103" s="22" t="s">
        <v>106</v>
      </c>
      <c r="B103" s="56">
        <f>25+(22%*25)</f>
        <v>30.5</v>
      </c>
      <c r="C103" s="168">
        <v>8.3333333333333329E-2</v>
      </c>
      <c r="D103" s="168"/>
      <c r="E103" s="110">
        <f t="shared" si="2"/>
        <v>2.5416666666666665</v>
      </c>
      <c r="F103" s="111"/>
      <c r="H103" s="51"/>
      <c r="I103" s="17"/>
      <c r="J103" s="17"/>
      <c r="K103" s="17"/>
      <c r="L103" s="52"/>
    </row>
    <row r="104" spans="1:12" ht="15" customHeight="1">
      <c r="A104" s="57" t="s">
        <v>151</v>
      </c>
      <c r="B104" s="35">
        <v>200</v>
      </c>
      <c r="C104" s="104">
        <f>1/12</f>
        <v>8.3333333333333329E-2</v>
      </c>
      <c r="D104" s="104"/>
      <c r="E104" s="105">
        <f t="shared" si="2"/>
        <v>16.666666666666664</v>
      </c>
      <c r="F104" s="106"/>
    </row>
    <row r="105" spans="1:12" ht="15" customHeight="1">
      <c r="A105" s="24" t="s">
        <v>129</v>
      </c>
      <c r="B105" s="166">
        <f>SUM(E92:F93,E95:F97,E99:F104)</f>
        <v>698.16499999999985</v>
      </c>
      <c r="C105" s="167"/>
      <c r="D105" s="167"/>
      <c r="E105" s="167"/>
      <c r="F105" s="125"/>
    </row>
    <row r="106" spans="1:12" ht="15" customHeight="1">
      <c r="A106" s="24" t="s">
        <v>130</v>
      </c>
      <c r="B106" s="166">
        <f>B105/$D$27</f>
        <v>174.54124999999996</v>
      </c>
      <c r="C106" s="167"/>
      <c r="D106" s="167"/>
      <c r="E106" s="167"/>
      <c r="F106" s="125"/>
    </row>
    <row r="107" spans="1:12" ht="15" customHeight="1">
      <c r="A107" s="24" t="s">
        <v>131</v>
      </c>
      <c r="B107" s="166">
        <f>B106*$E$31</f>
        <v>1396.3299999999997</v>
      </c>
      <c r="C107" s="167"/>
      <c r="D107" s="167"/>
      <c r="E107" s="167"/>
      <c r="F107" s="125"/>
    </row>
    <row r="108" spans="1:12" ht="15" customHeight="1">
      <c r="C108" s="2"/>
      <c r="D108" s="2"/>
      <c r="E108" s="2"/>
    </row>
    <row r="109" spans="1:12" ht="15" customHeight="1">
      <c r="A109" s="16"/>
      <c r="C109" s="2"/>
      <c r="D109" s="2"/>
      <c r="E109" s="2"/>
    </row>
    <row r="110" spans="1:12" ht="15" customHeight="1">
      <c r="A110" s="29" t="s">
        <v>74</v>
      </c>
      <c r="B110" s="30" t="s">
        <v>0</v>
      </c>
      <c r="C110" s="232" t="s">
        <v>76</v>
      </c>
      <c r="D110" s="232"/>
      <c r="E110" s="155" t="s">
        <v>75</v>
      </c>
      <c r="F110" s="156"/>
    </row>
    <row r="111" spans="1:12" ht="15" customHeight="1">
      <c r="A111" s="140" t="s">
        <v>77</v>
      </c>
      <c r="B111" s="141"/>
      <c r="C111" s="141"/>
      <c r="D111" s="141"/>
      <c r="E111" s="141"/>
      <c r="F111" s="142"/>
    </row>
    <row r="112" spans="1:12" ht="15" customHeight="1">
      <c r="A112" s="28" t="s">
        <v>83</v>
      </c>
      <c r="B112" s="37">
        <v>3.99</v>
      </c>
      <c r="C112" s="233">
        <v>2</v>
      </c>
      <c r="D112" s="233"/>
      <c r="E112" s="107">
        <f>B112*C112</f>
        <v>7.98</v>
      </c>
      <c r="F112" s="108"/>
    </row>
    <row r="113" spans="1:6" ht="15" customHeight="1">
      <c r="A113" s="14" t="s">
        <v>121</v>
      </c>
      <c r="B113" s="35">
        <v>2.2400000000000002</v>
      </c>
      <c r="C113" s="104">
        <f>1/3</f>
        <v>0.33333333333333331</v>
      </c>
      <c r="D113" s="104"/>
      <c r="E113" s="105">
        <f t="shared" ref="E113:E124" si="3">B113*C113</f>
        <v>0.7466666666666667</v>
      </c>
      <c r="F113" s="106"/>
    </row>
    <row r="114" spans="1:6" ht="15" customHeight="1">
      <c r="A114" s="14" t="s">
        <v>120</v>
      </c>
      <c r="B114" s="35">
        <v>5.29</v>
      </c>
      <c r="C114" s="104">
        <f>1/2</f>
        <v>0.5</v>
      </c>
      <c r="D114" s="104"/>
      <c r="E114" s="105">
        <f t="shared" si="3"/>
        <v>2.645</v>
      </c>
      <c r="F114" s="106"/>
    </row>
    <row r="115" spans="1:6" ht="15" customHeight="1">
      <c r="A115" s="14" t="s">
        <v>119</v>
      </c>
      <c r="B115" s="35">
        <v>1.99</v>
      </c>
      <c r="C115" s="104">
        <f>1/2</f>
        <v>0.5</v>
      </c>
      <c r="D115" s="104"/>
      <c r="E115" s="105">
        <f t="shared" si="3"/>
        <v>0.995</v>
      </c>
      <c r="F115" s="106"/>
    </row>
    <row r="116" spans="1:6" ht="15" customHeight="1">
      <c r="A116" s="14" t="s">
        <v>82</v>
      </c>
      <c r="B116" s="35">
        <v>8.4</v>
      </c>
      <c r="C116" s="104">
        <f>1/2</f>
        <v>0.5</v>
      </c>
      <c r="D116" s="104"/>
      <c r="E116" s="105">
        <f t="shared" si="3"/>
        <v>4.2</v>
      </c>
      <c r="F116" s="106"/>
    </row>
    <row r="117" spans="1:6" ht="15" customHeight="1">
      <c r="A117" s="14" t="s">
        <v>118</v>
      </c>
      <c r="B117" s="35">
        <v>5.62</v>
      </c>
      <c r="C117" s="104">
        <f>1/12</f>
        <v>8.3333333333333329E-2</v>
      </c>
      <c r="D117" s="104"/>
      <c r="E117" s="105">
        <f t="shared" si="3"/>
        <v>0.46833333333333332</v>
      </c>
      <c r="F117" s="106"/>
    </row>
    <row r="118" spans="1:6" ht="15" customHeight="1">
      <c r="A118" s="14" t="s">
        <v>117</v>
      </c>
      <c r="B118" s="35">
        <v>5.99</v>
      </c>
      <c r="C118" s="104">
        <f>1/12</f>
        <v>8.3333333333333329E-2</v>
      </c>
      <c r="D118" s="104"/>
      <c r="E118" s="105">
        <f t="shared" si="3"/>
        <v>0.49916666666666665</v>
      </c>
      <c r="F118" s="106"/>
    </row>
    <row r="119" spans="1:6" ht="15" customHeight="1">
      <c r="A119" s="14" t="s">
        <v>116</v>
      </c>
      <c r="B119" s="35">
        <v>2.99</v>
      </c>
      <c r="C119" s="104">
        <v>1</v>
      </c>
      <c r="D119" s="104"/>
      <c r="E119" s="105">
        <f t="shared" si="3"/>
        <v>2.99</v>
      </c>
      <c r="F119" s="106"/>
    </row>
    <row r="120" spans="1:6" ht="15" customHeight="1">
      <c r="A120" s="14" t="s">
        <v>115</v>
      </c>
      <c r="B120" s="35">
        <v>3.67</v>
      </c>
      <c r="C120" s="104">
        <v>1</v>
      </c>
      <c r="D120" s="104"/>
      <c r="E120" s="105">
        <f t="shared" si="3"/>
        <v>3.67</v>
      </c>
      <c r="F120" s="106"/>
    </row>
    <row r="121" spans="1:6" ht="15" customHeight="1">
      <c r="A121" s="14" t="s">
        <v>114</v>
      </c>
      <c r="B121" s="35">
        <v>2.69</v>
      </c>
      <c r="C121" s="104">
        <f>1/2</f>
        <v>0.5</v>
      </c>
      <c r="D121" s="104"/>
      <c r="E121" s="105">
        <f t="shared" si="3"/>
        <v>1.345</v>
      </c>
      <c r="F121" s="106"/>
    </row>
    <row r="122" spans="1:6" ht="15" customHeight="1">
      <c r="A122" s="14" t="s">
        <v>113</v>
      </c>
      <c r="B122" s="35">
        <v>3.39</v>
      </c>
      <c r="C122" s="104">
        <v>1</v>
      </c>
      <c r="D122" s="104"/>
      <c r="E122" s="105">
        <f t="shared" si="3"/>
        <v>3.39</v>
      </c>
      <c r="F122" s="106"/>
    </row>
    <row r="123" spans="1:6" ht="15" customHeight="1">
      <c r="A123" s="14" t="s">
        <v>112</v>
      </c>
      <c r="B123" s="35">
        <v>3.39</v>
      </c>
      <c r="C123" s="104">
        <f>1/6</f>
        <v>0.16666666666666666</v>
      </c>
      <c r="D123" s="104"/>
      <c r="E123" s="105">
        <f t="shared" si="3"/>
        <v>0.56499999999999995</v>
      </c>
      <c r="F123" s="106"/>
    </row>
    <row r="124" spans="1:6" ht="15" customHeight="1">
      <c r="A124" s="14" t="s">
        <v>111</v>
      </c>
      <c r="B124" s="35">
        <v>3.49</v>
      </c>
      <c r="C124" s="225">
        <f>1/6</f>
        <v>0.16666666666666666</v>
      </c>
      <c r="D124" s="226"/>
      <c r="E124" s="105">
        <f t="shared" si="3"/>
        <v>0.58166666666666667</v>
      </c>
      <c r="F124" s="106"/>
    </row>
    <row r="125" spans="1:6" ht="15" customHeight="1">
      <c r="A125" s="239"/>
      <c r="B125" s="240"/>
      <c r="C125" s="240"/>
      <c r="D125" s="240"/>
      <c r="E125" s="240"/>
      <c r="F125" s="241"/>
    </row>
    <row r="126" spans="1:6" ht="15" customHeight="1">
      <c r="A126" s="140" t="s">
        <v>78</v>
      </c>
      <c r="B126" s="141"/>
      <c r="C126" s="141"/>
      <c r="D126" s="141"/>
      <c r="E126" s="141"/>
      <c r="F126" s="142"/>
    </row>
    <row r="127" spans="1:6" ht="15" customHeight="1">
      <c r="A127" s="28" t="s">
        <v>85</v>
      </c>
      <c r="B127" s="37">
        <v>1.99</v>
      </c>
      <c r="C127" s="233">
        <v>5</v>
      </c>
      <c r="D127" s="233"/>
      <c r="E127" s="107">
        <f>B127*C127</f>
        <v>9.9499999999999993</v>
      </c>
      <c r="F127" s="108"/>
    </row>
    <row r="128" spans="1:6" ht="15" customHeight="1">
      <c r="A128" s="14" t="s">
        <v>84</v>
      </c>
      <c r="B128" s="35">
        <v>2.61</v>
      </c>
      <c r="C128" s="104">
        <v>4</v>
      </c>
      <c r="D128" s="104"/>
      <c r="E128" s="105">
        <f>B128*C128</f>
        <v>10.44</v>
      </c>
      <c r="F128" s="106"/>
    </row>
    <row r="129" spans="1:6" ht="15" customHeight="1">
      <c r="A129" s="14" t="s">
        <v>80</v>
      </c>
      <c r="B129" s="35">
        <v>3.2</v>
      </c>
      <c r="C129" s="104">
        <v>3</v>
      </c>
      <c r="D129" s="104"/>
      <c r="E129" s="105">
        <f>B129*C129</f>
        <v>9.6000000000000014</v>
      </c>
      <c r="F129" s="106"/>
    </row>
    <row r="130" spans="1:6" ht="15" customHeight="1">
      <c r="A130" s="14" t="s">
        <v>79</v>
      </c>
      <c r="B130" s="35">
        <v>30</v>
      </c>
      <c r="C130" s="104">
        <v>1</v>
      </c>
      <c r="D130" s="104"/>
      <c r="E130" s="105">
        <f>B130*C130</f>
        <v>30</v>
      </c>
      <c r="F130" s="106"/>
    </row>
    <row r="131" spans="1:6" ht="15" customHeight="1">
      <c r="A131" s="15" t="s">
        <v>81</v>
      </c>
      <c r="B131" s="36">
        <v>0.8</v>
      </c>
      <c r="C131" s="168">
        <v>3</v>
      </c>
      <c r="D131" s="168"/>
      <c r="E131" s="110">
        <f>B131*C131</f>
        <v>2.4000000000000004</v>
      </c>
      <c r="F131" s="111"/>
    </row>
    <row r="132" spans="1:6" ht="15" customHeight="1">
      <c r="A132" s="22" t="s">
        <v>122</v>
      </c>
      <c r="B132" s="38">
        <v>0.13</v>
      </c>
      <c r="C132" s="104">
        <f>1.5*3*29</f>
        <v>130.5</v>
      </c>
      <c r="D132" s="104"/>
      <c r="E132" s="109">
        <f>C132*B132</f>
        <v>16.965</v>
      </c>
      <c r="F132" s="109"/>
    </row>
    <row r="133" spans="1:6" ht="15" customHeight="1">
      <c r="A133" s="169"/>
      <c r="B133" s="170"/>
      <c r="C133" s="170"/>
      <c r="D133" s="170"/>
      <c r="E133" s="170"/>
      <c r="F133" s="171"/>
    </row>
    <row r="134" spans="1:6" ht="15" customHeight="1">
      <c r="A134" s="140" t="s">
        <v>88</v>
      </c>
      <c r="B134" s="141"/>
      <c r="C134" s="141"/>
      <c r="D134" s="141"/>
      <c r="E134" s="141"/>
      <c r="F134" s="142"/>
    </row>
    <row r="135" spans="1:6" ht="15" customHeight="1">
      <c r="A135" s="28" t="s">
        <v>123</v>
      </c>
      <c r="B135" s="37">
        <v>1.05</v>
      </c>
      <c r="C135" s="233">
        <v>1</v>
      </c>
      <c r="D135" s="233"/>
      <c r="E135" s="107">
        <f>B135*C135</f>
        <v>1.05</v>
      </c>
      <c r="F135" s="108"/>
    </row>
    <row r="136" spans="1:6" ht="15" customHeight="1">
      <c r="A136" s="14" t="s">
        <v>124</v>
      </c>
      <c r="B136" s="35">
        <v>1.25</v>
      </c>
      <c r="C136" s="104">
        <f>1/1.5</f>
        <v>0.66666666666666663</v>
      </c>
      <c r="D136" s="104"/>
      <c r="E136" s="105">
        <f t="shared" ref="E136:E141" si="4">B136*C136</f>
        <v>0.83333333333333326</v>
      </c>
      <c r="F136" s="106"/>
    </row>
    <row r="137" spans="1:6" ht="15" customHeight="1">
      <c r="A137" s="14" t="s">
        <v>125</v>
      </c>
      <c r="B137" s="35">
        <v>1.59</v>
      </c>
      <c r="C137" s="104">
        <f>1/2</f>
        <v>0.5</v>
      </c>
      <c r="D137" s="104"/>
      <c r="E137" s="105">
        <f t="shared" si="4"/>
        <v>0.79500000000000004</v>
      </c>
      <c r="F137" s="106"/>
    </row>
    <row r="138" spans="1:6" ht="15" customHeight="1">
      <c r="A138" s="14" t="s">
        <v>126</v>
      </c>
      <c r="B138" s="35">
        <v>0.79</v>
      </c>
      <c r="C138" s="104">
        <f>1/6</f>
        <v>0.16666666666666666</v>
      </c>
      <c r="D138" s="104"/>
      <c r="E138" s="105">
        <f t="shared" si="4"/>
        <v>0.13166666666666665</v>
      </c>
      <c r="F138" s="106"/>
    </row>
    <row r="139" spans="1:6" ht="15" customHeight="1">
      <c r="A139" s="14" t="s">
        <v>89</v>
      </c>
      <c r="B139" s="35">
        <v>4.0999999999999996</v>
      </c>
      <c r="C139" s="104">
        <f>1/6</f>
        <v>0.16666666666666666</v>
      </c>
      <c r="D139" s="104"/>
      <c r="E139" s="105">
        <f t="shared" si="4"/>
        <v>0.68333333333333324</v>
      </c>
      <c r="F139" s="106"/>
    </row>
    <row r="140" spans="1:6" ht="15" customHeight="1">
      <c r="A140" s="14" t="s">
        <v>90</v>
      </c>
      <c r="B140" s="35">
        <v>4.3899999999999997</v>
      </c>
      <c r="C140" s="104">
        <f>1/12</f>
        <v>8.3333333333333329E-2</v>
      </c>
      <c r="D140" s="104"/>
      <c r="E140" s="105">
        <f t="shared" si="4"/>
        <v>0.36583333333333329</v>
      </c>
      <c r="F140" s="106"/>
    </row>
    <row r="141" spans="1:6" ht="15" customHeight="1">
      <c r="A141" s="14" t="s">
        <v>92</v>
      </c>
      <c r="B141" s="35">
        <v>0.99</v>
      </c>
      <c r="C141" s="104">
        <v>3</v>
      </c>
      <c r="D141" s="104"/>
      <c r="E141" s="105">
        <f t="shared" si="4"/>
        <v>2.9699999999999998</v>
      </c>
      <c r="F141" s="106"/>
    </row>
    <row r="142" spans="1:6" ht="15" customHeight="1">
      <c r="A142" s="24" t="s">
        <v>129</v>
      </c>
      <c r="B142" s="166">
        <f>SUM(E135:F141,E127:F132,E112:F124)</f>
        <v>116.26</v>
      </c>
      <c r="C142" s="167"/>
      <c r="D142" s="167"/>
      <c r="E142" s="167"/>
      <c r="F142" s="125"/>
    </row>
    <row r="143" spans="1:6" ht="15" customHeight="1">
      <c r="A143" s="24" t="s">
        <v>130</v>
      </c>
      <c r="B143" s="166">
        <f>B142/$D$27</f>
        <v>29.065000000000001</v>
      </c>
      <c r="C143" s="167"/>
      <c r="D143" s="167"/>
      <c r="E143" s="167"/>
      <c r="F143" s="125"/>
    </row>
    <row r="144" spans="1:6" ht="15" customHeight="1">
      <c r="A144" s="24" t="s">
        <v>131</v>
      </c>
      <c r="B144" s="166">
        <f>B143*$E$31</f>
        <v>232.52</v>
      </c>
      <c r="C144" s="167"/>
      <c r="D144" s="167"/>
      <c r="E144" s="167"/>
      <c r="F144" s="125"/>
    </row>
    <row r="147" spans="1:6" ht="15" customHeight="1">
      <c r="A147" s="20" t="s">
        <v>186</v>
      </c>
      <c r="B147" s="7"/>
      <c r="F147" s="7"/>
    </row>
    <row r="148" spans="1:6" ht="15" customHeight="1">
      <c r="A148" s="16" t="s">
        <v>210</v>
      </c>
      <c r="B148" s="7"/>
      <c r="F148" s="7"/>
    </row>
    <row r="149" spans="1:6" ht="15" customHeight="1">
      <c r="A149" s="20" t="s">
        <v>185</v>
      </c>
    </row>
    <row r="150" spans="1:6" ht="15" customHeight="1">
      <c r="A150" s="53" t="s">
        <v>166</v>
      </c>
      <c r="B150" s="55" t="s">
        <v>178</v>
      </c>
      <c r="C150" s="99" t="s">
        <v>183</v>
      </c>
      <c r="D150" s="100"/>
      <c r="E150" s="101"/>
      <c r="F150" s="54" t="s">
        <v>182</v>
      </c>
    </row>
    <row r="151" spans="1:6" ht="15" customHeight="1">
      <c r="A151" s="90" t="s">
        <v>176</v>
      </c>
      <c r="B151" s="94">
        <f>6</f>
        <v>6</v>
      </c>
      <c r="C151" s="102">
        <f>B151*'Tabella ORE'!J4</f>
        <v>1.0525059665871122</v>
      </c>
      <c r="D151" s="102"/>
      <c r="E151" s="102"/>
      <c r="F151" s="38">
        <f>$K$87*C151</f>
        <v>4148.0941981073993</v>
      </c>
    </row>
    <row r="152" spans="1:6" ht="15" customHeight="1">
      <c r="A152" s="91" t="s">
        <v>174</v>
      </c>
      <c r="B152" s="94">
        <v>6</v>
      </c>
      <c r="C152" s="102">
        <f>B152*'Tabella ORE'!J4</f>
        <v>1.0525059665871122</v>
      </c>
      <c r="D152" s="102"/>
      <c r="E152" s="102"/>
      <c r="F152" s="96">
        <f t="shared" ref="F152:F153" si="5">$K$87*C152</f>
        <v>4148.0941981073993</v>
      </c>
    </row>
    <row r="153" spans="1:6" ht="15" customHeight="1">
      <c r="A153" s="92" t="s">
        <v>175</v>
      </c>
      <c r="B153" s="94">
        <v>6</v>
      </c>
      <c r="C153" s="102">
        <f>B153*'Tabella ORE'!J4</f>
        <v>1.0525059665871122</v>
      </c>
      <c r="D153" s="102"/>
      <c r="E153" s="102"/>
      <c r="F153" s="96">
        <f t="shared" si="5"/>
        <v>4148.0941981073993</v>
      </c>
    </row>
    <row r="154" spans="1:6" ht="15" customHeight="1">
      <c r="A154" s="93" t="s">
        <v>177</v>
      </c>
      <c r="B154" s="103">
        <f>SUM(F151:F153)</f>
        <v>12444.282594322198</v>
      </c>
      <c r="C154" s="103"/>
      <c r="D154" s="103"/>
      <c r="E154" s="103"/>
      <c r="F154" s="103"/>
    </row>
    <row r="155" spans="1:6" ht="15" customHeight="1">
      <c r="A155" s="93" t="s">
        <v>211</v>
      </c>
      <c r="B155" s="103">
        <f>B154/3</f>
        <v>4148.0941981073993</v>
      </c>
      <c r="C155" s="103"/>
      <c r="D155" s="103"/>
      <c r="E155" s="103"/>
      <c r="F155" s="103"/>
    </row>
    <row r="156" spans="1:6" ht="15" customHeight="1">
      <c r="A156" s="93" t="s">
        <v>212</v>
      </c>
      <c r="B156" s="103">
        <f>B155/D27</f>
        <v>1037.0235495268498</v>
      </c>
      <c r="C156" s="103"/>
      <c r="D156" s="103"/>
      <c r="E156" s="103"/>
      <c r="F156" s="103"/>
    </row>
    <row r="157" spans="1:6" ht="15" customHeight="1">
      <c r="A157" s="16"/>
    </row>
    <row r="159" spans="1:6" ht="15" customHeight="1">
      <c r="A159" s="20" t="s">
        <v>220</v>
      </c>
    </row>
    <row r="160" spans="1:6" ht="15" customHeight="1">
      <c r="A160" s="20" t="s">
        <v>213</v>
      </c>
    </row>
    <row r="161" spans="1:5" ht="15" customHeight="1">
      <c r="A161" s="20"/>
    </row>
    <row r="162" spans="1:5" ht="15" customHeight="1">
      <c r="A162" s="99" t="s">
        <v>193</v>
      </c>
      <c r="B162" s="100"/>
      <c r="C162" s="100"/>
      <c r="D162" s="101"/>
    </row>
    <row r="163" spans="1:5" ht="30.75" customHeight="1">
      <c r="A163" s="178" t="s">
        <v>214</v>
      </c>
      <c r="B163" s="179"/>
      <c r="C163" s="161">
        <f>K88*3*'Tabella ORE'!J5</f>
        <v>2437.3580704865753</v>
      </c>
      <c r="D163" s="162"/>
    </row>
    <row r="164" spans="1:5" ht="15" customHeight="1">
      <c r="A164" s="188" t="s">
        <v>184</v>
      </c>
      <c r="B164" s="189"/>
      <c r="C164" s="109">
        <f>B156</f>
        <v>1037.0235495268498</v>
      </c>
      <c r="D164" s="109"/>
    </row>
    <row r="165" spans="1:5" ht="15" customHeight="1">
      <c r="A165" s="176" t="s">
        <v>132</v>
      </c>
      <c r="B165" s="177"/>
      <c r="C165" s="163">
        <f>B87+B51+B106+B143</f>
        <v>243.80867807539678</v>
      </c>
      <c r="D165" s="108"/>
    </row>
    <row r="166" spans="1:5" ht="15" customHeight="1">
      <c r="A166" s="172" t="s">
        <v>215</v>
      </c>
      <c r="B166" s="173"/>
      <c r="C166" s="159">
        <f>SUM(C163:D165)</f>
        <v>3718.1902980888221</v>
      </c>
      <c r="D166" s="160"/>
    </row>
    <row r="167" spans="1:5" ht="15" customHeight="1">
      <c r="A167" s="184" t="s">
        <v>216</v>
      </c>
      <c r="B167" s="185"/>
      <c r="C167" s="186">
        <f>E31</f>
        <v>8</v>
      </c>
      <c r="D167" s="187"/>
    </row>
    <row r="168" spans="1:5" ht="15" customHeight="1" thickBot="1">
      <c r="A168" s="190"/>
      <c r="B168" s="191"/>
      <c r="C168" s="192"/>
      <c r="D168" s="193"/>
    </row>
    <row r="169" spans="1:5" ht="15" customHeight="1" thickTop="1">
      <c r="A169" s="174" t="s">
        <v>192</v>
      </c>
      <c r="B169" s="175"/>
      <c r="C169" s="159">
        <f>C166*C167</f>
        <v>29745.522384710577</v>
      </c>
      <c r="D169" s="160"/>
    </row>
    <row r="170" spans="1:5" ht="15" customHeight="1">
      <c r="A170" s="180" t="s">
        <v>138</v>
      </c>
      <c r="B170" s="181"/>
      <c r="C170" s="182">
        <v>0.22</v>
      </c>
      <c r="D170" s="183">
        <v>0.22</v>
      </c>
    </row>
    <row r="171" spans="1:5" ht="15" customHeight="1" thickBot="1">
      <c r="A171" s="194" t="s">
        <v>137</v>
      </c>
      <c r="B171" s="195"/>
      <c r="C171" s="196">
        <f>C169*C170</f>
        <v>6544.0149246363271</v>
      </c>
      <c r="D171" s="197"/>
    </row>
    <row r="172" spans="1:5" ht="15" customHeight="1" thickTop="1">
      <c r="A172" s="157" t="s">
        <v>187</v>
      </c>
      <c r="B172" s="158"/>
      <c r="C172" s="159">
        <f>C169+C171</f>
        <v>36289.537309346902</v>
      </c>
      <c r="D172" s="160"/>
    </row>
    <row r="173" spans="1:5" ht="15" customHeight="1">
      <c r="A173" s="95"/>
    </row>
    <row r="174" spans="1:5" ht="15" customHeight="1">
      <c r="A174" t="s">
        <v>191</v>
      </c>
      <c r="C174" s="182">
        <v>0.1</v>
      </c>
      <c r="D174" s="183"/>
    </row>
    <row r="175" spans="1:5" ht="15" customHeight="1">
      <c r="A175" t="s">
        <v>190</v>
      </c>
    </row>
    <row r="176" spans="1:5" ht="15" customHeight="1">
      <c r="C176" s="2"/>
      <c r="D176" s="2"/>
      <c r="E176" s="2"/>
    </row>
    <row r="177" spans="1:4" ht="15" customHeight="1">
      <c r="A177" s="99" t="s">
        <v>188</v>
      </c>
      <c r="B177" s="100"/>
      <c r="C177" s="100"/>
      <c r="D177" s="101"/>
    </row>
    <row r="178" spans="1:4" ht="15" customHeight="1">
      <c r="A178" s="180" t="s">
        <v>196</v>
      </c>
      <c r="B178" s="181"/>
      <c r="C178" s="163">
        <f>C169*C174</f>
        <v>2974.552238471058</v>
      </c>
      <c r="D178" s="108">
        <v>200</v>
      </c>
    </row>
    <row r="179" spans="1:4" ht="15" customHeight="1">
      <c r="A179" s="180" t="s">
        <v>138</v>
      </c>
      <c r="B179" s="181"/>
      <c r="C179" s="182">
        <v>0.22</v>
      </c>
      <c r="D179" s="183">
        <v>0.22</v>
      </c>
    </row>
    <row r="180" spans="1:4" ht="15" customHeight="1" thickBot="1">
      <c r="A180" s="194" t="s">
        <v>137</v>
      </c>
      <c r="B180" s="195"/>
      <c r="C180" s="196">
        <f>C179*C178</f>
        <v>654.40149246363274</v>
      </c>
      <c r="D180" s="197"/>
    </row>
    <row r="181" spans="1:4" ht="15" customHeight="1" thickTop="1">
      <c r="A181" s="157" t="s">
        <v>194</v>
      </c>
      <c r="B181" s="158"/>
      <c r="C181" s="159">
        <f>C180+C178</f>
        <v>3628.9537309346906</v>
      </c>
      <c r="D181" s="160"/>
    </row>
    <row r="183" spans="1:4" ht="15" customHeight="1">
      <c r="A183" t="s">
        <v>189</v>
      </c>
    </row>
    <row r="184" spans="1:4" ht="15" customHeight="1">
      <c r="A184" t="s">
        <v>195</v>
      </c>
    </row>
  </sheetData>
  <sortState ref="I95:K122">
    <sortCondition ref="J2:J29"/>
  </sortState>
  <mergeCells count="318">
    <mergeCell ref="C174:D174"/>
    <mergeCell ref="A179:B179"/>
    <mergeCell ref="C179:D179"/>
    <mergeCell ref="A180:B180"/>
    <mergeCell ref="C180:D180"/>
    <mergeCell ref="A181:B181"/>
    <mergeCell ref="C181:D181"/>
    <mergeCell ref="A177:D177"/>
    <mergeCell ref="A178:B178"/>
    <mergeCell ref="C178:D178"/>
    <mergeCell ref="A9:E9"/>
    <mergeCell ref="A10:E10"/>
    <mergeCell ref="A26:E26"/>
    <mergeCell ref="A15:E15"/>
    <mergeCell ref="A34:F34"/>
    <mergeCell ref="E92:F92"/>
    <mergeCell ref="E139:F139"/>
    <mergeCell ref="C41:D42"/>
    <mergeCell ref="C95:D95"/>
    <mergeCell ref="E95:F95"/>
    <mergeCell ref="C96:D96"/>
    <mergeCell ref="E96:F96"/>
    <mergeCell ref="C97:D97"/>
    <mergeCell ref="E97:F97"/>
    <mergeCell ref="C101:D101"/>
    <mergeCell ref="E101:F101"/>
    <mergeCell ref="C102:D102"/>
    <mergeCell ref="C135:D135"/>
    <mergeCell ref="A133:F133"/>
    <mergeCell ref="C120:D120"/>
    <mergeCell ref="E120:F120"/>
    <mergeCell ref="C122:D122"/>
    <mergeCell ref="E122:F122"/>
    <mergeCell ref="E124:F124"/>
    <mergeCell ref="E140:F140"/>
    <mergeCell ref="E141:F141"/>
    <mergeCell ref="A18:C18"/>
    <mergeCell ref="A17:C17"/>
    <mergeCell ref="C121:D121"/>
    <mergeCell ref="C110:D110"/>
    <mergeCell ref="C112:D112"/>
    <mergeCell ref="C113:D113"/>
    <mergeCell ref="C127:D127"/>
    <mergeCell ref="C128:D128"/>
    <mergeCell ref="A20:C20"/>
    <mergeCell ref="A41:A42"/>
    <mergeCell ref="B41:B42"/>
    <mergeCell ref="C48:D48"/>
    <mergeCell ref="C49:D49"/>
    <mergeCell ref="C91:D91"/>
    <mergeCell ref="C114:D114"/>
    <mergeCell ref="C115:D115"/>
    <mergeCell ref="C116:D116"/>
    <mergeCell ref="C117:D117"/>
    <mergeCell ref="C140:D140"/>
    <mergeCell ref="C118:D118"/>
    <mergeCell ref="A125:F125"/>
    <mergeCell ref="E121:F121"/>
    <mergeCell ref="B56:B57"/>
    <mergeCell ref="A56:A57"/>
    <mergeCell ref="C58:D58"/>
    <mergeCell ref="C59:D59"/>
    <mergeCell ref="E59:F59"/>
    <mergeCell ref="C60:D60"/>
    <mergeCell ref="E60:F60"/>
    <mergeCell ref="A22:C22"/>
    <mergeCell ref="A31:B31"/>
    <mergeCell ref="A30:B30"/>
    <mergeCell ref="A33:B33"/>
    <mergeCell ref="A38:B38"/>
    <mergeCell ref="C45:D45"/>
    <mergeCell ref="E45:F45"/>
    <mergeCell ref="C46:D46"/>
    <mergeCell ref="E46:F46"/>
    <mergeCell ref="C47:D47"/>
    <mergeCell ref="E47:F47"/>
    <mergeCell ref="E137:F137"/>
    <mergeCell ref="C138:D138"/>
    <mergeCell ref="E138:F138"/>
    <mergeCell ref="C130:D130"/>
    <mergeCell ref="C131:D131"/>
    <mergeCell ref="C100:D100"/>
    <mergeCell ref="E41:F42"/>
    <mergeCell ref="E48:F48"/>
    <mergeCell ref="E49:F49"/>
    <mergeCell ref="E118:F118"/>
    <mergeCell ref="E117:F117"/>
    <mergeCell ref="E116:F116"/>
    <mergeCell ref="E115:F115"/>
    <mergeCell ref="E114:F114"/>
    <mergeCell ref="E113:F113"/>
    <mergeCell ref="E102:F102"/>
    <mergeCell ref="C136:D136"/>
    <mergeCell ref="C124:D124"/>
    <mergeCell ref="C43:D43"/>
    <mergeCell ref="E43:F43"/>
    <mergeCell ref="C44:D44"/>
    <mergeCell ref="E44:F44"/>
    <mergeCell ref="C61:D61"/>
    <mergeCell ref="I4:L4"/>
    <mergeCell ref="I5:L5"/>
    <mergeCell ref="I16:L16"/>
    <mergeCell ref="A37:B37"/>
    <mergeCell ref="A36:B36"/>
    <mergeCell ref="A35:B35"/>
    <mergeCell ref="A32:B32"/>
    <mergeCell ref="A19:C19"/>
    <mergeCell ref="I23:J23"/>
    <mergeCell ref="I24:J24"/>
    <mergeCell ref="J9:K9"/>
    <mergeCell ref="J8:K8"/>
    <mergeCell ref="J7:K7"/>
    <mergeCell ref="J6:K6"/>
    <mergeCell ref="A25:C25"/>
    <mergeCell ref="A23:C23"/>
    <mergeCell ref="A24:C24"/>
    <mergeCell ref="A16:C16"/>
    <mergeCell ref="A14:C14"/>
    <mergeCell ref="A13:C13"/>
    <mergeCell ref="A12:C12"/>
    <mergeCell ref="A11:C11"/>
    <mergeCell ref="A27:C27"/>
    <mergeCell ref="A21:C21"/>
    <mergeCell ref="E61:F61"/>
    <mergeCell ref="C56:D57"/>
    <mergeCell ref="C62:D62"/>
    <mergeCell ref="E62:F62"/>
    <mergeCell ref="C63:D63"/>
    <mergeCell ref="E63:F63"/>
    <mergeCell ref="C66:D66"/>
    <mergeCell ref="C67:D67"/>
    <mergeCell ref="C68:D68"/>
    <mergeCell ref="E56:F57"/>
    <mergeCell ref="C69:D69"/>
    <mergeCell ref="C70:D70"/>
    <mergeCell ref="C64:D64"/>
    <mergeCell ref="E64:F64"/>
    <mergeCell ref="C65:D65"/>
    <mergeCell ref="E65:F65"/>
    <mergeCell ref="C72:D72"/>
    <mergeCell ref="C73:D73"/>
    <mergeCell ref="E73:F73"/>
    <mergeCell ref="C74:D74"/>
    <mergeCell ref="E74:F74"/>
    <mergeCell ref="E75:F75"/>
    <mergeCell ref="E85:F85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E76:F76"/>
    <mergeCell ref="E77:F77"/>
    <mergeCell ref="E78:F78"/>
    <mergeCell ref="E79:F79"/>
    <mergeCell ref="E80:F80"/>
    <mergeCell ref="E81:F81"/>
    <mergeCell ref="E82:F82"/>
    <mergeCell ref="E83:F83"/>
    <mergeCell ref="E84:F84"/>
    <mergeCell ref="A171:B171"/>
    <mergeCell ref="C171:D171"/>
    <mergeCell ref="B50:F50"/>
    <mergeCell ref="B142:F142"/>
    <mergeCell ref="B86:F86"/>
    <mergeCell ref="B87:F87"/>
    <mergeCell ref="B88:F88"/>
    <mergeCell ref="B51:F51"/>
    <mergeCell ref="B52:F52"/>
    <mergeCell ref="B106:F106"/>
    <mergeCell ref="B107:F107"/>
    <mergeCell ref="B143:F143"/>
    <mergeCell ref="B144:F144"/>
    <mergeCell ref="C84:D84"/>
    <mergeCell ref="C85:D85"/>
    <mergeCell ref="E58:F58"/>
    <mergeCell ref="E66:F66"/>
    <mergeCell ref="E67:F67"/>
    <mergeCell ref="E68:F68"/>
    <mergeCell ref="E69:F69"/>
    <mergeCell ref="E70:F70"/>
    <mergeCell ref="E71:F71"/>
    <mergeCell ref="E72:F72"/>
    <mergeCell ref="C71:D71"/>
    <mergeCell ref="C169:D169"/>
    <mergeCell ref="C166:D166"/>
    <mergeCell ref="A166:B166"/>
    <mergeCell ref="A169:B169"/>
    <mergeCell ref="A165:B165"/>
    <mergeCell ref="A163:B163"/>
    <mergeCell ref="A170:B170"/>
    <mergeCell ref="C170:D170"/>
    <mergeCell ref="A167:B167"/>
    <mergeCell ref="C167:D167"/>
    <mergeCell ref="C164:D164"/>
    <mergeCell ref="A164:B164"/>
    <mergeCell ref="A168:B168"/>
    <mergeCell ref="C168:D168"/>
    <mergeCell ref="E91:F91"/>
    <mergeCell ref="B105:F105"/>
    <mergeCell ref="C99:D99"/>
    <mergeCell ref="C103:D103"/>
    <mergeCell ref="E103:F103"/>
    <mergeCell ref="A94:F94"/>
    <mergeCell ref="E100:F100"/>
    <mergeCell ref="E99:F99"/>
    <mergeCell ref="E93:F93"/>
    <mergeCell ref="C104:D104"/>
    <mergeCell ref="E104:F104"/>
    <mergeCell ref="C92:D92"/>
    <mergeCell ref="C93:D93"/>
    <mergeCell ref="E112:F112"/>
    <mergeCell ref="E110:F110"/>
    <mergeCell ref="A172:B172"/>
    <mergeCell ref="C172:D172"/>
    <mergeCell ref="J19:K19"/>
    <mergeCell ref="J18:K18"/>
    <mergeCell ref="J17:K17"/>
    <mergeCell ref="I14:K14"/>
    <mergeCell ref="I13:K13"/>
    <mergeCell ref="A162:D162"/>
    <mergeCell ref="C163:D163"/>
    <mergeCell ref="C165:D165"/>
    <mergeCell ref="K67:L67"/>
    <mergeCell ref="K66:L66"/>
    <mergeCell ref="K64:L64"/>
    <mergeCell ref="K63:L63"/>
    <mergeCell ref="K61:L61"/>
    <mergeCell ref="K60:L60"/>
    <mergeCell ref="K59:L59"/>
    <mergeCell ref="I78:J78"/>
    <mergeCell ref="I77:J77"/>
    <mergeCell ref="I75:J75"/>
    <mergeCell ref="I74:J74"/>
    <mergeCell ref="K86:L86"/>
    <mergeCell ref="J11:K11"/>
    <mergeCell ref="J10:K10"/>
    <mergeCell ref="A98:F98"/>
    <mergeCell ref="A134:F134"/>
    <mergeCell ref="A126:F126"/>
    <mergeCell ref="A111:F111"/>
    <mergeCell ref="I12:L12"/>
    <mergeCell ref="I15:L15"/>
    <mergeCell ref="I20:L20"/>
    <mergeCell ref="I21:K21"/>
    <mergeCell ref="I22:K22"/>
    <mergeCell ref="K23:L23"/>
    <mergeCell ref="K24:L24"/>
    <mergeCell ref="I58:L58"/>
    <mergeCell ref="K79:L79"/>
    <mergeCell ref="K78:L78"/>
    <mergeCell ref="K77:L77"/>
    <mergeCell ref="K75:L75"/>
    <mergeCell ref="K74:L74"/>
    <mergeCell ref="K73:L73"/>
    <mergeCell ref="K72:L72"/>
    <mergeCell ref="K71:L71"/>
    <mergeCell ref="K69:L69"/>
    <mergeCell ref="K68:L68"/>
    <mergeCell ref="K87:L87"/>
    <mergeCell ref="K88:L88"/>
    <mergeCell ref="I88:J88"/>
    <mergeCell ref="I87:J87"/>
    <mergeCell ref="I86:J86"/>
    <mergeCell ref="I82:J82"/>
    <mergeCell ref="I79:J79"/>
    <mergeCell ref="I84:J84"/>
    <mergeCell ref="K84:L84"/>
    <mergeCell ref="I85:L85"/>
    <mergeCell ref="I59:J59"/>
    <mergeCell ref="I80:L80"/>
    <mergeCell ref="I81:L81"/>
    <mergeCell ref="I76:L76"/>
    <mergeCell ref="I70:L70"/>
    <mergeCell ref="I65:L65"/>
    <mergeCell ref="I62:L62"/>
    <mergeCell ref="I83:J83"/>
    <mergeCell ref="K83:L83"/>
    <mergeCell ref="I71:J71"/>
    <mergeCell ref="I69:J69"/>
    <mergeCell ref="I68:J68"/>
    <mergeCell ref="I67:J67"/>
    <mergeCell ref="I66:J66"/>
    <mergeCell ref="I64:J64"/>
    <mergeCell ref="I63:J63"/>
    <mergeCell ref="I61:J61"/>
    <mergeCell ref="I60:J60"/>
    <mergeCell ref="I73:J73"/>
    <mergeCell ref="I72:J72"/>
    <mergeCell ref="K82:L82"/>
    <mergeCell ref="C150:E150"/>
    <mergeCell ref="C153:E153"/>
    <mergeCell ref="C152:E152"/>
    <mergeCell ref="C151:E151"/>
    <mergeCell ref="B156:F156"/>
    <mergeCell ref="B155:F155"/>
    <mergeCell ref="B154:F154"/>
    <mergeCell ref="C119:D119"/>
    <mergeCell ref="E119:F119"/>
    <mergeCell ref="E123:F123"/>
    <mergeCell ref="C123:D123"/>
    <mergeCell ref="E135:F135"/>
    <mergeCell ref="E132:F132"/>
    <mergeCell ref="E131:F131"/>
    <mergeCell ref="E130:F130"/>
    <mergeCell ref="E129:F129"/>
    <mergeCell ref="E128:F128"/>
    <mergeCell ref="E127:F127"/>
    <mergeCell ref="C129:D129"/>
    <mergeCell ref="E136:F136"/>
    <mergeCell ref="C132:D132"/>
    <mergeCell ref="C139:D139"/>
    <mergeCell ref="C141:D141"/>
    <mergeCell ref="C137:D137"/>
  </mergeCells>
  <pageMargins left="0.31496062992125984" right="0.31496062992125984" top="0.19685039370078741" bottom="0.19685039370078741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6"/>
  <sheetViews>
    <sheetView zoomScale="85" zoomScaleNormal="85" workbookViewId="0">
      <selection activeCell="N20" sqref="N20"/>
    </sheetView>
  </sheetViews>
  <sheetFormatPr defaultRowHeight="15"/>
  <cols>
    <col min="2" max="2" width="30.28515625" customWidth="1"/>
    <col min="3" max="3" width="10.7109375" bestFit="1" customWidth="1"/>
    <col min="4" max="4" width="9.28515625" bestFit="1" customWidth="1"/>
    <col min="5" max="5" width="10.7109375" bestFit="1" customWidth="1"/>
    <col min="6" max="6" width="9.28515625" bestFit="1" customWidth="1"/>
    <col min="7" max="7" width="10.7109375" bestFit="1" customWidth="1"/>
    <col min="8" max="8" width="9.28515625" bestFit="1" customWidth="1"/>
    <col min="9" max="9" width="14.7109375" customWidth="1"/>
    <col min="10" max="10" width="16.85546875" customWidth="1"/>
  </cols>
  <sheetData>
    <row r="1" spans="2:10" ht="15" customHeight="1" thickBot="1"/>
    <row r="2" spans="2:10" ht="15" customHeight="1" thickBot="1">
      <c r="B2" s="60" t="s">
        <v>181</v>
      </c>
      <c r="C2" s="249" t="s">
        <v>167</v>
      </c>
      <c r="D2" s="250"/>
      <c r="E2" s="249" t="s">
        <v>168</v>
      </c>
      <c r="F2" s="250"/>
      <c r="G2" s="249" t="s">
        <v>169</v>
      </c>
      <c r="H2" s="251"/>
      <c r="I2" s="61" t="s">
        <v>179</v>
      </c>
      <c r="J2" s="62" t="s">
        <v>180</v>
      </c>
    </row>
    <row r="3" spans="2:10" ht="15" customHeight="1">
      <c r="B3" s="88"/>
      <c r="C3" s="65" t="s">
        <v>170</v>
      </c>
      <c r="D3" s="66" t="s">
        <v>171</v>
      </c>
      <c r="E3" s="58" t="s">
        <v>170</v>
      </c>
      <c r="F3" s="59" t="s">
        <v>171</v>
      </c>
      <c r="G3" s="65" t="s">
        <v>170</v>
      </c>
      <c r="H3" s="66" t="s">
        <v>171</v>
      </c>
      <c r="I3" s="58"/>
      <c r="J3" s="59"/>
    </row>
    <row r="4" spans="2:10" ht="15" customHeight="1">
      <c r="B4" s="87" t="s">
        <v>172</v>
      </c>
      <c r="C4" s="81">
        <v>196</v>
      </c>
      <c r="D4" s="82">
        <v>0</v>
      </c>
      <c r="E4" s="81">
        <v>196</v>
      </c>
      <c r="F4" s="83">
        <v>0</v>
      </c>
      <c r="G4" s="84">
        <v>196</v>
      </c>
      <c r="H4" s="82">
        <v>0</v>
      </c>
      <c r="I4" s="85">
        <f>SUM(C4:H4)</f>
        <v>588</v>
      </c>
      <c r="J4" s="86">
        <f>I4/C19</f>
        <v>0.17541766109785203</v>
      </c>
    </row>
    <row r="5" spans="2:10" ht="15" customHeight="1">
      <c r="B5" s="63" t="s">
        <v>197</v>
      </c>
      <c r="C5" s="67">
        <v>258</v>
      </c>
      <c r="D5" s="68">
        <v>0</v>
      </c>
      <c r="E5" s="69">
        <v>258</v>
      </c>
      <c r="F5" s="70">
        <v>0</v>
      </c>
      <c r="G5" s="67">
        <v>258</v>
      </c>
      <c r="H5" s="68">
        <v>0</v>
      </c>
      <c r="I5" s="69">
        <f>SUM(C5:H17)</f>
        <v>2764</v>
      </c>
      <c r="J5" s="71">
        <f>I5/C19</f>
        <v>0.82458233890214794</v>
      </c>
    </row>
    <row r="6" spans="2:10" ht="15" customHeight="1">
      <c r="B6" s="63" t="s">
        <v>199</v>
      </c>
      <c r="C6" s="67">
        <v>0</v>
      </c>
      <c r="D6" s="68">
        <v>0</v>
      </c>
      <c r="E6" s="69">
        <v>202</v>
      </c>
      <c r="F6" s="70">
        <v>0</v>
      </c>
      <c r="G6" s="67">
        <v>202</v>
      </c>
      <c r="H6" s="68">
        <v>0</v>
      </c>
      <c r="I6" s="72"/>
      <c r="J6" s="89"/>
    </row>
    <row r="7" spans="2:10" ht="15" customHeight="1">
      <c r="B7" s="63" t="s">
        <v>198</v>
      </c>
      <c r="C7" s="67">
        <v>0</v>
      </c>
      <c r="D7" s="68">
        <v>0</v>
      </c>
      <c r="E7" s="69">
        <v>10</v>
      </c>
      <c r="F7" s="70">
        <v>0</v>
      </c>
      <c r="G7" s="67">
        <v>0</v>
      </c>
      <c r="H7" s="68">
        <v>0</v>
      </c>
      <c r="I7" s="72"/>
      <c r="J7" s="73"/>
    </row>
    <row r="8" spans="2:10" ht="15" customHeight="1">
      <c r="B8" s="63" t="s">
        <v>201</v>
      </c>
      <c r="C8" s="67">
        <v>22</v>
      </c>
      <c r="D8" s="68">
        <v>0</v>
      </c>
      <c r="E8" s="69">
        <v>0</v>
      </c>
      <c r="F8" s="70">
        <v>0</v>
      </c>
      <c r="G8" s="67">
        <v>0</v>
      </c>
      <c r="H8" s="68">
        <v>0</v>
      </c>
      <c r="I8" s="72"/>
      <c r="J8" s="73"/>
    </row>
    <row r="9" spans="2:10" ht="15" customHeight="1">
      <c r="B9" s="63" t="s">
        <v>202</v>
      </c>
      <c r="C9" s="67">
        <v>0</v>
      </c>
      <c r="D9" s="68">
        <v>0</v>
      </c>
      <c r="E9" s="69">
        <v>164</v>
      </c>
      <c r="F9" s="70">
        <v>0</v>
      </c>
      <c r="G9" s="67">
        <v>0</v>
      </c>
      <c r="H9" s="68">
        <v>0</v>
      </c>
      <c r="I9" s="72"/>
      <c r="J9" s="73"/>
    </row>
    <row r="10" spans="2:10" ht="15" customHeight="1">
      <c r="B10" s="63" t="s">
        <v>200</v>
      </c>
      <c r="C10" s="67">
        <v>260</v>
      </c>
      <c r="D10" s="68">
        <v>0</v>
      </c>
      <c r="E10" s="69">
        <v>0</v>
      </c>
      <c r="F10" s="70">
        <v>0</v>
      </c>
      <c r="G10" s="67">
        <v>0</v>
      </c>
      <c r="H10" s="68">
        <v>0</v>
      </c>
      <c r="I10" s="72"/>
      <c r="J10" s="73"/>
    </row>
    <row r="11" spans="2:10" ht="15" customHeight="1">
      <c r="B11" s="63" t="s">
        <v>203</v>
      </c>
      <c r="C11" s="67">
        <v>4</v>
      </c>
      <c r="D11" s="68">
        <v>0</v>
      </c>
      <c r="E11" s="69">
        <v>4</v>
      </c>
      <c r="F11" s="70">
        <v>0</v>
      </c>
      <c r="G11" s="67">
        <v>4</v>
      </c>
      <c r="H11" s="68">
        <v>0</v>
      </c>
      <c r="I11" s="72"/>
      <c r="J11" s="73"/>
    </row>
    <row r="12" spans="2:10" ht="15" customHeight="1">
      <c r="B12" s="97" t="s">
        <v>204</v>
      </c>
      <c r="C12" s="67">
        <v>174</v>
      </c>
      <c r="D12" s="68">
        <v>0</v>
      </c>
      <c r="E12" s="69">
        <v>174</v>
      </c>
      <c r="F12" s="70">
        <v>0</v>
      </c>
      <c r="G12" s="67">
        <v>174</v>
      </c>
      <c r="H12" s="68">
        <v>0</v>
      </c>
      <c r="I12" s="72"/>
      <c r="J12" s="73"/>
    </row>
    <row r="13" spans="2:10" ht="15" customHeight="1">
      <c r="B13" s="97" t="s">
        <v>205</v>
      </c>
      <c r="C13" s="67">
        <v>128</v>
      </c>
      <c r="D13" s="68">
        <v>0</v>
      </c>
      <c r="E13" s="69">
        <v>128</v>
      </c>
      <c r="F13" s="70">
        <v>0</v>
      </c>
      <c r="G13" s="67">
        <v>128</v>
      </c>
      <c r="H13" s="68">
        <v>0</v>
      </c>
      <c r="I13" s="72"/>
      <c r="J13" s="73"/>
    </row>
    <row r="14" spans="2:10" ht="15" customHeight="1">
      <c r="B14" s="97" t="s">
        <v>206</v>
      </c>
      <c r="C14" s="67">
        <v>0</v>
      </c>
      <c r="D14" s="68">
        <v>0</v>
      </c>
      <c r="E14" s="69">
        <v>0</v>
      </c>
      <c r="F14" s="70">
        <v>0</v>
      </c>
      <c r="G14" s="67">
        <v>88</v>
      </c>
      <c r="H14" s="68">
        <v>0</v>
      </c>
      <c r="I14" s="72"/>
      <c r="J14" s="73"/>
    </row>
    <row r="15" spans="2:10" ht="15" customHeight="1">
      <c r="B15" s="97" t="s">
        <v>207</v>
      </c>
      <c r="C15" s="67">
        <v>0</v>
      </c>
      <c r="D15" s="68">
        <v>0</v>
      </c>
      <c r="E15" s="69">
        <v>0</v>
      </c>
      <c r="F15" s="70">
        <v>0</v>
      </c>
      <c r="G15" s="67">
        <v>40</v>
      </c>
      <c r="H15" s="68">
        <v>0</v>
      </c>
      <c r="I15" s="72"/>
      <c r="J15" s="73"/>
    </row>
    <row r="16" spans="2:10" ht="15" customHeight="1">
      <c r="B16" s="97" t="s">
        <v>208</v>
      </c>
      <c r="C16" s="67">
        <v>24</v>
      </c>
      <c r="D16" s="68">
        <v>0</v>
      </c>
      <c r="E16" s="69">
        <v>24</v>
      </c>
      <c r="F16" s="70">
        <v>0</v>
      </c>
      <c r="G16" s="67">
        <v>24</v>
      </c>
      <c r="H16" s="68">
        <v>0</v>
      </c>
      <c r="I16" s="72"/>
      <c r="J16" s="73"/>
    </row>
    <row r="17" spans="2:10" ht="15" customHeight="1">
      <c r="B17" s="97" t="s">
        <v>209</v>
      </c>
      <c r="C17" s="67">
        <v>4</v>
      </c>
      <c r="D17" s="68">
        <v>0</v>
      </c>
      <c r="E17" s="69">
        <v>4</v>
      </c>
      <c r="F17" s="70">
        <v>0</v>
      </c>
      <c r="G17" s="67">
        <v>4</v>
      </c>
      <c r="H17" s="68">
        <v>0</v>
      </c>
      <c r="I17" s="72"/>
      <c r="J17" s="73"/>
    </row>
    <row r="18" spans="2:10" ht="15" customHeight="1" thickBot="1">
      <c r="B18" s="63"/>
      <c r="C18" s="75">
        <f>SUM(C2:C17)</f>
        <v>1070</v>
      </c>
      <c r="D18" s="76">
        <f>SUM(D4:D17)</f>
        <v>0</v>
      </c>
      <c r="E18" s="75">
        <f>SUM(E4:E17)</f>
        <v>1164</v>
      </c>
      <c r="F18" s="77">
        <f>SUM(F4:F17)</f>
        <v>0</v>
      </c>
      <c r="G18" s="78">
        <f>SUM(G4:G17)</f>
        <v>1118</v>
      </c>
      <c r="H18" s="76">
        <f>SUM(H4:H17)</f>
        <v>0</v>
      </c>
      <c r="I18" s="79"/>
      <c r="J18" s="80"/>
    </row>
    <row r="19" spans="2:10" ht="15" customHeight="1" thickBot="1">
      <c r="B19" s="64" t="s">
        <v>173</v>
      </c>
      <c r="C19" s="252">
        <f>C18+D18+E18+F18+G18+H18</f>
        <v>3352</v>
      </c>
      <c r="D19" s="253"/>
      <c r="E19" s="253"/>
      <c r="F19" s="253"/>
      <c r="G19" s="253"/>
      <c r="H19" s="253"/>
      <c r="I19" s="254"/>
      <c r="J19" s="74">
        <f>J4+J5</f>
        <v>1</v>
      </c>
    </row>
    <row r="20" spans="2:10" ht="15" customHeight="1"/>
    <row r="21" spans="2:10" ht="15" customHeight="1"/>
    <row r="22" spans="2:10" ht="15" customHeight="1"/>
    <row r="23" spans="2:10" ht="15" customHeight="1"/>
    <row r="24" spans="2:10" ht="15" customHeight="1"/>
    <row r="25" spans="2:10" ht="15" customHeight="1"/>
    <row r="26" spans="2:10" ht="15" customHeight="1"/>
  </sheetData>
  <mergeCells count="4">
    <mergeCell ref="C2:D2"/>
    <mergeCell ref="E2:F2"/>
    <mergeCell ref="G2:H2"/>
    <mergeCell ref="C19:I19"/>
  </mergeCells>
  <pageMargins left="0.31496062992125984" right="0.31496062992125984" top="0.19685039370078741" bottom="0.19685039370078741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Costo su Base Mensile</vt:lpstr>
      <vt:lpstr>Tabella 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cp:lastPrinted>2015-05-04T05:26:10Z</cp:lastPrinted>
  <dcterms:created xsi:type="dcterms:W3CDTF">2015-04-30T09:19:13Z</dcterms:created>
  <dcterms:modified xsi:type="dcterms:W3CDTF">2015-08-09T06:46:16Z</dcterms:modified>
</cp:coreProperties>
</file>