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omments3.xml" ContentType="application/vnd.openxmlformats-officedocument.spreadsheetml.comments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omments4.xml" ContentType="application/vnd.openxmlformats-officedocument.spreadsheetml.comments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omments5.xml" ContentType="application/vnd.openxmlformats-officedocument.spreadsheetml.comments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d.docs.live.net/a89796590138a2f1/python-projects/pypokertools/test/"/>
    </mc:Choice>
  </mc:AlternateContent>
  <xr:revisionPtr revIDLastSave="212" documentId="8_{EE9AF03F-5CA0-4879-86AE-4AA64A52EA03}" xr6:coauthVersionLast="45" xr6:coauthVersionMax="45" xr10:uidLastSave="{BF71D781-F687-4AC7-9F9D-FBDECC1DD037}"/>
  <bookViews>
    <workbookView xWindow="-19140" yWindow="225" windowWidth="18930" windowHeight="15735" xr2:uid="{00000000-000D-0000-FFFF-FFFF00000000}"/>
  </bookViews>
  <sheets>
    <sheet name="2way" sheetId="1" r:id="rId1"/>
    <sheet name="3way" sheetId="3" r:id="rId2"/>
    <sheet name="4way" sheetId="4" r:id="rId3"/>
    <sheet name="3wKhQs" sheetId="7" r:id="rId4"/>
    <sheet name="3wAdKd" sheetId="6" r:id="rId5"/>
    <sheet name="3wAh9s" sheetId="8" r:id="rId6"/>
    <sheet name="Sheet2" sheetId="2" r:id="rId7"/>
  </sheets>
  <definedNames>
    <definedName name="bounty">'2way'!$E$2</definedName>
    <definedName name="chips" localSheetId="4">'3wAdKd'!$D$3</definedName>
    <definedName name="chips" localSheetId="5">'3wAh9s'!$D$3</definedName>
    <definedName name="chips" localSheetId="3">'3wKhQs'!$D$3</definedName>
    <definedName name="chips" localSheetId="2">'4way'!$D$3</definedName>
    <definedName name="chips">'3way'!$D$3</definedName>
    <definedName name="KO">'2way'!$E$2</definedName>
    <definedName name="mainpot" localSheetId="4">'3wAdKd'!$T$1</definedName>
    <definedName name="mainpot" localSheetId="5">'3wAh9s'!$T$1</definedName>
    <definedName name="mainpot" localSheetId="3">'3wKhQs'!$T$1</definedName>
    <definedName name="mainpot">'4way'!$T$1</definedName>
    <definedName name="p1sp1win" localSheetId="4">'3wAdKd'!$J$1</definedName>
    <definedName name="p1sp1win" localSheetId="5">'3wAh9s'!$J$1</definedName>
    <definedName name="p1sp1win" localSheetId="3">'3wKhQs'!$J$1</definedName>
    <definedName name="p1sp1win">'4way'!$J$1</definedName>
    <definedName name="p1sp2win" localSheetId="4">'3wAdKd'!$O$1</definedName>
    <definedName name="p1sp2win" localSheetId="5">'3wAh9s'!$O$1</definedName>
    <definedName name="p1sp2win" localSheetId="3">'3wKhQs'!$O$1</definedName>
    <definedName name="p1sp2win">'4way'!$O$1</definedName>
    <definedName name="p1spwin" localSheetId="4">'3wAdKd'!$J$1</definedName>
    <definedName name="p1spwin" localSheetId="5">'3wAh9s'!$J$1</definedName>
    <definedName name="p1spwin" localSheetId="3">'3wKhQs'!$J$1</definedName>
    <definedName name="p1spwin" localSheetId="2">'4way'!$J$1</definedName>
    <definedName name="p1spwin">'3way'!$J$1</definedName>
    <definedName name="p1win" localSheetId="4">'3wAdKd'!$G$1</definedName>
    <definedName name="p1win" localSheetId="5">'3wAh9s'!$G$1</definedName>
    <definedName name="p1win" localSheetId="3">'3wKhQs'!$G$1</definedName>
    <definedName name="p1win" localSheetId="2">'4way'!$G$1</definedName>
    <definedName name="p1win">'3way'!$G$1</definedName>
    <definedName name="p2sp1win" localSheetId="4">'3wAdKd'!$J$2</definedName>
    <definedName name="p2sp1win" localSheetId="5">'3wAh9s'!$J$2</definedName>
    <definedName name="p2sp1win" localSheetId="3">'3wKhQs'!$J$2</definedName>
    <definedName name="p2sp1win">'4way'!$J$2</definedName>
    <definedName name="p2sp2win" localSheetId="4">'3wAdKd'!$O$2</definedName>
    <definedName name="p2sp2win" localSheetId="5">'3wAh9s'!$O$2</definedName>
    <definedName name="p2sp2win" localSheetId="3">'3wKhQs'!$O$2</definedName>
    <definedName name="p2sp2win">'4way'!$O$2</definedName>
    <definedName name="p2spwin" localSheetId="4">'3wAdKd'!$J$2</definedName>
    <definedName name="p2spwin" localSheetId="5">'3wAh9s'!$J$2</definedName>
    <definedName name="p2spwin" localSheetId="3">'3wKhQs'!$J$2</definedName>
    <definedName name="p2spwin" localSheetId="2">'4way'!$J$2</definedName>
    <definedName name="p2spwin">'3way'!$J$2</definedName>
    <definedName name="p2win" localSheetId="4">'3wAdKd'!$G$2</definedName>
    <definedName name="p2win" localSheetId="5">'3wAh9s'!$G$2</definedName>
    <definedName name="p2win" localSheetId="3">'3wKhQs'!$G$2</definedName>
    <definedName name="p2win" localSheetId="2">'4way'!$G$2</definedName>
    <definedName name="p2win">'3way'!$G$2</definedName>
    <definedName name="p3sp1win" localSheetId="4">'3wAdKd'!$J$3</definedName>
    <definedName name="p3sp1win" localSheetId="5">'3wAh9s'!$J$3</definedName>
    <definedName name="p3sp1win" localSheetId="3">'3wKhQs'!$J$3</definedName>
    <definedName name="p3sp1win">'4way'!$J$3</definedName>
    <definedName name="p3win" localSheetId="4">'3wAdKd'!$G$3</definedName>
    <definedName name="p3win" localSheetId="5">'3wAh9s'!$G$3</definedName>
    <definedName name="p3win" localSheetId="3">'3wKhQs'!$G$3</definedName>
    <definedName name="p3win" localSheetId="2">'4way'!$G$3</definedName>
    <definedName name="p3win">'3way'!$G$3</definedName>
    <definedName name="p4win" localSheetId="4">'3wAdKd'!$G$4</definedName>
    <definedName name="p4win" localSheetId="5">'3wAh9s'!$G$4</definedName>
    <definedName name="p4win" localSheetId="3">'3wKhQs'!$G$4</definedName>
    <definedName name="p4win">'4way'!$G$4</definedName>
    <definedName name="prize" localSheetId="4">'3wAdKd'!$D$1</definedName>
    <definedName name="prize" localSheetId="5">'3wAh9s'!$D$1</definedName>
    <definedName name="prize" localSheetId="3">'3wKhQs'!$D$1</definedName>
    <definedName name="prize" localSheetId="2">'4way'!$D$1</definedName>
    <definedName name="prize">'3way'!$D$1</definedName>
    <definedName name="sidepot1" localSheetId="4">'3wAdKd'!$T$2</definedName>
    <definedName name="sidepot1" localSheetId="5">'3wAh9s'!$T$2</definedName>
    <definedName name="sidepot1" localSheetId="3">'3wKhQs'!$T$2</definedName>
    <definedName name="sidepot1">'4way'!$T$2</definedName>
    <definedName name="sidepot2" localSheetId="4">'3wAdKd'!$T$3</definedName>
    <definedName name="sidepot2" localSheetId="5">'3wAh9s'!$T$3</definedName>
    <definedName name="sidepot2" localSheetId="3">'3wKhQs'!$T$3</definedName>
    <definedName name="sidepot2">'4way'!$T$3</definedName>
    <definedName name="T4pwinsp1" localSheetId="4">'3wAdKd'!#REF!</definedName>
    <definedName name="T4pwinsp1" localSheetId="5">'3wAh9s'!#REF!</definedName>
    <definedName name="T4pwinsp1" localSheetId="3">'3wKhQs'!#REF!</definedName>
    <definedName name="T4pwinsp1">'4way'!$AJ$18</definedName>
    <definedName name="uncalled" localSheetId="4">'3wAdKd'!$T$4</definedName>
    <definedName name="uncalled" localSheetId="5">'3wAh9s'!$T$4</definedName>
    <definedName name="uncalled" localSheetId="3">'3wKhQs'!$T$4</definedName>
    <definedName name="uncalled">'4way'!$T$4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69" i="1" l="1"/>
  <c r="Q69" i="1"/>
  <c r="P69" i="1"/>
  <c r="O69" i="1"/>
  <c r="K69" i="1"/>
  <c r="J69" i="1"/>
  <c r="G69" i="1"/>
  <c r="S69" i="1" s="1"/>
  <c r="T69" i="1" s="1"/>
  <c r="F69" i="1"/>
  <c r="R69" i="1" s="1"/>
  <c r="U69" i="1" l="1"/>
  <c r="N63" i="1"/>
  <c r="N62" i="1"/>
  <c r="O62" i="1" s="1"/>
  <c r="N61" i="1"/>
  <c r="M61" i="1"/>
  <c r="I61" i="1"/>
  <c r="J61" i="1" s="1"/>
  <c r="I63" i="1"/>
  <c r="I62" i="1"/>
  <c r="I60" i="1"/>
  <c r="Q60" i="1" s="1"/>
  <c r="H60" i="1"/>
  <c r="H61" i="1"/>
  <c r="E63" i="1"/>
  <c r="E62" i="1"/>
  <c r="E61" i="1"/>
  <c r="D61" i="1"/>
  <c r="I58" i="1"/>
  <c r="I57" i="1"/>
  <c r="H58" i="1"/>
  <c r="H57" i="1"/>
  <c r="F56" i="1"/>
  <c r="G56" i="1"/>
  <c r="S56" i="1" s="1"/>
  <c r="T56" i="1" s="1"/>
  <c r="J56" i="1"/>
  <c r="K56" i="1"/>
  <c r="O56" i="1"/>
  <c r="P56" i="1"/>
  <c r="Q56" i="1"/>
  <c r="V56" i="1"/>
  <c r="F57" i="1"/>
  <c r="G57" i="1"/>
  <c r="J57" i="1"/>
  <c r="K57" i="1"/>
  <c r="O57" i="1"/>
  <c r="P57" i="1"/>
  <c r="Q57" i="1"/>
  <c r="V57" i="1"/>
  <c r="F58" i="1"/>
  <c r="G58" i="1"/>
  <c r="J58" i="1"/>
  <c r="K58" i="1"/>
  <c r="O58" i="1"/>
  <c r="P58" i="1"/>
  <c r="Q58" i="1"/>
  <c r="V58" i="1"/>
  <c r="F59" i="1"/>
  <c r="R59" i="1" s="1"/>
  <c r="G59" i="1"/>
  <c r="J59" i="1"/>
  <c r="K59" i="1"/>
  <c r="O59" i="1"/>
  <c r="P59" i="1"/>
  <c r="Q59" i="1"/>
  <c r="V59" i="1"/>
  <c r="F60" i="1"/>
  <c r="G60" i="1"/>
  <c r="J60" i="1"/>
  <c r="K60" i="1"/>
  <c r="O60" i="1"/>
  <c r="P60" i="1"/>
  <c r="V60" i="1"/>
  <c r="F61" i="1"/>
  <c r="G61" i="1"/>
  <c r="K61" i="1"/>
  <c r="O61" i="1"/>
  <c r="P61" i="1"/>
  <c r="Q61" i="1"/>
  <c r="V61" i="1"/>
  <c r="F62" i="1"/>
  <c r="G62" i="1"/>
  <c r="J62" i="1"/>
  <c r="K62" i="1"/>
  <c r="P62" i="1"/>
  <c r="V62" i="1"/>
  <c r="F63" i="1"/>
  <c r="G63" i="1"/>
  <c r="J63" i="1"/>
  <c r="K63" i="1"/>
  <c r="O63" i="1"/>
  <c r="P63" i="1"/>
  <c r="Q63" i="1"/>
  <c r="V63" i="1"/>
  <c r="F64" i="1"/>
  <c r="G64" i="1"/>
  <c r="J64" i="1"/>
  <c r="K64" i="1"/>
  <c r="O64" i="1"/>
  <c r="P64" i="1"/>
  <c r="Q64" i="1"/>
  <c r="V64" i="1"/>
  <c r="F65" i="1"/>
  <c r="G65" i="1"/>
  <c r="J65" i="1"/>
  <c r="K65" i="1"/>
  <c r="O65" i="1"/>
  <c r="P65" i="1"/>
  <c r="Q65" i="1"/>
  <c r="V65" i="1"/>
  <c r="F66" i="1"/>
  <c r="R66" i="1" s="1"/>
  <c r="G66" i="1"/>
  <c r="J66" i="1"/>
  <c r="K66" i="1"/>
  <c r="O66" i="1"/>
  <c r="P66" i="1"/>
  <c r="Q66" i="1"/>
  <c r="V66" i="1"/>
  <c r="F67" i="1"/>
  <c r="G67" i="1"/>
  <c r="J67" i="1"/>
  <c r="K67" i="1"/>
  <c r="O67" i="1"/>
  <c r="P67" i="1"/>
  <c r="Q67" i="1"/>
  <c r="V67" i="1"/>
  <c r="F68" i="1"/>
  <c r="G68" i="1"/>
  <c r="J68" i="1"/>
  <c r="K68" i="1"/>
  <c r="O68" i="1"/>
  <c r="P68" i="1"/>
  <c r="Q68" i="1"/>
  <c r="V68" i="1"/>
  <c r="F70" i="1"/>
  <c r="G70" i="1"/>
  <c r="J70" i="1"/>
  <c r="K70" i="1"/>
  <c r="O70" i="1"/>
  <c r="P70" i="1"/>
  <c r="Q70" i="1"/>
  <c r="V70" i="1"/>
  <c r="F71" i="1"/>
  <c r="G71" i="1"/>
  <c r="J71" i="1"/>
  <c r="K71" i="1"/>
  <c r="O71" i="1"/>
  <c r="P71" i="1"/>
  <c r="Q71" i="1"/>
  <c r="V71" i="1"/>
  <c r="F72" i="1"/>
  <c r="R72" i="1" s="1"/>
  <c r="G72" i="1"/>
  <c r="J72" i="1"/>
  <c r="K72" i="1"/>
  <c r="O72" i="1"/>
  <c r="P72" i="1"/>
  <c r="Q72" i="1"/>
  <c r="V72" i="1"/>
  <c r="F73" i="1"/>
  <c r="G73" i="1"/>
  <c r="J73" i="1"/>
  <c r="K73" i="1"/>
  <c r="O73" i="1"/>
  <c r="P73" i="1"/>
  <c r="Q73" i="1"/>
  <c r="V73" i="1"/>
  <c r="F74" i="1"/>
  <c r="G74" i="1"/>
  <c r="J74" i="1"/>
  <c r="K74" i="1"/>
  <c r="O74" i="1"/>
  <c r="P74" i="1"/>
  <c r="Q74" i="1"/>
  <c r="V74" i="1"/>
  <c r="F75" i="1"/>
  <c r="G75" i="1"/>
  <c r="J75" i="1"/>
  <c r="K75" i="1"/>
  <c r="O75" i="1"/>
  <c r="P75" i="1"/>
  <c r="Q75" i="1"/>
  <c r="V75" i="1"/>
  <c r="F76" i="1"/>
  <c r="R76" i="1" s="1"/>
  <c r="G76" i="1"/>
  <c r="J76" i="1"/>
  <c r="K76" i="1"/>
  <c r="O76" i="1"/>
  <c r="P76" i="1"/>
  <c r="Q76" i="1"/>
  <c r="V76" i="1"/>
  <c r="F77" i="1"/>
  <c r="G77" i="1"/>
  <c r="J77" i="1"/>
  <c r="K77" i="1"/>
  <c r="O77" i="1"/>
  <c r="P77" i="1"/>
  <c r="Q77" i="1"/>
  <c r="V77" i="1"/>
  <c r="F78" i="1"/>
  <c r="G78" i="1"/>
  <c r="J78" i="1"/>
  <c r="K78" i="1"/>
  <c r="O78" i="1"/>
  <c r="P78" i="1"/>
  <c r="Q78" i="1"/>
  <c r="V78" i="1"/>
  <c r="F79" i="1"/>
  <c r="G79" i="1"/>
  <c r="J79" i="1"/>
  <c r="K79" i="1"/>
  <c r="O79" i="1"/>
  <c r="P79" i="1"/>
  <c r="Q79" i="1"/>
  <c r="V79" i="1"/>
  <c r="F80" i="1"/>
  <c r="G80" i="1"/>
  <c r="J80" i="1"/>
  <c r="K80" i="1"/>
  <c r="O80" i="1"/>
  <c r="P80" i="1"/>
  <c r="Q80" i="1"/>
  <c r="V80" i="1"/>
  <c r="F81" i="1"/>
  <c r="G81" i="1"/>
  <c r="J81" i="1"/>
  <c r="K81" i="1"/>
  <c r="O81" i="1"/>
  <c r="P81" i="1"/>
  <c r="Q81" i="1"/>
  <c r="V81" i="1"/>
  <c r="F82" i="1"/>
  <c r="G82" i="1"/>
  <c r="J82" i="1"/>
  <c r="K82" i="1"/>
  <c r="O82" i="1"/>
  <c r="P82" i="1"/>
  <c r="Q82" i="1"/>
  <c r="V82" i="1"/>
  <c r="F83" i="1"/>
  <c r="R83" i="1" s="1"/>
  <c r="G83" i="1"/>
  <c r="J83" i="1"/>
  <c r="K83" i="1"/>
  <c r="O83" i="1"/>
  <c r="P83" i="1"/>
  <c r="Q83" i="1"/>
  <c r="V83" i="1"/>
  <c r="F84" i="1"/>
  <c r="R84" i="1" s="1"/>
  <c r="G84" i="1"/>
  <c r="J84" i="1"/>
  <c r="K84" i="1"/>
  <c r="O84" i="1"/>
  <c r="P84" i="1"/>
  <c r="Q84" i="1"/>
  <c r="V84" i="1"/>
  <c r="F85" i="1"/>
  <c r="G85" i="1"/>
  <c r="J85" i="1"/>
  <c r="K85" i="1"/>
  <c r="O85" i="1"/>
  <c r="P85" i="1"/>
  <c r="Q85" i="1"/>
  <c r="V85" i="1"/>
  <c r="F86" i="1"/>
  <c r="R86" i="1" s="1"/>
  <c r="G86" i="1"/>
  <c r="J86" i="1"/>
  <c r="K86" i="1"/>
  <c r="O86" i="1"/>
  <c r="P86" i="1"/>
  <c r="Q86" i="1"/>
  <c r="V86" i="1"/>
  <c r="Q62" i="1" l="1"/>
  <c r="R61" i="1"/>
  <c r="R57" i="1"/>
  <c r="U57" i="1" s="1"/>
  <c r="S57" i="1"/>
  <c r="T57" i="1" s="1"/>
  <c r="R56" i="1"/>
  <c r="U56" i="1"/>
  <c r="S58" i="1"/>
  <c r="T58" i="1" s="1"/>
  <c r="S59" i="1"/>
  <c r="T59" i="1" s="1"/>
  <c r="U59" i="1" s="1"/>
  <c r="R62" i="1"/>
  <c r="R58" i="1"/>
  <c r="S60" i="1"/>
  <c r="T60" i="1" s="1"/>
  <c r="S61" i="1"/>
  <c r="T61" i="1" s="1"/>
  <c r="U61" i="1" s="1"/>
  <c r="R60" i="1"/>
  <c r="S62" i="1"/>
  <c r="T62" i="1" s="1"/>
  <c r="U62" i="1" s="1"/>
  <c r="S63" i="1"/>
  <c r="T63" i="1" s="1"/>
  <c r="S64" i="1"/>
  <c r="T64" i="1" s="1"/>
  <c r="R63" i="1"/>
  <c r="S65" i="1"/>
  <c r="T65" i="1" s="1"/>
  <c r="R64" i="1"/>
  <c r="S66" i="1"/>
  <c r="T66" i="1" s="1"/>
  <c r="U66" i="1" s="1"/>
  <c r="R65" i="1"/>
  <c r="S67" i="1"/>
  <c r="T67" i="1" s="1"/>
  <c r="S68" i="1"/>
  <c r="T68" i="1" s="1"/>
  <c r="R67" i="1"/>
  <c r="S73" i="1"/>
  <c r="T73" i="1" s="1"/>
  <c r="R68" i="1"/>
  <c r="S70" i="1"/>
  <c r="T70" i="1" s="1"/>
  <c r="S71" i="1"/>
  <c r="T71" i="1" s="1"/>
  <c r="R70" i="1"/>
  <c r="R71" i="1"/>
  <c r="U71" i="1" s="1"/>
  <c r="S72" i="1"/>
  <c r="T72" i="1" s="1"/>
  <c r="U72" i="1" s="1"/>
  <c r="S74" i="1"/>
  <c r="T74" i="1" s="1"/>
  <c r="R73" i="1"/>
  <c r="S75" i="1"/>
  <c r="T75" i="1" s="1"/>
  <c r="R74" i="1"/>
  <c r="S76" i="1"/>
  <c r="T76" i="1" s="1"/>
  <c r="U76" i="1" s="1"/>
  <c r="R75" i="1"/>
  <c r="S77" i="1"/>
  <c r="T77" i="1" s="1"/>
  <c r="S78" i="1"/>
  <c r="T78" i="1" s="1"/>
  <c r="R77" i="1"/>
  <c r="S79" i="1"/>
  <c r="T79" i="1" s="1"/>
  <c r="R78" i="1"/>
  <c r="S80" i="1"/>
  <c r="T80" i="1" s="1"/>
  <c r="R79" i="1"/>
  <c r="S81" i="1"/>
  <c r="T81" i="1" s="1"/>
  <c r="R80" i="1"/>
  <c r="R82" i="1"/>
  <c r="S82" i="1"/>
  <c r="T82" i="1" s="1"/>
  <c r="R81" i="1"/>
  <c r="S83" i="1"/>
  <c r="T83" i="1" s="1"/>
  <c r="U83" i="1" s="1"/>
  <c r="S84" i="1"/>
  <c r="T84" i="1" s="1"/>
  <c r="U84" i="1" s="1"/>
  <c r="S85" i="1"/>
  <c r="T85" i="1" s="1"/>
  <c r="R85" i="1"/>
  <c r="S86" i="1"/>
  <c r="T86" i="1" s="1"/>
  <c r="U86" i="1" s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F49" i="1"/>
  <c r="G49" i="1"/>
  <c r="J49" i="1"/>
  <c r="K49" i="1"/>
  <c r="O49" i="1"/>
  <c r="P49" i="1"/>
  <c r="Q49" i="1"/>
  <c r="F50" i="1"/>
  <c r="G50" i="1"/>
  <c r="J50" i="1"/>
  <c r="K50" i="1"/>
  <c r="O50" i="1"/>
  <c r="P50" i="1"/>
  <c r="Q50" i="1"/>
  <c r="F51" i="1"/>
  <c r="R51" i="1" s="1"/>
  <c r="G51" i="1"/>
  <c r="J51" i="1"/>
  <c r="K51" i="1"/>
  <c r="O51" i="1"/>
  <c r="P51" i="1"/>
  <c r="Q51" i="1"/>
  <c r="H52" i="1"/>
  <c r="K52" i="1" s="1"/>
  <c r="D52" i="1"/>
  <c r="G52" i="1" s="1"/>
  <c r="D53" i="1"/>
  <c r="G53" i="1" s="1"/>
  <c r="F52" i="1"/>
  <c r="J52" i="1"/>
  <c r="O52" i="1"/>
  <c r="P52" i="1"/>
  <c r="Q52" i="1"/>
  <c r="F53" i="1"/>
  <c r="J53" i="1"/>
  <c r="K53" i="1"/>
  <c r="O53" i="1"/>
  <c r="P53" i="1"/>
  <c r="Q53" i="1"/>
  <c r="F54" i="1"/>
  <c r="G54" i="1"/>
  <c r="J54" i="1"/>
  <c r="K54" i="1"/>
  <c r="O54" i="1"/>
  <c r="P54" i="1"/>
  <c r="Q54" i="1"/>
  <c r="U63" i="1" l="1"/>
  <c r="U60" i="1"/>
  <c r="U58" i="1"/>
  <c r="U64" i="1"/>
  <c r="U65" i="1"/>
  <c r="U70" i="1"/>
  <c r="U68" i="1"/>
  <c r="U67" i="1"/>
  <c r="U74" i="1"/>
  <c r="U73" i="1"/>
  <c r="U77" i="1"/>
  <c r="U75" i="1"/>
  <c r="U80" i="1"/>
  <c r="U78" i="1"/>
  <c r="U79" i="1"/>
  <c r="U81" i="1"/>
  <c r="U82" i="1"/>
  <c r="U85" i="1"/>
  <c r="S50" i="1"/>
  <c r="T50" i="1" s="1"/>
  <c r="R50" i="1"/>
  <c r="S49" i="1"/>
  <c r="T49" i="1" s="1"/>
  <c r="R54" i="1"/>
  <c r="R49" i="1"/>
  <c r="S51" i="1"/>
  <c r="T51" i="1" s="1"/>
  <c r="U51" i="1" s="1"/>
  <c r="S54" i="1"/>
  <c r="T54" i="1" s="1"/>
  <c r="R53" i="1"/>
  <c r="R52" i="1"/>
  <c r="S52" i="1"/>
  <c r="T52" i="1" s="1"/>
  <c r="S53" i="1"/>
  <c r="T53" i="1" s="1"/>
  <c r="K47" i="1"/>
  <c r="G43" i="1"/>
  <c r="K43" i="1"/>
  <c r="P43" i="1"/>
  <c r="Q43" i="1"/>
  <c r="G44" i="1"/>
  <c r="K44" i="1"/>
  <c r="P44" i="1"/>
  <c r="Q44" i="1"/>
  <c r="G45" i="1"/>
  <c r="K45" i="1"/>
  <c r="P45" i="1"/>
  <c r="Q45" i="1"/>
  <c r="P38" i="1"/>
  <c r="K38" i="1"/>
  <c r="P42" i="1"/>
  <c r="P41" i="1"/>
  <c r="P40" i="1"/>
  <c r="K40" i="1"/>
  <c r="K41" i="1"/>
  <c r="H42" i="1"/>
  <c r="K42" i="1" s="1"/>
  <c r="G41" i="1"/>
  <c r="D42" i="1"/>
  <c r="D40" i="1"/>
  <c r="A42" i="1"/>
  <c r="A41" i="1"/>
  <c r="A40" i="1"/>
  <c r="P36" i="1"/>
  <c r="M37" i="1"/>
  <c r="H37" i="1"/>
  <c r="K37" i="1" s="1"/>
  <c r="G36" i="1"/>
  <c r="G38" i="1"/>
  <c r="D37" i="1"/>
  <c r="A38" i="1"/>
  <c r="A37" i="1"/>
  <c r="A36" i="1"/>
  <c r="K36" i="1"/>
  <c r="Q36" i="1"/>
  <c r="Q37" i="1"/>
  <c r="Q38" i="1"/>
  <c r="G39" i="1"/>
  <c r="K39" i="1"/>
  <c r="P39" i="1"/>
  <c r="Q39" i="1"/>
  <c r="Q40" i="1"/>
  <c r="Q41" i="1"/>
  <c r="Q42" i="1"/>
  <c r="Q34" i="1"/>
  <c r="P34" i="1"/>
  <c r="H34" i="1"/>
  <c r="G34" i="1"/>
  <c r="G35" i="1"/>
  <c r="K35" i="1"/>
  <c r="P35" i="1"/>
  <c r="Q35" i="1"/>
  <c r="G46" i="1"/>
  <c r="K46" i="1"/>
  <c r="P46" i="1"/>
  <c r="Q46" i="1"/>
  <c r="G31" i="1"/>
  <c r="G32" i="1"/>
  <c r="G33" i="1"/>
  <c r="G47" i="1"/>
  <c r="K32" i="1"/>
  <c r="K31" i="1"/>
  <c r="K33" i="1"/>
  <c r="P47" i="1"/>
  <c r="P33" i="1"/>
  <c r="P32" i="1"/>
  <c r="P31" i="1"/>
  <c r="P28" i="1"/>
  <c r="P29" i="1"/>
  <c r="K29" i="1"/>
  <c r="K28" i="1"/>
  <c r="A29" i="1"/>
  <c r="A28" i="1"/>
  <c r="Q32" i="1"/>
  <c r="Q33" i="1"/>
  <c r="Q47" i="1"/>
  <c r="G48" i="1"/>
  <c r="K48" i="1"/>
  <c r="P48" i="1"/>
  <c r="Q48" i="1"/>
  <c r="AJ16" i="8"/>
  <c r="AJ17" i="8"/>
  <c r="AJ18" i="8"/>
  <c r="B18" i="8"/>
  <c r="B17" i="8"/>
  <c r="B16" i="8"/>
  <c r="AK19" i="8"/>
  <c r="AC19" i="8"/>
  <c r="V19" i="8"/>
  <c r="O19" i="8"/>
  <c r="H19" i="8"/>
  <c r="D19" i="8"/>
  <c r="AB18" i="8"/>
  <c r="U18" i="8"/>
  <c r="N18" i="8"/>
  <c r="G18" i="8"/>
  <c r="AB17" i="8"/>
  <c r="U17" i="8"/>
  <c r="N17" i="8"/>
  <c r="G17" i="8"/>
  <c r="AB16" i="8"/>
  <c r="U16" i="8"/>
  <c r="N16" i="8"/>
  <c r="G16" i="8"/>
  <c r="D2" i="8"/>
  <c r="D1" i="8"/>
  <c r="P26" i="1"/>
  <c r="P25" i="1"/>
  <c r="K26" i="1"/>
  <c r="K25" i="1"/>
  <c r="G25" i="1"/>
  <c r="D26" i="1"/>
  <c r="A26" i="1"/>
  <c r="A25" i="1"/>
  <c r="P23" i="1"/>
  <c r="P22" i="1"/>
  <c r="K22" i="1"/>
  <c r="K23" i="1"/>
  <c r="G22" i="1"/>
  <c r="D23" i="1"/>
  <c r="A23" i="1"/>
  <c r="A22" i="1"/>
  <c r="AK22" i="7"/>
  <c r="AC22" i="7"/>
  <c r="V22" i="7"/>
  <c r="O22" i="7"/>
  <c r="H22" i="7"/>
  <c r="D22" i="7"/>
  <c r="AB21" i="7"/>
  <c r="U21" i="7"/>
  <c r="N21" i="7"/>
  <c r="G21" i="7"/>
  <c r="AB20" i="7"/>
  <c r="U20" i="7"/>
  <c r="N20" i="7"/>
  <c r="G20" i="7"/>
  <c r="AB19" i="7"/>
  <c r="U19" i="7"/>
  <c r="N19" i="7"/>
  <c r="G19" i="7"/>
  <c r="AB18" i="7"/>
  <c r="U18" i="7"/>
  <c r="N18" i="7"/>
  <c r="G18" i="7"/>
  <c r="AB17" i="7"/>
  <c r="U17" i="7"/>
  <c r="N17" i="7"/>
  <c r="G17" i="7"/>
  <c r="AB16" i="7"/>
  <c r="U16" i="7"/>
  <c r="N16" i="7"/>
  <c r="G16" i="7"/>
  <c r="D2" i="7"/>
  <c r="D1" i="7"/>
  <c r="AD21" i="7" s="1"/>
  <c r="AJ16" i="6"/>
  <c r="AJ17" i="6"/>
  <c r="AJ18" i="6"/>
  <c r="AJ19" i="6"/>
  <c r="AJ20" i="6"/>
  <c r="AJ21" i="6"/>
  <c r="AB16" i="6"/>
  <c r="AB17" i="6"/>
  <c r="AB18" i="6"/>
  <c r="AB19" i="6"/>
  <c r="AB20" i="6"/>
  <c r="AB21" i="6"/>
  <c r="U16" i="6"/>
  <c r="U17" i="6"/>
  <c r="U18" i="6"/>
  <c r="U19" i="6"/>
  <c r="U20" i="6"/>
  <c r="U21" i="6"/>
  <c r="N21" i="6"/>
  <c r="N20" i="6"/>
  <c r="N19" i="6"/>
  <c r="N18" i="6"/>
  <c r="N17" i="6"/>
  <c r="N16" i="6"/>
  <c r="G16" i="6"/>
  <c r="G17" i="6"/>
  <c r="G18" i="6"/>
  <c r="G19" i="6"/>
  <c r="G20" i="6"/>
  <c r="G21" i="6"/>
  <c r="G16" i="4"/>
  <c r="G17" i="4"/>
  <c r="G18" i="4"/>
  <c r="G19" i="4"/>
  <c r="G20" i="4"/>
  <c r="G21" i="4"/>
  <c r="AG14" i="6"/>
  <c r="AK22" i="6"/>
  <c r="AC22" i="6"/>
  <c r="V22" i="6"/>
  <c r="O22" i="6"/>
  <c r="H22" i="6"/>
  <c r="D22" i="6"/>
  <c r="D2" i="6"/>
  <c r="D1" i="6"/>
  <c r="AM9" i="3"/>
  <c r="AK9" i="3"/>
  <c r="AK10" i="3"/>
  <c r="AK11" i="3"/>
  <c r="AK12" i="3"/>
  <c r="AK13" i="3"/>
  <c r="AK14" i="3"/>
  <c r="AI16" i="4"/>
  <c r="AI17" i="4"/>
  <c r="AI18" i="4"/>
  <c r="AI19" i="4"/>
  <c r="AI20" i="4"/>
  <c r="AI21" i="4"/>
  <c r="BL22" i="4"/>
  <c r="BE22" i="4"/>
  <c r="BD16" i="4"/>
  <c r="BD17" i="4"/>
  <c r="BD18" i="4"/>
  <c r="BD19" i="4"/>
  <c r="BD20" i="4"/>
  <c r="BD21" i="4"/>
  <c r="AX22" i="4"/>
  <c r="AW16" i="4"/>
  <c r="AW17" i="4"/>
  <c r="BZ17" i="4" s="1"/>
  <c r="AW18" i="4"/>
  <c r="AW19" i="4"/>
  <c r="BZ19" i="4" s="1"/>
  <c r="AW20" i="4"/>
  <c r="AW21" i="4"/>
  <c r="AQ22" i="4"/>
  <c r="AP16" i="4"/>
  <c r="AP17" i="4"/>
  <c r="AP18" i="4"/>
  <c r="AP19" i="4"/>
  <c r="AP20" i="4"/>
  <c r="AP21" i="4"/>
  <c r="AJ22" i="4"/>
  <c r="AC22" i="4"/>
  <c r="AB16" i="4"/>
  <c r="AB17" i="4"/>
  <c r="AB18" i="4"/>
  <c r="AB19" i="4"/>
  <c r="AB20" i="4"/>
  <c r="AB21" i="4"/>
  <c r="O22" i="4"/>
  <c r="N16" i="4"/>
  <c r="N17" i="4"/>
  <c r="N18" i="4"/>
  <c r="N19" i="4"/>
  <c r="N20" i="4"/>
  <c r="N21" i="4"/>
  <c r="V22" i="4"/>
  <c r="H22" i="4"/>
  <c r="BK21" i="4"/>
  <c r="CP21" i="4" s="1"/>
  <c r="BK20" i="4"/>
  <c r="BK19" i="4"/>
  <c r="BK18" i="4"/>
  <c r="BK17" i="4"/>
  <c r="BK16" i="4"/>
  <c r="U50" i="1" l="1"/>
  <c r="U49" i="1"/>
  <c r="U53" i="1"/>
  <c r="U54" i="1"/>
  <c r="G42" i="1"/>
  <c r="G26" i="1"/>
  <c r="G37" i="1"/>
  <c r="G40" i="1"/>
  <c r="S40" i="1" s="1"/>
  <c r="T40" i="1" s="1"/>
  <c r="P37" i="1"/>
  <c r="U52" i="1"/>
  <c r="AG19" i="6"/>
  <c r="AT18" i="6"/>
  <c r="BZ21" i="4"/>
  <c r="S43" i="1"/>
  <c r="T43" i="1" s="1"/>
  <c r="S44" i="1"/>
  <c r="T44" i="1" s="1"/>
  <c r="S45" i="1"/>
  <c r="T45" i="1" s="1"/>
  <c r="S36" i="1"/>
  <c r="T36" i="1" s="1"/>
  <c r="S39" i="1"/>
  <c r="T39" i="1" s="1"/>
  <c r="S38" i="1"/>
  <c r="T38" i="1" s="1"/>
  <c r="S41" i="1"/>
  <c r="T41" i="1" s="1"/>
  <c r="S42" i="1"/>
  <c r="T42" i="1" s="1"/>
  <c r="S35" i="1"/>
  <c r="T35" i="1" s="1"/>
  <c r="K34" i="1"/>
  <c r="S34" i="1" s="1"/>
  <c r="T34" i="1" s="1"/>
  <c r="S46" i="1"/>
  <c r="T46" i="1" s="1"/>
  <c r="G23" i="1"/>
  <c r="S32" i="1"/>
  <c r="T32" i="1" s="1"/>
  <c r="S48" i="1"/>
  <c r="T48" i="1" s="1"/>
  <c r="S33" i="1"/>
  <c r="T33" i="1" s="1"/>
  <c r="S47" i="1"/>
  <c r="T47" i="1" s="1"/>
  <c r="U19" i="8"/>
  <c r="I17" i="8"/>
  <c r="G19" i="8"/>
  <c r="AT18" i="8"/>
  <c r="AU18" i="8" s="1"/>
  <c r="AT19" i="6"/>
  <c r="T16" i="8"/>
  <c r="X16" i="8" s="1"/>
  <c r="I18" i="8"/>
  <c r="AT21" i="6"/>
  <c r="AT17" i="6"/>
  <c r="I16" i="8"/>
  <c r="AB19" i="8"/>
  <c r="AT17" i="8"/>
  <c r="AU17" i="8" s="1"/>
  <c r="T18" i="8"/>
  <c r="X18" i="8" s="1"/>
  <c r="AT20" i="6"/>
  <c r="AT16" i="6"/>
  <c r="AJ19" i="8"/>
  <c r="T17" i="8"/>
  <c r="X17" i="8" s="1"/>
  <c r="N19" i="8"/>
  <c r="P16" i="8"/>
  <c r="AA16" i="8"/>
  <c r="AE16" i="8" s="1"/>
  <c r="AL16" i="8"/>
  <c r="P17" i="8"/>
  <c r="AA17" i="8"/>
  <c r="AE17" i="8" s="1"/>
  <c r="AL17" i="8"/>
  <c r="P18" i="8"/>
  <c r="AA18" i="8"/>
  <c r="AE18" i="8" s="1"/>
  <c r="AL18" i="8"/>
  <c r="F16" i="8"/>
  <c r="J16" i="8" s="1"/>
  <c r="W16" i="8"/>
  <c r="F17" i="8"/>
  <c r="J17" i="8" s="1"/>
  <c r="W17" i="8"/>
  <c r="F18" i="8"/>
  <c r="J18" i="8" s="1"/>
  <c r="W18" i="8"/>
  <c r="M16" i="8"/>
  <c r="Q16" i="8" s="1"/>
  <c r="AD16" i="8"/>
  <c r="AI16" i="8"/>
  <c r="AM16" i="8" s="1"/>
  <c r="AT16" i="8"/>
  <c r="M17" i="8"/>
  <c r="Q17" i="8" s="1"/>
  <c r="AD17" i="8"/>
  <c r="AI17" i="8"/>
  <c r="AM17" i="8" s="1"/>
  <c r="M18" i="8"/>
  <c r="Q18" i="8" s="1"/>
  <c r="AD18" i="8"/>
  <c r="AI18" i="8"/>
  <c r="AM18" i="8" s="1"/>
  <c r="AI16" i="7"/>
  <c r="AM16" i="7" s="1"/>
  <c r="M21" i="7"/>
  <c r="Q21" i="7" s="1"/>
  <c r="AT17" i="7"/>
  <c r="AU17" i="7" s="1"/>
  <c r="AB22" i="7"/>
  <c r="P16" i="7"/>
  <c r="M17" i="7"/>
  <c r="Q17" i="7" s="1"/>
  <c r="AA17" i="7"/>
  <c r="AE17" i="7" s="1"/>
  <c r="AL17" i="7"/>
  <c r="P18" i="7"/>
  <c r="P19" i="7"/>
  <c r="P20" i="7"/>
  <c r="P21" i="7"/>
  <c r="G22" i="7"/>
  <c r="AT16" i="7"/>
  <c r="AU16" i="7" s="1"/>
  <c r="AJ22" i="7"/>
  <c r="AT18" i="7"/>
  <c r="AU18" i="7" s="1"/>
  <c r="AL18" i="7"/>
  <c r="AT19" i="7"/>
  <c r="AU19" i="7" s="1"/>
  <c r="AL19" i="7"/>
  <c r="AT20" i="7"/>
  <c r="AU20" i="7" s="1"/>
  <c r="AL20" i="7"/>
  <c r="AT21" i="7"/>
  <c r="AU21" i="7" s="1"/>
  <c r="AL21" i="7"/>
  <c r="M16" i="7"/>
  <c r="Q16" i="7" s="1"/>
  <c r="AA16" i="7"/>
  <c r="AE16" i="7" s="1"/>
  <c r="AL16" i="7"/>
  <c r="P17" i="7"/>
  <c r="AI17" i="7"/>
  <c r="AM17" i="7" s="1"/>
  <c r="M18" i="7"/>
  <c r="Q18" i="7" s="1"/>
  <c r="AA18" i="7"/>
  <c r="AE18" i="7" s="1"/>
  <c r="AA19" i="7"/>
  <c r="AE19" i="7" s="1"/>
  <c r="AA20" i="7"/>
  <c r="AE20" i="7" s="1"/>
  <c r="AA21" i="7"/>
  <c r="AE21" i="7" s="1"/>
  <c r="AF21" i="7" s="1"/>
  <c r="AD16" i="7"/>
  <c r="I16" i="7"/>
  <c r="T16" i="7"/>
  <c r="X16" i="7" s="1"/>
  <c r="I17" i="7"/>
  <c r="T17" i="7"/>
  <c r="X17" i="7" s="1"/>
  <c r="I18" i="7"/>
  <c r="T18" i="7"/>
  <c r="X18" i="7" s="1"/>
  <c r="I19" i="7"/>
  <c r="T19" i="7"/>
  <c r="X19" i="7" s="1"/>
  <c r="I20" i="7"/>
  <c r="T20" i="7"/>
  <c r="X20" i="7" s="1"/>
  <c r="I21" i="7"/>
  <c r="T21" i="7"/>
  <c r="X21" i="7" s="1"/>
  <c r="N22" i="7"/>
  <c r="U22" i="7"/>
  <c r="F16" i="7"/>
  <c r="J16" i="7" s="1"/>
  <c r="W16" i="7"/>
  <c r="F17" i="7"/>
  <c r="J17" i="7" s="1"/>
  <c r="W17" i="7"/>
  <c r="F18" i="7"/>
  <c r="J18" i="7" s="1"/>
  <c r="W18" i="7"/>
  <c r="F19" i="7"/>
  <c r="J19" i="7" s="1"/>
  <c r="W19" i="7"/>
  <c r="F20" i="7"/>
  <c r="J20" i="7" s="1"/>
  <c r="W20" i="7"/>
  <c r="F21" i="7"/>
  <c r="J21" i="7" s="1"/>
  <c r="W21" i="7"/>
  <c r="AD17" i="7"/>
  <c r="AD18" i="7"/>
  <c r="AI18" i="7"/>
  <c r="AM18" i="7" s="1"/>
  <c r="M19" i="7"/>
  <c r="Q19" i="7" s="1"/>
  <c r="AD19" i="7"/>
  <c r="AI19" i="7"/>
  <c r="AM19" i="7" s="1"/>
  <c r="M20" i="7"/>
  <c r="Q20" i="7" s="1"/>
  <c r="AD20" i="7"/>
  <c r="AI20" i="7"/>
  <c r="AM20" i="7" s="1"/>
  <c r="AI21" i="7"/>
  <c r="AM21" i="7" s="1"/>
  <c r="AG17" i="6"/>
  <c r="AG20" i="6"/>
  <c r="AG18" i="6"/>
  <c r="AG16" i="6"/>
  <c r="AD16" i="6"/>
  <c r="AG21" i="6"/>
  <c r="P16" i="6"/>
  <c r="P17" i="6"/>
  <c r="F16" i="6"/>
  <c r="J16" i="6" s="1"/>
  <c r="AA16" i="6"/>
  <c r="AE16" i="6" s="1"/>
  <c r="AI16" i="6"/>
  <c r="AM16" i="6" s="1"/>
  <c r="M16" i="6"/>
  <c r="Q16" i="6" s="1"/>
  <c r="AU21" i="6"/>
  <c r="AU17" i="6"/>
  <c r="AA17" i="6"/>
  <c r="AE17" i="6" s="1"/>
  <c r="AU20" i="6"/>
  <c r="BZ18" i="4"/>
  <c r="BZ20" i="4"/>
  <c r="BZ16" i="4"/>
  <c r="AU19" i="6"/>
  <c r="T18" i="6"/>
  <c r="X18" i="6" s="1"/>
  <c r="T19" i="6"/>
  <c r="X19" i="6" s="1"/>
  <c r="T21" i="6"/>
  <c r="X21" i="6" s="1"/>
  <c r="T17" i="6"/>
  <c r="X17" i="6" s="1"/>
  <c r="W16" i="6"/>
  <c r="AA19" i="6"/>
  <c r="AE19" i="6" s="1"/>
  <c r="AB22" i="6"/>
  <c r="AA20" i="6"/>
  <c r="AE20" i="6" s="1"/>
  <c r="AA18" i="6"/>
  <c r="AE18" i="6" s="1"/>
  <c r="W18" i="6"/>
  <c r="AU18" i="6"/>
  <c r="AD19" i="6"/>
  <c r="I20" i="6"/>
  <c r="AL20" i="6"/>
  <c r="AJ22" i="6"/>
  <c r="AI20" i="6"/>
  <c r="AM20" i="6" s="1"/>
  <c r="AI21" i="6"/>
  <c r="AM21" i="6" s="1"/>
  <c r="AI17" i="6"/>
  <c r="AM17" i="6" s="1"/>
  <c r="AI19" i="6"/>
  <c r="AM19" i="6" s="1"/>
  <c r="P21" i="6"/>
  <c r="U22" i="6"/>
  <c r="G22" i="6"/>
  <c r="F20" i="6"/>
  <c r="J20" i="6" s="1"/>
  <c r="F21" i="6"/>
  <c r="J21" i="6" s="1"/>
  <c r="F17" i="6"/>
  <c r="J17" i="6" s="1"/>
  <c r="F19" i="6"/>
  <c r="J19" i="6" s="1"/>
  <c r="AD21" i="6"/>
  <c r="W20" i="6"/>
  <c r="P19" i="6"/>
  <c r="AL18" i="6"/>
  <c r="I18" i="6"/>
  <c r="AD17" i="6"/>
  <c r="W21" i="6"/>
  <c r="P20" i="6"/>
  <c r="AL19" i="6"/>
  <c r="I19" i="6"/>
  <c r="AD18" i="6"/>
  <c r="W17" i="6"/>
  <c r="AL21" i="6"/>
  <c r="I21" i="6"/>
  <c r="AD20" i="6"/>
  <c r="W19" i="6"/>
  <c r="P18" i="6"/>
  <c r="AL17" i="6"/>
  <c r="I17" i="6"/>
  <c r="I16" i="6"/>
  <c r="M21" i="6"/>
  <c r="Q21" i="6" s="1"/>
  <c r="M17" i="6"/>
  <c r="Q17" i="6" s="1"/>
  <c r="M18" i="6"/>
  <c r="Q18" i="6" s="1"/>
  <c r="N22" i="6"/>
  <c r="M20" i="6"/>
  <c r="Q20" i="6" s="1"/>
  <c r="T16" i="6"/>
  <c r="X16" i="6" s="1"/>
  <c r="AL16" i="6"/>
  <c r="F18" i="6"/>
  <c r="J18" i="6" s="1"/>
  <c r="AI18" i="6"/>
  <c r="AM18" i="6" s="1"/>
  <c r="M19" i="6"/>
  <c r="Q19" i="6" s="1"/>
  <c r="T20" i="6"/>
  <c r="X20" i="6" s="1"/>
  <c r="AR20" i="6" s="1"/>
  <c r="AA21" i="6"/>
  <c r="AE21" i="6" s="1"/>
  <c r="BD22" i="4"/>
  <c r="BK22" i="4"/>
  <c r="N22" i="4"/>
  <c r="AW22" i="4"/>
  <c r="AP22" i="4"/>
  <c r="AI22" i="4"/>
  <c r="AB22" i="4"/>
  <c r="BJ18" i="4"/>
  <c r="BN18" i="4" s="1"/>
  <c r="BJ20" i="4"/>
  <c r="BN20" i="4" s="1"/>
  <c r="BJ19" i="4"/>
  <c r="BN19" i="4" s="1"/>
  <c r="BJ17" i="4"/>
  <c r="BN17" i="4" s="1"/>
  <c r="BJ21" i="4"/>
  <c r="BN21" i="4" s="1"/>
  <c r="BJ16" i="4"/>
  <c r="BN16" i="4" s="1"/>
  <c r="AV21" i="4"/>
  <c r="AZ21" i="4" s="1"/>
  <c r="U16" i="4"/>
  <c r="U17" i="4"/>
  <c r="U18" i="4"/>
  <c r="U19" i="4"/>
  <c r="U20" i="4"/>
  <c r="U21" i="4"/>
  <c r="CL18" i="4"/>
  <c r="CL19" i="4"/>
  <c r="D22" i="4"/>
  <c r="S37" i="1" l="1"/>
  <c r="T37" i="1" s="1"/>
  <c r="AN17" i="7"/>
  <c r="AN20" i="7"/>
  <c r="R17" i="6"/>
  <c r="R20" i="7"/>
  <c r="AF20" i="7"/>
  <c r="R18" i="7"/>
  <c r="AQ21" i="6"/>
  <c r="AQ16" i="6"/>
  <c r="K17" i="8"/>
  <c r="J19" i="8"/>
  <c r="K18" i="8"/>
  <c r="R17" i="8"/>
  <c r="X19" i="8"/>
  <c r="AR18" i="8"/>
  <c r="R21" i="7"/>
  <c r="AN18" i="8"/>
  <c r="AR17" i="8"/>
  <c r="R16" i="8"/>
  <c r="P19" i="8"/>
  <c r="AM19" i="8"/>
  <c r="AF17" i="8"/>
  <c r="AN16" i="8"/>
  <c r="AL19" i="8"/>
  <c r="AF18" i="8"/>
  <c r="Q19" i="8"/>
  <c r="W19" i="8"/>
  <c r="Y16" i="8"/>
  <c r="AQ16" i="8"/>
  <c r="AN17" i="8"/>
  <c r="AE19" i="8"/>
  <c r="AT19" i="8"/>
  <c r="AU16" i="8"/>
  <c r="AQ17" i="8"/>
  <c r="Y17" i="8"/>
  <c r="AD19" i="8"/>
  <c r="AF16" i="8"/>
  <c r="AQ18" i="8"/>
  <c r="Y18" i="8"/>
  <c r="I19" i="8"/>
  <c r="R18" i="8"/>
  <c r="K16" i="8"/>
  <c r="AR16" i="8"/>
  <c r="AN19" i="7"/>
  <c r="AN16" i="7"/>
  <c r="R16" i="7"/>
  <c r="AN21" i="7"/>
  <c r="AN18" i="7"/>
  <c r="R19" i="7"/>
  <c r="P22" i="7"/>
  <c r="J22" i="7"/>
  <c r="R17" i="7"/>
  <c r="AF19" i="7"/>
  <c r="AF18" i="7"/>
  <c r="AE22" i="7"/>
  <c r="K21" i="7"/>
  <c r="K19" i="7"/>
  <c r="K17" i="7"/>
  <c r="AQ19" i="6"/>
  <c r="AQ17" i="6"/>
  <c r="AQ18" i="6"/>
  <c r="AR19" i="6"/>
  <c r="Q22" i="7"/>
  <c r="AL22" i="7"/>
  <c r="AR16" i="6"/>
  <c r="AQ20" i="6"/>
  <c r="AR17" i="6"/>
  <c r="AR18" i="7"/>
  <c r="AR18" i="6"/>
  <c r="AR21" i="6"/>
  <c r="AF17" i="7"/>
  <c r="AT22" i="7"/>
  <c r="AQ21" i="7"/>
  <c r="Y21" i="7"/>
  <c r="AQ19" i="7"/>
  <c r="Y19" i="7"/>
  <c r="AQ17" i="7"/>
  <c r="Y17" i="7"/>
  <c r="AM22" i="7"/>
  <c r="W22" i="7"/>
  <c r="AQ16" i="7"/>
  <c r="Y16" i="7"/>
  <c r="AR21" i="7"/>
  <c r="AR19" i="7"/>
  <c r="AR17" i="7"/>
  <c r="AD22" i="7"/>
  <c r="AF16" i="7"/>
  <c r="AR20" i="7"/>
  <c r="AR16" i="7"/>
  <c r="X22" i="7"/>
  <c r="AQ20" i="7"/>
  <c r="Y20" i="7"/>
  <c r="AQ18" i="7"/>
  <c r="Y18" i="7"/>
  <c r="K20" i="7"/>
  <c r="K18" i="7"/>
  <c r="K16" i="7"/>
  <c r="I22" i="7"/>
  <c r="R16" i="6"/>
  <c r="AF17" i="6"/>
  <c r="AF16" i="6"/>
  <c r="AF18" i="6"/>
  <c r="AF19" i="6"/>
  <c r="AN21" i="6"/>
  <c r="K21" i="6"/>
  <c r="AN17" i="6"/>
  <c r="R18" i="6"/>
  <c r="AF20" i="6"/>
  <c r="AN19" i="6"/>
  <c r="J22" i="6"/>
  <c r="AE22" i="6"/>
  <c r="P22" i="6"/>
  <c r="K17" i="6"/>
  <c r="AM22" i="6"/>
  <c r="Q22" i="6"/>
  <c r="Y17" i="6"/>
  <c r="K19" i="6"/>
  <c r="R19" i="6"/>
  <c r="AF21" i="6"/>
  <c r="AD22" i="6"/>
  <c r="Y18" i="6"/>
  <c r="AL22" i="6"/>
  <c r="AN16" i="6"/>
  <c r="X22" i="6"/>
  <c r="Y19" i="6"/>
  <c r="Y21" i="6"/>
  <c r="K18" i="6"/>
  <c r="AT22" i="6"/>
  <c r="AU16" i="6"/>
  <c r="AN20" i="6"/>
  <c r="Y20" i="6"/>
  <c r="R21" i="6"/>
  <c r="W22" i="6"/>
  <c r="Y16" i="6"/>
  <c r="I22" i="6"/>
  <c r="K16" i="6"/>
  <c r="R20" i="6"/>
  <c r="AN18" i="6"/>
  <c r="K20" i="6"/>
  <c r="CL21" i="4"/>
  <c r="CL20" i="4"/>
  <c r="CL16" i="4"/>
  <c r="CL17" i="4"/>
  <c r="CF19" i="4"/>
  <c r="BT19" i="4"/>
  <c r="BT18" i="4"/>
  <c r="CF18" i="4"/>
  <c r="CF21" i="4"/>
  <c r="BT21" i="4"/>
  <c r="CF17" i="4"/>
  <c r="BT17" i="4"/>
  <c r="CF20" i="4"/>
  <c r="BT20" i="4"/>
  <c r="BT16" i="4"/>
  <c r="BN22" i="4"/>
  <c r="G22" i="4"/>
  <c r="U22" i="4"/>
  <c r="AO21" i="4"/>
  <c r="AS21" i="4" s="1"/>
  <c r="AH17" i="4"/>
  <c r="AL17" i="4" s="1"/>
  <c r="AA16" i="4"/>
  <c r="AE16" i="4" s="1"/>
  <c r="T16" i="4"/>
  <c r="X16" i="4" s="1"/>
  <c r="AV19" i="4"/>
  <c r="AZ19" i="4" s="1"/>
  <c r="BC21" i="4"/>
  <c r="BG21" i="4" s="1"/>
  <c r="BX21" i="4" s="1"/>
  <c r="AV17" i="4"/>
  <c r="AZ17" i="4" s="1"/>
  <c r="T18" i="4"/>
  <c r="X18" i="4" s="1"/>
  <c r="AA18" i="4"/>
  <c r="AE18" i="4" s="1"/>
  <c r="T19" i="4"/>
  <c r="X19" i="4" s="1"/>
  <c r="AA19" i="4"/>
  <c r="AE19" i="4" s="1"/>
  <c r="AH19" i="4"/>
  <c r="AL19" i="4" s="1"/>
  <c r="AH18" i="4"/>
  <c r="AL18" i="4" s="1"/>
  <c r="AV18" i="4"/>
  <c r="AZ18" i="4" s="1"/>
  <c r="BC16" i="4"/>
  <c r="BG16" i="4" s="1"/>
  <c r="T21" i="4"/>
  <c r="X21" i="4" s="1"/>
  <c r="T17" i="4"/>
  <c r="X17" i="4" s="1"/>
  <c r="AA21" i="4"/>
  <c r="AE21" i="4" s="1"/>
  <c r="AA17" i="4"/>
  <c r="AE17" i="4" s="1"/>
  <c r="AV16" i="4"/>
  <c r="AZ16" i="4" s="1"/>
  <c r="AV20" i="4"/>
  <c r="AZ20" i="4" s="1"/>
  <c r="T20" i="4"/>
  <c r="X20" i="4" s="1"/>
  <c r="AA20" i="4"/>
  <c r="AE20" i="4" s="1"/>
  <c r="BC17" i="4"/>
  <c r="BG17" i="4" s="1"/>
  <c r="BC18" i="4"/>
  <c r="BG18" i="4" s="1"/>
  <c r="BC19" i="4"/>
  <c r="BG19" i="4" s="1"/>
  <c r="BC20" i="4"/>
  <c r="BG20" i="4" s="1"/>
  <c r="AO16" i="4"/>
  <c r="AS16" i="4" s="1"/>
  <c r="AO17" i="4"/>
  <c r="AS17" i="4" s="1"/>
  <c r="AO18" i="4"/>
  <c r="AS18" i="4" s="1"/>
  <c r="AO19" i="4"/>
  <c r="AS19" i="4" s="1"/>
  <c r="AO20" i="4"/>
  <c r="AS20" i="4" s="1"/>
  <c r="AH21" i="4"/>
  <c r="AL21" i="4" s="1"/>
  <c r="AH16" i="4"/>
  <c r="AL16" i="4" s="1"/>
  <c r="AH20" i="4"/>
  <c r="AL20" i="4" s="1"/>
  <c r="F16" i="4"/>
  <c r="J16" i="4" s="1"/>
  <c r="F20" i="4"/>
  <c r="J20" i="4" s="1"/>
  <c r="F19" i="4"/>
  <c r="J19" i="4" s="1"/>
  <c r="F18" i="4"/>
  <c r="J18" i="4" s="1"/>
  <c r="F21" i="4"/>
  <c r="J21" i="4" s="1"/>
  <c r="F17" i="4"/>
  <c r="J17" i="4" s="1"/>
  <c r="D2" i="4"/>
  <c r="D1" i="4"/>
  <c r="AF9" i="3"/>
  <c r="AF10" i="3"/>
  <c r="AF11" i="3"/>
  <c r="AF12" i="3"/>
  <c r="AF13" i="3"/>
  <c r="AF14" i="3"/>
  <c r="T9" i="3"/>
  <c r="T10" i="3"/>
  <c r="T11" i="3"/>
  <c r="T12" i="3"/>
  <c r="T13" i="3"/>
  <c r="T14" i="3"/>
  <c r="Z9" i="3"/>
  <c r="Z10" i="3"/>
  <c r="Z11" i="3"/>
  <c r="Z12" i="3"/>
  <c r="Z13" i="3"/>
  <c r="Z14" i="3"/>
  <c r="AD15" i="3"/>
  <c r="AC15" i="3"/>
  <c r="X15" i="3"/>
  <c r="W15" i="3"/>
  <c r="R15" i="3"/>
  <c r="Q15" i="3"/>
  <c r="L15" i="3"/>
  <c r="K15" i="3"/>
  <c r="G15" i="3"/>
  <c r="N14" i="3"/>
  <c r="N13" i="3"/>
  <c r="N11" i="3"/>
  <c r="N10" i="3"/>
  <c r="N9" i="3"/>
  <c r="N12" i="3"/>
  <c r="I9" i="3"/>
  <c r="I14" i="3"/>
  <c r="I13" i="3"/>
  <c r="I12" i="3"/>
  <c r="I11" i="3"/>
  <c r="I10" i="3"/>
  <c r="D1" i="3"/>
  <c r="H12" i="3" s="1"/>
  <c r="D2" i="3"/>
  <c r="AG15" i="3"/>
  <c r="AG14" i="3"/>
  <c r="AG13" i="3"/>
  <c r="AG12" i="3"/>
  <c r="AG11" i="3"/>
  <c r="AG10" i="3"/>
  <c r="AG9" i="3"/>
  <c r="G12" i="1"/>
  <c r="P11" i="1"/>
  <c r="K11" i="1"/>
  <c r="Q26" i="1"/>
  <c r="Q25" i="1"/>
  <c r="Q23" i="1"/>
  <c r="Q22" i="1"/>
  <c r="G24" i="1"/>
  <c r="G27" i="1"/>
  <c r="G28" i="1"/>
  <c r="G29" i="1"/>
  <c r="G30" i="1"/>
  <c r="G55" i="1"/>
  <c r="K24" i="1"/>
  <c r="K27" i="1"/>
  <c r="K30" i="1"/>
  <c r="K55" i="1"/>
  <c r="P24" i="1"/>
  <c r="P27" i="1"/>
  <c r="P30" i="1"/>
  <c r="P55" i="1"/>
  <c r="Q24" i="1"/>
  <c r="Q27" i="1"/>
  <c r="Q28" i="1"/>
  <c r="Q29" i="1"/>
  <c r="Q30" i="1"/>
  <c r="Q31" i="1"/>
  <c r="Q55" i="1"/>
  <c r="P15" i="1"/>
  <c r="K15" i="1"/>
  <c r="G20" i="1"/>
  <c r="G19" i="1"/>
  <c r="G18" i="1"/>
  <c r="G17" i="1"/>
  <c r="G16" i="1"/>
  <c r="G15" i="1"/>
  <c r="P8" i="1"/>
  <c r="P9" i="1"/>
  <c r="P10" i="1"/>
  <c r="P12" i="1"/>
  <c r="P13" i="1"/>
  <c r="P14" i="1"/>
  <c r="P16" i="1"/>
  <c r="P17" i="1"/>
  <c r="P18" i="1"/>
  <c r="P19" i="1"/>
  <c r="P20" i="1"/>
  <c r="P21" i="1"/>
  <c r="G13" i="1"/>
  <c r="G11" i="1"/>
  <c r="G10" i="1"/>
  <c r="G9" i="1"/>
  <c r="G8" i="1"/>
  <c r="K8" i="1"/>
  <c r="K9" i="1"/>
  <c r="K10" i="1"/>
  <c r="K12" i="1"/>
  <c r="K13" i="1"/>
  <c r="K14" i="1"/>
  <c r="K16" i="1"/>
  <c r="K17" i="1"/>
  <c r="K18" i="1"/>
  <c r="K19" i="1"/>
  <c r="K20" i="1"/>
  <c r="K21" i="1"/>
  <c r="G21" i="1"/>
  <c r="Q20" i="1"/>
  <c r="Q21" i="1"/>
  <c r="G14" i="1"/>
  <c r="Q8" i="1"/>
  <c r="Q9" i="1"/>
  <c r="Q10" i="1"/>
  <c r="Q11" i="1"/>
  <c r="Q12" i="1"/>
  <c r="Q13" i="1"/>
  <c r="Q14" i="1"/>
  <c r="Q15" i="1"/>
  <c r="Q16" i="1"/>
  <c r="Q17" i="1"/>
  <c r="Q18" i="1"/>
  <c r="Q19" i="1"/>
  <c r="K19" i="8" l="1"/>
  <c r="AR19" i="8"/>
  <c r="AN19" i="8"/>
  <c r="AS18" i="8"/>
  <c r="AV18" i="8" s="1"/>
  <c r="AS17" i="8"/>
  <c r="AV17" i="8" s="1"/>
  <c r="AQ19" i="8"/>
  <c r="AF19" i="8"/>
  <c r="AS16" i="8"/>
  <c r="Y19" i="8"/>
  <c r="R19" i="8"/>
  <c r="Y13" i="3"/>
  <c r="AS20" i="6"/>
  <c r="R22" i="7"/>
  <c r="S21" i="1"/>
  <c r="T21" i="1" s="1"/>
  <c r="S17" i="1"/>
  <c r="T17" i="1" s="1"/>
  <c r="S22" i="1"/>
  <c r="T22" i="1" s="1"/>
  <c r="S26" i="1"/>
  <c r="T26" i="1" s="1"/>
  <c r="S12" i="1"/>
  <c r="T12" i="1" s="1"/>
  <c r="AN22" i="7"/>
  <c r="AS21" i="7"/>
  <c r="AV21" i="7" s="1"/>
  <c r="AS19" i="7"/>
  <c r="AV19" i="7" s="1"/>
  <c r="AS17" i="6"/>
  <c r="AS20" i="7"/>
  <c r="AV20" i="7" s="1"/>
  <c r="AS17" i="7"/>
  <c r="AV17" i="7" s="1"/>
  <c r="AS16" i="6"/>
  <c r="AS21" i="6"/>
  <c r="AS19" i="6"/>
  <c r="AS18" i="6"/>
  <c r="K22" i="7"/>
  <c r="AR22" i="7"/>
  <c r="AQ22" i="7"/>
  <c r="AS18" i="7"/>
  <c r="AV18" i="7" s="1"/>
  <c r="AF22" i="7"/>
  <c r="AS16" i="7"/>
  <c r="Y22" i="7"/>
  <c r="R22" i="6"/>
  <c r="M11" i="3"/>
  <c r="K22" i="6"/>
  <c r="AN22" i="6"/>
  <c r="AF22" i="6"/>
  <c r="Y22" i="6"/>
  <c r="AI9" i="3"/>
  <c r="BX18" i="4"/>
  <c r="CD18" i="4" s="1"/>
  <c r="BX17" i="4"/>
  <c r="CD17" i="4" s="1"/>
  <c r="BR20" i="4"/>
  <c r="CD21" i="4"/>
  <c r="BR17" i="4"/>
  <c r="BX16" i="4"/>
  <c r="CD16" i="4" s="1"/>
  <c r="BR21" i="4"/>
  <c r="BR18" i="4"/>
  <c r="BR16" i="4"/>
  <c r="BR19" i="4"/>
  <c r="BX20" i="4"/>
  <c r="CD20" i="4" s="1"/>
  <c r="BX19" i="4"/>
  <c r="CD19" i="4" s="1"/>
  <c r="CM17" i="4"/>
  <c r="CM19" i="4"/>
  <c r="BZ22" i="4"/>
  <c r="CF16" i="4"/>
  <c r="CM20" i="4"/>
  <c r="CM21" i="4"/>
  <c r="BT22" i="4"/>
  <c r="CM18" i="4"/>
  <c r="BM18" i="4"/>
  <c r="BO18" i="4" s="1"/>
  <c r="BF17" i="4"/>
  <c r="BH17" i="4" s="1"/>
  <c r="BF21" i="4"/>
  <c r="BH21" i="4" s="1"/>
  <c r="AY16" i="4"/>
  <c r="BA16" i="4" s="1"/>
  <c r="AY20" i="4"/>
  <c r="BA20" i="4" s="1"/>
  <c r="AR19" i="4"/>
  <c r="AT19" i="4" s="1"/>
  <c r="AK16" i="4"/>
  <c r="AM16" i="4" s="1"/>
  <c r="AK20" i="4"/>
  <c r="AM20" i="4" s="1"/>
  <c r="BM19" i="4"/>
  <c r="BO19" i="4" s="1"/>
  <c r="BF18" i="4"/>
  <c r="BH18" i="4" s="1"/>
  <c r="AY17" i="4"/>
  <c r="BA17" i="4" s="1"/>
  <c r="AY21" i="4"/>
  <c r="BA21" i="4" s="1"/>
  <c r="AR16" i="4"/>
  <c r="AT16" i="4" s="1"/>
  <c r="AR20" i="4"/>
  <c r="AT20" i="4" s="1"/>
  <c r="AK17" i="4"/>
  <c r="AM17" i="4" s="1"/>
  <c r="AK21" i="4"/>
  <c r="AM21" i="4" s="1"/>
  <c r="BF16" i="4"/>
  <c r="BH16" i="4" s="1"/>
  <c r="AK19" i="4"/>
  <c r="AM19" i="4" s="1"/>
  <c r="AY19" i="4"/>
  <c r="BA19" i="4" s="1"/>
  <c r="AR18" i="4"/>
  <c r="AT18" i="4" s="1"/>
  <c r="BM16" i="4"/>
  <c r="BO16" i="4" s="1"/>
  <c r="BM20" i="4"/>
  <c r="BO20" i="4" s="1"/>
  <c r="BF19" i="4"/>
  <c r="BH19" i="4" s="1"/>
  <c r="AY18" i="4"/>
  <c r="BA18" i="4" s="1"/>
  <c r="AR17" i="4"/>
  <c r="AT17" i="4" s="1"/>
  <c r="AR21" i="4"/>
  <c r="AT21" i="4" s="1"/>
  <c r="AK18" i="4"/>
  <c r="AM18" i="4" s="1"/>
  <c r="BM17" i="4"/>
  <c r="BO17" i="4" s="1"/>
  <c r="BM21" i="4"/>
  <c r="BO21" i="4" s="1"/>
  <c r="BF20" i="4"/>
  <c r="BH20" i="4" s="1"/>
  <c r="AS22" i="4"/>
  <c r="AZ22" i="4"/>
  <c r="BG22" i="4"/>
  <c r="AL22" i="4"/>
  <c r="AD18" i="4"/>
  <c r="AF18" i="4" s="1"/>
  <c r="P18" i="4"/>
  <c r="AD20" i="4"/>
  <c r="AF20" i="4" s="1"/>
  <c r="AD19" i="4"/>
  <c r="AF19" i="4" s="1"/>
  <c r="P19" i="4"/>
  <c r="AD16" i="4"/>
  <c r="AF16" i="4" s="1"/>
  <c r="P16" i="4"/>
  <c r="AD17" i="4"/>
  <c r="AF17" i="4" s="1"/>
  <c r="AD21" i="4"/>
  <c r="AF21" i="4" s="1"/>
  <c r="P17" i="4"/>
  <c r="P21" i="4"/>
  <c r="P20" i="4"/>
  <c r="AE22" i="4"/>
  <c r="X22" i="4"/>
  <c r="J22" i="4"/>
  <c r="W16" i="4"/>
  <c r="Y16" i="4" s="1"/>
  <c r="W20" i="4"/>
  <c r="Y20" i="4" s="1"/>
  <c r="W17" i="4"/>
  <c r="Y17" i="4" s="1"/>
  <c r="W21" i="4"/>
  <c r="Y21" i="4" s="1"/>
  <c r="W18" i="4"/>
  <c r="Y18" i="4" s="1"/>
  <c r="W19" i="4"/>
  <c r="Y19" i="4" s="1"/>
  <c r="I16" i="4"/>
  <c r="K16" i="4" s="1"/>
  <c r="I20" i="4"/>
  <c r="K20" i="4" s="1"/>
  <c r="I21" i="4"/>
  <c r="K21" i="4" s="1"/>
  <c r="I19" i="4"/>
  <c r="K19" i="4" s="1"/>
  <c r="I17" i="4"/>
  <c r="K17" i="4" s="1"/>
  <c r="I18" i="4"/>
  <c r="K18" i="4" s="1"/>
  <c r="S9" i="1"/>
  <c r="T9" i="1" s="1"/>
  <c r="S23" i="1"/>
  <c r="T23" i="1" s="1"/>
  <c r="S16" i="1"/>
  <c r="T16" i="1" s="1"/>
  <c r="S20" i="1"/>
  <c r="T20" i="1" s="1"/>
  <c r="S29" i="1"/>
  <c r="T29" i="1" s="1"/>
  <c r="S11" i="1"/>
  <c r="T11" i="1" s="1"/>
  <c r="S18" i="1"/>
  <c r="T18" i="1" s="1"/>
  <c r="S55" i="1"/>
  <c r="T55" i="1" s="1"/>
  <c r="S28" i="1"/>
  <c r="T28" i="1" s="1"/>
  <c r="S25" i="1"/>
  <c r="T25" i="1" s="1"/>
  <c r="S14" i="1"/>
  <c r="T14" i="1" s="1"/>
  <c r="S8" i="1"/>
  <c r="T8" i="1" s="1"/>
  <c r="S13" i="1"/>
  <c r="T13" i="1" s="1"/>
  <c r="S15" i="1"/>
  <c r="T15" i="1" s="1"/>
  <c r="S19" i="1"/>
  <c r="T19" i="1" s="1"/>
  <c r="S31" i="1"/>
  <c r="T31" i="1" s="1"/>
  <c r="S27" i="1"/>
  <c r="T27" i="1" s="1"/>
  <c r="S30" i="1"/>
  <c r="T30" i="1" s="1"/>
  <c r="S10" i="1"/>
  <c r="T10" i="1" s="1"/>
  <c r="N15" i="3"/>
  <c r="S12" i="3"/>
  <c r="Y10" i="3"/>
  <c r="AE12" i="3"/>
  <c r="AI12" i="3"/>
  <c r="S11" i="3"/>
  <c r="Y9" i="3"/>
  <c r="AE11" i="3"/>
  <c r="AI11" i="3"/>
  <c r="AI13" i="3"/>
  <c r="M12" i="3"/>
  <c r="Y14" i="3"/>
  <c r="AI14" i="3"/>
  <c r="AI10" i="3"/>
  <c r="M13" i="3"/>
  <c r="M9" i="3"/>
  <c r="S13" i="3"/>
  <c r="S9" i="3"/>
  <c r="Y11" i="3"/>
  <c r="AE13" i="3"/>
  <c r="AE9" i="3"/>
  <c r="M14" i="3"/>
  <c r="M10" i="3"/>
  <c r="S14" i="3"/>
  <c r="S10" i="3"/>
  <c r="Y12" i="3"/>
  <c r="AE14" i="3"/>
  <c r="AE10" i="3"/>
  <c r="Z15" i="3"/>
  <c r="T15" i="3"/>
  <c r="AF15" i="3"/>
  <c r="I15" i="3"/>
  <c r="H11" i="3"/>
  <c r="H14" i="3"/>
  <c r="H10" i="3"/>
  <c r="H13" i="3"/>
  <c r="H9" i="3"/>
  <c r="S24" i="1"/>
  <c r="T24" i="1" s="1"/>
  <c r="AS19" i="8" l="1"/>
  <c r="AV16" i="8"/>
  <c r="Y15" i="3"/>
  <c r="AS22" i="7"/>
  <c r="AV16" i="7"/>
  <c r="AV21" i="6"/>
  <c r="AV19" i="6"/>
  <c r="AV18" i="6"/>
  <c r="AR22" i="6"/>
  <c r="AV20" i="6"/>
  <c r="AV17" i="6"/>
  <c r="BO22" i="4"/>
  <c r="BH22" i="4"/>
  <c r="CM16" i="4"/>
  <c r="BA22" i="4"/>
  <c r="AT22" i="4"/>
  <c r="AM22" i="4"/>
  <c r="AF22" i="4"/>
  <c r="Y22" i="4"/>
  <c r="K22" i="4"/>
  <c r="BQ19" i="4"/>
  <c r="BS19" i="4" s="1"/>
  <c r="BQ20" i="4"/>
  <c r="BS20" i="4" s="1"/>
  <c r="CF22" i="4"/>
  <c r="BQ17" i="4"/>
  <c r="BS17" i="4" s="1"/>
  <c r="BW18" i="4"/>
  <c r="CC18" i="4" s="1"/>
  <c r="BW21" i="4"/>
  <c r="BY21" i="4" s="1"/>
  <c r="BW16" i="4"/>
  <c r="BY16" i="4" s="1"/>
  <c r="BX22" i="4"/>
  <c r="BQ18" i="4"/>
  <c r="BS18" i="4" s="1"/>
  <c r="BR22" i="4"/>
  <c r="BQ16" i="4"/>
  <c r="BQ21" i="4"/>
  <c r="BS21" i="4" s="1"/>
  <c r="BW20" i="4"/>
  <c r="BY20" i="4" s="1"/>
  <c r="CD22" i="4"/>
  <c r="BW19" i="4"/>
  <c r="BY19" i="4" s="1"/>
  <c r="BW17" i="4"/>
  <c r="BY17" i="4" s="1"/>
  <c r="AK22" i="4"/>
  <c r="BM22" i="4"/>
  <c r="BF22" i="4"/>
  <c r="AR22" i="4"/>
  <c r="AY22" i="4"/>
  <c r="AD22" i="4"/>
  <c r="P22" i="4"/>
  <c r="W22" i="4"/>
  <c r="I22" i="4"/>
  <c r="AH12" i="3"/>
  <c r="AJ12" i="3" s="1"/>
  <c r="AH9" i="3"/>
  <c r="AJ9" i="3" s="1"/>
  <c r="AH11" i="3"/>
  <c r="AJ11" i="3" s="1"/>
  <c r="S15" i="3"/>
  <c r="AH10" i="3"/>
  <c r="AJ10" i="3" s="1"/>
  <c r="M15" i="3"/>
  <c r="H15" i="3"/>
  <c r="AH13" i="3"/>
  <c r="AJ13" i="3" s="1"/>
  <c r="AH14" i="3"/>
  <c r="AJ14" i="3" s="1"/>
  <c r="AI15" i="3"/>
  <c r="F43" i="1" l="1"/>
  <c r="O43" i="1"/>
  <c r="J43" i="1"/>
  <c r="F44" i="1"/>
  <c r="O44" i="1"/>
  <c r="J44" i="1"/>
  <c r="F45" i="1"/>
  <c r="O45" i="1"/>
  <c r="J45" i="1"/>
  <c r="F36" i="1"/>
  <c r="O36" i="1"/>
  <c r="J36" i="1"/>
  <c r="F37" i="1"/>
  <c r="O37" i="1"/>
  <c r="J37" i="1"/>
  <c r="F38" i="1"/>
  <c r="O38" i="1"/>
  <c r="J38" i="1"/>
  <c r="F39" i="1"/>
  <c r="O39" i="1"/>
  <c r="J39" i="1"/>
  <c r="F40" i="1"/>
  <c r="O40" i="1"/>
  <c r="J40" i="1"/>
  <c r="F41" i="1"/>
  <c r="O41" i="1"/>
  <c r="J41" i="1"/>
  <c r="F42" i="1"/>
  <c r="O42" i="1"/>
  <c r="J34" i="1"/>
  <c r="J42" i="1"/>
  <c r="O34" i="1"/>
  <c r="F34" i="1"/>
  <c r="J35" i="1"/>
  <c r="F35" i="1"/>
  <c r="O35" i="1"/>
  <c r="F46" i="1"/>
  <c r="O46" i="1"/>
  <c r="J46" i="1"/>
  <c r="F32" i="1"/>
  <c r="O32" i="1"/>
  <c r="J32" i="1"/>
  <c r="F33" i="1"/>
  <c r="O33" i="1"/>
  <c r="J33" i="1"/>
  <c r="F47" i="1"/>
  <c r="O47" i="1"/>
  <c r="J47" i="1"/>
  <c r="F48" i="1"/>
  <c r="O48" i="1"/>
  <c r="J48" i="1"/>
  <c r="AQ22" i="6"/>
  <c r="CL22" i="4"/>
  <c r="CC16" i="4"/>
  <c r="CI16" i="4" s="1"/>
  <c r="BY18" i="4"/>
  <c r="BY22" i="4" s="1"/>
  <c r="CC21" i="4"/>
  <c r="CE21" i="4" s="1"/>
  <c r="CE18" i="4"/>
  <c r="CI18" i="4"/>
  <c r="BS16" i="4"/>
  <c r="BS22" i="4" s="1"/>
  <c r="BQ22" i="4"/>
  <c r="CC20" i="4"/>
  <c r="CC17" i="4"/>
  <c r="CI17" i="4" s="1"/>
  <c r="BW22" i="4"/>
  <c r="CC19" i="4"/>
  <c r="AH15" i="3"/>
  <c r="AJ15" i="3"/>
  <c r="O26" i="1"/>
  <c r="F26" i="1"/>
  <c r="O25" i="1"/>
  <c r="F25" i="1"/>
  <c r="J23" i="1"/>
  <c r="J22" i="1"/>
  <c r="J26" i="1"/>
  <c r="J25" i="1"/>
  <c r="O23" i="1"/>
  <c r="F23" i="1"/>
  <c r="O22" i="1"/>
  <c r="F22" i="1"/>
  <c r="F30" i="1"/>
  <c r="J30" i="1"/>
  <c r="O30" i="1"/>
  <c r="J24" i="1"/>
  <c r="J55" i="1"/>
  <c r="O24" i="1"/>
  <c r="O55" i="1"/>
  <c r="F27" i="1"/>
  <c r="F31" i="1"/>
  <c r="J27" i="1"/>
  <c r="J31" i="1"/>
  <c r="O27" i="1"/>
  <c r="O31" i="1"/>
  <c r="F24" i="1"/>
  <c r="F55" i="1"/>
  <c r="J28" i="1"/>
  <c r="F29" i="1"/>
  <c r="J29" i="1"/>
  <c r="O29" i="1"/>
  <c r="F28" i="1"/>
  <c r="O28" i="1"/>
  <c r="F20" i="1"/>
  <c r="J20" i="1"/>
  <c r="F21" i="1"/>
  <c r="J21" i="1"/>
  <c r="O20" i="1"/>
  <c r="O21" i="1"/>
  <c r="F9" i="1"/>
  <c r="F13" i="1"/>
  <c r="F16" i="1"/>
  <c r="J9" i="1"/>
  <c r="J16" i="1"/>
  <c r="O13" i="1"/>
  <c r="F10" i="1"/>
  <c r="F17" i="1"/>
  <c r="J10" i="1"/>
  <c r="J17" i="1"/>
  <c r="O10" i="1"/>
  <c r="O17" i="1"/>
  <c r="F11" i="1"/>
  <c r="F14" i="1"/>
  <c r="F18" i="1"/>
  <c r="J11" i="1"/>
  <c r="J14" i="1"/>
  <c r="J18" i="1"/>
  <c r="O11" i="1"/>
  <c r="O14" i="1"/>
  <c r="O18" i="1"/>
  <c r="F8" i="1"/>
  <c r="F12" i="1"/>
  <c r="F15" i="1"/>
  <c r="F19" i="1"/>
  <c r="J8" i="1"/>
  <c r="J12" i="1"/>
  <c r="J15" i="1"/>
  <c r="J19" i="1"/>
  <c r="O8" i="1"/>
  <c r="O12" i="1"/>
  <c r="O15" i="1"/>
  <c r="O19" i="1"/>
  <c r="J13" i="1"/>
  <c r="O9" i="1"/>
  <c r="O16" i="1"/>
  <c r="R43" i="1" l="1"/>
  <c r="U43" i="1" s="1"/>
  <c r="R44" i="1"/>
  <c r="U44" i="1" s="1"/>
  <c r="R45" i="1"/>
  <c r="U45" i="1" s="1"/>
  <c r="R36" i="1"/>
  <c r="U36" i="1" s="1"/>
  <c r="R37" i="1"/>
  <c r="U37" i="1" s="1"/>
  <c r="R38" i="1"/>
  <c r="U38" i="1" s="1"/>
  <c r="R39" i="1"/>
  <c r="U39" i="1" s="1"/>
  <c r="R41" i="1"/>
  <c r="U41" i="1" s="1"/>
  <c r="R40" i="1"/>
  <c r="U40" i="1" s="1"/>
  <c r="R34" i="1"/>
  <c r="U34" i="1" s="1"/>
  <c r="R42" i="1"/>
  <c r="U42" i="1" s="1"/>
  <c r="R46" i="1"/>
  <c r="U46" i="1" s="1"/>
  <c r="R35" i="1"/>
  <c r="U35" i="1" s="1"/>
  <c r="R32" i="1"/>
  <c r="U32" i="1" s="1"/>
  <c r="R33" i="1"/>
  <c r="U33" i="1" s="1"/>
  <c r="R47" i="1"/>
  <c r="U47" i="1" s="1"/>
  <c r="R48" i="1"/>
  <c r="U48" i="1" s="1"/>
  <c r="AS22" i="6"/>
  <c r="AV16" i="6"/>
  <c r="CE16" i="4"/>
  <c r="CI21" i="4"/>
  <c r="CE17" i="4"/>
  <c r="CI20" i="4"/>
  <c r="CE20" i="4"/>
  <c r="CE19" i="4"/>
  <c r="CI19" i="4"/>
  <c r="CC22" i="4"/>
  <c r="R8" i="1"/>
  <c r="U8" i="1" s="1"/>
  <c r="R55" i="1"/>
  <c r="U55" i="1" s="1"/>
  <c r="R18" i="1"/>
  <c r="U18" i="1" s="1"/>
  <c r="R10" i="1"/>
  <c r="U10" i="1" s="1"/>
  <c r="R12" i="1"/>
  <c r="U12" i="1" s="1"/>
  <c r="R17" i="1"/>
  <c r="U17" i="1" s="1"/>
  <c r="R9" i="1"/>
  <c r="U9" i="1" s="1"/>
  <c r="R20" i="1"/>
  <c r="U20" i="1" s="1"/>
  <c r="R24" i="1"/>
  <c r="U24" i="1" s="1"/>
  <c r="R30" i="1"/>
  <c r="U30" i="1" s="1"/>
  <c r="R23" i="1"/>
  <c r="U23" i="1" s="1"/>
  <c r="R25" i="1"/>
  <c r="U25" i="1" s="1"/>
  <c r="R19" i="1"/>
  <c r="U19" i="1" s="1"/>
  <c r="R14" i="1"/>
  <c r="U14" i="1" s="1"/>
  <c r="R16" i="1"/>
  <c r="U16" i="1" s="1"/>
  <c r="R29" i="1"/>
  <c r="U29" i="1" s="1"/>
  <c r="R31" i="1"/>
  <c r="U31" i="1" s="1"/>
  <c r="R22" i="1"/>
  <c r="U22" i="1" s="1"/>
  <c r="R15" i="1"/>
  <c r="U15" i="1" s="1"/>
  <c r="R11" i="1"/>
  <c r="U11" i="1" s="1"/>
  <c r="R13" i="1"/>
  <c r="U13" i="1" s="1"/>
  <c r="R21" i="1"/>
  <c r="U21" i="1" s="1"/>
  <c r="R28" i="1"/>
  <c r="U28" i="1" s="1"/>
  <c r="R27" i="1"/>
  <c r="U27" i="1" s="1"/>
  <c r="R26" i="1"/>
  <c r="U26" i="1" s="1"/>
  <c r="CE22" i="4" l="1"/>
  <c r="CI22" i="4"/>
  <c r="Q1048505" i="1"/>
  <c r="F15" i="3"/>
  <c r="M18" i="4"/>
  <c r="Q18" i="4" s="1"/>
  <c r="R18" i="4" s="1"/>
  <c r="M19" i="4"/>
  <c r="Q19" i="4" s="1"/>
  <c r="R19" i="4" s="1"/>
  <c r="M21" i="4"/>
  <c r="Q21" i="4" s="1"/>
  <c r="R21" i="4" s="1"/>
  <c r="M20" i="4"/>
  <c r="Q20" i="4" s="1"/>
  <c r="R20" i="4" s="1"/>
  <c r="M17" i="4"/>
  <c r="Q17" i="4" s="1"/>
  <c r="R17" i="4" s="1"/>
  <c r="M16" i="4"/>
  <c r="Q16" i="4" s="1"/>
  <c r="CJ16" i="4" l="1"/>
  <c r="CK16" i="4" s="1"/>
  <c r="CN16" i="4" s="1"/>
  <c r="R16" i="4"/>
  <c r="R22" i="4" s="1"/>
  <c r="CJ21" i="4"/>
  <c r="CK21" i="4" s="1"/>
  <c r="CN21" i="4" s="1"/>
  <c r="CJ18" i="4"/>
  <c r="CK18" i="4" s="1"/>
  <c r="CN18" i="4" s="1"/>
  <c r="CJ20" i="4"/>
  <c r="CK20" i="4" s="1"/>
  <c r="CN20" i="4" s="1"/>
  <c r="CJ19" i="4"/>
  <c r="CK19" i="4" s="1"/>
  <c r="CN19" i="4" s="1"/>
  <c r="CJ17" i="4"/>
  <c r="CK17" i="4" s="1"/>
  <c r="CN17" i="4" s="1"/>
  <c r="Q22" i="4"/>
  <c r="CJ22" i="4" l="1"/>
  <c r="CK2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R7" authorId="0" shapeId="0" xr:uid="{00000000-0006-0000-0000-00000100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ожидание - факт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H8" authorId="0" shapeId="0" xr:uid="{00000000-0006-0000-0100-00000100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ожидание - факт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1" authorId="0" shapeId="0" xr:uid="{00000000-0006-0000-0200-000001000000}">
      <text>
        <r>
          <rPr>
            <b/>
            <sz val="8"/>
            <color indexed="81"/>
            <rFont val="Tahoma"/>
            <charset val="1"/>
          </rPr>
          <t>user:</t>
        </r>
        <r>
          <rPr>
            <sz val="8"/>
            <color indexed="81"/>
            <rFont val="Tahoma"/>
            <charset val="1"/>
          </rPr>
          <t xml:space="preserve">
probabilities of winning in main pot</t>
        </r>
      </text>
    </comment>
    <comment ref="I1" authorId="0" shapeId="0" xr:uid="{00000000-0006-0000-0200-000002000000}">
      <text>
        <r>
          <rPr>
            <b/>
            <sz val="8"/>
            <color indexed="81"/>
            <rFont val="Tahoma"/>
            <charset val="1"/>
          </rPr>
          <t>user:</t>
        </r>
        <r>
          <rPr>
            <sz val="8"/>
            <color indexed="81"/>
            <rFont val="Tahoma"/>
            <charset val="1"/>
          </rPr>
          <t xml:space="preserve">
probabilities of winnings in side pot 1</t>
        </r>
      </text>
    </comment>
    <comment ref="N1" authorId="0" shapeId="0" xr:uid="{00000000-0006-0000-0200-000003000000}">
      <text>
        <r>
          <rPr>
            <b/>
            <sz val="8"/>
            <color indexed="81"/>
            <rFont val="Tahoma"/>
            <charset val="1"/>
          </rPr>
          <t>user:</t>
        </r>
        <r>
          <rPr>
            <sz val="8"/>
            <color indexed="81"/>
            <rFont val="Tahoma"/>
            <charset val="1"/>
          </rPr>
          <t xml:space="preserve">
probabilties of winnings if side pot 2</t>
        </r>
      </text>
    </comment>
    <comment ref="S1" authorId="0" shapeId="0" xr:uid="{00000000-0006-0000-0200-000004000000}">
      <text>
        <r>
          <rPr>
            <b/>
            <sz val="8"/>
            <color indexed="81"/>
            <rFont val="Tahoma"/>
            <charset val="1"/>
          </rPr>
          <t>user:</t>
        </r>
        <r>
          <rPr>
            <sz val="8"/>
            <color indexed="81"/>
            <rFont val="Tahoma"/>
            <charset val="1"/>
          </rPr>
          <t xml:space="preserve">
chips amount of all pots</t>
        </r>
      </text>
    </comment>
    <comment ref="C6" authorId="0" shapeId="0" xr:uid="{00000000-0006-0000-0200-000005000000}">
      <text>
        <r>
          <rPr>
            <b/>
            <sz val="8"/>
            <color indexed="81"/>
            <rFont val="Tahoma"/>
            <charset val="1"/>
          </rPr>
          <t>user:</t>
        </r>
        <r>
          <rPr>
            <sz val="8"/>
            <color indexed="81"/>
            <rFont val="Tahoma"/>
            <charset val="1"/>
          </rPr>
          <t xml:space="preserve">
2 players in hand case
p1win, p2win - probabilities of winnings
ICM1, ICM2 chip amount after player win or lose hand</t>
        </r>
      </text>
    </comment>
    <comment ref="F14" authorId="0" shapeId="0" xr:uid="{00000000-0006-0000-0200-000006000000}">
      <text>
        <r>
          <rPr>
            <b/>
            <sz val="8"/>
            <color indexed="81"/>
            <rFont val="Tahoma"/>
            <charset val="1"/>
          </rPr>
          <t>user:</t>
        </r>
        <r>
          <rPr>
            <sz val="8"/>
            <color indexed="81"/>
            <rFont val="Tahoma"/>
            <charset val="1"/>
          </rPr>
          <t xml:space="preserve">
outome 1 where 1st player wins main pot and all side pots. Also gets 3 bounties for knocking out 3 other opponents</t>
        </r>
      </text>
    </comment>
    <comment ref="M14" authorId="0" shapeId="0" xr:uid="{00000000-0006-0000-0200-000007000000}">
      <text>
        <r>
          <rPr>
            <b/>
            <sz val="8"/>
            <color indexed="81"/>
            <rFont val="Tahoma"/>
            <charset val="1"/>
          </rPr>
          <t>user:</t>
        </r>
        <r>
          <rPr>
            <sz val="8"/>
            <color indexed="81"/>
            <rFont val="Tahoma"/>
            <charset val="1"/>
          </rPr>
          <t xml:space="preserve">
outome 2 
2nd player wins main pot and all side pots. Also gets 2 bounties for knocking out 2 other opponents</t>
        </r>
      </text>
    </comment>
    <comment ref="A15" authorId="0" shapeId="0" xr:uid="{00000000-0006-0000-0200-000008000000}">
      <text>
        <r>
          <rPr>
            <b/>
            <sz val="8"/>
            <color indexed="81"/>
            <rFont val="Tahoma"/>
            <charset val="1"/>
          </rPr>
          <t>user:</t>
        </r>
        <r>
          <rPr>
            <sz val="8"/>
            <color indexed="81"/>
            <rFont val="Tahoma"/>
            <charset val="1"/>
          </rPr>
          <t xml:space="preserve">
source hand for calculation
number of player corresponds to the chip count</t>
        </r>
      </text>
    </comment>
    <comment ref="BQ15" authorId="0" shapeId="0" xr:uid="{00000000-0006-0000-0200-00000900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ожидание - факт</t>
        </r>
      </text>
    </comment>
    <comment ref="BW15" authorId="0" shapeId="0" xr:uid="{00000000-0006-0000-0200-00000A00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ожидание - факт</t>
        </r>
      </text>
    </comment>
    <comment ref="CC15" authorId="0" shapeId="0" xr:uid="{00000000-0006-0000-0200-00000B00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ожидание - факт</t>
        </r>
      </text>
    </comment>
    <comment ref="CI15" authorId="0" shapeId="0" xr:uid="{00000000-0006-0000-0200-00000C00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ожидание - факт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Q15" authorId="0" shapeId="0" xr:uid="{00000000-0006-0000-0300-00000100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ожидание - факт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Q15" authorId="0" shapeId="0" xr:uid="{00000000-0006-0000-0400-00000100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ожидание - факт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Q15" authorId="0" shapeId="0" xr:uid="{00000000-0006-0000-0500-00000100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ожидание - факт</t>
        </r>
      </text>
    </comment>
  </commentList>
</comments>
</file>

<file path=xl/sharedStrings.xml><?xml version="1.0" encoding="utf-8"?>
<sst xmlns="http://schemas.openxmlformats.org/spreadsheetml/2006/main" count="631" uniqueCount="202">
  <si>
    <t>hand</t>
  </si>
  <si>
    <t>KO</t>
  </si>
  <si>
    <t>prize</t>
  </si>
  <si>
    <t>pWin</t>
  </si>
  <si>
    <t>Diff</t>
  </si>
  <si>
    <t>KODiff</t>
  </si>
  <si>
    <t xml:space="preserve"> 2</t>
  </si>
  <si>
    <t>Fact</t>
  </si>
  <si>
    <t>KOFact</t>
  </si>
  <si>
    <t>lose</t>
  </si>
  <si>
    <t>Lose</t>
  </si>
  <si>
    <t>Win</t>
  </si>
  <si>
    <t>ICMFact</t>
  </si>
  <si>
    <t>ICMwin</t>
  </si>
  <si>
    <t>ICMlose</t>
  </si>
  <si>
    <t>ICMdiff</t>
  </si>
  <si>
    <t>totalDiff</t>
  </si>
  <si>
    <t>KOmoneyDiff</t>
  </si>
  <si>
    <t>EQlose</t>
  </si>
  <si>
    <t>EQwin</t>
  </si>
  <si>
    <t>Kolose</t>
  </si>
  <si>
    <t>Kowin</t>
  </si>
  <si>
    <t>eqdiff</t>
  </si>
  <si>
    <t>stackwin</t>
  </si>
  <si>
    <t>stacklose</t>
  </si>
  <si>
    <t>stackfact</t>
  </si>
  <si>
    <t>Eqfact</t>
  </si>
  <si>
    <t>Kqo</t>
  </si>
  <si>
    <t>stack</t>
  </si>
  <si>
    <t>Ako</t>
  </si>
  <si>
    <t>JJ</t>
  </si>
  <si>
    <t>JTs</t>
  </si>
  <si>
    <t>AA</t>
  </si>
  <si>
    <t>EV diff =</t>
  </si>
  <si>
    <t xml:space="preserve">KO diff = </t>
  </si>
  <si>
    <t>[pWin] * [ICMwin] + ( 1 - [pWin]) * [ICMlose] - [ICMFact]</t>
  </si>
  <si>
    <t>[pWin] * [KOwin] + (1 - [pWin]) * [KOlose] - [KOFact]</t>
  </si>
  <si>
    <t>if player get bounty add 1 to KO</t>
  </si>
  <si>
    <t>случаи</t>
  </si>
  <si>
    <t>3вэй аллин</t>
  </si>
  <si>
    <t>4вэй аллин</t>
  </si>
  <si>
    <t>5вый аллин</t>
  </si>
  <si>
    <t>автоаллин</t>
  </si>
  <si>
    <t>4 макс 3ой аллин</t>
  </si>
  <si>
    <t>5 макс 4вэй аллин</t>
  </si>
  <si>
    <t>3 макс 3вэй аллин</t>
  </si>
  <si>
    <t>в 3вэй 2 игрока делят баунти</t>
  </si>
  <si>
    <t>Ato</t>
  </si>
  <si>
    <t>Aqs</t>
  </si>
  <si>
    <t>1st player Win</t>
  </si>
  <si>
    <t>2nd player Win</t>
  </si>
  <si>
    <t>stack1</t>
  </si>
  <si>
    <t>EQ1</t>
  </si>
  <si>
    <t>ICM1</t>
  </si>
  <si>
    <t>KO1</t>
  </si>
  <si>
    <t>stack2</t>
  </si>
  <si>
    <t>EQ2</t>
  </si>
  <si>
    <t>ICM2</t>
  </si>
  <si>
    <t>KO2</t>
  </si>
  <si>
    <t>players1</t>
  </si>
  <si>
    <t>KO22</t>
  </si>
  <si>
    <t>players2</t>
  </si>
  <si>
    <t xml:space="preserve"> 3</t>
  </si>
  <si>
    <t>playersf</t>
  </si>
  <si>
    <t>stackf</t>
  </si>
  <si>
    <t>EQf</t>
  </si>
  <si>
    <t>players</t>
  </si>
  <si>
    <t>chips</t>
  </si>
  <si>
    <t>side pot 1st player Win</t>
  </si>
  <si>
    <t>side pot 2nd player Win</t>
  </si>
  <si>
    <t>stackside1</t>
  </si>
  <si>
    <t>EQside1</t>
  </si>
  <si>
    <t>ICMside1</t>
  </si>
  <si>
    <t>KOside1</t>
  </si>
  <si>
    <t>playersside1</t>
  </si>
  <si>
    <t>playersside2</t>
  </si>
  <si>
    <t>stackside2</t>
  </si>
  <si>
    <t>EQside2</t>
  </si>
  <si>
    <t>ICMside2</t>
  </si>
  <si>
    <t>KOside2</t>
  </si>
  <si>
    <t>ICMd</t>
  </si>
  <si>
    <t>KOd</t>
  </si>
  <si>
    <t>totald</t>
  </si>
  <si>
    <t>ICMf</t>
  </si>
  <si>
    <t>KOf</t>
  </si>
  <si>
    <t>p1win</t>
  </si>
  <si>
    <t>p2win</t>
  </si>
  <si>
    <t>p3win</t>
  </si>
  <si>
    <t>p1spwin</t>
  </si>
  <si>
    <t>p2spwin</t>
  </si>
  <si>
    <t>mainpot</t>
  </si>
  <si>
    <t>sidepot</t>
  </si>
  <si>
    <t>EV=</t>
  </si>
  <si>
    <t>p3win*(p1spwin*[@ICMside1]+(1-p1spwin)*[@ICMside2])+p2win*[@ICM2]+p1win*[@ICM1] -[@ICMf]</t>
  </si>
  <si>
    <t>p3win*(p1spwin*[@ICMside1]+(1-p1spwin)*[@ICMside2])+p2win*[@ICM2]+p1win*[@ICM1]</t>
  </si>
  <si>
    <t>EV3=</t>
  </si>
  <si>
    <t>EV4=</t>
  </si>
  <si>
    <t>EV2=</t>
  </si>
  <si>
    <t>p1win*[ICM1]+(1-p1win)*[ICM2]</t>
  </si>
  <si>
    <t>p4win*(EV3sp1)+p3win(EV2sp2)+p2win[@ICM2]+p1win*[@ICM1]</t>
  </si>
  <si>
    <t>Side pot 1</t>
  </si>
  <si>
    <t>Side pot 2</t>
  </si>
  <si>
    <t>main pot</t>
  </si>
  <si>
    <t>банк где учавствуют все игроки</t>
  </si>
  <si>
    <t>side pot образуется если больше 2 человек в АИ</t>
  </si>
  <si>
    <t>если есть side pot 2 в нем учавствуют топ 2, а в сайд пот 1 учавствуют топ 3</t>
  </si>
  <si>
    <t>1 случай топ1 выиграл</t>
  </si>
  <si>
    <t>2 случай топ2 выиграл</t>
  </si>
  <si>
    <t>получает все фишки со всех банков, + ноки, отсальные обнуляются</t>
  </si>
  <si>
    <t>3 случай топ3 выиглал</t>
  </si>
  <si>
    <t>получает сайд1 и мэйн + нок за 1 игрока</t>
  </si>
  <si>
    <t>считаем эквити между топ1 и топ2</t>
  </si>
  <si>
    <t xml:space="preserve">выиграл топ1 </t>
  </si>
  <si>
    <t>получает сайд2 и нок за топ2</t>
  </si>
  <si>
    <t>выиграл топ2</t>
  </si>
  <si>
    <t>получает сайд2</t>
  </si>
  <si>
    <t>4 случай топ4 выиграл</t>
  </si>
  <si>
    <t>получает мэйн</t>
  </si>
  <si>
    <t>считаем эквити между топ1 топ2 топ3</t>
  </si>
  <si>
    <t>получает сайд1 и сайд2 + 2 нока за топ2 и топ3</t>
  </si>
  <si>
    <t>получает сайд1 и сайд2 + 1 нок за топ3</t>
  </si>
  <si>
    <t>выйграл топ3</t>
  </si>
  <si>
    <t>получает сайд1</t>
  </si>
  <si>
    <t>считаем эквити между топ1 топ2 топ3 топ4</t>
  </si>
  <si>
    <t xml:space="preserve">Алгоритм расчета </t>
  </si>
  <si>
    <t>p4win</t>
  </si>
  <si>
    <t>p1sp1win</t>
  </si>
  <si>
    <t>p2sp1win</t>
  </si>
  <si>
    <t>p3sp1win</t>
  </si>
  <si>
    <t>p1sp2win</t>
  </si>
  <si>
    <t>p2sp2win</t>
  </si>
  <si>
    <t>sidepot1</t>
  </si>
  <si>
    <t>sidepot2</t>
  </si>
  <si>
    <t>KsQh</t>
  </si>
  <si>
    <t>KcTd</t>
  </si>
  <si>
    <t>5s5c</t>
  </si>
  <si>
    <t>4d4s</t>
  </si>
  <si>
    <t>uncalled</t>
  </si>
  <si>
    <t>3rd player Win</t>
  </si>
  <si>
    <t>4rd player Win</t>
  </si>
  <si>
    <t>Total</t>
  </si>
  <si>
    <t>p</t>
  </si>
  <si>
    <t>EQ</t>
  </si>
  <si>
    <t>ICM</t>
  </si>
  <si>
    <t>side pot 1</t>
  </si>
  <si>
    <t>3rd Player Win Side pot 2</t>
  </si>
  <si>
    <t>EV</t>
  </si>
  <si>
    <t>chipEV</t>
  </si>
  <si>
    <t>cEVdiff</t>
  </si>
  <si>
    <t>Evdiff</t>
  </si>
  <si>
    <t>$stack</t>
  </si>
  <si>
    <t>T_p1</t>
  </si>
  <si>
    <t>T_p3p1</t>
  </si>
  <si>
    <t>T_p2</t>
  </si>
  <si>
    <t>T_p3p2</t>
  </si>
  <si>
    <t>T_p4p1</t>
  </si>
  <si>
    <t>T_p4p2</t>
  </si>
  <si>
    <t>T_p4p3p1</t>
  </si>
  <si>
    <t>T_p4p3p2</t>
  </si>
  <si>
    <t>T_fact</t>
  </si>
  <si>
    <t>T_EV_p3sp2</t>
  </si>
  <si>
    <t>T_EV_p4p3sp2</t>
  </si>
  <si>
    <t>T_EV_p4sp1</t>
  </si>
  <si>
    <t>AdKd</t>
  </si>
  <si>
    <t>Ah6c</t>
  </si>
  <si>
    <t>QdTs</t>
  </si>
  <si>
    <t>side pot</t>
  </si>
  <si>
    <t>p3win*(p1sp1win*T_p3p1[@ICM]+(1-p1sp1win)*T_p3p1[@ICM])+p2win*T_p2[@ICM]+p1win*T_p1[@ICM]</t>
  </si>
  <si>
    <t>KhQs</t>
  </si>
  <si>
    <t>AhQd</t>
  </si>
  <si>
    <t>Kc8d</t>
  </si>
  <si>
    <t>Kd8h</t>
  </si>
  <si>
    <t>AcAs</t>
  </si>
  <si>
    <t>Ah4s</t>
  </si>
  <si>
    <t>Qh9h</t>
  </si>
  <si>
    <t>KdQd</t>
  </si>
  <si>
    <t>Ah9s</t>
  </si>
  <si>
    <t>TcTs</t>
  </si>
  <si>
    <t>As3h</t>
  </si>
  <si>
    <t>Ad7d</t>
  </si>
  <si>
    <t>Kd9h</t>
  </si>
  <si>
    <t>Jc6c</t>
  </si>
  <si>
    <t>As9c</t>
  </si>
  <si>
    <t>KhJh</t>
  </si>
  <si>
    <t>AcQh</t>
  </si>
  <si>
    <t>AhTs</t>
  </si>
  <si>
    <t>T7o</t>
  </si>
  <si>
    <t>Aqd</t>
  </si>
  <si>
    <t>76h</t>
  </si>
  <si>
    <t>sat16\round1\2way\hero-push-sb-call.txt</t>
  </si>
  <si>
    <t>65o</t>
  </si>
  <si>
    <t>A3s</t>
  </si>
  <si>
    <t>cEVDiff</t>
  </si>
  <si>
    <t>A3o</t>
  </si>
  <si>
    <t>J9s</t>
  </si>
  <si>
    <t>sat16\round1\2way\sb-push-hero-call.txt</t>
  </si>
  <si>
    <t>J6h</t>
  </si>
  <si>
    <t>QhQd</t>
  </si>
  <si>
    <t>sat16\round1\2way\hero-call-bvb.txt</t>
  </si>
  <si>
    <t>6d8s</t>
  </si>
  <si>
    <t>8d9d</t>
  </si>
  <si>
    <t>sat16\round1\auto-ai.txt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</si>
</sst>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₽&quot;_-;\-* #,##0.00\ &quot;₽&quot;_-;_-* &quot;-&quot;??\ &quot;₽&quot;_-;_-@_-"/>
    <numFmt numFmtId="164" formatCode="_-* #,##0.00\ _₽_-;\-* #,##0.00\ _₽_-;_-* &quot;-&quot;??\ _₽_-;_-@_-"/>
    <numFmt numFmtId="165" formatCode="_-[$$-409]* #,##0.00_ ;_-[$$-409]* \-#,##0.00\ ;_-[$$-409]* &quot;-&quot;??_ ;_-@_ "/>
    <numFmt numFmtId="166" formatCode="_-* #,##0.000\ _₽_-;\-* #,##0.000\ _₽_-;_-* &quot;-&quot;??\ _₽_-;_-@_-"/>
    <numFmt numFmtId="167" formatCode="0.0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/>
      <bottom/>
      <diagonal/>
    </border>
    <border>
      <left/>
      <right style="thick">
        <color rgb="FF0070C0"/>
      </right>
      <top/>
      <bottom/>
      <diagonal/>
    </border>
    <border>
      <left style="thick">
        <color theme="8"/>
      </left>
      <right/>
      <top style="thick">
        <color theme="8"/>
      </top>
      <bottom style="thick">
        <color theme="8"/>
      </bottom>
      <diagonal/>
    </border>
    <border>
      <left/>
      <right/>
      <top style="thick">
        <color theme="8"/>
      </top>
      <bottom style="thick">
        <color theme="8"/>
      </bottom>
      <diagonal/>
    </border>
    <border>
      <left/>
      <right style="thick">
        <color theme="8"/>
      </right>
      <top style="thick">
        <color theme="8"/>
      </top>
      <bottom style="thick">
        <color theme="8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3">
    <xf numFmtId="0" fontId="0" fillId="0" borderId="0" xfId="0"/>
    <xf numFmtId="165" fontId="0" fillId="0" borderId="0" xfId="2" applyNumberFormat="1" applyFont="1"/>
    <xf numFmtId="165" fontId="0" fillId="0" borderId="0" xfId="0" applyNumberFormat="1"/>
    <xf numFmtId="166" fontId="0" fillId="0" borderId="0" xfId="1" applyNumberFormat="1" applyFont="1"/>
    <xf numFmtId="0" fontId="0" fillId="0" borderId="4" xfId="0" applyBorder="1"/>
    <xf numFmtId="0" fontId="0" fillId="0" borderId="0" xfId="0" applyBorder="1"/>
    <xf numFmtId="0" fontId="0" fillId="0" borderId="5" xfId="0" applyBorder="1"/>
    <xf numFmtId="165" fontId="0" fillId="0" borderId="5" xfId="0" applyNumberFormat="1" applyBorder="1"/>
    <xf numFmtId="0" fontId="0" fillId="0" borderId="9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165" fontId="0" fillId="0" borderId="4" xfId="0" applyNumberFormat="1" applyBorder="1"/>
    <xf numFmtId="0" fontId="0" fillId="2" borderId="0" xfId="0" applyFont="1" applyFill="1"/>
    <xf numFmtId="167" fontId="0" fillId="0" borderId="15" xfId="0" applyNumberFormat="1" applyBorder="1"/>
    <xf numFmtId="167" fontId="0" fillId="0" borderId="10" xfId="0" applyNumberFormat="1" applyBorder="1"/>
    <xf numFmtId="167" fontId="0" fillId="0" borderId="0" xfId="0" applyNumberFormat="1"/>
    <xf numFmtId="0" fontId="0" fillId="3" borderId="0" xfId="0" applyFill="1"/>
    <xf numFmtId="165" fontId="0" fillId="3" borderId="0" xfId="0" applyNumberFormat="1" applyFill="1"/>
    <xf numFmtId="0" fontId="0" fillId="3" borderId="14" xfId="0" applyFill="1" applyBorder="1"/>
    <xf numFmtId="167" fontId="0" fillId="3" borderId="15" xfId="0" applyNumberFormat="1" applyFill="1" applyBorder="1"/>
    <xf numFmtId="0" fontId="0" fillId="3" borderId="9" xfId="0" applyFill="1" applyBorder="1"/>
    <xf numFmtId="167" fontId="0" fillId="3" borderId="10" xfId="0" applyNumberFormat="1" applyFill="1" applyBorder="1"/>
    <xf numFmtId="165" fontId="0" fillId="3" borderId="4" xfId="0" applyNumberFormat="1" applyFill="1" applyBorder="1"/>
    <xf numFmtId="167" fontId="0" fillId="3" borderId="0" xfId="0" applyNumberFormat="1" applyFill="1"/>
    <xf numFmtId="165" fontId="0" fillId="3" borderId="5" xfId="0" applyNumberFormat="1" applyFill="1" applyBorder="1"/>
    <xf numFmtId="0" fontId="0" fillId="4" borderId="0" xfId="0" applyFill="1"/>
    <xf numFmtId="165" fontId="0" fillId="4" borderId="0" xfId="0" applyNumberFormat="1" applyFill="1"/>
    <xf numFmtId="167" fontId="0" fillId="4" borderId="0" xfId="0" applyNumberFormat="1" applyFill="1"/>
    <xf numFmtId="0" fontId="0" fillId="4" borderId="14" xfId="0" applyFill="1" applyBorder="1"/>
    <xf numFmtId="167" fontId="0" fillId="4" borderId="15" xfId="0" applyNumberFormat="1" applyFill="1" applyBorder="1"/>
    <xf numFmtId="0" fontId="0" fillId="4" borderId="9" xfId="0" applyFill="1" applyBorder="1"/>
    <xf numFmtId="167" fontId="0" fillId="4" borderId="10" xfId="0" applyNumberFormat="1" applyFill="1" applyBorder="1"/>
    <xf numFmtId="165" fontId="0" fillId="4" borderId="4" xfId="0" applyNumberFormat="1" applyFill="1" applyBorder="1"/>
    <xf numFmtId="165" fontId="0" fillId="4" borderId="5" xfId="0" applyNumberFormat="1" applyFill="1" applyBorder="1"/>
    <xf numFmtId="0" fontId="0" fillId="3" borderId="0" xfId="0" applyNumberFormat="1" applyFill="1"/>
    <xf numFmtId="0" fontId="5" fillId="0" borderId="0" xfId="0" applyFont="1"/>
    <xf numFmtId="0" fontId="0" fillId="0" borderId="0" xfId="0" applyFont="1"/>
    <xf numFmtId="0" fontId="0" fillId="0" borderId="0" xfId="0" applyNumberFormat="1"/>
    <xf numFmtId="0" fontId="0" fillId="4" borderId="0" xfId="0" applyNumberFormat="1" applyFill="1"/>
    <xf numFmtId="0" fontId="0" fillId="5" borderId="0" xfId="0" applyFill="1"/>
    <xf numFmtId="165" fontId="0" fillId="5" borderId="0" xfId="0" applyNumberFormat="1" applyFill="1"/>
    <xf numFmtId="167" fontId="0" fillId="5" borderId="0" xfId="0" applyNumberFormat="1" applyFill="1"/>
    <xf numFmtId="0" fontId="0" fillId="5" borderId="14" xfId="0" applyFill="1" applyBorder="1"/>
    <xf numFmtId="167" fontId="0" fillId="5" borderId="15" xfId="0" applyNumberFormat="1" applyFill="1" applyBorder="1"/>
    <xf numFmtId="0" fontId="0" fillId="5" borderId="9" xfId="0" applyFill="1" applyBorder="1"/>
    <xf numFmtId="167" fontId="0" fillId="5" borderId="10" xfId="0" applyNumberFormat="1" applyFill="1" applyBorder="1"/>
    <xf numFmtId="0" fontId="0" fillId="5" borderId="0" xfId="0" applyNumberFormat="1" applyFill="1"/>
    <xf numFmtId="165" fontId="0" fillId="5" borderId="4" xfId="0" applyNumberFormat="1" applyFill="1" applyBorder="1"/>
    <xf numFmtId="165" fontId="0" fillId="5" borderId="5" xfId="0" applyNumberFormat="1" applyFill="1" applyBorder="1"/>
    <xf numFmtId="0" fontId="6" fillId="5" borderId="0" xfId="0" applyFont="1" applyFill="1"/>
    <xf numFmtId="165" fontId="6" fillId="5" borderId="0" xfId="0" applyNumberFormat="1" applyFont="1" applyFill="1"/>
    <xf numFmtId="167" fontId="6" fillId="5" borderId="0" xfId="0" applyNumberFormat="1" applyFont="1" applyFill="1"/>
    <xf numFmtId="0" fontId="6" fillId="5" borderId="14" xfId="0" applyFont="1" applyFill="1" applyBorder="1"/>
    <xf numFmtId="0" fontId="6" fillId="5" borderId="9" xfId="0" applyFont="1" applyFill="1" applyBorder="1"/>
    <xf numFmtId="0" fontId="6" fillId="5" borderId="0" xfId="0" applyNumberFormat="1" applyFont="1" applyFill="1"/>
    <xf numFmtId="0" fontId="7" fillId="5" borderId="0" xfId="0" applyFont="1" applyFill="1"/>
    <xf numFmtId="165" fontId="7" fillId="5" borderId="0" xfId="0" applyNumberFormat="1" applyFont="1" applyFill="1"/>
    <xf numFmtId="167" fontId="7" fillId="5" borderId="0" xfId="0" applyNumberFormat="1" applyFont="1" applyFill="1"/>
    <xf numFmtId="0" fontId="7" fillId="5" borderId="14" xfId="0" applyFont="1" applyFill="1" applyBorder="1"/>
    <xf numFmtId="167" fontId="7" fillId="5" borderId="15" xfId="0" applyNumberFormat="1" applyFont="1" applyFill="1" applyBorder="1"/>
    <xf numFmtId="0" fontId="7" fillId="5" borderId="9" xfId="0" applyFont="1" applyFill="1" applyBorder="1"/>
    <xf numFmtId="167" fontId="7" fillId="5" borderId="10" xfId="0" applyNumberFormat="1" applyFont="1" applyFill="1" applyBorder="1"/>
    <xf numFmtId="0" fontId="7" fillId="5" borderId="0" xfId="0" applyNumberFormat="1" applyFont="1" applyFill="1"/>
    <xf numFmtId="165" fontId="7" fillId="5" borderId="4" xfId="0" applyNumberFormat="1" applyFont="1" applyFill="1" applyBorder="1"/>
    <xf numFmtId="165" fontId="7" fillId="5" borderId="5" xfId="0" applyNumberFormat="1" applyFont="1" applyFill="1" applyBorder="1"/>
    <xf numFmtId="0" fontId="4" fillId="0" borderId="0" xfId="0" applyFont="1" applyBorder="1" applyAlignment="1">
      <alignment horizontal="center"/>
    </xf>
    <xf numFmtId="167" fontId="0" fillId="0" borderId="0" xfId="0" applyNumberFormat="1" applyBorder="1"/>
    <xf numFmtId="167" fontId="0" fillId="3" borderId="0" xfId="0" applyNumberForma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167" fontId="6" fillId="5" borderId="0" xfId="0" applyNumberFormat="1" applyFont="1" applyFill="1" applyBorder="1"/>
    <xf numFmtId="167" fontId="0" fillId="4" borderId="0" xfId="0" applyNumberFormat="1" applyFill="1" applyBorder="1"/>
    <xf numFmtId="165" fontId="0" fillId="4" borderId="0" xfId="0" applyNumberFormat="1" applyFill="1" applyBorder="1"/>
    <xf numFmtId="0" fontId="4" fillId="0" borderId="0" xfId="0" applyFont="1" applyBorder="1" applyAlignment="1">
      <alignment horizontal="center"/>
    </xf>
    <xf numFmtId="0" fontId="0" fillId="4" borderId="0" xfId="0" applyFill="1" applyBorder="1"/>
    <xf numFmtId="0" fontId="0" fillId="0" borderId="0" xfId="0" applyNumberFormat="1" applyBorder="1" applyAlignment="1"/>
    <xf numFmtId="0" fontId="0" fillId="0" borderId="0" xfId="3" applyNumberFormat="1" applyFont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0" fillId="0" borderId="18" xfId="0" applyNumberFormat="1" applyBorder="1" applyAlignment="1">
      <alignment horizontal="center"/>
    </xf>
  </cellXfs>
  <cellStyles count="4">
    <cellStyle name="Денежный" xfId="2" builtinId="4"/>
    <cellStyle name="Обычный" xfId="0" builtinId="0"/>
    <cellStyle name="Процентный" xfId="3" builtinId="5"/>
    <cellStyle name="Финансовый" xfId="1" builtinId="3"/>
  </cellStyles>
  <dxfs count="292">
    <dxf>
      <numFmt numFmtId="165" formatCode="_-[$$-409]* #,##0.00_ ;_-[$$-409]* \-#,##0.00\ ;_-[$$-409]* &quot;-&quot;??_ ;_-@_ "/>
      <border diagonalUp="0" diagonalDown="0" outline="0">
        <left/>
        <right style="medium">
          <color indexed="64"/>
        </right>
        <top/>
        <bottom/>
      </border>
    </dxf>
    <dxf>
      <numFmt numFmtId="165" formatCode="_-[$$-409]* #,##0.00_ ;_-[$$-409]* \-#,##0.00\ ;_-[$$-409]* &quot;-&quot;??_ ;_-@_ "/>
    </dxf>
    <dxf>
      <numFmt numFmtId="167" formatCode="0.0000"/>
    </dxf>
    <dxf>
      <numFmt numFmtId="165" formatCode="_-[$$-409]* #,##0.00_ ;_-[$$-409]* \-#,##0.00\ ;_-[$$-409]* &quot;-&quot;??_ ;_-@_ "/>
      <border diagonalUp="0" diagonalDown="0" outline="0">
        <left style="medium">
          <color indexed="64"/>
        </left>
        <right/>
        <top/>
        <bottom/>
      </border>
    </dxf>
    <dxf>
      <numFmt numFmtId="167" formatCode="0.0000"/>
      <border diagonalUp="0" diagonalDown="0" outline="0">
        <left/>
        <right style="thick">
          <color rgb="FFFF0000"/>
        </right>
        <top/>
        <bottom/>
      </border>
    </dxf>
    <dxf>
      <numFmt numFmtId="165" formatCode="_-[$$-409]* #,##0.00_ ;_-[$$-409]* \-#,##0.00\ ;_-[$$-409]* &quot;-&quot;??_ ;_-@_ "/>
    </dxf>
    <dxf>
      <border diagonalUp="0" diagonalDown="0" outline="0">
        <left style="thick">
          <color rgb="FFFF0000"/>
        </left>
        <right/>
        <top/>
        <bottom/>
      </border>
    </dxf>
    <dxf>
      <numFmt numFmtId="167" formatCode="0.0000"/>
      <border diagonalUp="0" diagonalDown="0" outline="0">
        <left/>
        <right style="thick">
          <color rgb="FF0070C0"/>
        </right>
        <top/>
        <bottom/>
      </border>
    </dxf>
    <dxf>
      <numFmt numFmtId="165" formatCode="_-[$$-409]* #,##0.00_ ;_-[$$-409]* \-#,##0.00\ ;_-[$$-409]* &quot;-&quot;??_ ;_-@_ "/>
    </dxf>
    <dxf>
      <border diagonalUp="0" diagonalDown="0" outline="0">
        <left style="thick">
          <color rgb="FF0070C0"/>
        </left>
        <right/>
        <top/>
        <bottom/>
      </border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border diagonalUp="0" diagonalDown="0" outline="0">
        <left style="thick">
          <color rgb="FF0070C0"/>
        </left>
        <right/>
        <top/>
        <bottom/>
      </border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border outline="0">
        <left style="medium">
          <color rgb="FF000000"/>
        </left>
        <right style="medium">
          <color rgb="FF00000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</dxf>
    <dxf>
      <border outline="0">
        <left style="thick">
          <color rgb="FFFF0000"/>
        </left>
        <right style="thick">
          <color rgb="FFFF000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  <border diagonalUp="0" diagonalDown="0">
        <left style="thick">
          <color rgb="FF0070C0"/>
        </left>
        <right/>
        <top/>
        <bottom/>
        <vertical/>
        <horizontal/>
      </border>
    </dxf>
    <dxf>
      <border outline="0"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border outline="0">
        <left style="medium">
          <color rgb="FF000000"/>
        </left>
        <right style="medium">
          <color rgb="FF00000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</dxf>
    <dxf>
      <border outline="0">
        <left style="thick">
          <color rgb="FFFF0000"/>
        </left>
        <right style="thick">
          <color rgb="FFFF000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  <border diagonalUp="0" diagonalDown="0">
        <left style="thick">
          <color rgb="FF0070C0"/>
        </left>
        <right/>
        <top/>
        <bottom/>
        <vertical/>
        <horizontal/>
      </border>
    </dxf>
    <dxf>
      <border outline="0"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border outline="0">
        <left style="medium">
          <color rgb="FF000000"/>
        </left>
        <right style="medium">
          <color rgb="FF00000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</dxf>
    <dxf>
      <border outline="0">
        <left style="thick">
          <color rgb="FFFF0000"/>
        </left>
        <right style="thick">
          <color rgb="FFFF000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  <border diagonalUp="0" diagonalDown="0">
        <left style="thick">
          <color rgb="FF0070C0"/>
        </left>
        <right/>
        <top/>
        <bottom/>
        <vertical/>
        <horizontal/>
      </border>
    </dxf>
    <dxf>
      <border outline="0"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border outline="0">
        <left style="medium">
          <color indexed="64"/>
        </left>
        <right style="medium">
          <color indexed="64"/>
        </right>
      </border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border outline="0">
        <left style="medium">
          <color indexed="64"/>
        </left>
        <right style="medium">
          <color indexed="64"/>
        </right>
      </border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border outline="0">
        <left style="medium">
          <color indexed="64"/>
        </left>
        <right style="medium">
          <color indexed="64"/>
        </right>
      </border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border outline="0">
        <left style="medium">
          <color indexed="64"/>
        </left>
        <right style="medium">
          <color indexed="64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border outline="0">
        <left style="thick">
          <color rgb="FFFF0000"/>
        </left>
        <right style="thick">
          <color rgb="FFFF000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  <border diagonalUp="0" diagonalDown="0">
        <left style="thick">
          <color rgb="FF0070C0"/>
        </left>
        <right/>
        <top/>
        <bottom/>
        <vertical/>
        <horizontal/>
      </border>
    </dxf>
    <dxf>
      <border outline="0"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0" formatCode="General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border diagonalUp="0" diagonalDown="0" outline="0">
        <left style="medium">
          <color indexed="64"/>
        </left>
        <right/>
        <top/>
        <bottom/>
      </border>
    </dxf>
    <dxf>
      <numFmt numFmtId="165" formatCode="_-[$$-409]* #,##0.00_ ;_-[$$-409]* \-#,##0.00\ ;_-[$$-409]* &quot;-&quot;??_ ;_-@_ 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0" formatCode="General"/>
    </dxf>
    <dxf>
      <border diagonalUp="0" diagonalDown="0" outline="0">
        <left/>
        <right style="thick">
          <color rgb="FFFF0000"/>
        </right>
        <top/>
        <bottom/>
      </border>
    </dxf>
    <dxf>
      <numFmt numFmtId="167" formatCode="0.0000"/>
      <border diagonalUp="0" diagonalDown="0">
        <left/>
        <right style="thick">
          <color rgb="FFFF0000"/>
        </right>
        <top/>
        <bottom/>
        <vertical/>
        <horizontal/>
      </border>
    </dxf>
    <dxf>
      <numFmt numFmtId="165" formatCode="_-[$$-409]* #,##0.00_ ;_-[$$-409]* \-#,##0.00\ ;_-[$$-409]* &quot;-&quot;??_ ;_-@_ "/>
    </dxf>
    <dxf>
      <border diagonalUp="0" diagonalDown="0" outline="0">
        <left style="thick">
          <color rgb="FFFF0000"/>
        </left>
        <right/>
        <top/>
        <bottom/>
      </border>
    </dxf>
    <dxf>
      <border diagonalUp="0" diagonalDown="0">
        <left style="thick">
          <color rgb="FFFF0000"/>
        </left>
        <right/>
        <top/>
        <bottom/>
        <vertical/>
        <horizontal/>
      </border>
    </dxf>
    <dxf>
      <border diagonalUp="0" diagonalDown="0" outline="0">
        <left style="thick">
          <color rgb="FFFF0000"/>
        </left>
        <right/>
        <top/>
        <bottom/>
      </border>
    </dxf>
    <dxf>
      <border diagonalUp="0" diagonalDown="0">
        <left style="thick">
          <color rgb="FFFF0000"/>
        </left>
        <right/>
        <top/>
        <bottom/>
        <vertical/>
        <horizontal/>
      </border>
    </dxf>
    <dxf>
      <border diagonalUp="0" diagonalDown="0" outline="0">
        <left/>
        <right style="thick">
          <color rgb="FF0070C0"/>
        </right>
        <top/>
        <bottom/>
      </border>
    </dxf>
    <dxf>
      <numFmt numFmtId="167" formatCode="0.0000"/>
      <border diagonalUp="0" diagonalDown="0">
        <left/>
        <right style="thick">
          <color rgb="FF0070C0"/>
        </right>
        <top/>
        <bottom/>
        <vertical/>
        <horizontal/>
      </border>
    </dxf>
    <dxf>
      <numFmt numFmtId="165" formatCode="_-[$$-409]* #,##0.00_ ;_-[$$-409]* \-#,##0.00\ ;_-[$$-409]* &quot;-&quot;??_ ;_-@_ "/>
    </dxf>
    <dxf>
      <border diagonalUp="0" diagonalDown="0" outline="0">
        <left style="thick">
          <color rgb="FF0070C0"/>
        </left>
        <right/>
        <top/>
        <bottom/>
      </border>
    </dxf>
    <dxf>
      <border diagonalUp="0" diagonalDown="0">
        <left style="thick">
          <color rgb="FF0070C0"/>
        </left>
        <right/>
        <top/>
        <bottom/>
        <vertical/>
        <horizontal/>
      </border>
    </dxf>
    <dxf>
      <border diagonalUp="0" diagonalDown="0" outline="0">
        <left/>
        <right style="thick">
          <color rgb="FF0070C0"/>
        </right>
        <top/>
        <bottom/>
      </border>
    </dxf>
    <dxf>
      <numFmt numFmtId="167" formatCode="0.0000"/>
      <border diagonalUp="0" diagonalDown="0">
        <left/>
        <right style="thick">
          <color rgb="FF0070C0"/>
        </right>
        <top/>
        <bottom/>
        <vertical/>
        <horizontal/>
      </border>
    </dxf>
    <dxf>
      <numFmt numFmtId="165" formatCode="_-[$$-409]* #,##0.00_ ;_-[$$-409]* \-#,##0.00\ ;_-[$$-409]* &quot;-&quot;??_ ;_-@_ "/>
    </dxf>
    <dxf>
      <numFmt numFmtId="167" formatCode="0.0000"/>
    </dxf>
    <dxf>
      <numFmt numFmtId="167" formatCode="0.0000"/>
    </dxf>
    <dxf>
      <border diagonalUp="0" diagonalDown="0" outline="0">
        <left style="thick">
          <color rgb="FF0070C0"/>
        </left>
        <right/>
        <top/>
        <bottom/>
      </border>
    </dxf>
    <dxf>
      <numFmt numFmtId="167" formatCode="0.0000"/>
      <border diagonalUp="0" diagonalDown="0">
        <left style="thick">
          <color rgb="FF0070C0"/>
        </left>
        <right/>
        <top/>
        <bottom/>
        <vertical/>
        <horizontal/>
      </border>
    </dxf>
    <dxf>
      <numFmt numFmtId="167" formatCode="0.0000"/>
    </dxf>
    <dxf>
      <border diagonalUp="0" diagonalDown="0" outline="0">
        <left/>
        <right style="thick">
          <color rgb="FF0070C0"/>
        </right>
        <top/>
        <bottom/>
      </border>
    </dxf>
    <dxf>
      <numFmt numFmtId="167" formatCode="0.0000"/>
      <border diagonalUp="0" diagonalDown="0">
        <left/>
        <right style="thick">
          <color rgb="FF0070C0"/>
        </right>
        <top/>
        <bottom/>
        <vertical/>
        <horizontal/>
      </border>
    </dxf>
    <dxf>
      <numFmt numFmtId="165" formatCode="_-[$$-409]* #,##0.00_ ;_-[$$-409]* \-#,##0.00\ ;_-[$$-409]* &quot;-&quot;??_ ;_-@_ "/>
    </dxf>
    <dxf>
      <border diagonalUp="0" diagonalDown="0" outline="0">
        <left style="thick">
          <color rgb="FF0070C0"/>
        </left>
        <right/>
        <top/>
        <bottom/>
      </border>
    </dxf>
    <dxf>
      <border diagonalUp="0" diagonalDown="0">
        <left style="thick">
          <color rgb="FF0070C0"/>
        </left>
        <right/>
        <top/>
        <bottom/>
        <vertical/>
        <horizontal/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border diagonalUp="0" diagonalDown="0" outline="0">
        <left style="thick">
          <color rgb="FF0070C0"/>
        </left>
        <right/>
        <top/>
        <bottom/>
      </border>
    </dxf>
    <dxf>
      <border diagonalUp="0" diagonalDown="0">
        <left style="thick">
          <color rgb="FF0070C0"/>
        </left>
        <right/>
        <top/>
        <bottom/>
        <vertical/>
        <horizontal/>
      </border>
    </dxf>
    <dxf>
      <border outline="0">
        <right style="medium">
          <color indexed="64"/>
        </right>
      </border>
    </dxf>
    <dxf>
      <numFmt numFmtId="0" formatCode="General"/>
    </dxf>
    <dxf>
      <numFmt numFmtId="165" formatCode="_-[$$-409]* #,##0.00_ ;_-[$$-409]* \-#,##0.00\ ;_-[$$-409]* &quot;-&quot;??_ ;_-@_ 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_-[$$-409]* #,##0.00_ ;_-[$$-409]* \-#,##0.00\ ;_-[$$-409]* &quot;-&quot;??_ ;_-@_ "/>
    </dxf>
    <dxf>
      <numFmt numFmtId="167" formatCode="0.0000"/>
    </dxf>
    <dxf>
      <numFmt numFmtId="165" formatCode="_-[$$-409]* #,##0.00_ ;_-[$$-409]* \-#,##0.00\ ;_-[$$-409]* &quot;-&quot;??_ ;_-@_ 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0" formatCode="General"/>
    </dxf>
    <dxf>
      <numFmt numFmtId="167" formatCode="0.0000"/>
      <border diagonalUp="0" diagonalDown="0">
        <left/>
        <right style="thick">
          <color rgb="FFFF0000"/>
        </right>
        <top/>
        <bottom/>
        <vertical/>
        <horizontal/>
      </border>
    </dxf>
    <dxf>
      <numFmt numFmtId="165" formatCode="_-[$$-409]* #,##0.00_ ;_-[$$-409]* \-#,##0.00\ ;_-[$$-409]* &quot;-&quot;??_ ;_-@_ "/>
    </dxf>
    <dxf>
      <border diagonalUp="0" diagonalDown="0">
        <left style="thick">
          <color rgb="FFFF0000"/>
        </left>
        <right/>
        <top/>
        <bottom/>
        <vertical/>
        <horizontal/>
      </border>
    </dxf>
    <dxf>
      <numFmt numFmtId="167" formatCode="0.0000"/>
      <border diagonalUp="0" diagonalDown="0">
        <left/>
        <right style="thick">
          <color rgb="FF0070C0"/>
        </right>
        <top/>
        <bottom/>
        <vertical/>
        <horizontal/>
      </border>
    </dxf>
    <dxf>
      <numFmt numFmtId="165" formatCode="_-[$$-409]* #,##0.00_ ;_-[$$-409]* \-#,##0.00\ ;_-[$$-409]* &quot;-&quot;??_ ;_-@_ "/>
    </dxf>
    <dxf>
      <border diagonalUp="0" diagonalDown="0">
        <left style="thick">
          <color rgb="FF0070C0"/>
        </left>
        <right/>
        <top/>
        <bottom/>
        <vertical/>
        <horizontal/>
      </border>
    </dxf>
    <dxf>
      <numFmt numFmtId="167" formatCode="0.0000"/>
    </dxf>
    <dxf>
      <numFmt numFmtId="165" formatCode="_-[$$-409]* #,##0.00_ ;_-[$$-409]* \-#,##0.00\ ;_-[$$-409]* &quot;-&quot;??_ ;_-@_ "/>
    </dxf>
    <dxf>
      <border diagonalUp="0" diagonalDown="0">
        <left style="thick">
          <color rgb="FF0070C0"/>
        </left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7:V87" totalsRowCount="1">
  <autoFilter ref="A7:V86" xr:uid="{00000000-0009-0000-0100-000002000000}"/>
  <tableColumns count="22">
    <tableColumn id="22" xr3:uid="{606BE3B6-146B-4D73-A0DB-38DC0878C8F6}" name="stack"/>
    <tableColumn id="1" xr3:uid="{00000000-0010-0000-0000-000001000000}" name="hand"/>
    <tableColumn id="2" xr3:uid="{00000000-0010-0000-0000-000002000000}" name="pWin"/>
    <tableColumn id="3" xr3:uid="{00000000-0010-0000-0000-000003000000}" name="stackwin" dataDxfId="291" totalsRowDxfId="12"/>
    <tableColumn id="4" xr3:uid="{00000000-0010-0000-0000-000004000000}" name="EQwin"/>
    <tableColumn id="5" xr3:uid="{00000000-0010-0000-0000-000005000000}" name="ICMwin" dataDxfId="290" totalsRowDxfId="11">
      <calculatedColumnFormula>Table2[[#This Row],[EQwin]]*$E$1</calculatedColumnFormula>
    </tableColumn>
    <tableColumn id="6" xr3:uid="{00000000-0010-0000-0000-000006000000}" name="Kowin" dataDxfId="289" totalsRowDxfId="10">
      <calculatedColumnFormula>2*Table2[[#This Row],[stackwin]]/3000</calculatedColumnFormula>
    </tableColumn>
    <tableColumn id="7" xr3:uid="{00000000-0010-0000-0000-000007000000}" name="stacklose" dataDxfId="288" totalsRowDxfId="9"/>
    <tableColumn id="8" xr3:uid="{00000000-0010-0000-0000-000008000000}" name="EQlose"/>
    <tableColumn id="9" xr3:uid="{00000000-0010-0000-0000-000009000000}" name="ICMlose" dataDxfId="287" totalsRowDxfId="8">
      <calculatedColumnFormula>I8*$E$1</calculatedColumnFormula>
    </tableColumn>
    <tableColumn id="10" xr3:uid="{00000000-0010-0000-0000-00000A000000}" name="Kolose" dataDxfId="286" totalsRowDxfId="7">
      <calculatedColumnFormula>5*Table2[[#This Row],[stacklose]]/3000</calculatedColumnFormula>
    </tableColumn>
    <tableColumn id="11" xr3:uid="{00000000-0010-0000-0000-00000B000000}" name=" 2"/>
    <tableColumn id="12" xr3:uid="{00000000-0010-0000-0000-00000C000000}" name="stackfact" dataDxfId="285" totalsRowDxfId="6"/>
    <tableColumn id="13" xr3:uid="{00000000-0010-0000-0000-00000D000000}" name="Eqfact"/>
    <tableColumn id="14" xr3:uid="{00000000-0010-0000-0000-00000E000000}" name="ICMFact" dataDxfId="284" totalsRowDxfId="5">
      <calculatedColumnFormula>N8*$E$1</calculatedColumnFormula>
    </tableColumn>
    <tableColumn id="15" xr3:uid="{00000000-0010-0000-0000-00000F000000}" name="KOFact" dataDxfId="283" totalsRowDxfId="4">
      <calculatedColumnFormula>5*Table2[[#This Row],[stackfact]]/3000</calculatedColumnFormula>
    </tableColumn>
    <tableColumn id="16" xr3:uid="{00000000-0010-0000-0000-000010000000}" name="eqdiff" dataDxfId="282">
      <calculatedColumnFormula>Table2[[#This Row],[EQwin]]*Table2[[#This Row],[pWin]] + Table2[[#This Row],[EQlose]]*(1-Table2[[#This Row],[pWin]]) - Table2[[#This Row],[Eqfact]]</calculatedColumnFormula>
    </tableColumn>
    <tableColumn id="17" xr3:uid="{00000000-0010-0000-0000-000011000000}" name="ICMdiff" dataDxfId="281" totalsRowDxfId="3">
      <calculatedColumnFormula>Table2[[#This Row],[pWin]]*Table2[[#This Row],[ICMwin]]+(1-Table2[[#This Row],[pWin]])*Table2[[#This Row],[ICMlose]]-Table2[[#This Row],[ICMFact]]</calculatedColumnFormula>
    </tableColumn>
    <tableColumn id="18" xr3:uid="{00000000-0010-0000-0000-000012000000}" name="KODiff" dataDxfId="280" totalsRowDxfId="2">
      <calculatedColumnFormula>Table2[[#This Row],[Kowin]]*Table2[[#This Row],[pWin]]+Table2[[#This Row],[Kolose]]*(1-Table2[[#This Row],[pWin]])-Table2[[#This Row],[KOFact]]</calculatedColumnFormula>
    </tableColumn>
    <tableColumn id="19" xr3:uid="{00000000-0010-0000-0000-000013000000}" name="KOmoneyDiff" dataDxfId="279" totalsRowDxfId="1">
      <calculatedColumnFormula>Table2[[#This Row],[KODiff]]*bounty</calculatedColumnFormula>
    </tableColumn>
    <tableColumn id="20" xr3:uid="{00000000-0010-0000-0000-000014000000}" name="totalDiff" dataDxfId="278" totalsRowDxfId="0">
      <calculatedColumnFormula>Table2[[#This Row],[ICMdiff]]+Table2[[#This Row],[KOmoneyDiff]]</calculatedColumnFormula>
    </tableColumn>
    <tableColumn id="21" xr3:uid="{00000000-0010-0000-0000-000015000000}" name="cEVDiff" dataDxfId="277">
      <calculatedColumnFormula>Table2[[#This Row],[pWin]]*Table2[[#This Row],[stackwin]]+(1-Table2[[#This Row],[pWin]])*Table2[[#This Row],[stacklose]]-Table2[[#This Row],[stackfact]]</calculatedColumnFormula>
    </tableColumn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T_p4p3p1" displayName="T_p4p3p1" ref="AV15:BA21" totalsRowShown="0" tableBorderDxfId="188">
  <autoFilter ref="AV15:BA21" xr:uid="{00000000-0009-0000-0100-00000B000000}"/>
  <tableColumns count="6">
    <tableColumn id="1" xr3:uid="{00000000-0010-0000-0900-000001000000}" name="players" dataDxfId="187">
      <calculatedColumnFormula>COUNTIF(T_p4p3p1[stack],"&gt;0")</calculatedColumnFormula>
    </tableColumn>
    <tableColumn id="2" xr3:uid="{00000000-0010-0000-0900-000002000000}" name="stack" dataDxfId="186">
      <calculatedColumnFormula>IF(T_init[[#This Row],[p]]=1,uncalled+sidepot2,IF(T_init[[#This Row],[p]]=3,sidepot1,IF(T_init[[#This Row],[p]]=4,mainpot,IF(ISBLANK(T_init[[#This Row],[p]]),T_init[[#This Row],[stack]],0))))</calculatedColumnFormula>
    </tableColumn>
    <tableColumn id="3" xr3:uid="{00000000-0010-0000-0900-000003000000}" name="EQ"/>
    <tableColumn id="4" xr3:uid="{00000000-0010-0000-0900-000004000000}" name="ICM" dataDxfId="185">
      <calculatedColumnFormula>T_p4p3p1[[#This Row],[EQ]]*prize</calculatedColumnFormula>
    </tableColumn>
    <tableColumn id="5" xr3:uid="{00000000-0010-0000-0900-000005000000}" name="KO" dataDxfId="184">
      <calculatedColumnFormula>IF(T_init[[#This Row],[p]]=1,T_p4p3p1[[#This Row],[players]]*T_p4p3p1[[#This Row],[stack]]/chips+1,T_p4p3p1[[#This Row],[players]]*T_p4p3p1[[#This Row],[stack]]/chips)</calculatedColumnFormula>
    </tableColumn>
    <tableColumn id="6" xr3:uid="{00000000-0010-0000-0900-000006000000}" name="$stack" dataDxfId="183">
      <calculatedColumnFormula>T_p4p3p1[[#This Row],[ICM]]+bounty*T_p4p3p1[[#This Row],[KO]]</calculatedColumnFormula>
    </tableColumn>
  </tableColumns>
  <tableStyleInfo name="TableStyleLight1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T_p4p3p2" displayName="T_p4p3p2" ref="BC15:BH21" totalsRowShown="0" tableBorderDxfId="182">
  <autoFilter ref="BC15:BH21" xr:uid="{00000000-0009-0000-0100-00000C000000}"/>
  <tableColumns count="6">
    <tableColumn id="1" xr3:uid="{00000000-0010-0000-0A00-000001000000}" name="players" dataDxfId="181">
      <calculatedColumnFormula>COUNTIF(T_p4p3p2[stack],"&gt;0")</calculatedColumnFormula>
    </tableColumn>
    <tableColumn id="2" xr3:uid="{00000000-0010-0000-0A00-000002000000}" name="stack" dataDxfId="180">
      <calculatedColumnFormula>IF(T_init[[#This Row],[p]]=1,uncalled,IF(T_init[[#This Row],[p]]=2,sidepot2,IF(T_init[[#This Row],[p]]=3,sidepot1,IF(T_init[[#This Row],[p]]=4,mainpot,IF(ISBLANK(T_init[[#This Row],[p]]),T_init[[#This Row],[stack]],0)))))</calculatedColumnFormula>
    </tableColumn>
    <tableColumn id="3" xr3:uid="{00000000-0010-0000-0A00-000003000000}" name="EQ"/>
    <tableColumn id="4" xr3:uid="{00000000-0010-0000-0A00-000004000000}" name="ICM" dataDxfId="179">
      <calculatedColumnFormula>T_p4p3p2[[#This Row],[EQ]]*prize</calculatedColumnFormula>
    </tableColumn>
    <tableColumn id="5" xr3:uid="{00000000-0010-0000-0A00-000005000000}" name="KO" dataDxfId="178">
      <calculatedColumnFormula>T_p4p3p2[[#This Row],[players]]*T_p4p3p2[[#This Row],[stack]]/chips</calculatedColumnFormula>
    </tableColumn>
    <tableColumn id="6" xr3:uid="{00000000-0010-0000-0A00-000006000000}" name="$stack" dataDxfId="177">
      <calculatedColumnFormula>T_p4p3p2[[#This Row],[ICM]]+bounty*T_p4p3p2[[#This Row],[KO]]</calculatedColumnFormula>
    </tableColumn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B000000}" name="T_fact" displayName="T_fact" ref="BJ15:BO21" totalsRowShown="0" tableBorderDxfId="176">
  <autoFilter ref="BJ15:BO21" xr:uid="{00000000-0009-0000-0100-00000D000000}"/>
  <tableColumns count="6">
    <tableColumn id="1" xr3:uid="{00000000-0010-0000-0B00-000001000000}" name="players"/>
    <tableColumn id="2" xr3:uid="{00000000-0010-0000-0B00-000002000000}" name="stack"/>
    <tableColumn id="3" xr3:uid="{00000000-0010-0000-0B00-000003000000}" name="EQ"/>
    <tableColumn id="4" xr3:uid="{00000000-0010-0000-0B00-000004000000}" name="ICM" dataDxfId="175">
      <calculatedColumnFormula>T_fact[[#This Row],[EQ]]*prize</calculatedColumnFormula>
    </tableColumn>
    <tableColumn id="5" xr3:uid="{00000000-0010-0000-0B00-000005000000}" name="KO" dataDxfId="174">
      <calculatedColumnFormula>IF(OR(T_init[[#This Row],[p]]=1, T_init[[#This Row],[p]]=3),T_fact[[#This Row],[players]]*T_fact[[#This Row],[stack]]/chips+1,T_fact[[#This Row],[players]]*T_fact[[#This Row],[stack]]/chips)</calculatedColumnFormula>
    </tableColumn>
    <tableColumn id="6" xr3:uid="{00000000-0010-0000-0B00-000006000000}" name="$stack" dataDxfId="173">
      <calculatedColumnFormula>T_fact[[#This Row],[ICM]]+bounty*T_fact[[#This Row],[KO]]</calculatedColumnFormula>
    </tableColumn>
  </tableColumns>
  <tableStyleInfo name="TableStyleLight1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C000000}" name="T_EV_p3sp2" displayName="T_EV_p3sp2" ref="BQ15:BT21" totalsRowShown="0" tableBorderDxfId="172">
  <autoFilter ref="BQ15:BT21" xr:uid="{00000000-0009-0000-0100-00000E000000}"/>
  <tableColumns count="4">
    <tableColumn id="1" xr3:uid="{00000000-0010-0000-0C00-000001000000}" name="ICM" dataDxfId="171">
      <calculatedColumnFormula>p1sp2win*T_p3p1[[#This Row],[ICM]]+p2sp2win*T_p3p2[[#This Row],[ICM]]</calculatedColumnFormula>
    </tableColumn>
    <tableColumn id="2" xr3:uid="{00000000-0010-0000-0C00-000002000000}" name="KO" dataDxfId="170">
      <calculatedColumnFormula>bounty*(p1sp2win*T_p3p1[[#This Row],[KO]]+p2sp2win*T_p3p2[[#This Row],[KO]])</calculatedColumnFormula>
    </tableColumn>
    <tableColumn id="3" xr3:uid="{00000000-0010-0000-0C00-000003000000}" name="EV" dataDxfId="169">
      <calculatedColumnFormula>T_EV_p3sp2[[#This Row],[ICM]]+T_EV_p3sp2[[#This Row],[KO]]</calculatedColumnFormula>
    </tableColumn>
    <tableColumn id="4" xr3:uid="{00000000-0010-0000-0C00-000004000000}" name="chipEV" dataDxfId="168">
      <calculatedColumnFormula>p1sp2win*T_p3p1[[#This Row],[stack]]+p2sp2win*T_p3p2[[#This Row],[stack]]</calculatedColumnFormula>
    </tableColumn>
  </tableColumns>
  <tableStyleInfo name="TableStyleLight1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D000000}" name="T_EV_p4p3sp2" displayName="T_EV_p4p3sp2" ref="BW15:BZ21" totalsRowShown="0" tableBorderDxfId="167">
  <autoFilter ref="BW15:BZ21" xr:uid="{00000000-0009-0000-0100-00000F000000}"/>
  <tableColumns count="4">
    <tableColumn id="1" xr3:uid="{00000000-0010-0000-0D00-000001000000}" name="ICM" dataDxfId="166">
      <calculatedColumnFormula>p1sp2win*T_p4p3p1[[#This Row],[ICM]]+p2sp2win*T_p4p3p2[[#This Row],[ICM]]</calculatedColumnFormula>
    </tableColumn>
    <tableColumn id="2" xr3:uid="{00000000-0010-0000-0D00-000002000000}" name="KO" dataDxfId="165">
      <calculatedColumnFormula>bounty*(p1sp2win*T_p4p3p1[[#This Row],[KO]]+p2sp2win*T_p4p3p2[[#This Row],[KO]])</calculatedColumnFormula>
    </tableColumn>
    <tableColumn id="3" xr3:uid="{00000000-0010-0000-0D00-000003000000}" name="EV" dataDxfId="164">
      <calculatedColumnFormula>T_EV_p4p3sp2[[#This Row],[ICM]]+T_EV_p4p3sp2[[#This Row],[KO]]</calculatedColumnFormula>
    </tableColumn>
    <tableColumn id="4" xr3:uid="{00000000-0010-0000-0D00-000004000000}" name="chipEV" dataDxfId="163">
      <calculatedColumnFormula>p1sp2win*T_p4p3p1[[#This Row],[stack]]+p2sp2win*T_p4p3p2[[#This Row],[stack]]</calculatedColumnFormula>
    </tableColumn>
  </tableColumns>
  <tableStyleInfo name="TableStyleLight1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E000000}" name="T_EV_p4sp1" displayName="T_EV_p4sp1" ref="CC15:CF21" totalsRowShown="0" tableBorderDxfId="162">
  <autoFilter ref="CC15:CF21" xr:uid="{00000000-0009-0000-0100-000010000000}"/>
  <tableColumns count="4">
    <tableColumn id="1" xr3:uid="{00000000-0010-0000-0E00-000001000000}" name="ICM" dataDxfId="161">
      <calculatedColumnFormula>p1sp1win*T_p4p1[[#This Row],[ICM]]+p2sp1win*T_p4p2[[#This Row],[ICM]]+p3sp1win*T_EV_p4p3sp2[[#This Row],[ICM]]</calculatedColumnFormula>
    </tableColumn>
    <tableColumn id="2" xr3:uid="{00000000-0010-0000-0E00-000002000000}" name="KO" dataDxfId="160">
      <calculatedColumnFormula>bounty*(p1sp1win*T_p4p1[[#This Row],[KO]]+p2sp1win*T_p4p2[[#This Row],[KO]])+p3sp1win*T_EV_p4p3sp2[[#This Row],[KO]]</calculatedColumnFormula>
    </tableColumn>
    <tableColumn id="3" xr3:uid="{00000000-0010-0000-0E00-000003000000}" name="EV" dataDxfId="159">
      <calculatedColumnFormula>T_EV_p4sp1[[#This Row],[ICM]]+T_EV_p4sp1[[#This Row],[KO]]</calculatedColumnFormula>
    </tableColumn>
    <tableColumn id="4" xr3:uid="{00000000-0010-0000-0E00-000004000000}" name="chipEV" dataDxfId="158">
      <calculatedColumnFormula>p1sp1win*T_p4p1[[#This Row],[stack]]+p2sp1win*T_p4p2[[#This Row],[stack]]+p3sp1win*T_EV_p4p3sp2[[#This Row],[chipEV]]</calculatedColumnFormula>
    </tableColumn>
  </tableColumns>
  <tableStyleInfo name="TableStyleLight1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F000000}" name="T_EV" displayName="T_EV" ref="CI15:CN21" totalsRowShown="0" tableBorderDxfId="157">
  <autoFilter ref="CI15:CN21" xr:uid="{00000000-0009-0000-0100-000011000000}"/>
  <tableColumns count="6">
    <tableColumn id="1" xr3:uid="{00000000-0010-0000-0F00-000001000000}" name="ICM" dataDxfId="156">
      <calculatedColumnFormula>p4win*(T_EV_p4sp1[[#This Row],[ICM]])+'4way'!p3win*T_EV_p3sp2[[#This Row],[ICM]]+'4way'!p2win*T_p2[[#This Row],[ICM]]+'4way'!p1win*T_p1[[#This Row],[ICM]]</calculatedColumnFormula>
    </tableColumn>
    <tableColumn id="2" xr3:uid="{00000000-0010-0000-0F00-000002000000}" name="KO" dataDxfId="155">
      <calculatedColumnFormula>p4win*(T_EV_p4sp1[[#This Row],[KO]])+'4way'!p3win*T_EV_p3sp2[[#This Row],[KO]]+bounty*('4way'!p2win*T_p2[[#This Row],[KO]]+'4way'!p1win*T_p1[[#This Row],[KO]])</calculatedColumnFormula>
    </tableColumn>
    <tableColumn id="3" xr3:uid="{00000000-0010-0000-0F00-000003000000}" name="EV" dataDxfId="154">
      <calculatedColumnFormula>T_EV[[#This Row],[ICM]]+T_EV[[#This Row],[KO]]</calculatedColumnFormula>
    </tableColumn>
    <tableColumn id="4" xr3:uid="{00000000-0010-0000-0F00-000004000000}" name="chipEV" dataDxfId="153">
      <calculatedColumnFormula>'4way'!p1win*T_p1[[#This Row],[stack]]+
'4way'!p2win*T_p2[[#This Row],[stack]]+
'4way'!p3win*(p1sp2win*T_p3p1[[#This Row],[stack]]+p2sp2win*T_p3p2[[#This Row],[stack]])+
p4win*(p1sp1win*T_p4p1[[#This Row],[stack]]+p2sp1win*T_p4p2[[#This Row],[stack]]+p3sp1win*(p1sp2win*T_p4p3p1[[#This Row],[stack]]+p2sp2win*T_p4p3p2[[#This Row],[stack]]))</calculatedColumnFormula>
    </tableColumn>
    <tableColumn id="5" xr3:uid="{00000000-0010-0000-0F00-000005000000}" name="cEVdiff" dataDxfId="152">
      <calculatedColumnFormula>T_EV[[#This Row],[chipEV]]-T_fact[[#This Row],[stack]]</calculatedColumnFormula>
    </tableColumn>
    <tableColumn id="6" xr3:uid="{00000000-0010-0000-0F00-000006000000}" name="Evdiff" dataDxfId="151">
      <calculatedColumnFormula>T_EV[[#This Row],[EV]]-(T_fact[[#This Row],[ICM]]+bounty*T_fact[[#This Row],[KO]])</calculatedColumnFormula>
    </tableColumn>
  </tableColumns>
  <tableStyleInfo name="TableStyleLight1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0000000}" name="T_init2034" displayName="T_init2034" ref="A15:D22" totalsRowCount="1">
  <autoFilter ref="A15:D21" xr:uid="{00000000-0009-0000-0100-00002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1000-000001000000}" name="p" totalsRowLabel="Total"/>
    <tableColumn id="2" xr3:uid="{00000000-0010-0000-1000-000002000000}" name="stack"/>
    <tableColumn id="3" xr3:uid="{00000000-0010-0000-1000-000003000000}" name="hand"/>
    <tableColumn id="4" xr3:uid="{00000000-0010-0000-1000-000004000000}" name="pWin" totalsRowFunction="sum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1000000}" name="T_p12135" displayName="T_p12135" ref="F15:K21" totalsRowShown="0" tableBorderDxfId="150">
  <autoFilter ref="F15:K21" xr:uid="{00000000-0009-0000-0100-000022000000}"/>
  <tableColumns count="6">
    <tableColumn id="1" xr3:uid="{00000000-0010-0000-1100-000001000000}" name="players" dataDxfId="149">
      <calculatedColumnFormula>COUNTIF(T_p12135[stack],"&gt;0")</calculatedColumnFormula>
    </tableColumn>
    <tableColumn id="2" xr3:uid="{00000000-0010-0000-1100-000002000000}" name="stack" dataDxfId="148">
      <calculatedColumnFormula>IF(T_init2034[[#This Row],[p]]=1,mainpot+sidepot1+sidepot2+uncalled,IF(T_init2034[[#This Row],[p]]&gt;1,0,T_init2034[[#This Row],[stack]]))</calculatedColumnFormula>
    </tableColumn>
    <tableColumn id="3" xr3:uid="{00000000-0010-0000-1100-000003000000}" name="EQ"/>
    <tableColumn id="4" xr3:uid="{00000000-0010-0000-1100-000004000000}" name="ICM" dataDxfId="147">
      <calculatedColumnFormula>T_p12135[[#This Row],[EQ]]*prize</calculatedColumnFormula>
    </tableColumn>
    <tableColumn id="5" xr3:uid="{00000000-0010-0000-1100-000005000000}" name="KO" dataDxfId="146">
      <calculatedColumnFormula>IF(T_init2034[[#This Row],[p]]=1,T_p12135[[#This Row],[players]]*T_p12135[[#This Row],[stack]]/chips+COUNTIF(T_p12135[stack],0),T_p12135[[#This Row],[players]]*T_p12135[[#This Row],[stack]]/chips)</calculatedColumnFormula>
    </tableColumn>
    <tableColumn id="6" xr3:uid="{00000000-0010-0000-1100-000006000000}" name="$stack" dataDxfId="145">
      <calculatedColumnFormula>T_p12135[[#This Row],[ICM]]+bounty*T_p12135[[#This Row],[KO]]</calculatedColumnFormula>
    </tableColumn>
  </tableColumns>
  <tableStyleInfo name="TableStyleLight1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12000000}" name="T_p22236" displayName="T_p22236" ref="M15:R21" totalsRowShown="0" tableBorderDxfId="144">
  <autoFilter ref="M15:R21" xr:uid="{00000000-0009-0000-0100-000023000000}"/>
  <tableColumns count="6">
    <tableColumn id="1" xr3:uid="{00000000-0010-0000-1200-000001000000}" name="players" dataDxfId="143" totalsRowDxfId="142">
      <calculatedColumnFormula>COUNTIF(T_p22236[stack],"&gt;0")</calculatedColumnFormula>
    </tableColumn>
    <tableColumn id="2" xr3:uid="{00000000-0010-0000-1200-000002000000}" name="stack" dataDxfId="141" totalsRowDxfId="140">
      <calculatedColumnFormula>IF(T_init2034[[#This Row],[p]]=1,uncalled,IF(T_init2034[[#This Row],[p]]=2,mainpot+sidepot1+sidepot2,IF(T_init2034[[#This Row],[p]]&gt;2,0,T_init2034[[#This Row],[stack]])))</calculatedColumnFormula>
    </tableColumn>
    <tableColumn id="3" xr3:uid="{00000000-0010-0000-1200-000003000000}" name="EQ" totalsRowDxfId="139"/>
    <tableColumn id="4" xr3:uid="{00000000-0010-0000-1200-000004000000}" name="ICM" dataDxfId="138" totalsRowDxfId="137">
      <calculatedColumnFormula>T_p22236[[#This Row],[EQ]]*prize</calculatedColumnFormula>
    </tableColumn>
    <tableColumn id="5" xr3:uid="{00000000-0010-0000-1200-000005000000}" name="KO" dataDxfId="136" totalsRowDxfId="135">
      <calculatedColumnFormula>IF(T_init2034[[#This Row],[p]]=2,T_p22236[[#This Row],[players]]*T_p22236[[#This Row],[stack]]/chips+COUNTIF(T_p22236[stack],0),T_p22236[[#This Row],[players]]*T_p22236[[#This Row],[stack]]/chips)</calculatedColumnFormula>
    </tableColumn>
    <tableColumn id="6" xr3:uid="{00000000-0010-0000-1200-000006000000}" name="$stack" dataDxfId="134">
      <calculatedColumnFormula>T_p22236[[#This Row],[ICM]]+bounty*T_p22236[[#This Row],[KO]]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AK14" tableBorderDxfId="276">
  <autoFilter ref="A8:AK14" xr:uid="{00000000-0009-0000-0100-000001000000}">
    <filterColumn colId="1" hiddenButton="1"/>
    <filterColumn colId="2" hiddenButton="1"/>
    <filterColumn colId="3" hiddenButton="1"/>
    <filterColumn colId="5" hiddenButton="1"/>
    <filterColumn colId="6" hiddenButton="1"/>
    <filterColumn colId="7" hiddenButton="1"/>
    <filterColumn colId="8" hiddenButton="1"/>
    <filterColumn colId="10" hiddenButton="1"/>
    <filterColumn colId="11" hiddenButton="1"/>
    <filterColumn colId="12" hiddenButton="1"/>
    <filterColumn colId="13" hiddenButton="1"/>
    <filterColumn colId="20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</autoFilter>
  <tableColumns count="37">
    <tableColumn id="35" xr3:uid="{00000000-0010-0000-0100-000023000000}" name="players" totalsRowLabel="Total"/>
    <tableColumn id="1" xr3:uid="{00000000-0010-0000-0100-000001000000}" name="stack"/>
    <tableColumn id="2" xr3:uid="{00000000-0010-0000-0100-000002000000}" name="hand"/>
    <tableColumn id="3" xr3:uid="{00000000-0010-0000-0100-000003000000}" name="pWin"/>
    <tableColumn id="30" xr3:uid="{00000000-0010-0000-0100-00001E000000}" name="players1"/>
    <tableColumn id="4" xr3:uid="{00000000-0010-0000-0100-000004000000}" name="stack1" dataDxfId="275" totalsRowDxfId="274"/>
    <tableColumn id="5" xr3:uid="{00000000-0010-0000-0100-000005000000}" name="EQ1"/>
    <tableColumn id="6" xr3:uid="{00000000-0010-0000-0100-000006000000}" name="ICM1" dataDxfId="273">
      <calculatedColumnFormula>Table1[[#This Row],[EQ1]]*prize</calculatedColumnFormula>
    </tableColumn>
    <tableColumn id="7" xr3:uid="{00000000-0010-0000-0100-000007000000}" name="KO1" dataDxfId="272"/>
    <tableColumn id="31" xr3:uid="{00000000-0010-0000-0100-00001F000000}" name="players2" dataDxfId="271"/>
    <tableColumn id="8" xr3:uid="{00000000-0010-0000-0100-000008000000}" name="stack2" dataDxfId="270" totalsRowDxfId="269"/>
    <tableColumn id="9" xr3:uid="{00000000-0010-0000-0100-000009000000}" name="EQ2"/>
    <tableColumn id="10" xr3:uid="{00000000-0010-0000-0100-00000A000000}" name="ICM2" dataDxfId="268">
      <calculatedColumnFormula>Table1[[#This Row],[EQ2]]*prize</calculatedColumnFormula>
    </tableColumn>
    <tableColumn id="11" xr3:uid="{00000000-0010-0000-0100-00000B000000}" name="KO2" dataDxfId="267" totalsRowDxfId="266">
      <calculatedColumnFormula>5*Table2[[#This Row],[stacklose]]/3000</calculatedColumnFormula>
    </tableColumn>
    <tableColumn id="32" xr3:uid="{00000000-0010-0000-0100-000020000000}" name="KO22" dataDxfId="265"/>
    <tableColumn id="40" xr3:uid="{00000000-0010-0000-0100-000028000000}" name="playersside1" dataDxfId="264" totalsRowDxfId="263"/>
    <tableColumn id="39" xr3:uid="{00000000-0010-0000-0100-000027000000}" name="stackside1" dataDxfId="262"/>
    <tableColumn id="38" xr3:uid="{00000000-0010-0000-0100-000026000000}" name="EQside1" dataDxfId="261"/>
    <tableColumn id="37" xr3:uid="{00000000-0010-0000-0100-000025000000}" name="ICMside1" dataDxfId="260">
      <calculatedColumnFormula>Table1[[#This Row],[EQside1]]*prize</calculatedColumnFormula>
    </tableColumn>
    <tableColumn id="36" xr3:uid="{00000000-0010-0000-0100-000024000000}" name="KOside1" dataDxfId="259" totalsRowDxfId="258">
      <calculatedColumnFormula>Table1[[#This Row],[playersside1]]*Table1[[#This Row],[stackside1]]/3000</calculatedColumnFormula>
    </tableColumn>
    <tableColumn id="16" xr3:uid="{00000000-0010-0000-0100-000010000000}" name=" 2"/>
    <tableColumn id="47" xr3:uid="{00000000-0010-0000-0100-00002F000000}" name="playersside2" dataDxfId="257" totalsRowDxfId="256"/>
    <tableColumn id="46" xr3:uid="{00000000-0010-0000-0100-00002E000000}" name="stackside2"/>
    <tableColumn id="45" xr3:uid="{00000000-0010-0000-0100-00002D000000}" name="EQside2"/>
    <tableColumn id="44" xr3:uid="{00000000-0010-0000-0100-00002C000000}" name="ICMside2" dataDxfId="255">
      <calculatedColumnFormula>Table1[[#This Row],[EQside2]]*prize</calculatedColumnFormula>
    </tableColumn>
    <tableColumn id="43" xr3:uid="{00000000-0010-0000-0100-00002B000000}" name="KOside2" dataDxfId="254" totalsRowDxfId="253">
      <calculatedColumnFormula>Table1[[#This Row],[playersside2]]*Table1[[#This Row],[stackside2]]/3000</calculatedColumnFormula>
    </tableColumn>
    <tableColumn id="42" xr3:uid="{00000000-0010-0000-0100-00002A000000}" name=" 3"/>
    <tableColumn id="34" xr3:uid="{00000000-0010-0000-0100-000022000000}" name="playersf" dataDxfId="252" totalsRowDxfId="251"/>
    <tableColumn id="17" xr3:uid="{00000000-0010-0000-0100-000011000000}" name="stackf" dataDxfId="250" totalsRowDxfId="249"/>
    <tableColumn id="18" xr3:uid="{00000000-0010-0000-0100-000012000000}" name="EQf"/>
    <tableColumn id="19" xr3:uid="{00000000-0010-0000-0100-000013000000}" name="ICMf" dataDxfId="248">
      <calculatedColumnFormula>Table1[[#This Row],[EQf]]*prize</calculatedColumnFormula>
    </tableColumn>
    <tableColumn id="20" xr3:uid="{00000000-0010-0000-0100-000014000000}" name="KOf" dataDxfId="247" totalsRowDxfId="246">
      <calculatedColumnFormula>Table1[[#This Row],[playersf]]*Table1[[#This Row],[stackf]]/3000</calculatedColumnFormula>
    </tableColumn>
    <tableColumn id="21" xr3:uid="{00000000-0010-0000-0100-000015000000}" name="eqdiff" dataDxfId="245">
      <calculatedColumnFormula>Table2[[#This Row],[EQwin]]*Table2[[#This Row],[pWin]] + Table2[[#This Row],[EQlose]]*(1-Table2[[#This Row],[pWin]]) - Table2[[#This Row],[Eqfact]]</calculatedColumnFormula>
    </tableColumn>
    <tableColumn id="22" xr3:uid="{00000000-0010-0000-0100-000016000000}" name="ICMd" dataDxfId="244" totalsRowDxfId="243">
      <calculatedColumnFormula>p1win*Table1[[#This Row],[ICM1]]+(1-p1win)*(p2win*Table1[[#This Row],[ICM2]]+(1-p2win)*(p1spwin*Table1[[#This Row],[ICMside1]]+(1-p1spwin)*Table1[[#This Row],[ICMside2]])) -Table1[[#This Row],[ICMf]]</calculatedColumnFormula>
    </tableColumn>
    <tableColumn id="23" xr3:uid="{00000000-0010-0000-0100-000017000000}" name="KOd" dataDxfId="242">
      <calculatedColumnFormula>p3win*(p1spwin*Table1[[#This Row],[KOside1]]+(1-p1spwin)*Table1[[#This Row],[KOside2]])+p2win*Table1[[#This Row],[KO2]]+p1win*Table1[[#This Row],[KO1]] -Table1[[#This Row],[KOf]]</calculatedColumnFormula>
    </tableColumn>
    <tableColumn id="25" xr3:uid="{00000000-0010-0000-0100-000019000000}" name="totald" totalsRowFunction="sum" dataDxfId="241">
      <calculatedColumnFormula>Table1[[#This Row],[ICMd]]+Table1[[#This Row],[KOd]]</calculatedColumnFormula>
    </tableColumn>
    <tableColumn id="12" xr3:uid="{00000000-0010-0000-0100-00000C000000}" name="cEVdiff" dataDxfId="240">
      <calculatedColumnFormula>p3win*(p1spwin*Table1[[#This Row],[stackside1]]+(1-p1spwin)*Table1[[#This Row],[stackside2]])+p2win*Table1[[#This Row],[stack2]]+p1win*Table1[[#This Row],[stack1]] -Table1[[#This Row],[stackf]]</calculatedColumnFormula>
    </tableColumn>
  </tableColumns>
  <tableStyleInfo name="TableStyleMedium4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13000000}" name="T_p3p12337" displayName="T_p3p12337" ref="T15:Y21" totalsRowShown="0" tableBorderDxfId="133">
  <autoFilter ref="T15:Y21" xr:uid="{00000000-0009-0000-0100-000024000000}"/>
  <tableColumns count="6">
    <tableColumn id="1" xr3:uid="{00000000-0010-0000-1300-000001000000}" name="players" dataDxfId="132">
      <calculatedColumnFormula>COUNTIF(T_p3p12337[stack],"&gt;0")</calculatedColumnFormula>
    </tableColumn>
    <tableColumn id="2" xr3:uid="{00000000-0010-0000-1300-000002000000}" name="stack" dataDxfId="131">
      <calculatedColumnFormula>IF(T_init2034[[#This Row],[p]]=1,sidepot1+uncalled,IF(T_init2034[[#This Row],[p]]=3,mainpot,IF(ISBLANK(T_init2034[[#This Row],[p]]),T_init2034[[#This Row],[stack]],0)))</calculatedColumnFormula>
    </tableColumn>
    <tableColumn id="3" xr3:uid="{00000000-0010-0000-1300-000003000000}" name="EQ"/>
    <tableColumn id="4" xr3:uid="{00000000-0010-0000-1300-000004000000}" name="ICM" dataDxfId="130">
      <calculatedColumnFormula>T_p3p12337[[#This Row],[EQ]]*prize</calculatedColumnFormula>
    </tableColumn>
    <tableColumn id="5" xr3:uid="{00000000-0010-0000-1300-000005000000}" name="KO" dataDxfId="129">
      <calculatedColumnFormula>IF(T_init2034[[#This Row],[p]]=1,T_p3p12337[[#This Row],[players]]*T_p3p12337[[#This Row],[stack]]/chips+COUNTIF(T_p3p12337[stack],0),T_p3p12337[[#This Row],[players]]*T_p3p12337[[#This Row],[stack]]/chips)</calculatedColumnFormula>
    </tableColumn>
    <tableColumn id="6" xr3:uid="{00000000-0010-0000-1300-000006000000}" name="$stack" dataDxfId="128">
      <calculatedColumnFormula>T_p3p12337[[#This Row],[ICM]]+bounty*T_p3p12337[[#This Row],[KO]]</calculatedColumnFormula>
    </tableColumn>
  </tableColumns>
  <tableStyleInfo name="TableStyleLight1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14000000}" name="T_p3p22438" displayName="T_p3p22438" ref="AA15:AF21" totalsRowShown="0" tableBorderDxfId="127">
  <autoFilter ref="AA15:AF21" xr:uid="{00000000-0009-0000-0100-000025000000}"/>
  <tableColumns count="6">
    <tableColumn id="1" xr3:uid="{00000000-0010-0000-1400-000001000000}" name="players" dataDxfId="126" totalsRowDxfId="125">
      <calculatedColumnFormula>COUNTIF(T_p3p22438[stack],"&gt;0")</calculatedColumnFormula>
    </tableColumn>
    <tableColumn id="2" xr3:uid="{00000000-0010-0000-1400-000002000000}" name="stack" dataDxfId="124" totalsRowDxfId="123">
      <calculatedColumnFormula>IF(T_init2034[[#This Row],[p]]=1,uncalled,IF(T_init2034[[#This Row],[p]]=2,sidepot1,IF(T_init2034[[#This Row],[p]]=3,mainpot,IF(ISBLANK(T_init2034[[#This Row],[p]]),T_init2034[[#This Row],[stack]],0))))</calculatedColumnFormula>
    </tableColumn>
    <tableColumn id="3" xr3:uid="{00000000-0010-0000-1400-000003000000}" name="EQ" totalsRowDxfId="122"/>
    <tableColumn id="4" xr3:uid="{00000000-0010-0000-1400-000004000000}" name="ICM" dataDxfId="121" totalsRowDxfId="120">
      <calculatedColumnFormula>T_p3p22438[[#This Row],[EQ]]*prize</calculatedColumnFormula>
    </tableColumn>
    <tableColumn id="5" xr3:uid="{00000000-0010-0000-1400-000005000000}" name="KO" dataDxfId="119" totalsRowDxfId="118">
      <calculatedColumnFormula>IF(T_init2034[[#This Row],[p]]=2,T_p3p22438[[#This Row],[players]]*T_p3p22438[[#This Row],[stack]]/chips+COUNTIF(T_p3p22438[stack],0),T_p3p22438[[#This Row],[players]]*T_p3p22438[[#This Row],[stack]]/chips)</calculatedColumnFormula>
    </tableColumn>
    <tableColumn id="6" xr3:uid="{00000000-0010-0000-1400-000006000000}" name="$stack" dataDxfId="117">
      <calculatedColumnFormula>T_p3p22438[[#This Row],[ICM]]+bounty*T_p3p22438[[#This Row],[KO]]</calculatedColumnFormula>
    </tableColumn>
  </tableColumns>
  <tableStyleInfo name="TableStyleLight1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15000000}" name="T_fact2939" displayName="T_fact2939" ref="AI15:AN21" totalsRowShown="0" tableBorderDxfId="116">
  <autoFilter ref="AI15:AN21" xr:uid="{00000000-0009-0000-0100-000026000000}"/>
  <tableColumns count="6">
    <tableColumn id="1" xr3:uid="{00000000-0010-0000-1500-000001000000}" name="players">
      <calculatedColumnFormula>COUNTIF(T_fact2939[stack],"&gt;0")</calculatedColumnFormula>
    </tableColumn>
    <tableColumn id="2" xr3:uid="{00000000-0010-0000-1500-000002000000}" name="stack" dataDxfId="115">
      <calculatedColumnFormula>IF(T_init2034[[#This Row],[p]]=1,mainpot+sidepot1+sidepot2+uncalled,IF(T_init2034[[#This Row],[p]]&gt;1,0,T_init2034[[#This Row],[stack]]))</calculatedColumnFormula>
    </tableColumn>
    <tableColumn id="3" xr3:uid="{00000000-0010-0000-1500-000003000000}" name="EQ"/>
    <tableColumn id="4" xr3:uid="{00000000-0010-0000-1500-000004000000}" name="ICM" dataDxfId="114">
      <calculatedColumnFormula>T_fact2939[[#This Row],[EQ]]*prize</calculatedColumnFormula>
    </tableColumn>
    <tableColumn id="5" xr3:uid="{00000000-0010-0000-1500-000005000000}" name="KO" dataDxfId="113">
      <calculatedColumnFormula>IF(T_init2034[[#This Row],[p]]=1,T_fact2939[[#This Row],[players]]*T_fact2939[[#This Row],[stack]]/chips+COUNTIF(T_fact2939[stack],0),T_fact2939[[#This Row],[players]]*T_fact2939[[#This Row],[stack]]/chips)</calculatedColumnFormula>
    </tableColumn>
    <tableColumn id="6" xr3:uid="{00000000-0010-0000-1500-000006000000}" name="$stack" dataDxfId="112">
      <calculatedColumnFormula>T_fact2939[[#This Row],[ICM]]+bounty*T_fact2939[[#This Row],[KO]]</calculatedColumnFormula>
    </tableColumn>
  </tableColumns>
  <tableStyleInfo name="TableStyleLight1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16000000}" name="T_EV3340" displayName="T_EV3340" ref="AQ15:AV21" totalsRowShown="0" tableBorderDxfId="111">
  <autoFilter ref="AQ15:AV21" xr:uid="{00000000-0009-0000-0100-000027000000}"/>
  <tableColumns count="6">
    <tableColumn id="1" xr3:uid="{00000000-0010-0000-1600-000001000000}" name="ICM" dataDxfId="110">
      <calculatedColumnFormula>'3wKhQs'!p3win* ('3wKhQs'!p1sp1win*T_p3p12337[[#This Row],[ICM]] + '3wKhQs'!p2sp1win*T_p3p22438[[#This Row],[ICM]])
+'3wKhQs'!p2win*T_p22236[[#This Row],[ICM]]
+'3wKhQs'!p1win*T_p12135[[#This Row],[ICM]]</calculatedColumnFormula>
    </tableColumn>
    <tableColumn id="2" xr3:uid="{00000000-0010-0000-1600-000002000000}" name="KO" dataDxfId="109">
      <calculatedColumnFormula>('3wKhQs'!p3win* ('3wKhQs'!p1sp1win*T_p3p12337[[#This Row],[KO]] + '3wKhQs'!p2sp1win*T_p3p22438[[#This Row],[KO]])
+'3wKhQs'!p2win*T_p22236[[#This Row],[KO]]
+'3wKhQs'!p1win*T_p12135[[#This Row],[KO]])*bounty</calculatedColumnFormula>
    </tableColumn>
    <tableColumn id="3" xr3:uid="{00000000-0010-0000-1600-000003000000}" name="EV" dataDxfId="108">
      <calculatedColumnFormula>'3wKhQs'!p3win* ('3wKhQs'!p1sp1win*T_p3p12337[[#This Row],[$stack]] + '3wKhQs'!p2sp1win*T_p3p22438[[#This Row],[$stack]])
+'3wKhQs'!p2win*T_p22236[[#This Row],[$stack]]
+'3wKhQs'!p1win*T_p12135[[#This Row],[$stack]]</calculatedColumnFormula>
    </tableColumn>
    <tableColumn id="4" xr3:uid="{00000000-0010-0000-1600-000004000000}" name="chipEV" dataDxfId="107">
      <calculatedColumnFormula>'3wKhQs'!p3win* ('3wKhQs'!p1sp1win*T_p3p12337[[#This Row],[stack]] + '3wKhQs'!p2sp1win*T_p3p22438[[#This Row],[stack]])
+'3wKhQs'!p2win*T_p22236[[#This Row],[stack]]
+'3wKhQs'!p1win*T_p12135[[#This Row],[stack]]</calculatedColumnFormula>
    </tableColumn>
    <tableColumn id="5" xr3:uid="{00000000-0010-0000-1600-000005000000}" name="cEVdiff" dataDxfId="106">
      <calculatedColumnFormula>T_EV3340[[#This Row],[chipEV]]-T_fact2939[[#This Row],[stack]]</calculatedColumnFormula>
    </tableColumn>
    <tableColumn id="6" xr3:uid="{00000000-0010-0000-1600-000006000000}" name="Evdiff" dataDxfId="105">
      <calculatedColumnFormula>T_EV3340[[#This Row],[EV]]-(T_fact2939[[#This Row],[ICM]]+bounty*T_fact2939[[#This Row],[KO]])</calculatedColumnFormula>
    </tableColumn>
  </tableColumns>
  <tableStyleInfo name="TableStyleLight1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7000000}" name="T_init20" displayName="T_init20" ref="A15:D22" totalsRowCount="1">
  <autoFilter ref="A15:D21" xr:uid="{00000000-0009-0000-0100-000013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1700-000001000000}" name="p" totalsRowLabel="Total"/>
    <tableColumn id="2" xr3:uid="{00000000-0010-0000-1700-000002000000}" name="stack"/>
    <tableColumn id="3" xr3:uid="{00000000-0010-0000-1700-000003000000}" name="hand"/>
    <tableColumn id="4" xr3:uid="{00000000-0010-0000-1700-000004000000}" name="pWin" totalsRowFunction="sum"/>
  </tableColumns>
  <tableStyleInfo name="TableStyleLight1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8000000}" name="T_p121" displayName="T_p121" ref="F15:K21" totalsRowShown="0" tableBorderDxfId="104">
  <autoFilter ref="F15:K21" xr:uid="{00000000-0009-0000-0100-000014000000}"/>
  <tableColumns count="6">
    <tableColumn id="1" xr3:uid="{00000000-0010-0000-1800-000001000000}" name="players" dataDxfId="103">
      <calculatedColumnFormula>COUNTIF(T_p121[stack],"&gt;0")</calculatedColumnFormula>
    </tableColumn>
    <tableColumn id="2" xr3:uid="{00000000-0010-0000-1800-000002000000}" name="stack" dataDxfId="102">
      <calculatedColumnFormula>IF(T_init20[[#This Row],[p]]=1,mainpot+sidepot1+sidepot2+uncalled,IF(T_init20[[#This Row],[p]]&gt;1,0,T_init20[[#This Row],[stack]]))</calculatedColumnFormula>
    </tableColumn>
    <tableColumn id="3" xr3:uid="{00000000-0010-0000-1800-000003000000}" name="EQ"/>
    <tableColumn id="4" xr3:uid="{00000000-0010-0000-1800-000004000000}" name="ICM" dataDxfId="101">
      <calculatedColumnFormula>T_p121[[#This Row],[EQ]]*prize</calculatedColumnFormula>
    </tableColumn>
    <tableColumn id="5" xr3:uid="{00000000-0010-0000-1800-000005000000}" name="KO" dataDxfId="100">
      <calculatedColumnFormula>IF(T_init20[[#This Row],[p]]=1,T_p121[[#This Row],[players]]*T_p121[[#This Row],[stack]]/chips+COUNTIF(T_p121[stack],0),T_p121[[#This Row],[players]]*T_p121[[#This Row],[stack]]/chips)</calculatedColumnFormula>
    </tableColumn>
    <tableColumn id="6" xr3:uid="{00000000-0010-0000-1800-000006000000}" name="$stack" dataDxfId="99">
      <calculatedColumnFormula>T_p121[[#This Row],[ICM]]+bounty*T_p121[[#This Row],[KO]]</calculatedColumnFormula>
    </tableColumn>
  </tableColumns>
  <tableStyleInfo name="TableStyleLight1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9000000}" name="T_p222" displayName="T_p222" ref="M15:R21" totalsRowShown="0" tableBorderDxfId="98">
  <autoFilter ref="M15:R21" xr:uid="{00000000-0009-0000-0100-000015000000}"/>
  <tableColumns count="6">
    <tableColumn id="1" xr3:uid="{00000000-0010-0000-1900-000001000000}" name="players" dataDxfId="97" totalsRowDxfId="96">
      <calculatedColumnFormula>COUNTIF(T_p222[stack],"&gt;0")</calculatedColumnFormula>
    </tableColumn>
    <tableColumn id="2" xr3:uid="{00000000-0010-0000-1900-000002000000}" name="stack" dataDxfId="95" totalsRowDxfId="94">
      <calculatedColumnFormula>IF(T_init20[[#This Row],[p]]=1,uncalled,IF(T_init20[[#This Row],[p]]=2,mainpot+sidepot1+sidepot2,IF(T_init20[[#This Row],[p]]&gt;2,0,T_init20[[#This Row],[stack]])))</calculatedColumnFormula>
    </tableColumn>
    <tableColumn id="3" xr3:uid="{00000000-0010-0000-1900-000003000000}" name="EQ" totalsRowDxfId="93"/>
    <tableColumn id="4" xr3:uid="{00000000-0010-0000-1900-000004000000}" name="ICM" dataDxfId="92" totalsRowDxfId="91">
      <calculatedColumnFormula>T_p222[[#This Row],[EQ]]*prize</calculatedColumnFormula>
    </tableColumn>
    <tableColumn id="5" xr3:uid="{00000000-0010-0000-1900-000005000000}" name="KO" dataDxfId="90" totalsRowDxfId="89">
      <calculatedColumnFormula>IF(T_init20[[#This Row],[p]]=2,T_p222[[#This Row],[players]]*T_p222[[#This Row],[stack]]/chips+COUNTIF(T_p222[stack],0),T_p222[[#This Row],[players]]*T_p222[[#This Row],[stack]]/chips)</calculatedColumnFormula>
    </tableColumn>
    <tableColumn id="6" xr3:uid="{00000000-0010-0000-1900-000006000000}" name="$stack" dataDxfId="88">
      <calculatedColumnFormula>T_p222[[#This Row],[ICM]]+bounty*T_p222[[#This Row],[KO]]</calculatedColumnFormula>
    </tableColumn>
  </tableColumns>
  <tableStyleInfo name="TableStyleLight1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A000000}" name="T_p3p123" displayName="T_p3p123" ref="T15:Y21" totalsRowShown="0" tableBorderDxfId="87">
  <autoFilter ref="T15:Y21" xr:uid="{00000000-0009-0000-0100-000016000000}"/>
  <tableColumns count="6">
    <tableColumn id="1" xr3:uid="{00000000-0010-0000-1A00-000001000000}" name="players" dataDxfId="86">
      <calculatedColumnFormula>COUNTIF(T_p3p123[stack],"&gt;0")</calculatedColumnFormula>
    </tableColumn>
    <tableColumn id="2" xr3:uid="{00000000-0010-0000-1A00-000002000000}" name="stack" dataDxfId="85">
      <calculatedColumnFormula>IF(T_init20[[#This Row],[p]]=1,sidepot1+uncalled,IF(T_init20[[#This Row],[p]]=3,mainpot,IF(ISBLANK(T_init20[[#This Row],[p]]),T_init20[[#This Row],[stack]],0)))</calculatedColumnFormula>
    </tableColumn>
    <tableColumn id="3" xr3:uid="{00000000-0010-0000-1A00-000003000000}" name="EQ"/>
    <tableColumn id="4" xr3:uid="{00000000-0010-0000-1A00-000004000000}" name="ICM" dataDxfId="84">
      <calculatedColumnFormula>T_p3p123[[#This Row],[EQ]]*prize</calculatedColumnFormula>
    </tableColumn>
    <tableColumn id="5" xr3:uid="{00000000-0010-0000-1A00-000005000000}" name="KO" dataDxfId="83">
      <calculatedColumnFormula>IF(T_init20[[#This Row],[p]]=1,T_p3p123[[#This Row],[players]]*T_p3p123[[#This Row],[stack]]/chips+COUNTIF(T_p3p123[stack],0),T_p3p123[[#This Row],[players]]*T_p3p123[[#This Row],[stack]]/chips)</calculatedColumnFormula>
    </tableColumn>
    <tableColumn id="6" xr3:uid="{00000000-0010-0000-1A00-000006000000}" name="$stack" dataDxfId="82">
      <calculatedColumnFormula>T_p3p123[[#This Row],[ICM]]+bounty*T_p3p123[[#This Row],[KO]]</calculatedColumnFormula>
    </tableColumn>
  </tableColumns>
  <tableStyleInfo name="TableStyleLight1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B000000}" name="T_p3p224" displayName="T_p3p224" ref="AA15:AF21" totalsRowShown="0" tableBorderDxfId="81">
  <autoFilter ref="AA15:AF21" xr:uid="{00000000-0009-0000-0100-000017000000}"/>
  <tableColumns count="6">
    <tableColumn id="1" xr3:uid="{00000000-0010-0000-1B00-000001000000}" name="players" dataDxfId="80" totalsRowDxfId="79">
      <calculatedColumnFormula>COUNTIF(T_p3p224[stack],"&gt;0")</calculatedColumnFormula>
    </tableColumn>
    <tableColumn id="2" xr3:uid="{00000000-0010-0000-1B00-000002000000}" name="stack" dataDxfId="78" totalsRowDxfId="77">
      <calculatedColumnFormula>IF(T_init20[[#This Row],[p]]=1,uncalled,IF(T_init20[[#This Row],[p]]=2,sidepot1,IF(T_init20[[#This Row],[p]]=3,mainpot,IF(ISBLANK(T_init20[[#This Row],[p]]),T_init20[[#This Row],[stack]],0))))</calculatedColumnFormula>
    </tableColumn>
    <tableColumn id="3" xr3:uid="{00000000-0010-0000-1B00-000003000000}" name="EQ" totalsRowDxfId="76"/>
    <tableColumn id="4" xr3:uid="{00000000-0010-0000-1B00-000004000000}" name="ICM" dataDxfId="75" totalsRowDxfId="74">
      <calculatedColumnFormula>T_p3p224[[#This Row],[EQ]]*prize</calculatedColumnFormula>
    </tableColumn>
    <tableColumn id="5" xr3:uid="{00000000-0010-0000-1B00-000005000000}" name="KO" dataDxfId="73" totalsRowDxfId="72">
      <calculatedColumnFormula>IF(T_init20[[#This Row],[p]]=2,T_p3p224[[#This Row],[players]]*T_p3p224[[#This Row],[stack]]/chips+COUNTIF(T_p3p224[stack],0),T_p3p224[[#This Row],[players]]*T_p3p224[[#This Row],[stack]]/chips)</calculatedColumnFormula>
    </tableColumn>
    <tableColumn id="6" xr3:uid="{00000000-0010-0000-1B00-000006000000}" name="$stack" dataDxfId="71">
      <calculatedColumnFormula>T_p3p224[[#This Row],[ICM]]+bounty*T_p3p224[[#This Row],[KO]]</calculatedColumnFormula>
    </tableColumn>
  </tableColumns>
  <tableStyleInfo name="TableStyleLight1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C000000}" name="T_fact29" displayName="T_fact29" ref="AI15:AN21" totalsRowShown="0" tableBorderDxfId="70">
  <autoFilter ref="AI15:AN21" xr:uid="{00000000-0009-0000-0100-00001C000000}"/>
  <tableColumns count="6">
    <tableColumn id="1" xr3:uid="{00000000-0010-0000-1C00-000001000000}" name="players">
      <calculatedColumnFormula>COUNTIF(T_fact29[stack],"&gt;0")</calculatedColumnFormula>
    </tableColumn>
    <tableColumn id="2" xr3:uid="{00000000-0010-0000-1C00-000002000000}" name="stack" dataDxfId="69">
      <calculatedColumnFormula>IF(T_init20[[#This Row],[p]]=1,mainpot+sidepot1+sidepot2+uncalled,IF(T_init20[[#This Row],[p]]&gt;1,0,T_init20[[#This Row],[stack]]))</calculatedColumnFormula>
    </tableColumn>
    <tableColumn id="3" xr3:uid="{00000000-0010-0000-1C00-000003000000}" name="EQ"/>
    <tableColumn id="4" xr3:uid="{00000000-0010-0000-1C00-000004000000}" name="ICM" dataDxfId="68">
      <calculatedColumnFormula>T_fact29[[#This Row],[EQ]]*prize</calculatedColumnFormula>
    </tableColumn>
    <tableColumn id="5" xr3:uid="{00000000-0010-0000-1C00-000005000000}" name="KO" dataDxfId="67">
      <calculatedColumnFormula>IF(T_init20[[#This Row],[p]]=1,T_fact29[[#This Row],[players]]*T_fact29[[#This Row],[stack]]/chips+COUNTIF(T_fact29[stack],0),T_fact29[[#This Row],[players]]*T_fact29[[#This Row],[stack]]/chips)</calculatedColumnFormula>
    </tableColumn>
    <tableColumn id="6" xr3:uid="{00000000-0010-0000-1C00-000006000000}" name="$stack" dataDxfId="66">
      <calculatedColumnFormula>T_fact29[[#This Row],[ICM]]+bounty*T_fact29[[#This Row],[KO]]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_init" displayName="T_init" ref="A15:D22" totalsRowCount="1">
  <autoFilter ref="A15:D21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p" totalsRowLabel="Total"/>
    <tableColumn id="2" xr3:uid="{00000000-0010-0000-0200-000002000000}" name="stack"/>
    <tableColumn id="3" xr3:uid="{00000000-0010-0000-0200-000003000000}" name="hand"/>
    <tableColumn id="4" xr3:uid="{00000000-0010-0000-0200-000004000000}" name="pWin" totalsRowFunction="sum"/>
  </tableColumns>
  <tableStyleInfo name="TableStyleLight1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D000000}" name="T_EV33" displayName="T_EV33" ref="AQ15:AV21" totalsRowShown="0" tableBorderDxfId="65">
  <autoFilter ref="AQ15:AV21" xr:uid="{00000000-0009-0000-0100-000020000000}"/>
  <tableColumns count="6">
    <tableColumn id="1" xr3:uid="{00000000-0010-0000-1D00-000001000000}" name="ICM" dataDxfId="64">
      <calculatedColumnFormula>'3wAdKd'!p3win* ('3wAdKd'!p1sp1win*T_p3p123[[#This Row],[ICM]] + '3wAdKd'!p2sp1win*T_p3p224[[#This Row],[ICM]])
+'3wAdKd'!p2win*T_p222[[#This Row],[ICM]]
+'3wAdKd'!p1win*T_p121[[#This Row],[ICM]]</calculatedColumnFormula>
    </tableColumn>
    <tableColumn id="2" xr3:uid="{00000000-0010-0000-1D00-000002000000}" name="KO" dataDxfId="63">
      <calculatedColumnFormula>('3wAdKd'!p3win* ('3wAdKd'!p1sp1win*T_p3p123[[#This Row],[KO]] + '3wAdKd'!p2sp1win*T_p3p224[[#This Row],[KO]])
+'3wAdKd'!p2win*T_p222[[#This Row],[KO]]
+'3wAdKd'!p1win*T_p121[[#This Row],[KO]])*bounty</calculatedColumnFormula>
    </tableColumn>
    <tableColumn id="3" xr3:uid="{00000000-0010-0000-1D00-000003000000}" name="EV" dataDxfId="62">
      <calculatedColumnFormula>'3wAdKd'!p3win* ('3wAdKd'!p1sp1win*T_p3p123[[#This Row],[$stack]] + '3wAdKd'!p2sp1win*T_p3p224[[#This Row],[$stack]])
+'3wAdKd'!p2win*T_p222[[#This Row],[$stack]]
+'3wAdKd'!p1win*T_p121[[#This Row],[$stack]]</calculatedColumnFormula>
    </tableColumn>
    <tableColumn id="4" xr3:uid="{00000000-0010-0000-1D00-000004000000}" name="chipEV" dataDxfId="61">
      <calculatedColumnFormula>'3wAdKd'!p3win* ('3wAdKd'!p1sp1win*T_p3p123[[#This Row],[stack]] + '3wAdKd'!p2sp1win*T_p3p224[[#This Row],[stack]])
+'3wAdKd'!p2win*T_p222[[#This Row],[stack]]
+'3wAdKd'!p1win*T_p121[[#This Row],[stack]]</calculatedColumnFormula>
    </tableColumn>
    <tableColumn id="5" xr3:uid="{00000000-0010-0000-1D00-000005000000}" name="cEVdiff" dataDxfId="60">
      <calculatedColumnFormula>T_EV33[[#This Row],[chipEV]]-T_fact29[[#This Row],[stack]]</calculatedColumnFormula>
    </tableColumn>
    <tableColumn id="6" xr3:uid="{00000000-0010-0000-1D00-000006000000}" name="Evdiff" dataDxfId="59">
      <calculatedColumnFormula>T_EV33[[#This Row],[EV]]-(T_fact29[[#This Row],[ICM]]+bounty*T_fact29[[#This Row],[KO]])</calculatedColumnFormula>
    </tableColumn>
  </tableColumns>
  <tableStyleInfo name="TableStyleLight1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1E000000}" name="T_init2041" displayName="T_init2041" ref="A15:D19" totalsRowCount="1">
  <autoFilter ref="A15:D18" xr:uid="{00000000-0009-0000-0100-000028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1E00-000001000000}" name="p" totalsRowLabel="Total"/>
    <tableColumn id="2" xr3:uid="{00000000-0010-0000-1E00-000002000000}" name="stack"/>
    <tableColumn id="3" xr3:uid="{00000000-0010-0000-1E00-000003000000}" name="hand"/>
    <tableColumn id="4" xr3:uid="{00000000-0010-0000-1E00-000004000000}" name="pWin" totalsRowFunction="sum"/>
  </tableColumns>
  <tableStyleInfo name="TableStyleLight11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1F000000}" name="T_p12142" displayName="T_p12142" ref="F15:K18" totalsRowShown="0" tableBorderDxfId="58">
  <autoFilter ref="F15:K18" xr:uid="{00000000-0009-0000-0100-000029000000}"/>
  <tableColumns count="6">
    <tableColumn id="1" xr3:uid="{00000000-0010-0000-1F00-000001000000}" name="players" dataDxfId="57">
      <calculatedColumnFormula>COUNTIF(T_p12142[stack],"&gt;0")</calculatedColumnFormula>
    </tableColumn>
    <tableColumn id="2" xr3:uid="{00000000-0010-0000-1F00-000002000000}" name="stack" dataDxfId="56">
      <calculatedColumnFormula>IF(T_init2041[[#This Row],[p]]=1,mainpot+sidepot1+sidepot2+uncalled,IF(T_init2041[[#This Row],[p]]&gt;1,0,T_init2041[[#This Row],[stack]]))</calculatedColumnFormula>
    </tableColumn>
    <tableColumn id="3" xr3:uid="{00000000-0010-0000-1F00-000003000000}" name="EQ"/>
    <tableColumn id="4" xr3:uid="{00000000-0010-0000-1F00-000004000000}" name="ICM" dataDxfId="55">
      <calculatedColumnFormula>T_p12142[[#This Row],[EQ]]*prize</calculatedColumnFormula>
    </tableColumn>
    <tableColumn id="5" xr3:uid="{00000000-0010-0000-1F00-000005000000}" name="KO" dataDxfId="54">
      <calculatedColumnFormula>IF(T_init2041[[#This Row],[p]]=1,T_p12142[[#This Row],[players]]*T_p12142[[#This Row],[stack]]/chips+COUNTIF(T_p12142[stack],0),T_p12142[[#This Row],[players]]*T_p12142[[#This Row],[stack]]/chips)</calculatedColumnFormula>
    </tableColumn>
    <tableColumn id="6" xr3:uid="{00000000-0010-0000-1F00-000006000000}" name="$stack" dataDxfId="53">
      <calculatedColumnFormula>T_p12142[[#This Row],[ICM]]+bounty*T_p12142[[#This Row],[KO]]</calculatedColumnFormula>
    </tableColumn>
  </tableColumns>
  <tableStyleInfo name="TableStyleLight11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0000000}" name="T_p22243" displayName="T_p22243" ref="M15:R18" totalsRowShown="0" tableBorderDxfId="52">
  <autoFilter ref="M15:R18" xr:uid="{00000000-0009-0000-0100-00002A000000}"/>
  <tableColumns count="6">
    <tableColumn id="1" xr3:uid="{00000000-0010-0000-2000-000001000000}" name="players" dataDxfId="51" totalsRowDxfId="50">
      <calculatedColumnFormula>COUNTIF(T_p22243[stack],"&gt;0")</calculatedColumnFormula>
    </tableColumn>
    <tableColumn id="2" xr3:uid="{00000000-0010-0000-2000-000002000000}" name="stack" dataDxfId="49" totalsRowDxfId="48">
      <calculatedColumnFormula>IF(T_init2041[[#This Row],[p]]=1,uncalled,IF(T_init2041[[#This Row],[p]]=2,mainpot+sidepot1+sidepot2,IF(T_init2041[[#This Row],[p]]&gt;2,0,T_init2041[[#This Row],[stack]])))</calculatedColumnFormula>
    </tableColumn>
    <tableColumn id="3" xr3:uid="{00000000-0010-0000-2000-000003000000}" name="EQ" totalsRowDxfId="47"/>
    <tableColumn id="4" xr3:uid="{00000000-0010-0000-2000-000004000000}" name="ICM" dataDxfId="46" totalsRowDxfId="45">
      <calculatedColumnFormula>T_p22243[[#This Row],[EQ]]*prize</calculatedColumnFormula>
    </tableColumn>
    <tableColumn id="5" xr3:uid="{00000000-0010-0000-2000-000005000000}" name="KO" dataDxfId="44" totalsRowDxfId="43">
      <calculatedColumnFormula>IF(T_init2041[[#This Row],[p]]=2,T_p22243[[#This Row],[players]]*T_p22243[[#This Row],[stack]]/chips+COUNTIF(T_p22243[stack],0),T_p22243[[#This Row],[players]]*T_p22243[[#This Row],[stack]]/chips)</calculatedColumnFormula>
    </tableColumn>
    <tableColumn id="6" xr3:uid="{00000000-0010-0000-2000-000006000000}" name="$stack" dataDxfId="42">
      <calculatedColumnFormula>T_p22243[[#This Row],[ICM]]+bounty*T_p22243[[#This Row],[KO]]</calculatedColumnFormula>
    </tableColumn>
  </tableColumns>
  <tableStyleInfo name="TableStyleLight11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1000000}" name="T_p3p12344" displayName="T_p3p12344" ref="T15:Y18" totalsRowShown="0" tableBorderDxfId="41">
  <autoFilter ref="T15:Y18" xr:uid="{00000000-0009-0000-0100-00002B000000}"/>
  <tableColumns count="6">
    <tableColumn id="1" xr3:uid="{00000000-0010-0000-2100-000001000000}" name="players" dataDxfId="40">
      <calculatedColumnFormula>COUNTIF(T_p3p12344[stack],"&gt;0")</calculatedColumnFormula>
    </tableColumn>
    <tableColumn id="2" xr3:uid="{00000000-0010-0000-2100-000002000000}" name="stack" dataDxfId="39">
      <calculatedColumnFormula>IF(T_init2041[[#This Row],[p]]=1,sidepot1+uncalled,IF(T_init2041[[#This Row],[p]]=3,mainpot,IF(ISBLANK(T_init2041[[#This Row],[p]]),T_init2041[[#This Row],[stack]],0)))</calculatedColumnFormula>
    </tableColumn>
    <tableColumn id="3" xr3:uid="{00000000-0010-0000-2100-000003000000}" name="EQ"/>
    <tableColumn id="4" xr3:uid="{00000000-0010-0000-2100-000004000000}" name="ICM" dataDxfId="38">
      <calculatedColumnFormula>T_p3p12344[[#This Row],[EQ]]*prize</calculatedColumnFormula>
    </tableColumn>
    <tableColumn id="5" xr3:uid="{00000000-0010-0000-2100-000005000000}" name="KO" dataDxfId="37">
      <calculatedColumnFormula>IF(T_init2041[[#This Row],[p]]=1,T_p3p12344[[#This Row],[players]]*T_p3p12344[[#This Row],[stack]]/chips+COUNTIF(T_p3p12344[stack],0),T_p3p12344[[#This Row],[players]]*T_p3p12344[[#This Row],[stack]]/chips)</calculatedColumnFormula>
    </tableColumn>
    <tableColumn id="6" xr3:uid="{00000000-0010-0000-2100-000006000000}" name="$stack" dataDxfId="36">
      <calculatedColumnFormula>T_p3p12344[[#This Row],[ICM]]+bounty*T_p3p12344[[#This Row],[KO]]</calculatedColumnFormula>
    </tableColumn>
  </tableColumns>
  <tableStyleInfo name="TableStyleLight11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2000000}" name="T_p3p22445" displayName="T_p3p22445" ref="AA15:AF18" totalsRowShown="0" tableBorderDxfId="35">
  <autoFilter ref="AA15:AF18" xr:uid="{00000000-0009-0000-0100-00002C000000}"/>
  <tableColumns count="6">
    <tableColumn id="1" xr3:uid="{00000000-0010-0000-2200-000001000000}" name="players" dataDxfId="34" totalsRowDxfId="33">
      <calculatedColumnFormula>COUNTIF(T_p3p22445[stack],"&gt;0")</calculatedColumnFormula>
    </tableColumn>
    <tableColumn id="2" xr3:uid="{00000000-0010-0000-2200-000002000000}" name="stack" dataDxfId="32" totalsRowDxfId="31">
      <calculatedColumnFormula>IF(T_init2041[[#This Row],[p]]=1,uncalled,IF(T_init2041[[#This Row],[p]]=2,sidepot1,IF(T_init2041[[#This Row],[p]]=3,mainpot,IF(ISBLANK(T_init2041[[#This Row],[p]]),T_init2041[[#This Row],[stack]],0))))</calculatedColumnFormula>
    </tableColumn>
    <tableColumn id="3" xr3:uid="{00000000-0010-0000-2200-000003000000}" name="EQ" totalsRowDxfId="30"/>
    <tableColumn id="4" xr3:uid="{00000000-0010-0000-2200-000004000000}" name="ICM" dataDxfId="29" totalsRowDxfId="28">
      <calculatedColumnFormula>T_p3p22445[[#This Row],[EQ]]*prize</calculatedColumnFormula>
    </tableColumn>
    <tableColumn id="5" xr3:uid="{00000000-0010-0000-2200-000005000000}" name="KO" dataDxfId="27" totalsRowDxfId="26">
      <calculatedColumnFormula>IF(T_init2041[[#This Row],[p]]=2,T_p3p22445[[#This Row],[players]]*T_p3p22445[[#This Row],[stack]]/chips+COUNTIF(T_p3p22445[stack],0),T_p3p22445[[#This Row],[players]]*T_p3p22445[[#This Row],[stack]]/chips)</calculatedColumnFormula>
    </tableColumn>
    <tableColumn id="6" xr3:uid="{00000000-0010-0000-2200-000006000000}" name="$stack" dataDxfId="25">
      <calculatedColumnFormula>T_p3p22445[[#This Row],[ICM]]+bounty*T_p3p22445[[#This Row],[KO]]</calculatedColumnFormula>
    </tableColumn>
  </tableColumns>
  <tableStyleInfo name="TableStyleLight11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3000000}" name="T_fact2946" displayName="T_fact2946" ref="AI15:AN18" totalsRowShown="0" tableBorderDxfId="24">
  <autoFilter ref="AI15:AN18" xr:uid="{00000000-0009-0000-0100-00002D000000}"/>
  <tableColumns count="6">
    <tableColumn id="1" xr3:uid="{00000000-0010-0000-2300-000001000000}" name="players">
      <calculatedColumnFormula>COUNTIF(T_fact2946[stack],"&gt;0")</calculatedColumnFormula>
    </tableColumn>
    <tableColumn id="2" xr3:uid="{00000000-0010-0000-2300-000002000000}" name="stack" dataDxfId="23">
      <calculatedColumnFormula>IF(T_init2041[[#This Row],[p]]=1,sidepot1+uncalled,IF(T_init2041[[#This Row],[p]]=3,mainpot,IF(ISBLANK(T_init2041[[#This Row],[p]]),T_init2041[[#This Row],[stack]],0)))</calculatedColumnFormula>
    </tableColumn>
    <tableColumn id="3" xr3:uid="{00000000-0010-0000-2300-000003000000}" name="EQ"/>
    <tableColumn id="4" xr3:uid="{00000000-0010-0000-2300-000004000000}" name="ICM" dataDxfId="22">
      <calculatedColumnFormula>T_fact2946[[#This Row],[EQ]]*prize</calculatedColumnFormula>
    </tableColumn>
    <tableColumn id="5" xr3:uid="{00000000-0010-0000-2300-000005000000}" name="KO" dataDxfId="21">
      <calculatedColumnFormula>IF(T_init2041[[#This Row],[p]]=1,T_fact2946[[#This Row],[players]]*T_fact2946[[#This Row],[stack]]/chips+COUNTIF(T_fact2946[stack],0),T_fact2946[[#This Row],[players]]*T_fact2946[[#This Row],[stack]]/chips)</calculatedColumnFormula>
    </tableColumn>
    <tableColumn id="6" xr3:uid="{00000000-0010-0000-2300-000006000000}" name="$stack" dataDxfId="20">
      <calculatedColumnFormula>T_fact2946[[#This Row],[ICM]]+bounty*T_fact2946[[#This Row],[KO]]</calculatedColumnFormula>
    </tableColumn>
  </tableColumns>
  <tableStyleInfo name="TableStyleLight11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4000000}" name="T_EV3347" displayName="T_EV3347" ref="AQ15:AV18" totalsRowShown="0" tableBorderDxfId="19">
  <autoFilter ref="AQ15:AV18" xr:uid="{00000000-0009-0000-0100-00002E000000}"/>
  <tableColumns count="6">
    <tableColumn id="1" xr3:uid="{00000000-0010-0000-2400-000001000000}" name="ICM" dataDxfId="18">
      <calculatedColumnFormula>'3wAh9s'!p3win* ('3wAh9s'!p1sp1win*T_p3p12344[[#This Row],[ICM]] + '3wAh9s'!p2sp1win*T_p3p22445[[#This Row],[ICM]])
+'3wAh9s'!p2win*T_p22243[[#This Row],[ICM]]
+'3wAh9s'!p1win*T_p12142[[#This Row],[ICM]]</calculatedColumnFormula>
    </tableColumn>
    <tableColumn id="2" xr3:uid="{00000000-0010-0000-2400-000002000000}" name="KO" dataDxfId="17">
      <calculatedColumnFormula>('3wAh9s'!p3win* ('3wAh9s'!p1sp1win*T_p3p12344[[#This Row],[KO]] + '3wAh9s'!p2sp1win*T_p3p22445[[#This Row],[KO]])
+'3wAh9s'!p2win*T_p22243[[#This Row],[KO]]
+'3wAh9s'!p1win*T_p12142[[#This Row],[KO]])*bounty</calculatedColumnFormula>
    </tableColumn>
    <tableColumn id="3" xr3:uid="{00000000-0010-0000-2400-000003000000}" name="EV" dataDxfId="16">
      <calculatedColumnFormula>'3wAh9s'!p3win* ('3wAh9s'!p1sp1win*T_p3p12344[[#This Row],[$stack]] + '3wAh9s'!p2sp1win*T_p3p22445[[#This Row],[$stack]])
+'3wAh9s'!p2win*T_p22243[[#This Row],[$stack]]
+'3wAh9s'!p1win*T_p12142[[#This Row],[$stack]]</calculatedColumnFormula>
    </tableColumn>
    <tableColumn id="4" xr3:uid="{00000000-0010-0000-2400-000004000000}" name="chipEV" dataDxfId="15">
      <calculatedColumnFormula>'3wAh9s'!p3win* ('3wAh9s'!p1sp1win*T_p3p12344[[#This Row],[stack]] + '3wAh9s'!p2sp1win*T_p3p22445[[#This Row],[stack]])
+'3wAh9s'!p2win*T_p22243[[#This Row],[stack]]
+'3wAh9s'!p1win*T_p12142[[#This Row],[stack]]</calculatedColumnFormula>
    </tableColumn>
    <tableColumn id="5" xr3:uid="{00000000-0010-0000-2400-000005000000}" name="cEVdiff" dataDxfId="14">
      <calculatedColumnFormula>T_EV3347[[#This Row],[chipEV]]-T_fact2946[[#This Row],[stack]]</calculatedColumnFormula>
    </tableColumn>
    <tableColumn id="6" xr3:uid="{00000000-0010-0000-2400-000006000000}" name="Evdiff" dataDxfId="13">
      <calculatedColumnFormula>T_EV3347[[#This Row],[EV]]-(T_fact2946[[#This Row],[ICM]]+bounty*T_fact2946[[#This Row],[KO]])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_p1" displayName="T_p1" ref="F15:K21" totalsRowShown="0" tableBorderDxfId="239">
  <autoFilter ref="F15:K21" xr:uid="{00000000-0009-0000-0100-000005000000}"/>
  <tableColumns count="6">
    <tableColumn id="1" xr3:uid="{00000000-0010-0000-0300-000001000000}" name="players" dataDxfId="238">
      <calculatedColumnFormula>COUNTIF(T_p1[stack],"&gt;0")</calculatedColumnFormula>
    </tableColumn>
    <tableColumn id="2" xr3:uid="{00000000-0010-0000-0300-000002000000}" name="stack" dataDxfId="237">
      <calculatedColumnFormula>IF(T_init[[#This Row],[p]]=1,mainpot+sidepot1+sidepot2+uncalled,IF(T_init[[#This Row],[p]]&gt;1,0,T_init[[#This Row],[stack]]))</calculatedColumnFormula>
    </tableColumn>
    <tableColumn id="3" xr3:uid="{00000000-0010-0000-0300-000003000000}" name="EQ"/>
    <tableColumn id="4" xr3:uid="{00000000-0010-0000-0300-000004000000}" name="ICM" dataDxfId="236">
      <calculatedColumnFormula>T_p1[[#This Row],[EQ]]*prize</calculatedColumnFormula>
    </tableColumn>
    <tableColumn id="5" xr3:uid="{00000000-0010-0000-0300-000005000000}" name="KO" dataDxfId="235">
      <calculatedColumnFormula>IF(T_init[[#This Row],[p]]=1,T_p1[[#This Row],[players]]*T_p1[[#This Row],[stack]]/chips+COUNTIF(T_p1[stack],0),T_p1[[#This Row],[players]]*T_p1[[#This Row],[stack]]/chips)</calculatedColumnFormula>
    </tableColumn>
    <tableColumn id="6" xr3:uid="{00000000-0010-0000-0300-000006000000}" name="$stack" dataDxfId="234">
      <calculatedColumnFormula>T_p1[[#This Row],[ICM]]+bounty*T_p1[[#This Row],[KO]]</calculatedColumnFormula>
    </tableColumn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_p2" displayName="T_p2" ref="M15:R21" totalsRowShown="0" tableBorderDxfId="233">
  <autoFilter ref="M15:R21" xr:uid="{00000000-0009-0000-0100-000006000000}"/>
  <tableColumns count="6">
    <tableColumn id="1" xr3:uid="{00000000-0010-0000-0400-000001000000}" name="players" dataDxfId="232" totalsRowDxfId="231">
      <calculatedColumnFormula>COUNTIF(T_p2[stack],"&gt;0")</calculatedColumnFormula>
    </tableColumn>
    <tableColumn id="2" xr3:uid="{00000000-0010-0000-0400-000002000000}" name="stack" dataDxfId="230" totalsRowDxfId="229">
      <calculatedColumnFormula>IF(T_init[[#This Row],[p]]=1,uncalled,IF(T_init[[#This Row],[p]]=2,mainpot+sidepot1+sidepot2,IF(T_init[[#This Row],[p]]&gt;2,0,T_init[[#This Row],[stack]])))</calculatedColumnFormula>
    </tableColumn>
    <tableColumn id="3" xr3:uid="{00000000-0010-0000-0400-000003000000}" name="EQ" totalsRowDxfId="228"/>
    <tableColumn id="4" xr3:uid="{00000000-0010-0000-0400-000004000000}" name="ICM" dataDxfId="227" totalsRowDxfId="226">
      <calculatedColumnFormula>T_p2[[#This Row],[EQ]]*prize</calculatedColumnFormula>
    </tableColumn>
    <tableColumn id="5" xr3:uid="{00000000-0010-0000-0400-000005000000}" name="KO" dataDxfId="225" totalsRowDxfId="224">
      <calculatedColumnFormula>IF(T_init[[#This Row],[p]]=2,T_p2[[#This Row],[players]]*T_p2[[#This Row],[stack]]/chips+COUNTIF(T_p2[stack],0),T_p2[[#This Row],[players]]*T_p2[[#This Row],[stack]]/chips)</calculatedColumnFormula>
    </tableColumn>
    <tableColumn id="6" xr3:uid="{00000000-0010-0000-0400-000006000000}" name="$stack" dataDxfId="223">
      <calculatedColumnFormula>T_p2[[#This Row],[ICM]]+bounty*T_p2[[#This Row],[KO]]</calculatedColumnFormula>
    </tableColumn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_p3p1" displayName="T_p3p1" ref="T15:Y21" totalsRowShown="0" tableBorderDxfId="222">
  <autoFilter ref="T15:Y21" xr:uid="{00000000-0009-0000-0100-000007000000}"/>
  <tableColumns count="6">
    <tableColumn id="1" xr3:uid="{00000000-0010-0000-0500-000001000000}" name="players" dataDxfId="221">
      <calculatedColumnFormula>COUNTIF(T_p3p1[stack],"&gt;0")</calculatedColumnFormula>
    </tableColumn>
    <tableColumn id="2" xr3:uid="{00000000-0010-0000-0500-000002000000}" name="stack" dataDxfId="220">
      <calculatedColumnFormula>IF(T_init[[#This Row],[p]]=1,sidepot2+uncalled,IF(T_init[[#This Row],[p]]=3,mainpot+sidepot1,IF(ISBLANK(T_init[[#This Row],[p]]),T_init[[#This Row],[stack]],0)))</calculatedColumnFormula>
    </tableColumn>
    <tableColumn id="3" xr3:uid="{00000000-0010-0000-0500-000003000000}" name="EQ"/>
    <tableColumn id="4" xr3:uid="{00000000-0010-0000-0500-000004000000}" name="ICM" dataDxfId="219">
      <calculatedColumnFormula>T_p3p1[[#This Row],[EQ]]*prize</calculatedColumnFormula>
    </tableColumn>
    <tableColumn id="5" xr3:uid="{00000000-0010-0000-0500-000005000000}" name="KO" dataDxfId="218">
      <calculatedColumnFormula>IF(OR(T_init[[#This Row],[p]]=1, T_init[[#This Row],[p]]=3),T_p3p1[[#This Row],[players]]*T_p3p1[[#This Row],[stack]]/chips+1,T_p3p1[[#This Row],[players]]*T_p3p1[[#This Row],[stack]]/chips)</calculatedColumnFormula>
    </tableColumn>
    <tableColumn id="6" xr3:uid="{00000000-0010-0000-0500-000006000000}" name="$stack" dataDxfId="217">
      <calculatedColumnFormula>T_p3p1[[#This Row],[ICM]]+bounty*T_p3p1[[#This Row],[KO]]</calculatedColumnFormula>
    </tableColumn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_p3p2" displayName="T_p3p2" ref="AA15:AF21" totalsRowShown="0" tableBorderDxfId="216">
  <autoFilter ref="AA15:AF21" xr:uid="{00000000-0009-0000-0100-000008000000}"/>
  <tableColumns count="6">
    <tableColumn id="1" xr3:uid="{00000000-0010-0000-0600-000001000000}" name="players" dataDxfId="215" totalsRowDxfId="214">
      <calculatedColumnFormula>COUNTIF(T_p3p2[stack],"&gt;0")</calculatedColumnFormula>
    </tableColumn>
    <tableColumn id="2" xr3:uid="{00000000-0010-0000-0600-000002000000}" name="stack" dataDxfId="213" totalsRowDxfId="212">
      <calculatedColumnFormula>IF(T_init[[#This Row],[p]]=1,uncalled,IF(T_init[[#This Row],[p]]=2,sidepot2,IF(T_init[[#This Row],[p]]=3,mainpot+sidepot1,IF(ISBLANK(T_init[[#This Row],[p]]),T_init[[#This Row],[stack]],0))))</calculatedColumnFormula>
    </tableColumn>
    <tableColumn id="3" xr3:uid="{00000000-0010-0000-0600-000003000000}" name="EQ" totalsRowDxfId="211"/>
    <tableColumn id="4" xr3:uid="{00000000-0010-0000-0600-000004000000}" name="ICM" dataDxfId="210" totalsRowDxfId="209">
      <calculatedColumnFormula>T_p3p2[[#This Row],[EQ]]*prize</calculatedColumnFormula>
    </tableColumn>
    <tableColumn id="5" xr3:uid="{00000000-0010-0000-0600-000005000000}" name="KO" dataDxfId="208" totalsRowDxfId="207">
      <calculatedColumnFormula>IF(T_init[[#This Row],[p]]=3,T_p3p2[[#This Row],[players]]*T_p3p2[[#This Row],[stack]]/chips+1,T_p3p2[[#This Row],[players]]*T_p3p2[[#This Row],[stack]]/chips)</calculatedColumnFormula>
    </tableColumn>
    <tableColumn id="6" xr3:uid="{00000000-0010-0000-0600-000006000000}" name="$stack" dataDxfId="206">
      <calculatedColumnFormula>T_p3p2[[#This Row],[ICM]]+bounty*T_p3p2[[#This Row],[KO]]</calculatedColumnFormula>
    </tableColumn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_p4p1" displayName="T_p4p1" ref="AH15:AM21" totalsRowShown="0" tableBorderDxfId="205">
  <autoFilter ref="AH15:AM21" xr:uid="{00000000-0009-0000-0100-000009000000}"/>
  <tableColumns count="6">
    <tableColumn id="1" xr3:uid="{00000000-0010-0000-0700-000001000000}" name="players" dataDxfId="204" totalsRowDxfId="203">
      <calculatedColumnFormula>COUNTIF(T_p4p1[stack],"&gt;0")</calculatedColumnFormula>
    </tableColumn>
    <tableColumn id="2" xr3:uid="{00000000-0010-0000-0700-000002000000}" name="stack" dataDxfId="202" totalsRowDxfId="201">
      <calculatedColumnFormula>IF(T_init[[#This Row],[p]]=4,mainpot,IF(T_init[[#This Row],[p]]=1,sidepot1+sidepot2+uncalled,IF(ISBLANK(T_init[[#This Row],[p]]),T_init[[#This Row],[stack]],0)))</calculatedColumnFormula>
    </tableColumn>
    <tableColumn id="3" xr3:uid="{00000000-0010-0000-0700-000003000000}" name="EQ" totalsRowDxfId="200"/>
    <tableColumn id="4" xr3:uid="{00000000-0010-0000-0700-000004000000}" name="ICM" dataDxfId="199" totalsRowDxfId="198">
      <calculatedColumnFormula>T_p4p1[[#This Row],[EQ]]*prize</calculatedColumnFormula>
    </tableColumn>
    <tableColumn id="5" xr3:uid="{00000000-0010-0000-0700-000005000000}" name="KO" dataDxfId="197" totalsRowDxfId="196">
      <calculatedColumnFormula>IF(T_init[[#This Row],[p]]=1,T_p4p1[[#This Row],[players]]*T_p4p1[[#This Row],[stack]]/chips+2,T_p4p1[[#This Row],[players]]*T_p4p1[[#This Row],[stack]]/chips)</calculatedColumnFormula>
    </tableColumn>
    <tableColumn id="6" xr3:uid="{00000000-0010-0000-0700-000006000000}" name="$stack" dataDxfId="195">
      <calculatedColumnFormula>T_p4p1[[#This Row],[ICM]]+bounty*T_p4p1[[#This Row],[KO]]</calculatedColumnFormula>
    </tableColumn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_p4p2" displayName="T_p4p2" ref="AO15:AT21" totalsRowShown="0" tableBorderDxfId="194">
  <autoFilter ref="AO15:AT21" xr:uid="{00000000-0009-0000-0100-00000A000000}"/>
  <tableColumns count="6">
    <tableColumn id="1" xr3:uid="{00000000-0010-0000-0800-000001000000}" name="players" dataDxfId="193">
      <calculatedColumnFormula>COUNTIF(T_p4p2[stack],"&gt;0")</calculatedColumnFormula>
    </tableColumn>
    <tableColumn id="2" xr3:uid="{00000000-0010-0000-0800-000002000000}" name="stack" dataDxfId="192">
      <calculatedColumnFormula>IF(T_init[[#This Row],[p]]=1,uncalled,IF(T_init[[#This Row],[p]]=2,sidepot1+sidepot2,IF(T_init[[#This Row],[p]]=4,mainpot,IF(ISBLANK(T_init[[#This Row],[p]]),T_init[[#This Row],[stack]],0))))</calculatedColumnFormula>
    </tableColumn>
    <tableColumn id="3" xr3:uid="{00000000-0010-0000-0800-000003000000}" name="EQ"/>
    <tableColumn id="4" xr3:uid="{00000000-0010-0000-0800-000004000000}" name="ICM" dataDxfId="191">
      <calculatedColumnFormula>T_p4p2[[#This Row],[EQ]]*prize</calculatedColumnFormula>
    </tableColumn>
    <tableColumn id="5" xr3:uid="{00000000-0010-0000-0800-000005000000}" name="KO" dataDxfId="190">
      <calculatedColumnFormula>IF(T_init[[#This Row],[p]]=2,T_p4p2[[#This Row],[players]]*T_p4p2[[#This Row],[stack]]/chips+1,T_p4p2[[#This Row],[players]]*T_p4p2[[#This Row],[stack]]/chips)</calculatedColumnFormula>
    </tableColumn>
    <tableColumn id="6" xr3:uid="{00000000-0010-0000-0800-000006000000}" name="$stack" dataDxfId="189">
      <calculatedColumnFormula>T_p4p2[[#This Row],[ICM]]+bounty*T_p4p2[[#This Row],[KO]]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6" Type="http://schemas.openxmlformats.org/officeDocument/2006/relationships/table" Target="../tables/table16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2.xml"/><Relationship Id="rId3" Type="http://schemas.openxmlformats.org/officeDocument/2006/relationships/table" Target="../tables/table17.xml"/><Relationship Id="rId7" Type="http://schemas.openxmlformats.org/officeDocument/2006/relationships/table" Target="../tables/table21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10" Type="http://schemas.openxmlformats.org/officeDocument/2006/relationships/comments" Target="../comments4.xml"/><Relationship Id="rId4" Type="http://schemas.openxmlformats.org/officeDocument/2006/relationships/table" Target="../tables/table18.xml"/><Relationship Id="rId9" Type="http://schemas.openxmlformats.org/officeDocument/2006/relationships/table" Target="../tables/table2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9.xml"/><Relationship Id="rId3" Type="http://schemas.openxmlformats.org/officeDocument/2006/relationships/table" Target="../tables/table24.xml"/><Relationship Id="rId7" Type="http://schemas.openxmlformats.org/officeDocument/2006/relationships/table" Target="../tables/table28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27.xml"/><Relationship Id="rId5" Type="http://schemas.openxmlformats.org/officeDocument/2006/relationships/table" Target="../tables/table26.xml"/><Relationship Id="rId10" Type="http://schemas.openxmlformats.org/officeDocument/2006/relationships/comments" Target="../comments5.xml"/><Relationship Id="rId4" Type="http://schemas.openxmlformats.org/officeDocument/2006/relationships/table" Target="../tables/table25.xml"/><Relationship Id="rId9" Type="http://schemas.openxmlformats.org/officeDocument/2006/relationships/table" Target="../tables/table30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6.xml"/><Relationship Id="rId3" Type="http://schemas.openxmlformats.org/officeDocument/2006/relationships/table" Target="../tables/table31.xml"/><Relationship Id="rId7" Type="http://schemas.openxmlformats.org/officeDocument/2006/relationships/table" Target="../tables/table3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34.xml"/><Relationship Id="rId5" Type="http://schemas.openxmlformats.org/officeDocument/2006/relationships/table" Target="../tables/table33.xml"/><Relationship Id="rId10" Type="http://schemas.openxmlformats.org/officeDocument/2006/relationships/comments" Target="../comments6.xml"/><Relationship Id="rId4" Type="http://schemas.openxmlformats.org/officeDocument/2006/relationships/table" Target="../tables/table32.xml"/><Relationship Id="rId9" Type="http://schemas.openxmlformats.org/officeDocument/2006/relationships/table" Target="../tables/table3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8505"/>
  <sheetViews>
    <sheetView tabSelected="1" topLeftCell="A34" workbookViewId="0">
      <selection activeCell="X69" sqref="X69"/>
    </sheetView>
  </sheetViews>
  <sheetFormatPr defaultRowHeight="15" x14ac:dyDescent="0.25"/>
  <cols>
    <col min="2" max="2" width="6" customWidth="1"/>
    <col min="3" max="3" width="7.28515625" customWidth="1"/>
    <col min="4" max="4" width="9.7109375" customWidth="1"/>
    <col min="7" max="7" width="9.28515625" customWidth="1"/>
    <col min="8" max="8" width="7.85546875" customWidth="1"/>
    <col min="9" max="9" width="9.5703125" customWidth="1"/>
    <col min="10" max="10" width="9.5703125" bestFit="1" customWidth="1"/>
    <col min="11" max="11" width="8.28515625" customWidth="1"/>
    <col min="12" max="12" width="3.5703125" customWidth="1"/>
    <col min="13" max="13" width="7.42578125" customWidth="1"/>
    <col min="16" max="17" width="8.5703125" customWidth="1"/>
    <col min="18" max="18" width="9.42578125" customWidth="1"/>
    <col min="20" max="20" width="9.7109375" customWidth="1"/>
    <col min="21" max="21" width="11.7109375" customWidth="1"/>
  </cols>
  <sheetData>
    <row r="1" spans="1:22" x14ac:dyDescent="0.25">
      <c r="D1" t="s">
        <v>2</v>
      </c>
      <c r="E1" s="1">
        <v>272</v>
      </c>
      <c r="Q1" s="3"/>
    </row>
    <row r="2" spans="1:22" x14ac:dyDescent="0.25">
      <c r="D2" t="s">
        <v>1</v>
      </c>
      <c r="E2" s="1">
        <v>0</v>
      </c>
      <c r="F2" t="s">
        <v>33</v>
      </c>
      <c r="G2" s="36" t="s">
        <v>35</v>
      </c>
      <c r="Q2" s="3"/>
    </row>
    <row r="3" spans="1:22" x14ac:dyDescent="0.25">
      <c r="E3" s="1"/>
      <c r="F3" t="s">
        <v>34</v>
      </c>
      <c r="G3" t="s">
        <v>36</v>
      </c>
      <c r="M3" t="s">
        <v>37</v>
      </c>
      <c r="Q3" s="3"/>
    </row>
    <row r="4" spans="1:22" x14ac:dyDescent="0.25">
      <c r="E4" s="1"/>
      <c r="Q4" s="3"/>
    </row>
    <row r="5" spans="1:22" ht="15.75" thickBot="1" x14ac:dyDescent="0.3">
      <c r="E5" s="1"/>
      <c r="I5" t="s">
        <v>9</v>
      </c>
      <c r="Q5" s="3"/>
    </row>
    <row r="6" spans="1:22" ht="19.5" thickTop="1" x14ac:dyDescent="0.3">
      <c r="D6" s="81" t="s">
        <v>11</v>
      </c>
      <c r="E6" s="82"/>
      <c r="F6" s="82"/>
      <c r="G6" s="83"/>
      <c r="H6" s="81" t="s">
        <v>10</v>
      </c>
      <c r="I6" s="82"/>
      <c r="J6" s="82"/>
      <c r="K6" s="83"/>
      <c r="M6" s="78" t="s">
        <v>7</v>
      </c>
      <c r="N6" s="79"/>
      <c r="O6" s="79"/>
      <c r="P6" s="80"/>
      <c r="Q6" s="3"/>
      <c r="R6" s="84" t="s">
        <v>4</v>
      </c>
      <c r="S6" s="85"/>
      <c r="T6" s="85"/>
      <c r="U6" s="86"/>
    </row>
    <row r="7" spans="1:22" x14ac:dyDescent="0.25">
      <c r="A7" t="s">
        <v>28</v>
      </c>
      <c r="B7" t="s">
        <v>0</v>
      </c>
      <c r="C7" t="s">
        <v>3</v>
      </c>
      <c r="D7" s="10" t="s">
        <v>23</v>
      </c>
      <c r="E7" t="s">
        <v>19</v>
      </c>
      <c r="F7" t="s">
        <v>13</v>
      </c>
      <c r="G7" s="11" t="s">
        <v>21</v>
      </c>
      <c r="H7" s="10" t="s">
        <v>24</v>
      </c>
      <c r="I7" s="5" t="s">
        <v>18</v>
      </c>
      <c r="J7" s="5" t="s">
        <v>14</v>
      </c>
      <c r="K7" s="11" t="s">
        <v>20</v>
      </c>
      <c r="L7" t="s">
        <v>6</v>
      </c>
      <c r="M7" s="8" t="s">
        <v>25</v>
      </c>
      <c r="N7" s="5" t="s">
        <v>26</v>
      </c>
      <c r="O7" s="5" t="s">
        <v>12</v>
      </c>
      <c r="P7" s="9" t="s">
        <v>8</v>
      </c>
      <c r="Q7" t="s">
        <v>22</v>
      </c>
      <c r="R7" s="4" t="s">
        <v>15</v>
      </c>
      <c r="S7" s="5" t="s">
        <v>5</v>
      </c>
      <c r="T7" s="5" t="s">
        <v>17</v>
      </c>
      <c r="U7" s="6" t="s">
        <v>16</v>
      </c>
      <c r="V7" t="s">
        <v>192</v>
      </c>
    </row>
    <row r="8" spans="1:22" x14ac:dyDescent="0.25">
      <c r="A8">
        <v>500</v>
      </c>
      <c r="C8">
        <v>0.25829999999999997</v>
      </c>
      <c r="D8" s="10">
        <v>478</v>
      </c>
      <c r="E8">
        <v>0.16900000000000001</v>
      </c>
      <c r="F8" s="2">
        <f>Table2[[#This Row],[EQwin]]*$E$1</f>
        <v>45.968000000000004</v>
      </c>
      <c r="G8" s="16">
        <f>5*Table2[[#This Row],[stackwin]]/3000</f>
        <v>0.79666666666666663</v>
      </c>
      <c r="H8" s="10">
        <v>478</v>
      </c>
      <c r="I8">
        <v>0.16900000000000001</v>
      </c>
      <c r="J8" s="2">
        <f t="shared" ref="J8:J19" si="0">I8*$E$1</f>
        <v>45.968000000000004</v>
      </c>
      <c r="K8" s="14">
        <f>5*Table2[[#This Row],[stacklose]]/3000</f>
        <v>0.79666666666666663</v>
      </c>
      <c r="M8" s="8">
        <v>478</v>
      </c>
      <c r="N8">
        <v>0.16900000000000001</v>
      </c>
      <c r="O8" s="2">
        <f t="shared" ref="O8:O19" si="1">N8*$E$1</f>
        <v>45.968000000000004</v>
      </c>
      <c r="P8" s="15">
        <f>5*Table2[[#This Row],[stackfact]]/3000</f>
        <v>0.79666666666666663</v>
      </c>
      <c r="Q8" s="38">
        <f>Table2[[#This Row],[EQwin]]*Table2[[#This Row],[pWin]] + Table2[[#This Row],[EQlose]]*(1-Table2[[#This Row],[pWin]]) - Table2[[#This Row],[Eqfact]]</f>
        <v>0</v>
      </c>
      <c r="R8" s="12">
        <f>Table2[[#This Row],[pWin]]*Table2[[#This Row],[ICMwin]]+(1-Table2[[#This Row],[pWin]])*Table2[[#This Row],[ICMlose]]-Table2[[#This Row],[ICMFact]]</f>
        <v>0</v>
      </c>
      <c r="S8" s="16">
        <f>Table2[[#This Row],[Kowin]]*Table2[[#This Row],[pWin]]+Table2[[#This Row],[Kolose]]*(1-Table2[[#This Row],[pWin]])-Table2[[#This Row],[KOFact]]</f>
        <v>0</v>
      </c>
      <c r="T8" s="2">
        <f>Table2[[#This Row],[KODiff]]*bounty</f>
        <v>0</v>
      </c>
      <c r="U8" s="7">
        <f>Table2[[#This Row],[ICMdiff]]+Table2[[#This Row],[KOmoneyDiff]]</f>
        <v>0</v>
      </c>
      <c r="V8">
        <f>Table2[[#This Row],[pWin]]*Table2[[#This Row],[stackwin]]+(1-Table2[[#This Row],[pWin]])*Table2[[#This Row],[stacklose]]-Table2[[#This Row],[stackfact]]</f>
        <v>0</v>
      </c>
    </row>
    <row r="9" spans="1:22" x14ac:dyDescent="0.25">
      <c r="A9">
        <v>500</v>
      </c>
      <c r="C9">
        <v>0.25829999999999997</v>
      </c>
      <c r="D9" s="10">
        <v>488</v>
      </c>
      <c r="E9">
        <v>0.17219999999999999</v>
      </c>
      <c r="F9" s="2">
        <f>Table2[[#This Row],[EQwin]]*$E$1</f>
        <v>46.8384</v>
      </c>
      <c r="G9" s="16">
        <f>5*Table2[[#This Row],[stackwin]]/3000</f>
        <v>0.81333333333333335</v>
      </c>
      <c r="H9" s="10">
        <v>488</v>
      </c>
      <c r="I9">
        <v>0.17219999999999999</v>
      </c>
      <c r="J9" s="2">
        <f t="shared" si="0"/>
        <v>46.8384</v>
      </c>
      <c r="K9" s="14">
        <f>5*Table2[[#This Row],[stacklose]]/3000</f>
        <v>0.81333333333333335</v>
      </c>
      <c r="M9" s="8">
        <v>488</v>
      </c>
      <c r="N9">
        <v>0.17219999999999999</v>
      </c>
      <c r="O9" s="2">
        <f t="shared" si="1"/>
        <v>46.8384</v>
      </c>
      <c r="P9" s="15">
        <f>5*Table2[[#This Row],[stackfact]]/3000</f>
        <v>0.81333333333333335</v>
      </c>
      <c r="Q9" s="38">
        <f>Table2[[#This Row],[EQwin]]*Table2[[#This Row],[pWin]] + Table2[[#This Row],[EQlose]]*(1-Table2[[#This Row],[pWin]]) - Table2[[#This Row],[Eqfact]]</f>
        <v>0</v>
      </c>
      <c r="R9" s="12">
        <f>Table2[[#This Row],[pWin]]*Table2[[#This Row],[ICMwin]]+(1-Table2[[#This Row],[pWin]])*Table2[[#This Row],[ICMlose]]-Table2[[#This Row],[ICMFact]]</f>
        <v>0</v>
      </c>
      <c r="S9" s="16">
        <f>Table2[[#This Row],[Kowin]]*Table2[[#This Row],[pWin]]+Table2[[#This Row],[Kolose]]*(1-Table2[[#This Row],[pWin]])-Table2[[#This Row],[KOFact]]</f>
        <v>0</v>
      </c>
      <c r="T9" s="2">
        <f>Table2[[#This Row],[KODiff]]*bounty</f>
        <v>0</v>
      </c>
      <c r="U9" s="7">
        <f>Table2[[#This Row],[ICMdiff]]+Table2[[#This Row],[KOmoneyDiff]]</f>
        <v>0</v>
      </c>
      <c r="V9">
        <f>Table2[[#This Row],[pWin]]*Table2[[#This Row],[stackwin]]+(1-Table2[[#This Row],[pWin]])*Table2[[#This Row],[stacklose]]-Table2[[#This Row],[stackfact]]</f>
        <v>0</v>
      </c>
    </row>
    <row r="10" spans="1:22" x14ac:dyDescent="0.25">
      <c r="A10">
        <v>500</v>
      </c>
      <c r="C10">
        <v>0.25829999999999997</v>
      </c>
      <c r="D10" s="10">
        <v>498</v>
      </c>
      <c r="E10">
        <v>0.17530000000000001</v>
      </c>
      <c r="F10" s="2">
        <f>Table2[[#This Row],[EQwin]]*$E$1</f>
        <v>47.681600000000003</v>
      </c>
      <c r="G10" s="16">
        <f>5*Table2[[#This Row],[stackwin]]/3000</f>
        <v>0.83</v>
      </c>
      <c r="H10" s="10">
        <v>498</v>
      </c>
      <c r="I10">
        <v>0.17530000000000001</v>
      </c>
      <c r="J10" s="2">
        <f t="shared" si="0"/>
        <v>47.681600000000003</v>
      </c>
      <c r="K10" s="14">
        <f>5*Table2[[#This Row],[stacklose]]/3000</f>
        <v>0.83</v>
      </c>
      <c r="M10" s="8">
        <v>498</v>
      </c>
      <c r="N10">
        <v>0.17530000000000001</v>
      </c>
      <c r="O10" s="2">
        <f t="shared" si="1"/>
        <v>47.681600000000003</v>
      </c>
      <c r="P10" s="15">
        <f>5*Table2[[#This Row],[stackfact]]/3000</f>
        <v>0.83</v>
      </c>
      <c r="Q10" s="38">
        <f>Table2[[#This Row],[EQwin]]*Table2[[#This Row],[pWin]] + Table2[[#This Row],[EQlose]]*(1-Table2[[#This Row],[pWin]]) - Table2[[#This Row],[Eqfact]]</f>
        <v>0</v>
      </c>
      <c r="R10" s="12">
        <f>Table2[[#This Row],[pWin]]*Table2[[#This Row],[ICMwin]]+(1-Table2[[#This Row],[pWin]])*Table2[[#This Row],[ICMlose]]-Table2[[#This Row],[ICMFact]]</f>
        <v>0</v>
      </c>
      <c r="S10" s="16">
        <f>Table2[[#This Row],[Kowin]]*Table2[[#This Row],[pWin]]+Table2[[#This Row],[Kolose]]*(1-Table2[[#This Row],[pWin]])-Table2[[#This Row],[KOFact]]</f>
        <v>0</v>
      </c>
      <c r="T10" s="2">
        <f>Table2[[#This Row],[KODiff]]*bounty</f>
        <v>0</v>
      </c>
      <c r="U10" s="7">
        <f>Table2[[#This Row],[ICMdiff]]+Table2[[#This Row],[KOmoneyDiff]]</f>
        <v>0</v>
      </c>
      <c r="V10">
        <f>Table2[[#This Row],[pWin]]*Table2[[#This Row],[stackwin]]+(1-Table2[[#This Row],[pWin]])*Table2[[#This Row],[stacklose]]-Table2[[#This Row],[stackfact]]</f>
        <v>0</v>
      </c>
    </row>
    <row r="11" spans="1:22" x14ac:dyDescent="0.25">
      <c r="A11">
        <v>500</v>
      </c>
      <c r="B11" t="s">
        <v>29</v>
      </c>
      <c r="C11">
        <v>0.25829999999999997</v>
      </c>
      <c r="D11" s="10">
        <v>0</v>
      </c>
      <c r="E11">
        <v>0</v>
      </c>
      <c r="F11" s="2">
        <f>Table2[[#This Row],[EQwin]]*$E$1</f>
        <v>0</v>
      </c>
      <c r="G11" s="16">
        <f>5*Table2[[#This Row],[stackwin]]/3000</f>
        <v>0</v>
      </c>
      <c r="H11" s="10">
        <v>1038</v>
      </c>
      <c r="I11">
        <v>0.30830000000000002</v>
      </c>
      <c r="J11" s="2">
        <f t="shared" si="0"/>
        <v>83.857600000000005</v>
      </c>
      <c r="K11" s="14">
        <f>5*Table2[[#This Row],[stacklose]]/3000+1</f>
        <v>2.73</v>
      </c>
      <c r="M11" s="8">
        <v>1038</v>
      </c>
      <c r="N11">
        <v>0.30830000000000002</v>
      </c>
      <c r="O11" s="2">
        <f t="shared" si="1"/>
        <v>83.857600000000005</v>
      </c>
      <c r="P11" s="15">
        <f>5*Table2[[#This Row],[stackfact]]/3000+1</f>
        <v>2.73</v>
      </c>
      <c r="Q11" s="38">
        <f>Table2[[#This Row],[EQwin]]*Table2[[#This Row],[pWin]] + Table2[[#This Row],[EQlose]]*(1-Table2[[#This Row],[pWin]]) - Table2[[#This Row],[Eqfact]]</f>
        <v>-7.9633889999999985E-2</v>
      </c>
      <c r="R11" s="12">
        <f>Table2[[#This Row],[pWin]]*Table2[[#This Row],[ICMwin]]+(1-Table2[[#This Row],[pWin]])*Table2[[#This Row],[ICMlose]]-Table2[[#This Row],[ICMFact]]</f>
        <v>-21.660418079999999</v>
      </c>
      <c r="S11" s="16">
        <f>Table2[[#This Row],[Kowin]]*Table2[[#This Row],[pWin]]+Table2[[#This Row],[Kolose]]*(1-Table2[[#This Row],[pWin]])-Table2[[#This Row],[KOFact]]</f>
        <v>-0.70515900000000009</v>
      </c>
      <c r="T11" s="2">
        <f>Table2[[#This Row],[KODiff]]*bounty</f>
        <v>0</v>
      </c>
      <c r="U11" s="7">
        <f>Table2[[#This Row],[ICMdiff]]+Table2[[#This Row],[KOmoneyDiff]]</f>
        <v>-21.660418079999999</v>
      </c>
      <c r="V11">
        <f>Table2[[#This Row],[pWin]]*Table2[[#This Row],[stackwin]]+(1-Table2[[#This Row],[pWin]])*Table2[[#This Row],[stacklose]]-Table2[[#This Row],[stackfact]]</f>
        <v>-268.11540000000002</v>
      </c>
    </row>
    <row r="12" spans="1:22" s="17" customFormat="1" x14ac:dyDescent="0.25">
      <c r="A12" s="17">
        <v>500</v>
      </c>
      <c r="B12" s="17" t="s">
        <v>27</v>
      </c>
      <c r="C12" s="17">
        <v>0.25829999999999997</v>
      </c>
      <c r="D12" s="19">
        <v>1038</v>
      </c>
      <c r="E12" s="17">
        <v>0.30830000000000002</v>
      </c>
      <c r="F12" s="18">
        <f>Table2[[#This Row],[EQwin]]*$E$1</f>
        <v>83.857600000000005</v>
      </c>
      <c r="G12" s="24">
        <f>5*Table2[[#This Row],[stackwin]]/3000+1</f>
        <v>2.73</v>
      </c>
      <c r="H12" s="19">
        <v>0</v>
      </c>
      <c r="I12" s="17">
        <v>0</v>
      </c>
      <c r="J12" s="18">
        <f t="shared" si="0"/>
        <v>0</v>
      </c>
      <c r="K12" s="20">
        <f>5*Table2[[#This Row],[stacklose]]/3000</f>
        <v>0</v>
      </c>
      <c r="M12" s="21">
        <v>0</v>
      </c>
      <c r="N12" s="17">
        <v>0</v>
      </c>
      <c r="O12" s="18">
        <f t="shared" si="1"/>
        <v>0</v>
      </c>
      <c r="P12" s="22">
        <f>5*Table2[[#This Row],[stackfact]]/3000</f>
        <v>0</v>
      </c>
      <c r="Q12" s="35">
        <f>Table2[[#This Row],[EQwin]]*Table2[[#This Row],[pWin]] + Table2[[#This Row],[EQlose]]*(1-Table2[[#This Row],[pWin]]) - Table2[[#This Row],[Eqfact]]</f>
        <v>7.9633889999999999E-2</v>
      </c>
      <c r="R12" s="23">
        <f>Table2[[#This Row],[pWin]]*Table2[[#This Row],[ICMwin]]+(1-Table2[[#This Row],[pWin]])*Table2[[#This Row],[ICMlose]]-Table2[[#This Row],[ICMFact]]</f>
        <v>21.660418079999999</v>
      </c>
      <c r="S12" s="24">
        <f>Table2[[#This Row],[Kowin]]*Table2[[#This Row],[pWin]]+Table2[[#This Row],[Kolose]]*(1-Table2[[#This Row],[pWin]])-Table2[[#This Row],[KOFact]]</f>
        <v>0.70515899999999987</v>
      </c>
      <c r="T12" s="18">
        <f>Table2[[#This Row],[KODiff]]*bounty</f>
        <v>0</v>
      </c>
      <c r="U12" s="25">
        <f>Table2[[#This Row],[ICMdiff]]+Table2[[#This Row],[KOmoneyDiff]]</f>
        <v>21.660418079999999</v>
      </c>
      <c r="V12" s="17">
        <f>Table2[[#This Row],[pWin]]*Table2[[#This Row],[stackwin]]+(1-Table2[[#This Row],[pWin]])*Table2[[#This Row],[stacklose]]-Table2[[#This Row],[stackfact]]</f>
        <v>268.11539999999997</v>
      </c>
    </row>
    <row r="13" spans="1:22" x14ac:dyDescent="0.25">
      <c r="A13">
        <v>500</v>
      </c>
      <c r="C13">
        <v>0.25829999999999997</v>
      </c>
      <c r="D13" s="10">
        <v>498</v>
      </c>
      <c r="E13">
        <v>0.17530000000000001</v>
      </c>
      <c r="F13" s="2">
        <f>Table2[[#This Row],[EQwin]]*$E$1</f>
        <v>47.681600000000003</v>
      </c>
      <c r="G13" s="16">
        <f>5*Table2[[#This Row],[stackwin]]/3000</f>
        <v>0.83</v>
      </c>
      <c r="H13" s="10">
        <v>498</v>
      </c>
      <c r="I13">
        <v>0.17530000000000001</v>
      </c>
      <c r="J13" s="2">
        <f t="shared" si="0"/>
        <v>47.681600000000003</v>
      </c>
      <c r="K13" s="14">
        <f>5*Table2[[#This Row],[stacklose]]/3000</f>
        <v>0.83</v>
      </c>
      <c r="M13" s="8">
        <v>498</v>
      </c>
      <c r="N13">
        <v>0.17530000000000001</v>
      </c>
      <c r="O13" s="2">
        <f t="shared" si="1"/>
        <v>47.681600000000003</v>
      </c>
      <c r="P13" s="15">
        <f>5*Table2[[#This Row],[stackfact]]/3000</f>
        <v>0.83</v>
      </c>
      <c r="Q13" s="38">
        <f>Table2[[#This Row],[EQwin]]*Table2[[#This Row],[pWin]] + Table2[[#This Row],[EQlose]]*(1-Table2[[#This Row],[pWin]]) - Table2[[#This Row],[Eqfact]]</f>
        <v>0</v>
      </c>
      <c r="R13" s="12">
        <f>Table2[[#This Row],[pWin]]*Table2[[#This Row],[ICMwin]]+(1-Table2[[#This Row],[pWin]])*Table2[[#This Row],[ICMlose]]-Table2[[#This Row],[ICMFact]]</f>
        <v>0</v>
      </c>
      <c r="S13" s="16">
        <f>Table2[[#This Row],[Kowin]]*Table2[[#This Row],[pWin]]+Table2[[#This Row],[Kolose]]*(1-Table2[[#This Row],[pWin]])-Table2[[#This Row],[KOFact]]</f>
        <v>0</v>
      </c>
      <c r="T13" s="2">
        <f>Table2[[#This Row],[KODiff]]*bounty</f>
        <v>0</v>
      </c>
      <c r="U13" s="7">
        <f>Table2[[#This Row],[ICMdiff]]+Table2[[#This Row],[KOmoneyDiff]]</f>
        <v>0</v>
      </c>
      <c r="V13">
        <f>Table2[[#This Row],[pWin]]*Table2[[#This Row],[stackwin]]+(1-Table2[[#This Row],[pWin]])*Table2[[#This Row],[stacklose]]-Table2[[#This Row],[stackfact]]</f>
        <v>0</v>
      </c>
    </row>
    <row r="14" spans="1:22" s="56" customFormat="1" x14ac:dyDescent="0.25">
      <c r="D14" s="59"/>
      <c r="F14" s="57">
        <f>Table2[[#This Row],[EQwin]]*$E$1</f>
        <v>0</v>
      </c>
      <c r="G14" s="58">
        <f>2*Table2[[#This Row],[stackwin]]/3000</f>
        <v>0</v>
      </c>
      <c r="H14" s="59"/>
      <c r="J14" s="57">
        <f t="shared" si="0"/>
        <v>0</v>
      </c>
      <c r="K14" s="60">
        <f>5*Table2[[#This Row],[stacklose]]/3000</f>
        <v>0</v>
      </c>
      <c r="M14" s="61"/>
      <c r="O14" s="57">
        <f t="shared" si="1"/>
        <v>0</v>
      </c>
      <c r="P14" s="62">
        <f>5*Table2[[#This Row],[stackfact]]/3000</f>
        <v>0</v>
      </c>
      <c r="Q14" s="63">
        <f>Table2[[#This Row],[EQwin]]*Table2[[#This Row],[pWin]] + Table2[[#This Row],[EQlose]]*(1-Table2[[#This Row],[pWin]]) - Table2[[#This Row],[Eqfact]]</f>
        <v>0</v>
      </c>
      <c r="R14" s="64">
        <f>Table2[[#This Row],[pWin]]*Table2[[#This Row],[ICMwin]]+(1-Table2[[#This Row],[pWin]])*Table2[[#This Row],[ICMlose]]-Table2[[#This Row],[ICMFact]]</f>
        <v>0</v>
      </c>
      <c r="S14" s="58">
        <f>Table2[[#This Row],[Kowin]]*Table2[[#This Row],[pWin]]+Table2[[#This Row],[Kolose]]*(1-Table2[[#This Row],[pWin]])-Table2[[#This Row],[KOFact]]</f>
        <v>0</v>
      </c>
      <c r="T14" s="57">
        <f>Table2[[#This Row],[KODiff]]*bounty</f>
        <v>0</v>
      </c>
      <c r="U14" s="65">
        <f>Table2[[#This Row],[ICMdiff]]+Table2[[#This Row],[KOmoneyDiff]]</f>
        <v>0</v>
      </c>
      <c r="V14" s="56">
        <f>Table2[[#This Row],[pWin]]*Table2[[#This Row],[stackwin]]+(1-Table2[[#This Row],[pWin]])*Table2[[#This Row],[stacklose]]-Table2[[#This Row],[stackfact]]</f>
        <v>0</v>
      </c>
    </row>
    <row r="15" spans="1:22" x14ac:dyDescent="0.25">
      <c r="A15">
        <v>496</v>
      </c>
      <c r="B15" t="s">
        <v>31</v>
      </c>
      <c r="C15">
        <v>0.78</v>
      </c>
      <c r="D15" s="10">
        <v>146</v>
      </c>
      <c r="E15">
        <v>5.3199999999999997E-2</v>
      </c>
      <c r="F15" s="2">
        <f>Table2[[#This Row],[EQwin]]*$E$1</f>
        <v>14.4704</v>
      </c>
      <c r="G15" s="16">
        <f>6*Table2[[#This Row],[stackwin]]/3000</f>
        <v>0.29199999999999998</v>
      </c>
      <c r="H15" s="10">
        <v>884</v>
      </c>
      <c r="I15">
        <v>0.27389999999999998</v>
      </c>
      <c r="J15" s="2">
        <f t="shared" si="0"/>
        <v>74.500799999999998</v>
      </c>
      <c r="K15" s="14">
        <f>5*Table2[[#This Row],[stacklose]]/3000+1</f>
        <v>2.4733333333333336</v>
      </c>
      <c r="M15" s="8">
        <v>884</v>
      </c>
      <c r="N15">
        <v>0.27389999999999998</v>
      </c>
      <c r="O15" s="2">
        <f t="shared" si="1"/>
        <v>74.500799999999998</v>
      </c>
      <c r="P15" s="15">
        <f>5*Table2[[#This Row],[stackfact]]/3000+1</f>
        <v>2.4733333333333336</v>
      </c>
      <c r="Q15" s="38">
        <f>Table2[[#This Row],[EQwin]]*Table2[[#This Row],[pWin]] + Table2[[#This Row],[EQlose]]*(1-Table2[[#This Row],[pWin]]) - Table2[[#This Row],[Eqfact]]</f>
        <v>-0.17214599999999999</v>
      </c>
      <c r="R15" s="12">
        <f>Table2[[#This Row],[pWin]]*Table2[[#This Row],[ICMwin]]+(1-Table2[[#This Row],[pWin]])*Table2[[#This Row],[ICMlose]]-Table2[[#This Row],[ICMFact]]</f>
        <v>-46.823712</v>
      </c>
      <c r="S15" s="16">
        <f>Table2[[#This Row],[Kowin]]*Table2[[#This Row],[pWin]]+Table2[[#This Row],[Kolose]]*(1-Table2[[#This Row],[pWin]])-Table2[[#This Row],[KOFact]]</f>
        <v>-1.7014400000000003</v>
      </c>
      <c r="T15" s="2">
        <f>Table2[[#This Row],[KODiff]]*bounty</f>
        <v>0</v>
      </c>
      <c r="U15" s="7">
        <f>Table2[[#This Row],[ICMdiff]]+Table2[[#This Row],[KOmoneyDiff]]</f>
        <v>-46.823712</v>
      </c>
      <c r="V15">
        <f>Table2[[#This Row],[pWin]]*Table2[[#This Row],[stackwin]]+(1-Table2[[#This Row],[pWin]])*Table2[[#This Row],[stacklose]]-Table2[[#This Row],[stackfact]]</f>
        <v>-575.64</v>
      </c>
    </row>
    <row r="16" spans="1:22" x14ac:dyDescent="0.25">
      <c r="A16">
        <v>538</v>
      </c>
      <c r="C16">
        <v>0.78</v>
      </c>
      <c r="D16" s="10">
        <v>536</v>
      </c>
      <c r="E16">
        <v>0.1804</v>
      </c>
      <c r="F16" s="2">
        <f>Table2[[#This Row],[EQwin]]*$E$1</f>
        <v>49.068800000000003</v>
      </c>
      <c r="G16" s="16">
        <f>6*Table2[[#This Row],[stackwin]]/3000</f>
        <v>1.0720000000000001</v>
      </c>
      <c r="H16" s="10">
        <v>536</v>
      </c>
      <c r="I16">
        <v>0.184</v>
      </c>
      <c r="J16" s="2">
        <f t="shared" si="0"/>
        <v>50.048000000000002</v>
      </c>
      <c r="K16" s="14">
        <f>5*Table2[[#This Row],[stacklose]]/3000</f>
        <v>0.89333333333333331</v>
      </c>
      <c r="M16" s="8">
        <v>536</v>
      </c>
      <c r="N16">
        <v>0.184</v>
      </c>
      <c r="O16" s="2">
        <f t="shared" si="1"/>
        <v>50.048000000000002</v>
      </c>
      <c r="P16" s="15">
        <f>5*Table2[[#This Row],[stackfact]]/3000</f>
        <v>0.89333333333333331</v>
      </c>
      <c r="Q16" s="38">
        <f>Table2[[#This Row],[EQwin]]*Table2[[#This Row],[pWin]] + Table2[[#This Row],[EQlose]]*(1-Table2[[#This Row],[pWin]]) - Table2[[#This Row],[Eqfact]]</f>
        <v>-2.8080000000000049E-3</v>
      </c>
      <c r="R16" s="12">
        <f>Table2[[#This Row],[pWin]]*Table2[[#This Row],[ICMwin]]+(1-Table2[[#This Row],[pWin]])*Table2[[#This Row],[ICMlose]]-Table2[[#This Row],[ICMFact]]</f>
        <v>-0.76377600000000001</v>
      </c>
      <c r="S16" s="16">
        <f>Table2[[#This Row],[Kowin]]*Table2[[#This Row],[pWin]]+Table2[[#This Row],[Kolose]]*(1-Table2[[#This Row],[pWin]])-Table2[[#This Row],[KOFact]]</f>
        <v>0.13936000000000015</v>
      </c>
      <c r="T16" s="2">
        <f>Table2[[#This Row],[KODiff]]*bounty</f>
        <v>0</v>
      </c>
      <c r="U16" s="7">
        <f>Table2[[#This Row],[ICMdiff]]+Table2[[#This Row],[KOmoneyDiff]]</f>
        <v>-0.76377600000000001</v>
      </c>
      <c r="V16">
        <f>Table2[[#This Row],[pWin]]*Table2[[#This Row],[stackwin]]+(1-Table2[[#This Row],[pWin]])*Table2[[#This Row],[stacklose]]-Table2[[#This Row],[stackfact]]</f>
        <v>0</v>
      </c>
    </row>
    <row r="17" spans="1:22" x14ac:dyDescent="0.25">
      <c r="A17">
        <v>486</v>
      </c>
      <c r="C17">
        <v>0.78</v>
      </c>
      <c r="D17" s="10">
        <v>484</v>
      </c>
      <c r="E17">
        <v>0.16489999999999999</v>
      </c>
      <c r="F17" s="2">
        <f>Table2[[#This Row],[EQwin]]*$E$1</f>
        <v>44.852799999999995</v>
      </c>
      <c r="G17" s="16">
        <f>6*Table2[[#This Row],[stackwin]]/3000</f>
        <v>0.96799999999999997</v>
      </c>
      <c r="H17" s="10">
        <v>484</v>
      </c>
      <c r="I17">
        <v>0.16819999999999999</v>
      </c>
      <c r="J17" s="2">
        <f t="shared" si="0"/>
        <v>45.750399999999999</v>
      </c>
      <c r="K17" s="14">
        <f>5*Table2[[#This Row],[stacklose]]/3000</f>
        <v>0.80666666666666664</v>
      </c>
      <c r="M17" s="8">
        <v>484</v>
      </c>
      <c r="N17">
        <v>0.16819999999999999</v>
      </c>
      <c r="O17" s="2">
        <f t="shared" si="1"/>
        <v>45.750399999999999</v>
      </c>
      <c r="P17" s="15">
        <f>5*Table2[[#This Row],[stackfact]]/3000</f>
        <v>0.80666666666666664</v>
      </c>
      <c r="Q17" s="38">
        <f>Table2[[#This Row],[EQwin]]*Table2[[#This Row],[pWin]] + Table2[[#This Row],[EQlose]]*(1-Table2[[#This Row],[pWin]]) - Table2[[#This Row],[Eqfact]]</f>
        <v>-2.573999999999993E-3</v>
      </c>
      <c r="R17" s="12">
        <f>Table2[[#This Row],[pWin]]*Table2[[#This Row],[ICMwin]]+(1-Table2[[#This Row],[pWin]])*Table2[[#This Row],[ICMlose]]-Table2[[#This Row],[ICMFact]]</f>
        <v>-0.70012800000000652</v>
      </c>
      <c r="S17" s="16">
        <f>Table2[[#This Row],[Kowin]]*Table2[[#This Row],[pWin]]+Table2[[#This Row],[Kolose]]*(1-Table2[[#This Row],[pWin]])-Table2[[#This Row],[KOFact]]</f>
        <v>0.12584000000000006</v>
      </c>
      <c r="T17" s="2">
        <f>Table2[[#This Row],[KODiff]]*bounty</f>
        <v>0</v>
      </c>
      <c r="U17" s="7">
        <f>Table2[[#This Row],[ICMdiff]]+Table2[[#This Row],[KOmoneyDiff]]</f>
        <v>-0.70012800000000652</v>
      </c>
      <c r="V17">
        <f>Table2[[#This Row],[pWin]]*Table2[[#This Row],[stackwin]]+(1-Table2[[#This Row],[pWin]])*Table2[[#This Row],[stacklose]]-Table2[[#This Row],[stackfact]]</f>
        <v>0</v>
      </c>
    </row>
    <row r="18" spans="1:22" s="17" customFormat="1" x14ac:dyDescent="0.25">
      <c r="A18" s="17">
        <v>350</v>
      </c>
      <c r="B18" s="17" t="s">
        <v>32</v>
      </c>
      <c r="C18" s="17">
        <v>0.78</v>
      </c>
      <c r="D18" s="19">
        <v>738</v>
      </c>
      <c r="E18" s="17">
        <v>0.23499999999999999</v>
      </c>
      <c r="F18" s="18">
        <f>Table2[[#This Row],[EQwin]]*$E$1</f>
        <v>63.919999999999995</v>
      </c>
      <c r="G18" s="24">
        <f>6*Table2[[#This Row],[stackwin]]/3000</f>
        <v>1.476</v>
      </c>
      <c r="H18" s="19">
        <v>0</v>
      </c>
      <c r="J18" s="18">
        <f t="shared" si="0"/>
        <v>0</v>
      </c>
      <c r="K18" s="20">
        <f>5*Table2[[#This Row],[stacklose]]/3000</f>
        <v>0</v>
      </c>
      <c r="M18" s="21">
        <v>0</v>
      </c>
      <c r="O18" s="18">
        <f t="shared" si="1"/>
        <v>0</v>
      </c>
      <c r="P18" s="22">
        <f>5*Table2[[#This Row],[stackfact]]/3000</f>
        <v>0</v>
      </c>
      <c r="Q18" s="35">
        <f>Table2[[#This Row],[EQwin]]*Table2[[#This Row],[pWin]] + Table2[[#This Row],[EQlose]]*(1-Table2[[#This Row],[pWin]]) - Table2[[#This Row],[Eqfact]]</f>
        <v>0.18329999999999999</v>
      </c>
      <c r="R18" s="23">
        <f>Table2[[#This Row],[pWin]]*Table2[[#This Row],[ICMwin]]+(1-Table2[[#This Row],[pWin]])*Table2[[#This Row],[ICMlose]]-Table2[[#This Row],[ICMFact]]</f>
        <v>49.857599999999998</v>
      </c>
      <c r="S18" s="24">
        <f>Table2[[#This Row],[Kowin]]*Table2[[#This Row],[pWin]]+Table2[[#This Row],[Kolose]]*(1-Table2[[#This Row],[pWin]])-Table2[[#This Row],[KOFact]]</f>
        <v>1.1512800000000001</v>
      </c>
      <c r="T18" s="18">
        <f>Table2[[#This Row],[KODiff]]*bounty</f>
        <v>0</v>
      </c>
      <c r="U18" s="25">
        <f>Table2[[#This Row],[ICMdiff]]+Table2[[#This Row],[KOmoneyDiff]]</f>
        <v>49.857599999999998</v>
      </c>
      <c r="V18" s="17">
        <f>Table2[[#This Row],[pWin]]*Table2[[#This Row],[stackwin]]+(1-Table2[[#This Row],[pWin]])*Table2[[#This Row],[stacklose]]-Table2[[#This Row],[stackfact]]</f>
        <v>575.64</v>
      </c>
    </row>
    <row r="19" spans="1:22" s="26" customFormat="1" x14ac:dyDescent="0.25">
      <c r="A19" s="26">
        <v>634</v>
      </c>
      <c r="C19" s="26">
        <v>0.78</v>
      </c>
      <c r="D19" s="10">
        <v>622</v>
      </c>
      <c r="E19" s="26">
        <v>0.20469999999999999</v>
      </c>
      <c r="F19" s="27">
        <f>Table2[[#This Row],[EQwin]]*$E$1</f>
        <v>55.678399999999996</v>
      </c>
      <c r="G19" s="16">
        <f>6*Table2[[#This Row],[stackwin]]/3000</f>
        <v>1.244</v>
      </c>
      <c r="H19" s="10">
        <v>622</v>
      </c>
      <c r="I19" s="26">
        <v>0.2089</v>
      </c>
      <c r="J19" s="27">
        <f t="shared" si="0"/>
        <v>56.820799999999998</v>
      </c>
      <c r="K19" s="30">
        <f>5*Table2[[#This Row],[stacklose]]/3000</f>
        <v>1.0366666666666666</v>
      </c>
      <c r="M19" s="31">
        <v>622</v>
      </c>
      <c r="N19" s="26">
        <v>0.2089</v>
      </c>
      <c r="O19" s="27">
        <f t="shared" si="1"/>
        <v>56.820799999999998</v>
      </c>
      <c r="P19" s="32">
        <f>5*Table2[[#This Row],[stackfact]]/3000</f>
        <v>1.0366666666666666</v>
      </c>
      <c r="Q19" s="39">
        <f>Table2[[#This Row],[EQwin]]*Table2[[#This Row],[pWin]] + Table2[[#This Row],[EQlose]]*(1-Table2[[#This Row],[pWin]]) - Table2[[#This Row],[Eqfact]]</f>
        <v>-3.2760000000000011E-3</v>
      </c>
      <c r="R19" s="33">
        <f>Table2[[#This Row],[pWin]]*Table2[[#This Row],[ICMwin]]+(1-Table2[[#This Row],[pWin]])*Table2[[#This Row],[ICMlose]]-Table2[[#This Row],[ICMFact]]</f>
        <v>-0.8910720000000012</v>
      </c>
      <c r="S19" s="28">
        <f>Table2[[#This Row],[Kowin]]*Table2[[#This Row],[pWin]]+Table2[[#This Row],[Kolose]]*(1-Table2[[#This Row],[pWin]])-Table2[[#This Row],[KOFact]]</f>
        <v>0.16172000000000009</v>
      </c>
      <c r="T19" s="27">
        <f>Table2[[#This Row],[KODiff]]*bounty</f>
        <v>0</v>
      </c>
      <c r="U19" s="34">
        <f>Table2[[#This Row],[ICMdiff]]+Table2[[#This Row],[KOmoneyDiff]]</f>
        <v>-0.8910720000000012</v>
      </c>
      <c r="V19" s="26">
        <f>Table2[[#This Row],[pWin]]*Table2[[#This Row],[stackwin]]+(1-Table2[[#This Row],[pWin]])*Table2[[#This Row],[stacklose]]-Table2[[#This Row],[stackfact]]</f>
        <v>0</v>
      </c>
    </row>
    <row r="20" spans="1:22" x14ac:dyDescent="0.25">
      <c r="A20">
        <v>496</v>
      </c>
      <c r="C20">
        <v>0.78</v>
      </c>
      <c r="D20" s="10">
        <v>474</v>
      </c>
      <c r="E20">
        <v>0.16189999999999999</v>
      </c>
      <c r="F20" s="2">
        <f>Table2[[#This Row],[EQwin]]*$E$1</f>
        <v>44.036799999999999</v>
      </c>
      <c r="G20" s="16">
        <f>6*Table2[[#This Row],[stackwin]]/3000</f>
        <v>0.94799999999999995</v>
      </c>
      <c r="H20" s="10">
        <v>474</v>
      </c>
      <c r="I20">
        <v>0.16500000000000001</v>
      </c>
      <c r="J20" s="2">
        <f t="shared" ref="J20:J21" si="2">I20*$E$1</f>
        <v>44.88</v>
      </c>
      <c r="K20" s="14">
        <f>5*Table2[[#This Row],[stacklose]]/3000</f>
        <v>0.79</v>
      </c>
      <c r="M20" s="8">
        <v>474</v>
      </c>
      <c r="N20">
        <v>0.16500000000000001</v>
      </c>
      <c r="O20" s="2">
        <f t="shared" ref="O20:O21" si="3">N20*$E$1</f>
        <v>44.88</v>
      </c>
      <c r="P20" s="15">
        <f>5*Table2[[#This Row],[stackfact]]/3000</f>
        <v>0.79</v>
      </c>
      <c r="Q20" s="38">
        <f>Table2[[#This Row],[EQwin]]*Table2[[#This Row],[pWin]] + Table2[[#This Row],[EQlose]]*(1-Table2[[#This Row],[pWin]]) - Table2[[#This Row],[Eqfact]]</f>
        <v>-2.4180000000000035E-3</v>
      </c>
      <c r="R20" s="12">
        <f>Table2[[#This Row],[pWin]]*Table2[[#This Row],[ICMwin]]+(1-Table2[[#This Row],[pWin]])*Table2[[#This Row],[ICMlose]]-Table2[[#This Row],[ICMFact]]</f>
        <v>-0.6576960000000085</v>
      </c>
      <c r="S20" s="16">
        <f>Table2[[#This Row],[Kowin]]*Table2[[#This Row],[pWin]]+Table2[[#This Row],[Kolose]]*(1-Table2[[#This Row],[pWin]])-Table2[[#This Row],[KOFact]]</f>
        <v>0.12323999999999991</v>
      </c>
      <c r="T20" s="2">
        <f>Table2[[#This Row],[KODiff]]*bounty</f>
        <v>0</v>
      </c>
      <c r="U20" s="7">
        <f>Table2[[#This Row],[ICMdiff]]+Table2[[#This Row],[KOmoneyDiff]]</f>
        <v>-0.6576960000000085</v>
      </c>
      <c r="V20">
        <f>Table2[[#This Row],[pWin]]*Table2[[#This Row],[stackwin]]+(1-Table2[[#This Row],[pWin]])*Table2[[#This Row],[stacklose]]-Table2[[#This Row],[stackfact]]</f>
        <v>0</v>
      </c>
    </row>
    <row r="21" spans="1:22" s="56" customFormat="1" x14ac:dyDescent="0.25">
      <c r="D21" s="59"/>
      <c r="F21" s="57">
        <f>Table2[[#This Row],[EQwin]]*$E$1</f>
        <v>0</v>
      </c>
      <c r="G21" s="58">
        <f>2*Table2[[#This Row],[stackwin]]/3000</f>
        <v>0</v>
      </c>
      <c r="H21" s="59"/>
      <c r="J21" s="57">
        <f t="shared" si="2"/>
        <v>0</v>
      </c>
      <c r="K21" s="60">
        <f>5*Table2[[#This Row],[stacklose]]/3000</f>
        <v>0</v>
      </c>
      <c r="M21" s="61"/>
      <c r="O21" s="57">
        <f t="shared" si="3"/>
        <v>0</v>
      </c>
      <c r="P21" s="62">
        <f>5*Table2[[#This Row],[stackfact]]/3000</f>
        <v>0</v>
      </c>
      <c r="Q21" s="63">
        <f>Table2[[#This Row],[EQwin]]*Table2[[#This Row],[pWin]] + Table2[[#This Row],[EQlose]]*(1-Table2[[#This Row],[pWin]]) - Table2[[#This Row],[Eqfact]]</f>
        <v>0</v>
      </c>
      <c r="R21" s="64">
        <f>Table2[[#This Row],[pWin]]*Table2[[#This Row],[ICMwin]]+(1-Table2[[#This Row],[pWin]])*Table2[[#This Row],[ICMlose]]-Table2[[#This Row],[ICMFact]]</f>
        <v>0</v>
      </c>
      <c r="S21" s="58">
        <f>Table2[[#This Row],[Kowin]]*Table2[[#This Row],[pWin]]+Table2[[#This Row],[Kolose]]*(1-Table2[[#This Row],[pWin]])-Table2[[#This Row],[KOFact]]</f>
        <v>0</v>
      </c>
      <c r="T21" s="57">
        <f>Table2[[#This Row],[KODiff]]*bounty</f>
        <v>0</v>
      </c>
      <c r="U21" s="65">
        <f>Table2[[#This Row],[ICMdiff]]+Table2[[#This Row],[KOmoneyDiff]]</f>
        <v>0</v>
      </c>
      <c r="V21" s="56">
        <f>Table2[[#This Row],[pWin]]*Table2[[#This Row],[stackwin]]+(1-Table2[[#This Row],[pWin]])*Table2[[#This Row],[stacklose]]-Table2[[#This Row],[stackfact]]</f>
        <v>0</v>
      </c>
    </row>
    <row r="22" spans="1:22" s="17" customFormat="1" ht="14.25" customHeight="1" x14ac:dyDescent="0.25">
      <c r="A22" s="17">
        <f>1374-8-80</f>
        <v>1286</v>
      </c>
      <c r="B22" s="17" t="s">
        <v>171</v>
      </c>
      <c r="C22" s="17">
        <v>0.1265</v>
      </c>
      <c r="D22" s="19">
        <v>2748</v>
      </c>
      <c r="E22" s="17">
        <v>0.5</v>
      </c>
      <c r="F22" s="18">
        <f>Table2[[#This Row],[EQwin]]*$E$1</f>
        <v>136</v>
      </c>
      <c r="G22" s="24">
        <f>2*Table2[[#This Row],[stackwin]]/3000</f>
        <v>1.8320000000000001</v>
      </c>
      <c r="H22" s="19">
        <v>0</v>
      </c>
      <c r="I22" s="17">
        <v>0.5</v>
      </c>
      <c r="J22" s="18">
        <f t="shared" ref="J22:J55" si="4">I22*$E$1</f>
        <v>136</v>
      </c>
      <c r="K22" s="20">
        <f>2*Table2[[#This Row],[stacklose]]/3000</f>
        <v>0</v>
      </c>
      <c r="M22" s="21">
        <v>2748</v>
      </c>
      <c r="N22" s="17">
        <v>0.5</v>
      </c>
      <c r="O22" s="18">
        <f t="shared" ref="O22:O55" si="5">N22*$E$1</f>
        <v>136</v>
      </c>
      <c r="P22" s="22">
        <f>2*Table2[[#This Row],[stackfact]]/3000</f>
        <v>1.8320000000000001</v>
      </c>
      <c r="Q22" s="35">
        <f>Table2[[#This Row],[EQwin]]*Table2[[#This Row],[pWin]] + Table2[[#This Row],[EQlose]]*(1-Table2[[#This Row],[pWin]]) - Table2[[#This Row],[Eqfact]]</f>
        <v>0</v>
      </c>
      <c r="R22" s="23">
        <f>Table2[[#This Row],[pWin]]*Table2[[#This Row],[ICMwin]]+(1-Table2[[#This Row],[pWin]])*Table2[[#This Row],[ICMlose]]-Table2[[#This Row],[ICMFact]]</f>
        <v>0</v>
      </c>
      <c r="S22" s="24">
        <f>Table2[[#This Row],[Kowin]]*Table2[[#This Row],[pWin]]+Table2[[#This Row],[Kolose]]*(1-Table2[[#This Row],[pWin]])-Table2[[#This Row],[KOFact]]</f>
        <v>-1.600252</v>
      </c>
      <c r="T22" s="18">
        <f>Table2[[#This Row],[KODiff]]*bounty</f>
        <v>0</v>
      </c>
      <c r="U22" s="25">
        <f>Table2[[#This Row],[ICMdiff]]+Table2[[#This Row],[KOmoneyDiff]]</f>
        <v>0</v>
      </c>
      <c r="V22" s="17">
        <f>Table2[[#This Row],[pWin]]*Table2[[#This Row],[stackwin]]+(1-Table2[[#This Row],[pWin]])*Table2[[#This Row],[stacklose]]-Table2[[#This Row],[stackfact]]</f>
        <v>-2400.3780000000002</v>
      </c>
    </row>
    <row r="23" spans="1:22" x14ac:dyDescent="0.25">
      <c r="A23">
        <f>1626-8-40-40</f>
        <v>1538</v>
      </c>
      <c r="B23" t="s">
        <v>172</v>
      </c>
      <c r="C23">
        <v>0.1265</v>
      </c>
      <c r="D23" s="10">
        <f>1538-1286</f>
        <v>252</v>
      </c>
      <c r="E23">
        <v>0.5</v>
      </c>
      <c r="F23" s="2">
        <f>Table2[[#This Row],[EQwin]]*$E$1</f>
        <v>136</v>
      </c>
      <c r="G23" s="16">
        <f>2*Table2[[#This Row],[stackwin]]/3000</f>
        <v>0.16800000000000001</v>
      </c>
      <c r="H23" s="10">
        <v>3000</v>
      </c>
      <c r="I23">
        <v>0.5</v>
      </c>
      <c r="J23" s="2">
        <f t="shared" si="4"/>
        <v>136</v>
      </c>
      <c r="K23" s="14">
        <f>2*Table2[[#This Row],[stacklose]]/3000</f>
        <v>2</v>
      </c>
      <c r="M23" s="8">
        <v>252</v>
      </c>
      <c r="N23">
        <v>0.5</v>
      </c>
      <c r="O23" s="2">
        <f t="shared" si="5"/>
        <v>136</v>
      </c>
      <c r="P23" s="15">
        <f>2*Table2[[#This Row],[stackfact]]/3000</f>
        <v>0.16800000000000001</v>
      </c>
      <c r="Q23" s="38">
        <f>Table2[[#This Row],[EQwin]]*Table2[[#This Row],[pWin]] + Table2[[#This Row],[EQlose]]*(1-Table2[[#This Row],[pWin]]) - Table2[[#This Row],[Eqfact]]</f>
        <v>0</v>
      </c>
      <c r="R23" s="12">
        <f>Table2[[#This Row],[pWin]]*Table2[[#This Row],[ICMwin]]+(1-Table2[[#This Row],[pWin]])*Table2[[#This Row],[ICMlose]]-Table2[[#This Row],[ICMFact]]</f>
        <v>0</v>
      </c>
      <c r="S23" s="16">
        <f>Table2[[#This Row],[Kowin]]*Table2[[#This Row],[pWin]]+Table2[[#This Row],[Kolose]]*(1-Table2[[#This Row],[pWin]])-Table2[[#This Row],[KOFact]]</f>
        <v>1.600252</v>
      </c>
      <c r="T23" s="2">
        <f>Table2[[#This Row],[KODiff]]*bounty</f>
        <v>0</v>
      </c>
      <c r="U23" s="7">
        <f>Table2[[#This Row],[ICMdiff]]+Table2[[#This Row],[KOmoneyDiff]]</f>
        <v>0</v>
      </c>
      <c r="V23">
        <f>Table2[[#This Row],[pWin]]*Table2[[#This Row],[stackwin]]+(1-Table2[[#This Row],[pWin]])*Table2[[#This Row],[stacklose]]-Table2[[#This Row],[stackfact]]</f>
        <v>2400.3780000000002</v>
      </c>
    </row>
    <row r="24" spans="1:22" s="40" customFormat="1" x14ac:dyDescent="0.25">
      <c r="D24" s="43"/>
      <c r="F24" s="41">
        <f>Table2[[#This Row],[EQwin]]*$E$1</f>
        <v>0</v>
      </c>
      <c r="G24" s="42">
        <f>2*Table2[[#This Row],[stackwin]]/3000</f>
        <v>0</v>
      </c>
      <c r="H24" s="43"/>
      <c r="J24" s="41">
        <f t="shared" si="4"/>
        <v>0</v>
      </c>
      <c r="K24" s="44">
        <f>5*Table2[[#This Row],[stacklose]]/3000</f>
        <v>0</v>
      </c>
      <c r="M24" s="45"/>
      <c r="O24" s="41">
        <f t="shared" si="5"/>
        <v>0</v>
      </c>
      <c r="P24" s="46">
        <f>5*Table2[[#This Row],[stackfact]]/3000</f>
        <v>0</v>
      </c>
      <c r="Q24" s="47">
        <f>Table2[[#This Row],[EQwin]]*Table2[[#This Row],[pWin]] + Table2[[#This Row],[EQlose]]*(1-Table2[[#This Row],[pWin]]) - Table2[[#This Row],[Eqfact]]</f>
        <v>0</v>
      </c>
      <c r="R24" s="48">
        <f>Table2[[#This Row],[pWin]]*Table2[[#This Row],[ICMwin]]+(1-Table2[[#This Row],[pWin]])*Table2[[#This Row],[ICMlose]]-Table2[[#This Row],[ICMFact]]</f>
        <v>0</v>
      </c>
      <c r="S24" s="42">
        <f>Table2[[#This Row],[Kowin]]*Table2[[#This Row],[pWin]]+Table2[[#This Row],[Kolose]]*(1-Table2[[#This Row],[pWin]])-Table2[[#This Row],[KOFact]]</f>
        <v>0</v>
      </c>
      <c r="T24" s="41">
        <f>Table2[[#This Row],[KODiff]]*bounty</f>
        <v>0</v>
      </c>
      <c r="U24" s="49">
        <f>Table2[[#This Row],[ICMdiff]]+Table2[[#This Row],[KOmoneyDiff]]</f>
        <v>0</v>
      </c>
      <c r="V24" s="40">
        <f>Table2[[#This Row],[pWin]]*Table2[[#This Row],[stackwin]]+(1-Table2[[#This Row],[pWin]])*Table2[[#This Row],[stacklose]]-Table2[[#This Row],[stackfact]]</f>
        <v>0</v>
      </c>
    </row>
    <row r="25" spans="1:22" s="17" customFormat="1" x14ac:dyDescent="0.25">
      <c r="A25" s="17">
        <f>1045-15-150</f>
        <v>880</v>
      </c>
      <c r="B25" s="17" t="s">
        <v>173</v>
      </c>
      <c r="C25" s="17">
        <v>0.54920000000000002</v>
      </c>
      <c r="D25" s="19">
        <v>2090</v>
      </c>
      <c r="E25" s="17">
        <v>0.5</v>
      </c>
      <c r="F25" s="18">
        <f>Table2[[#This Row],[EQwin]]*$E$1</f>
        <v>136</v>
      </c>
      <c r="G25" s="24">
        <f>2*Table2[[#This Row],[stackwin]]/3000</f>
        <v>1.3933333333333333</v>
      </c>
      <c r="H25" s="19">
        <v>0</v>
      </c>
      <c r="I25" s="17">
        <v>0.5</v>
      </c>
      <c r="J25" s="18">
        <f t="shared" si="4"/>
        <v>136</v>
      </c>
      <c r="K25" s="20">
        <f>2*Table2[[#This Row],[stacklose]]/3000</f>
        <v>0</v>
      </c>
      <c r="M25" s="21">
        <v>2090</v>
      </c>
      <c r="N25" s="17">
        <v>0.5</v>
      </c>
      <c r="O25" s="18">
        <f t="shared" si="5"/>
        <v>136</v>
      </c>
      <c r="P25" s="22">
        <f>2*Table2[[#This Row],[stackfact]]/3000</f>
        <v>1.3933333333333333</v>
      </c>
      <c r="Q25" s="35">
        <f>Table2[[#This Row],[EQwin]]*Table2[[#This Row],[pWin]] + Table2[[#This Row],[EQlose]]*(1-Table2[[#This Row],[pWin]]) - Table2[[#This Row],[Eqfact]]</f>
        <v>0</v>
      </c>
      <c r="R25" s="23">
        <f>Table2[[#This Row],[pWin]]*Table2[[#This Row],[ICMwin]]+(1-Table2[[#This Row],[pWin]])*Table2[[#This Row],[ICMlose]]-Table2[[#This Row],[ICMFact]]</f>
        <v>0</v>
      </c>
      <c r="S25" s="24">
        <f>Table2[[#This Row],[Kowin]]*Table2[[#This Row],[pWin]]+Table2[[#This Row],[Kolose]]*(1-Table2[[#This Row],[pWin]])-Table2[[#This Row],[KOFact]]</f>
        <v>-0.6281146666666666</v>
      </c>
      <c r="T25" s="18">
        <f>Table2[[#This Row],[KODiff]]*bounty</f>
        <v>0</v>
      </c>
      <c r="U25" s="25">
        <f>Table2[[#This Row],[ICMdiff]]+Table2[[#This Row],[KOmoneyDiff]]</f>
        <v>0</v>
      </c>
      <c r="V25" s="17">
        <f>Table2[[#This Row],[pWin]]*Table2[[#This Row],[stackwin]]+(1-Table2[[#This Row],[pWin]])*Table2[[#This Row],[stacklose]]-Table2[[#This Row],[stackfact]]</f>
        <v>-942.17200000000003</v>
      </c>
    </row>
    <row r="26" spans="1:22" x14ac:dyDescent="0.25">
      <c r="A26">
        <f>1955-15-75-75</f>
        <v>1790</v>
      </c>
      <c r="B26" t="s">
        <v>174</v>
      </c>
      <c r="C26" s="26">
        <v>0.54920000000000002</v>
      </c>
      <c r="D26" s="10">
        <f>1790-880</f>
        <v>910</v>
      </c>
      <c r="E26">
        <v>0.5</v>
      </c>
      <c r="F26" s="2">
        <f>Table2[[#This Row],[EQwin]]*$E$1</f>
        <v>136</v>
      </c>
      <c r="G26" s="16">
        <f>2*Table2[[#This Row],[stackwin]]/3000</f>
        <v>0.60666666666666669</v>
      </c>
      <c r="H26" s="10">
        <v>3000</v>
      </c>
      <c r="I26">
        <v>0.5</v>
      </c>
      <c r="J26" s="2">
        <f t="shared" si="4"/>
        <v>136</v>
      </c>
      <c r="K26" s="14">
        <f>2*Table2[[#This Row],[stacklose]]/3000</f>
        <v>2</v>
      </c>
      <c r="M26" s="8">
        <v>910</v>
      </c>
      <c r="N26">
        <v>0.5</v>
      </c>
      <c r="O26" s="2">
        <f t="shared" si="5"/>
        <v>136</v>
      </c>
      <c r="P26" s="15">
        <f>2*Table2[[#This Row],[stackfact]]/3000</f>
        <v>0.60666666666666669</v>
      </c>
      <c r="Q26" s="38">
        <f>Table2[[#This Row],[EQwin]]*Table2[[#This Row],[pWin]] + Table2[[#This Row],[EQlose]]*(1-Table2[[#This Row],[pWin]]) - Table2[[#This Row],[Eqfact]]</f>
        <v>0</v>
      </c>
      <c r="R26" s="12">
        <f>Table2[[#This Row],[pWin]]*Table2[[#This Row],[ICMwin]]+(1-Table2[[#This Row],[pWin]])*Table2[[#This Row],[ICMlose]]-Table2[[#This Row],[ICMFact]]</f>
        <v>0</v>
      </c>
      <c r="S26" s="16">
        <f>Table2[[#This Row],[Kowin]]*Table2[[#This Row],[pWin]]+Table2[[#This Row],[Kolose]]*(1-Table2[[#This Row],[pWin]])-Table2[[#This Row],[KOFact]]</f>
        <v>0.6281146666666666</v>
      </c>
      <c r="T26" s="2">
        <f>Table2[[#This Row],[KODiff]]*bounty</f>
        <v>0</v>
      </c>
      <c r="U26" s="7">
        <f>Table2[[#This Row],[ICMdiff]]+Table2[[#This Row],[KOmoneyDiff]]</f>
        <v>0</v>
      </c>
      <c r="V26">
        <f>Table2[[#This Row],[pWin]]*Table2[[#This Row],[stackwin]]+(1-Table2[[#This Row],[pWin]])*Table2[[#This Row],[stacklose]]-Table2[[#This Row],[stackfact]]</f>
        <v>942.1719999999998</v>
      </c>
    </row>
    <row r="27" spans="1:22" s="40" customFormat="1" x14ac:dyDescent="0.25">
      <c r="D27" s="43"/>
      <c r="F27" s="41">
        <f>Table2[[#This Row],[EQwin]]*$E$1</f>
        <v>0</v>
      </c>
      <c r="G27" s="42">
        <f>2*Table2[[#This Row],[stackwin]]/3000</f>
        <v>0</v>
      </c>
      <c r="H27" s="43"/>
      <c r="J27" s="41">
        <f t="shared" si="4"/>
        <v>0</v>
      </c>
      <c r="K27" s="44">
        <f>5*Table2[[#This Row],[stacklose]]/3000</f>
        <v>0</v>
      </c>
      <c r="M27" s="45"/>
      <c r="O27" s="41">
        <f t="shared" si="5"/>
        <v>0</v>
      </c>
      <c r="P27" s="46">
        <f>5*Table2[[#This Row],[stackfact]]/3000</f>
        <v>0</v>
      </c>
      <c r="Q27" s="47">
        <f>Table2[[#This Row],[EQwin]]*Table2[[#This Row],[pWin]] + Table2[[#This Row],[EQlose]]*(1-Table2[[#This Row],[pWin]]) - Table2[[#This Row],[Eqfact]]</f>
        <v>0</v>
      </c>
      <c r="R27" s="48">
        <f>Table2[[#This Row],[pWin]]*Table2[[#This Row],[ICMwin]]+(1-Table2[[#This Row],[pWin]])*Table2[[#This Row],[ICMlose]]-Table2[[#This Row],[ICMFact]]</f>
        <v>0</v>
      </c>
      <c r="S27" s="42">
        <f>Table2[[#This Row],[Kowin]]*Table2[[#This Row],[pWin]]+Table2[[#This Row],[Kolose]]*(1-Table2[[#This Row],[pWin]])-Table2[[#This Row],[KOFact]]</f>
        <v>0</v>
      </c>
      <c r="T27" s="41">
        <f>Table2[[#This Row],[KODiff]]*bounty</f>
        <v>0</v>
      </c>
      <c r="U27" s="49">
        <f>Table2[[#This Row],[ICMdiff]]+Table2[[#This Row],[KOmoneyDiff]]</f>
        <v>0</v>
      </c>
      <c r="V27" s="40">
        <f>Table2[[#This Row],[pWin]]*Table2[[#This Row],[stackwin]]+(1-Table2[[#This Row],[pWin]])*Table2[[#This Row],[stacklose]]-Table2[[#This Row],[stackfact]]</f>
        <v>0</v>
      </c>
    </row>
    <row r="28" spans="1:22" s="17" customFormat="1" x14ac:dyDescent="0.25">
      <c r="A28" s="17">
        <f>972-10-100</f>
        <v>862</v>
      </c>
      <c r="B28" s="17" t="s">
        <v>178</v>
      </c>
      <c r="C28" s="17">
        <v>0.35909999999999997</v>
      </c>
      <c r="D28" s="19">
        <v>1924</v>
      </c>
      <c r="E28" s="17">
        <v>0.5</v>
      </c>
      <c r="F28" s="18">
        <f>Table2[[#This Row],[EQwin]]*$E$1</f>
        <v>136</v>
      </c>
      <c r="G28" s="24">
        <f>2*Table2[[#This Row],[stackwin]]/3000</f>
        <v>1.2826666666666666</v>
      </c>
      <c r="H28" s="19">
        <v>0</v>
      </c>
      <c r="I28" s="17">
        <v>0.5</v>
      </c>
      <c r="J28" s="18">
        <f t="shared" si="4"/>
        <v>136</v>
      </c>
      <c r="K28" s="20">
        <f>2*Table2[[#This Row],[stacklose]]/3000</f>
        <v>0</v>
      </c>
      <c r="M28" s="21">
        <v>962</v>
      </c>
      <c r="N28" s="17">
        <v>0.5</v>
      </c>
      <c r="O28" s="18">
        <f t="shared" si="5"/>
        <v>136</v>
      </c>
      <c r="P28" s="22">
        <f>2*Table2[[#This Row],[stackfact]]/3000</f>
        <v>0.64133333333333331</v>
      </c>
      <c r="Q28" s="35">
        <f>Table2[[#This Row],[EQwin]]*Table2[[#This Row],[pWin]] + Table2[[#This Row],[EQlose]]*(1-Table2[[#This Row],[pWin]]) - Table2[[#This Row],[Eqfact]]</f>
        <v>0</v>
      </c>
      <c r="R28" s="23">
        <f>Table2[[#This Row],[pWin]]*Table2[[#This Row],[ICMwin]]+(1-Table2[[#This Row],[pWin]])*Table2[[#This Row],[ICMlose]]-Table2[[#This Row],[ICMFact]]</f>
        <v>0</v>
      </c>
      <c r="S28" s="24">
        <f>Table2[[#This Row],[Kowin]]*Table2[[#This Row],[pWin]]+Table2[[#This Row],[Kolose]]*(1-Table2[[#This Row],[pWin]])-Table2[[#This Row],[KOFact]]</f>
        <v>-0.18072773333333336</v>
      </c>
      <c r="T28" s="18">
        <f>Table2[[#This Row],[KODiff]]*bounty</f>
        <v>0</v>
      </c>
      <c r="U28" s="25">
        <f>Table2[[#This Row],[ICMdiff]]+Table2[[#This Row],[KOmoneyDiff]]</f>
        <v>0</v>
      </c>
      <c r="V28" s="17">
        <f>Table2[[#This Row],[pWin]]*Table2[[#This Row],[stackwin]]+(1-Table2[[#This Row],[pWin]])*Table2[[#This Row],[stacklose]]-Table2[[#This Row],[stackfact]]</f>
        <v>-271.09160000000008</v>
      </c>
    </row>
    <row r="29" spans="1:22" x14ac:dyDescent="0.25">
      <c r="A29">
        <f>2038-10-100</f>
        <v>1928</v>
      </c>
      <c r="B29" t="s">
        <v>179</v>
      </c>
      <c r="C29">
        <v>0.35909999999999997</v>
      </c>
      <c r="D29" s="10">
        <v>1076</v>
      </c>
      <c r="E29">
        <v>0.5</v>
      </c>
      <c r="F29" s="2">
        <f>Table2[[#This Row],[EQwin]]*$E$1</f>
        <v>136</v>
      </c>
      <c r="G29" s="16">
        <f>2*Table2[[#This Row],[stackwin]]/3000</f>
        <v>0.71733333333333338</v>
      </c>
      <c r="H29" s="10">
        <v>3000</v>
      </c>
      <c r="I29">
        <v>0.5</v>
      </c>
      <c r="J29" s="2">
        <f t="shared" si="4"/>
        <v>136</v>
      </c>
      <c r="K29" s="14">
        <f>2*Table2[[#This Row],[stacklose]]/3000</f>
        <v>2</v>
      </c>
      <c r="M29" s="8">
        <v>2038</v>
      </c>
      <c r="N29">
        <v>0.5</v>
      </c>
      <c r="O29" s="2">
        <f t="shared" si="5"/>
        <v>136</v>
      </c>
      <c r="P29" s="15">
        <f>2*Table2[[#This Row],[stackfact]]/3000</f>
        <v>1.3586666666666667</v>
      </c>
      <c r="Q29" s="38">
        <f>Table2[[#This Row],[EQwin]]*Table2[[#This Row],[pWin]] + Table2[[#This Row],[EQlose]]*(1-Table2[[#This Row],[pWin]]) - Table2[[#This Row],[Eqfact]]</f>
        <v>0</v>
      </c>
      <c r="R29" s="12">
        <f>Table2[[#This Row],[pWin]]*Table2[[#This Row],[ICMwin]]+(1-Table2[[#This Row],[pWin]])*Table2[[#This Row],[ICMlose]]-Table2[[#This Row],[ICMFact]]</f>
        <v>0</v>
      </c>
      <c r="S29" s="16">
        <f>Table2[[#This Row],[Kowin]]*Table2[[#This Row],[pWin]]+Table2[[#This Row],[Kolose]]*(1-Table2[[#This Row],[pWin]])-Table2[[#This Row],[KOFact]]</f>
        <v>0.18072773333333325</v>
      </c>
      <c r="T29" s="2">
        <f>Table2[[#This Row],[KODiff]]*bounty</f>
        <v>0</v>
      </c>
      <c r="U29" s="7">
        <f>Table2[[#This Row],[ICMdiff]]+Table2[[#This Row],[KOmoneyDiff]]</f>
        <v>0</v>
      </c>
      <c r="V29">
        <f>Table2[[#This Row],[pWin]]*Table2[[#This Row],[stackwin]]+(1-Table2[[#This Row],[pWin]])*Table2[[#This Row],[stacklose]]-Table2[[#This Row],[stackfact]]</f>
        <v>271.0916000000002</v>
      </c>
    </row>
    <row r="30" spans="1:22" s="40" customFormat="1" x14ac:dyDescent="0.25">
      <c r="D30" s="43"/>
      <c r="F30" s="41">
        <f>Table2[[#This Row],[EQwin]]*$E$1</f>
        <v>0</v>
      </c>
      <c r="G30" s="42">
        <f>2*Table2[[#This Row],[stackwin]]/3000</f>
        <v>0</v>
      </c>
      <c r="H30" s="43"/>
      <c r="J30" s="41">
        <f t="shared" si="4"/>
        <v>0</v>
      </c>
      <c r="K30" s="44">
        <f>5*Table2[[#This Row],[stacklose]]/3000</f>
        <v>0</v>
      </c>
      <c r="M30" s="45"/>
      <c r="O30" s="41">
        <f t="shared" si="5"/>
        <v>0</v>
      </c>
      <c r="P30" s="46">
        <f>5*Table2[[#This Row],[stackfact]]/3000</f>
        <v>0</v>
      </c>
      <c r="Q30" s="47">
        <f>Table2[[#This Row],[EQwin]]*Table2[[#This Row],[pWin]] + Table2[[#This Row],[EQlose]]*(1-Table2[[#This Row],[pWin]]) - Table2[[#This Row],[Eqfact]]</f>
        <v>0</v>
      </c>
      <c r="R30" s="48">
        <f>Table2[[#This Row],[pWin]]*Table2[[#This Row],[ICMwin]]+(1-Table2[[#This Row],[pWin]])*Table2[[#This Row],[ICMlose]]-Table2[[#This Row],[ICMFact]]</f>
        <v>0</v>
      </c>
      <c r="S30" s="42">
        <f>Table2[[#This Row],[Kowin]]*Table2[[#This Row],[pWin]]+Table2[[#This Row],[Kolose]]*(1-Table2[[#This Row],[pWin]])-Table2[[#This Row],[KOFact]]</f>
        <v>0</v>
      </c>
      <c r="T30" s="41">
        <f>Table2[[#This Row],[KODiff]]*bounty</f>
        <v>0</v>
      </c>
      <c r="U30" s="49">
        <f>Table2[[#This Row],[ICMdiff]]+Table2[[#This Row],[KOmoneyDiff]]</f>
        <v>0</v>
      </c>
      <c r="V30" s="40">
        <f>Table2[[#This Row],[pWin]]*Table2[[#This Row],[stackwin]]+(1-Table2[[#This Row],[pWin]])*Table2[[#This Row],[stacklose]]-Table2[[#This Row],[stackfact]]</f>
        <v>0</v>
      </c>
    </row>
    <row r="31" spans="1:22" x14ac:dyDescent="0.25">
      <c r="A31">
        <v>718</v>
      </c>
      <c r="C31">
        <v>0.60240000000000005</v>
      </c>
      <c r="D31" s="10">
        <v>718</v>
      </c>
      <c r="E31">
        <v>0.28289999999999998</v>
      </c>
      <c r="F31" s="2">
        <f>Table2[[#This Row],[EQwin]]*$E$1</f>
        <v>76.948799999999991</v>
      </c>
      <c r="G31" s="16">
        <f>4*Table2[[#This Row],[stackwin]]/3000</f>
        <v>0.95733333333333337</v>
      </c>
      <c r="H31" s="10">
        <v>718</v>
      </c>
      <c r="I31">
        <v>0.34310000000000002</v>
      </c>
      <c r="J31" s="2">
        <f t="shared" si="4"/>
        <v>93.3232</v>
      </c>
      <c r="K31" s="14">
        <f>3*Table2[[#This Row],[stacklose]]/3000</f>
        <v>0.71799999999999997</v>
      </c>
      <c r="M31" s="10">
        <v>718</v>
      </c>
      <c r="N31">
        <v>0.28289999999999998</v>
      </c>
      <c r="O31" s="2">
        <f t="shared" si="5"/>
        <v>76.948799999999991</v>
      </c>
      <c r="P31" s="15">
        <f>4*Table2[[#This Row],[stackfact]]/3000</f>
        <v>0.95733333333333337</v>
      </c>
      <c r="Q31" s="38">
        <f>Table2[[#This Row],[EQwin]]*Table2[[#This Row],[pWin]] + Table2[[#This Row],[EQlose]]*(1-Table2[[#This Row],[pWin]]) - Table2[[#This Row],[Eqfact]]</f>
        <v>2.3935520000000043E-2</v>
      </c>
      <c r="R31" s="12">
        <f>Table2[[#This Row],[pWin]]*Table2[[#This Row],[ICMwin]]+(1-Table2[[#This Row],[pWin]])*Table2[[#This Row],[ICMlose]]-Table2[[#This Row],[ICMFact]]</f>
        <v>6.5104614400000003</v>
      </c>
      <c r="S31" s="16">
        <f>Table2[[#This Row],[Kowin]]*Table2[[#This Row],[pWin]]+Table2[[#This Row],[Kolose]]*(1-Table2[[#This Row],[pWin]])-Table2[[#This Row],[KOFact]]</f>
        <v>-9.5158933333333362E-2</v>
      </c>
      <c r="T31" s="2">
        <f>Table2[[#This Row],[KODiff]]*bounty</f>
        <v>0</v>
      </c>
      <c r="U31" s="7">
        <f>Table2[[#This Row],[ICMdiff]]+Table2[[#This Row],[KOmoneyDiff]]</f>
        <v>6.5104614400000003</v>
      </c>
      <c r="V31">
        <f>Table2[[#This Row],[pWin]]*Table2[[#This Row],[stackwin]]+(1-Table2[[#This Row],[pWin]])*Table2[[#This Row],[stacklose]]-Table2[[#This Row],[stackfact]]</f>
        <v>0</v>
      </c>
    </row>
    <row r="32" spans="1:22" s="17" customFormat="1" x14ac:dyDescent="0.25">
      <c r="A32" s="17">
        <v>127</v>
      </c>
      <c r="B32" s="17" t="s">
        <v>180</v>
      </c>
      <c r="C32" s="17">
        <v>0.60240000000000005</v>
      </c>
      <c r="D32" s="19">
        <v>330</v>
      </c>
      <c r="E32" s="17">
        <v>0.14050000000000001</v>
      </c>
      <c r="F32" s="18">
        <f>Table2[[#This Row],[EQwin]]*$E$1</f>
        <v>38.216000000000001</v>
      </c>
      <c r="G32" s="24">
        <f>4*Table2[[#This Row],[stackwin]]/3000</f>
        <v>0.44</v>
      </c>
      <c r="H32" s="19">
        <v>0</v>
      </c>
      <c r="I32" s="17">
        <v>0</v>
      </c>
      <c r="J32" s="18">
        <f t="shared" ref="J32:J48" si="6">I32*$E$1</f>
        <v>0</v>
      </c>
      <c r="K32" s="20">
        <f>3*Table2[[#This Row],[stacklose]]/3000</f>
        <v>0</v>
      </c>
      <c r="M32" s="19">
        <v>330</v>
      </c>
      <c r="N32" s="17">
        <v>0.14050000000000001</v>
      </c>
      <c r="O32" s="18">
        <f t="shared" ref="O32:O48" si="7">N32*$E$1</f>
        <v>38.216000000000001</v>
      </c>
      <c r="P32" s="22">
        <f>4*Table2[[#This Row],[stackfact]]/3000</f>
        <v>0.44</v>
      </c>
      <c r="Q32" s="35">
        <f>Table2[[#This Row],[EQwin]]*Table2[[#This Row],[pWin]] + Table2[[#This Row],[EQlose]]*(1-Table2[[#This Row],[pWin]]) - Table2[[#This Row],[Eqfact]]</f>
        <v>-5.5862800000000004E-2</v>
      </c>
      <c r="R32" s="23">
        <f>Table2[[#This Row],[pWin]]*Table2[[#This Row],[ICMwin]]+(1-Table2[[#This Row],[pWin]])*Table2[[#This Row],[ICMlose]]-Table2[[#This Row],[ICMFact]]</f>
        <v>-15.194681599999999</v>
      </c>
      <c r="S32" s="24">
        <f>Table2[[#This Row],[Kowin]]*Table2[[#This Row],[pWin]]+Table2[[#This Row],[Kolose]]*(1-Table2[[#This Row],[pWin]])-Table2[[#This Row],[KOFact]]</f>
        <v>-0.17494399999999999</v>
      </c>
      <c r="T32" s="18">
        <f>Table2[[#This Row],[KODiff]]*bounty</f>
        <v>0</v>
      </c>
      <c r="U32" s="25">
        <f>Table2[[#This Row],[ICMdiff]]+Table2[[#This Row],[KOmoneyDiff]]</f>
        <v>-15.194681599999999</v>
      </c>
      <c r="V32" s="35">
        <f>Table2[[#This Row],[pWin]]*Table2[[#This Row],[stackwin]]+(1-Table2[[#This Row],[pWin]])*Table2[[#This Row],[stacklose]]-Table2[[#This Row],[stackfact]]</f>
        <v>-131.208</v>
      </c>
    </row>
    <row r="33" spans="1:22" x14ac:dyDescent="0.25">
      <c r="A33">
        <v>385</v>
      </c>
      <c r="C33">
        <v>0.60240000000000005</v>
      </c>
      <c r="D33" s="10">
        <v>385</v>
      </c>
      <c r="E33">
        <v>0.16250000000000001</v>
      </c>
      <c r="F33" s="2">
        <f>Table2[[#This Row],[EQwin]]*$E$1</f>
        <v>44.2</v>
      </c>
      <c r="G33" s="16">
        <f>4*Table2[[#This Row],[stackwin]]/3000</f>
        <v>0.51333333333333331</v>
      </c>
      <c r="H33" s="10">
        <v>385</v>
      </c>
      <c r="I33">
        <v>0.19470000000000001</v>
      </c>
      <c r="J33" s="2">
        <f t="shared" si="6"/>
        <v>52.958400000000005</v>
      </c>
      <c r="K33" s="14">
        <f>3*Table2[[#This Row],[stacklose]]/3000</f>
        <v>0.38500000000000001</v>
      </c>
      <c r="M33" s="10">
        <v>385</v>
      </c>
      <c r="N33">
        <v>0.16250000000000001</v>
      </c>
      <c r="O33" s="2">
        <f t="shared" si="7"/>
        <v>44.2</v>
      </c>
      <c r="P33" s="15">
        <f>4*Table2[[#This Row],[stackfact]]/3000</f>
        <v>0.51333333333333331</v>
      </c>
      <c r="Q33" s="38">
        <f>Table2[[#This Row],[EQwin]]*Table2[[#This Row],[pWin]] + Table2[[#This Row],[EQlose]]*(1-Table2[[#This Row],[pWin]]) - Table2[[#This Row],[Eqfact]]</f>
        <v>1.280271999999999E-2</v>
      </c>
      <c r="R33" s="12">
        <f>Table2[[#This Row],[pWin]]*Table2[[#This Row],[ICMwin]]+(1-Table2[[#This Row],[pWin]])*Table2[[#This Row],[ICMlose]]-Table2[[#This Row],[ICMFact]]</f>
        <v>3.4823398400000016</v>
      </c>
      <c r="S33" s="16">
        <f>Table2[[#This Row],[Kowin]]*Table2[[#This Row],[pWin]]+Table2[[#This Row],[Kolose]]*(1-Table2[[#This Row],[pWin]])-Table2[[#This Row],[KOFact]]</f>
        <v>-5.1025333333333311E-2</v>
      </c>
      <c r="T33" s="2">
        <f>Table2[[#This Row],[KODiff]]*bounty</f>
        <v>0</v>
      </c>
      <c r="U33" s="7">
        <f>Table2[[#This Row],[ICMdiff]]+Table2[[#This Row],[KOmoneyDiff]]</f>
        <v>3.4823398400000016</v>
      </c>
      <c r="V33" s="38">
        <f>Table2[[#This Row],[pWin]]*Table2[[#This Row],[stackwin]]+(1-Table2[[#This Row],[pWin]])*Table2[[#This Row],[stacklose]]-Table2[[#This Row],[stackfact]]</f>
        <v>0</v>
      </c>
    </row>
    <row r="34" spans="1:22" x14ac:dyDescent="0.25">
      <c r="A34">
        <v>1654</v>
      </c>
      <c r="B34" t="s">
        <v>181</v>
      </c>
      <c r="C34">
        <v>0.60240000000000005</v>
      </c>
      <c r="D34" s="10">
        <v>1567</v>
      </c>
      <c r="E34">
        <v>0.41410000000000002</v>
      </c>
      <c r="F34" s="2">
        <f>Table2[[#This Row],[EQwin]]*$E$1</f>
        <v>112.63520000000001</v>
      </c>
      <c r="G34" s="16">
        <f>4*Table2[[#This Row],[stackwin]]/3000</f>
        <v>2.0893333333333333</v>
      </c>
      <c r="H34" s="10">
        <f>1654+116+127</f>
        <v>1897</v>
      </c>
      <c r="I34">
        <v>0.4622</v>
      </c>
      <c r="J34" s="2">
        <f t="shared" si="6"/>
        <v>125.7184</v>
      </c>
      <c r="K34" s="14">
        <f>3*Table2[[#This Row],[stacklose]]/3000+1</f>
        <v>2.8970000000000002</v>
      </c>
      <c r="M34" s="10">
        <v>1567</v>
      </c>
      <c r="N34">
        <v>0.41410000000000002</v>
      </c>
      <c r="O34" s="2">
        <f t="shared" si="7"/>
        <v>112.63520000000001</v>
      </c>
      <c r="P34" s="15">
        <f>4*Table2[[#This Row],[stackfact]]/3000</f>
        <v>2.0893333333333333</v>
      </c>
      <c r="Q34" s="38">
        <f>Table2[[#This Row],[EQwin]]*Table2[[#This Row],[pWin]] + Table2[[#This Row],[EQlose]]*(1-Table2[[#This Row],[pWin]]) - Table2[[#This Row],[Eqfact]]</f>
        <v>1.9124559999999957E-2</v>
      </c>
      <c r="R34" s="12">
        <f>Table2[[#This Row],[pWin]]*Table2[[#This Row],[ICMwin]]+(1-Table2[[#This Row],[pWin]])*Table2[[#This Row],[ICMlose]]-Table2[[#This Row],[ICMFact]]</f>
        <v>5.2018803200000008</v>
      </c>
      <c r="S34" s="16">
        <f>Table2[[#This Row],[Kowin]]*Table2[[#This Row],[pWin]]+Table2[[#This Row],[Kolose]]*(1-Table2[[#This Row],[pWin]])-Table2[[#This Row],[KOFact]]</f>
        <v>0.32112826666666683</v>
      </c>
      <c r="T34" s="2">
        <f>Table2[[#This Row],[KODiff]]*bounty</f>
        <v>0</v>
      </c>
      <c r="U34" s="7">
        <f>Table2[[#This Row],[ICMdiff]]+Table2[[#This Row],[KOmoneyDiff]]</f>
        <v>5.2018803200000008</v>
      </c>
      <c r="V34" s="38">
        <f>Table2[[#This Row],[pWin]]*Table2[[#This Row],[stackwin]]+(1-Table2[[#This Row],[pWin]])*Table2[[#This Row],[stacklose]]-Table2[[#This Row],[stackfact]]</f>
        <v>131.20800000000008</v>
      </c>
    </row>
    <row r="35" spans="1:22" s="40" customFormat="1" x14ac:dyDescent="0.25">
      <c r="D35" s="43"/>
      <c r="F35" s="41">
        <f>Table2[[#This Row],[EQwin]]*$E$1</f>
        <v>0</v>
      </c>
      <c r="G35" s="42">
        <f>2*Table2[[#This Row],[stackwin]]/3000</f>
        <v>0</v>
      </c>
      <c r="H35" s="43"/>
      <c r="J35" s="41">
        <f t="shared" si="6"/>
        <v>0</v>
      </c>
      <c r="K35" s="44">
        <f>5*Table2[[#This Row],[stacklose]]/3000</f>
        <v>0</v>
      </c>
      <c r="M35" s="45"/>
      <c r="O35" s="41">
        <f t="shared" si="7"/>
        <v>0</v>
      </c>
      <c r="P35" s="46">
        <f>5*Table2[[#This Row],[stackfact]]/3000</f>
        <v>0</v>
      </c>
      <c r="Q35" s="47">
        <f>Table2[[#This Row],[EQwin]]*Table2[[#This Row],[pWin]] + Table2[[#This Row],[EQlose]]*(1-Table2[[#This Row],[pWin]]) - Table2[[#This Row],[Eqfact]]</f>
        <v>0</v>
      </c>
      <c r="R35" s="48">
        <f>Table2[[#This Row],[pWin]]*Table2[[#This Row],[ICMwin]]+(1-Table2[[#This Row],[pWin]])*Table2[[#This Row],[ICMlose]]-Table2[[#This Row],[ICMFact]]</f>
        <v>0</v>
      </c>
      <c r="S35" s="42">
        <f>Table2[[#This Row],[Kowin]]*Table2[[#This Row],[pWin]]+Table2[[#This Row],[Kolose]]*(1-Table2[[#This Row],[pWin]])-Table2[[#This Row],[KOFact]]</f>
        <v>0</v>
      </c>
      <c r="T35" s="41">
        <f>Table2[[#This Row],[KODiff]]*bounty</f>
        <v>0</v>
      </c>
      <c r="U35" s="49">
        <f>Table2[[#This Row],[ICMdiff]]+Table2[[#This Row],[KOmoneyDiff]]</f>
        <v>0</v>
      </c>
      <c r="V35" s="47">
        <f>Table2[[#This Row],[pWin]]*Table2[[#This Row],[stackwin]]+(1-Table2[[#This Row],[pWin]])*Table2[[#This Row],[stacklose]]-Table2[[#This Row],[stackfact]]</f>
        <v>0</v>
      </c>
    </row>
    <row r="36" spans="1:22" s="17" customFormat="1" x14ac:dyDescent="0.25">
      <c r="A36" s="17">
        <f>432-6</f>
        <v>426</v>
      </c>
      <c r="B36" s="17" t="s">
        <v>182</v>
      </c>
      <c r="C36" s="17">
        <v>0.5423</v>
      </c>
      <c r="D36" s="19">
        <v>930</v>
      </c>
      <c r="E36" s="17">
        <v>0.48320000000000002</v>
      </c>
      <c r="F36" s="18">
        <f>Table2[[#This Row],[EQwin]]*$E$1</f>
        <v>131.43039999999999</v>
      </c>
      <c r="G36" s="16">
        <f>3*Table2[[#This Row],[stackwin]]/3000</f>
        <v>0.93</v>
      </c>
      <c r="H36" s="19">
        <v>0</v>
      </c>
      <c r="J36" s="18">
        <f t="shared" si="6"/>
        <v>0</v>
      </c>
      <c r="K36" s="20">
        <f>5*Table2[[#This Row],[stacklose]]/3000</f>
        <v>0</v>
      </c>
      <c r="M36" s="19">
        <v>0</v>
      </c>
      <c r="O36" s="18">
        <f t="shared" si="7"/>
        <v>0</v>
      </c>
      <c r="P36" s="20">
        <f>5*Table2[[#This Row],[stacklose]]/3000</f>
        <v>0</v>
      </c>
      <c r="Q36" s="35">
        <f>Table2[[#This Row],[EQwin]]*Table2[[#This Row],[pWin]] + Table2[[#This Row],[EQlose]]*(1-Table2[[#This Row],[pWin]]) - Table2[[#This Row],[Eqfact]]</f>
        <v>0.26203936</v>
      </c>
      <c r="R36" s="23">
        <f>Table2[[#This Row],[pWin]]*Table2[[#This Row],[ICMwin]]+(1-Table2[[#This Row],[pWin]])*Table2[[#This Row],[ICMlose]]-Table2[[#This Row],[ICMFact]]</f>
        <v>71.274705920000002</v>
      </c>
      <c r="S36" s="24">
        <f>Table2[[#This Row],[Kowin]]*Table2[[#This Row],[pWin]]+Table2[[#This Row],[Kolose]]*(1-Table2[[#This Row],[pWin]])-Table2[[#This Row],[KOFact]]</f>
        <v>0.50433899999999998</v>
      </c>
      <c r="T36" s="18">
        <f>Table2[[#This Row],[KODiff]]*bounty</f>
        <v>0</v>
      </c>
      <c r="U36" s="25">
        <f>Table2[[#This Row],[ICMdiff]]+Table2[[#This Row],[KOmoneyDiff]]</f>
        <v>71.274705920000002</v>
      </c>
      <c r="V36" s="35">
        <f>Table2[[#This Row],[pWin]]*Table2[[#This Row],[stackwin]]+(1-Table2[[#This Row],[pWin]])*Table2[[#This Row],[stacklose]]-Table2[[#This Row],[stackfact]]</f>
        <v>504.339</v>
      </c>
    </row>
    <row r="37" spans="1:22" x14ac:dyDescent="0.25">
      <c r="A37">
        <f>468-6-30</f>
        <v>432</v>
      </c>
      <c r="B37" t="s">
        <v>183</v>
      </c>
      <c r="C37">
        <v>0.5423</v>
      </c>
      <c r="D37" s="10">
        <f>432-426+30</f>
        <v>36</v>
      </c>
      <c r="E37">
        <v>2.1299999999999999E-2</v>
      </c>
      <c r="F37" s="2">
        <f>Table2[[#This Row],[EQwin]]*$E$1</f>
        <v>5.7935999999999996</v>
      </c>
      <c r="G37" s="16">
        <f>3*Table2[[#This Row],[stackwin]]/3000</f>
        <v>3.5999999999999997E-2</v>
      </c>
      <c r="H37" s="10">
        <f>930+36</f>
        <v>966</v>
      </c>
      <c r="I37">
        <v>0.5</v>
      </c>
      <c r="J37" s="2">
        <f t="shared" si="6"/>
        <v>136</v>
      </c>
      <c r="K37" s="14">
        <f>2*Table2[[#This Row],[stacklose]]/3000+1</f>
        <v>1.6440000000000001</v>
      </c>
      <c r="M37" s="10">
        <f>930+36</f>
        <v>966</v>
      </c>
      <c r="N37">
        <v>0.5</v>
      </c>
      <c r="O37" s="2">
        <f t="shared" si="7"/>
        <v>136</v>
      </c>
      <c r="P37" s="14">
        <f>2*Table2[[#This Row],[stacklose]]/3000+1</f>
        <v>1.6440000000000001</v>
      </c>
      <c r="Q37" s="38">
        <f>Table2[[#This Row],[EQwin]]*Table2[[#This Row],[pWin]] + Table2[[#This Row],[EQlose]]*(1-Table2[[#This Row],[pWin]]) - Table2[[#This Row],[Eqfact]]</f>
        <v>-0.25959900999999996</v>
      </c>
      <c r="R37" s="12">
        <f>Table2[[#This Row],[pWin]]*Table2[[#This Row],[ICMwin]]+(1-Table2[[#This Row],[pWin]])*Table2[[#This Row],[ICMlose]]-Table2[[#This Row],[ICMFact]]</f>
        <v>-70.610930719999999</v>
      </c>
      <c r="S37" s="16">
        <f>Table2[[#This Row],[Kowin]]*Table2[[#This Row],[pWin]]+Table2[[#This Row],[Kolose]]*(1-Table2[[#This Row],[pWin]])-Table2[[#This Row],[KOFact]]</f>
        <v>-0.87201840000000008</v>
      </c>
      <c r="T37" s="2">
        <f>Table2[[#This Row],[KODiff]]*bounty</f>
        <v>0</v>
      </c>
      <c r="U37" s="7">
        <f>Table2[[#This Row],[ICMdiff]]+Table2[[#This Row],[KOmoneyDiff]]</f>
        <v>-70.610930719999999</v>
      </c>
      <c r="V37" s="38">
        <f>Table2[[#This Row],[pWin]]*Table2[[#This Row],[stackwin]]+(1-Table2[[#This Row],[pWin]])*Table2[[#This Row],[stacklose]]-Table2[[#This Row],[stackfact]]</f>
        <v>-504.339</v>
      </c>
    </row>
    <row r="38" spans="1:22" x14ac:dyDescent="0.25">
      <c r="A38">
        <f>2100-6-60</f>
        <v>2034</v>
      </c>
      <c r="C38">
        <v>0.5423</v>
      </c>
      <c r="D38" s="10">
        <v>2034</v>
      </c>
      <c r="E38">
        <v>0.49540000000000001</v>
      </c>
      <c r="F38" s="2">
        <f>Table2[[#This Row],[EQwin]]*$E$1</f>
        <v>134.74879999999999</v>
      </c>
      <c r="G38" s="16">
        <f>3*Table2[[#This Row],[stackwin]]/3000</f>
        <v>2.0339999999999998</v>
      </c>
      <c r="H38" s="10">
        <v>2034</v>
      </c>
      <c r="I38">
        <v>0.5</v>
      </c>
      <c r="J38" s="2">
        <f t="shared" si="6"/>
        <v>136</v>
      </c>
      <c r="K38" s="14">
        <f>2*Table2[[#This Row],[stacklose]]/3000+1</f>
        <v>2.3559999999999999</v>
      </c>
      <c r="M38" s="10">
        <v>2034</v>
      </c>
      <c r="N38">
        <v>0.5</v>
      </c>
      <c r="O38" s="2">
        <f t="shared" si="7"/>
        <v>136</v>
      </c>
      <c r="P38" s="14">
        <f>2*Table2[[#This Row],[stacklose]]/3000+1</f>
        <v>2.3559999999999999</v>
      </c>
      <c r="Q38" s="38">
        <f>Table2[[#This Row],[EQwin]]*Table2[[#This Row],[pWin]] + Table2[[#This Row],[EQlose]]*(1-Table2[[#This Row],[pWin]]) - Table2[[#This Row],[Eqfact]]</f>
        <v>-2.4945799999999685E-3</v>
      </c>
      <c r="R38" s="12">
        <f>Table2[[#This Row],[pWin]]*Table2[[#This Row],[ICMwin]]+(1-Table2[[#This Row],[pWin]])*Table2[[#This Row],[ICMlose]]-Table2[[#This Row],[ICMFact]]</f>
        <v>-0.67852576000001363</v>
      </c>
      <c r="S38" s="16">
        <f>Table2[[#This Row],[Kowin]]*Table2[[#This Row],[pWin]]+Table2[[#This Row],[Kolose]]*(1-Table2[[#This Row],[pWin]])-Table2[[#This Row],[KOFact]]</f>
        <v>-0.1746205999999999</v>
      </c>
      <c r="T38" s="2">
        <f>Table2[[#This Row],[KODiff]]*bounty</f>
        <v>0</v>
      </c>
      <c r="U38" s="7">
        <f>Table2[[#This Row],[ICMdiff]]+Table2[[#This Row],[KOmoneyDiff]]</f>
        <v>-0.67852576000001363</v>
      </c>
      <c r="V38" s="38">
        <f>Table2[[#This Row],[pWin]]*Table2[[#This Row],[stackwin]]+(1-Table2[[#This Row],[pWin]])*Table2[[#This Row],[stacklose]]-Table2[[#This Row],[stackfact]]</f>
        <v>0</v>
      </c>
    </row>
    <row r="39" spans="1:22" s="40" customFormat="1" x14ac:dyDescent="0.25">
      <c r="D39" s="43"/>
      <c r="F39" s="41">
        <f>Table2[[#This Row],[EQwin]]*$E$1</f>
        <v>0</v>
      </c>
      <c r="G39" s="42">
        <f>2*Table2[[#This Row],[stackwin]]/3000</f>
        <v>0</v>
      </c>
      <c r="H39" s="43"/>
      <c r="J39" s="41">
        <f t="shared" si="6"/>
        <v>0</v>
      </c>
      <c r="K39" s="44">
        <f>5*Table2[[#This Row],[stacklose]]/3000</f>
        <v>0</v>
      </c>
      <c r="M39" s="45"/>
      <c r="O39" s="41">
        <f t="shared" si="7"/>
        <v>0</v>
      </c>
      <c r="P39" s="46">
        <f>5*Table2[[#This Row],[stackfact]]/3000</f>
        <v>0</v>
      </c>
      <c r="Q39" s="47">
        <f>Table2[[#This Row],[EQwin]]*Table2[[#This Row],[pWin]] + Table2[[#This Row],[EQlose]]*(1-Table2[[#This Row],[pWin]]) - Table2[[#This Row],[Eqfact]]</f>
        <v>0</v>
      </c>
      <c r="R39" s="48">
        <f>Table2[[#This Row],[pWin]]*Table2[[#This Row],[ICMwin]]+(1-Table2[[#This Row],[pWin]])*Table2[[#This Row],[ICMlose]]-Table2[[#This Row],[ICMFact]]</f>
        <v>0</v>
      </c>
      <c r="S39" s="42">
        <f>Table2[[#This Row],[Kowin]]*Table2[[#This Row],[pWin]]+Table2[[#This Row],[Kolose]]*(1-Table2[[#This Row],[pWin]])-Table2[[#This Row],[KOFact]]</f>
        <v>0</v>
      </c>
      <c r="T39" s="41">
        <f>Table2[[#This Row],[KODiff]]*bounty</f>
        <v>0</v>
      </c>
      <c r="U39" s="49">
        <f>Table2[[#This Row],[ICMdiff]]+Table2[[#This Row],[KOmoneyDiff]]</f>
        <v>0</v>
      </c>
      <c r="V39" s="47">
        <f>Table2[[#This Row],[pWin]]*Table2[[#This Row],[stackwin]]+(1-Table2[[#This Row],[pWin]])*Table2[[#This Row],[stacklose]]-Table2[[#This Row],[stackfact]]</f>
        <v>0</v>
      </c>
    </row>
    <row r="40" spans="1:22" x14ac:dyDescent="0.25">
      <c r="A40">
        <f>404-10</f>
        <v>394</v>
      </c>
      <c r="B40" t="s">
        <v>184</v>
      </c>
      <c r="C40">
        <v>0.73150000000000004</v>
      </c>
      <c r="D40" s="10">
        <f>868</f>
        <v>868</v>
      </c>
      <c r="E40">
        <v>0.35630000000000001</v>
      </c>
      <c r="F40" s="2">
        <f>Table2[[#This Row],[EQwin]]*$E$1</f>
        <v>96.913600000000002</v>
      </c>
      <c r="G40" s="16">
        <f>3*Table2[[#This Row],[stackwin]]/3000</f>
        <v>0.86799999999999999</v>
      </c>
      <c r="H40" s="10">
        <v>0</v>
      </c>
      <c r="J40" s="2">
        <f t="shared" si="6"/>
        <v>0</v>
      </c>
      <c r="K40" s="14">
        <f>2*Table2[[#This Row],[stacklose]]/3000</f>
        <v>0</v>
      </c>
      <c r="M40" s="8">
        <v>868</v>
      </c>
      <c r="N40">
        <v>0.35630000000000001</v>
      </c>
      <c r="O40" s="2">
        <f t="shared" si="7"/>
        <v>96.913600000000002</v>
      </c>
      <c r="P40" s="15">
        <f>3*Table2[[#This Row],[stackfact]]/3000</f>
        <v>0.86799999999999999</v>
      </c>
      <c r="Q40" s="38">
        <f>Table2[[#This Row],[EQwin]]*Table2[[#This Row],[pWin]] + Table2[[#This Row],[EQlose]]*(1-Table2[[#This Row],[pWin]]) - Table2[[#This Row],[Eqfact]]</f>
        <v>-9.5666549999999961E-2</v>
      </c>
      <c r="R40" s="12">
        <f>Table2[[#This Row],[pWin]]*Table2[[#This Row],[ICMwin]]+(1-Table2[[#This Row],[pWin]])*Table2[[#This Row],[ICMlose]]-Table2[[#This Row],[ICMFact]]</f>
        <v>-26.021301600000001</v>
      </c>
      <c r="S40" s="16">
        <f>Table2[[#This Row],[Kowin]]*Table2[[#This Row],[pWin]]+Table2[[#This Row],[Kolose]]*(1-Table2[[#This Row],[pWin]])-Table2[[#This Row],[KOFact]]</f>
        <v>-0.23305799999999999</v>
      </c>
      <c r="T40" s="2">
        <f>Table2[[#This Row],[KODiff]]*bounty</f>
        <v>0</v>
      </c>
      <c r="U40" s="7">
        <f>Table2[[#This Row],[ICMdiff]]+Table2[[#This Row],[KOmoneyDiff]]</f>
        <v>-26.021301600000001</v>
      </c>
      <c r="V40" s="38">
        <f>Table2[[#This Row],[pWin]]*Table2[[#This Row],[stackwin]]+(1-Table2[[#This Row],[pWin]])*Table2[[#This Row],[stacklose]]-Table2[[#This Row],[stackfact]]</f>
        <v>-233.05799999999999</v>
      </c>
    </row>
    <row r="41" spans="1:22" x14ac:dyDescent="0.25">
      <c r="A41">
        <f>502-10-50</f>
        <v>442</v>
      </c>
      <c r="C41">
        <v>0.73150000000000004</v>
      </c>
      <c r="D41" s="10">
        <v>442</v>
      </c>
      <c r="E41">
        <v>0.19869999999999999</v>
      </c>
      <c r="F41" s="2">
        <f>Table2[[#This Row],[EQwin]]*$E$1</f>
        <v>54.046399999999998</v>
      </c>
      <c r="G41" s="16">
        <f>3*Table2[[#This Row],[stackwin]]/3000</f>
        <v>0.442</v>
      </c>
      <c r="H41" s="10">
        <v>442</v>
      </c>
      <c r="I41">
        <v>0.5</v>
      </c>
      <c r="J41" s="2">
        <f t="shared" si="6"/>
        <v>136</v>
      </c>
      <c r="K41" s="14">
        <f>2*Table2[[#This Row],[stacklose]]/3000</f>
        <v>0.29466666666666669</v>
      </c>
      <c r="M41" s="8">
        <v>442</v>
      </c>
      <c r="N41">
        <v>0.19869999999999999</v>
      </c>
      <c r="O41" s="2">
        <f t="shared" si="7"/>
        <v>54.046399999999998</v>
      </c>
      <c r="P41" s="15">
        <f>3*Table2[[#This Row],[stackfact]]/3000</f>
        <v>0.442</v>
      </c>
      <c r="Q41" s="38">
        <f>Table2[[#This Row],[EQwin]]*Table2[[#This Row],[pWin]] + Table2[[#This Row],[EQlose]]*(1-Table2[[#This Row],[pWin]]) - Table2[[#This Row],[Eqfact]]</f>
        <v>8.0899049999999972E-2</v>
      </c>
      <c r="R41" s="12">
        <f>Table2[[#This Row],[pWin]]*Table2[[#This Row],[ICMwin]]+(1-Table2[[#This Row],[pWin]])*Table2[[#This Row],[ICMlose]]-Table2[[#This Row],[ICMFact]]</f>
        <v>22.004541599999989</v>
      </c>
      <c r="S41" s="16">
        <f>Table2[[#This Row],[Kowin]]*Table2[[#This Row],[pWin]]+Table2[[#This Row],[Kolose]]*(1-Table2[[#This Row],[pWin]])-Table2[[#This Row],[KOFact]]</f>
        <v>-3.9558999999999955E-2</v>
      </c>
      <c r="T41" s="2">
        <f>Table2[[#This Row],[KODiff]]*bounty</f>
        <v>0</v>
      </c>
      <c r="U41" s="7">
        <f>Table2[[#This Row],[ICMdiff]]+Table2[[#This Row],[KOmoneyDiff]]</f>
        <v>22.004541599999989</v>
      </c>
      <c r="V41" s="38">
        <f>Table2[[#This Row],[pWin]]*Table2[[#This Row],[stackwin]]+(1-Table2[[#This Row],[pWin]])*Table2[[#This Row],[stacklose]]-Table2[[#This Row],[stackfact]]</f>
        <v>0</v>
      </c>
    </row>
    <row r="42" spans="1:22" x14ac:dyDescent="0.25">
      <c r="A42">
        <f>2094-10-100</f>
        <v>1984</v>
      </c>
      <c r="B42" t="s">
        <v>185</v>
      </c>
      <c r="C42">
        <v>0.73150000000000004</v>
      </c>
      <c r="D42" s="10">
        <f>1690</f>
        <v>1690</v>
      </c>
      <c r="E42">
        <v>0.44500000000000001</v>
      </c>
      <c r="F42" s="2">
        <f>Table2[[#This Row],[EQwin]]*$E$1</f>
        <v>121.04</v>
      </c>
      <c r="G42" s="16">
        <f>3*Table2[[#This Row],[stackwin]]/3000</f>
        <v>1.69</v>
      </c>
      <c r="H42" s="10">
        <f>1690+868</f>
        <v>2558</v>
      </c>
      <c r="I42">
        <v>0.5</v>
      </c>
      <c r="J42" s="2">
        <f t="shared" si="6"/>
        <v>136</v>
      </c>
      <c r="K42" s="14">
        <f>2*Table2[[#This Row],[stacklose]]/3000+1</f>
        <v>2.7053333333333334</v>
      </c>
      <c r="M42" s="8">
        <v>1690</v>
      </c>
      <c r="N42">
        <v>0.44500000000000001</v>
      </c>
      <c r="O42" s="2">
        <f t="shared" si="7"/>
        <v>121.04</v>
      </c>
      <c r="P42" s="15">
        <f>3*Table2[[#This Row],[stackfact]]/3000</f>
        <v>1.69</v>
      </c>
      <c r="Q42" s="38">
        <f>Table2[[#This Row],[EQwin]]*Table2[[#This Row],[pWin]] + Table2[[#This Row],[EQlose]]*(1-Table2[[#This Row],[pWin]]) - Table2[[#This Row],[Eqfact]]</f>
        <v>1.4767499999999989E-2</v>
      </c>
      <c r="R42" s="12">
        <f>Table2[[#This Row],[pWin]]*Table2[[#This Row],[ICMwin]]+(1-Table2[[#This Row],[pWin]])*Table2[[#This Row],[ICMlose]]-Table2[[#This Row],[ICMFact]]</f>
        <v>4.0167599999999908</v>
      </c>
      <c r="S42" s="16">
        <f>Table2[[#This Row],[Kowin]]*Table2[[#This Row],[pWin]]+Table2[[#This Row],[Kolose]]*(1-Table2[[#This Row],[pWin]])-Table2[[#This Row],[KOFact]]</f>
        <v>0.27261699999999989</v>
      </c>
      <c r="T42" s="2">
        <f>Table2[[#This Row],[KODiff]]*bounty</f>
        <v>0</v>
      </c>
      <c r="U42" s="7">
        <f>Table2[[#This Row],[ICMdiff]]+Table2[[#This Row],[KOmoneyDiff]]</f>
        <v>4.0167599999999908</v>
      </c>
      <c r="V42" s="38">
        <f>Table2[[#This Row],[pWin]]*Table2[[#This Row],[stackwin]]+(1-Table2[[#This Row],[pWin]])*Table2[[#This Row],[stacklose]]-Table2[[#This Row],[stackfact]]</f>
        <v>233.05799999999999</v>
      </c>
    </row>
    <row r="43" spans="1:22" s="40" customFormat="1" x14ac:dyDescent="0.25">
      <c r="D43" s="43"/>
      <c r="F43" s="41">
        <f>Table2[[#This Row],[EQwin]]*$E$1</f>
        <v>0</v>
      </c>
      <c r="G43" s="42">
        <f>2*Table2[[#This Row],[stackwin]]/3000</f>
        <v>0</v>
      </c>
      <c r="H43" s="43"/>
      <c r="J43" s="41">
        <f t="shared" si="6"/>
        <v>0</v>
      </c>
      <c r="K43" s="44">
        <f>5*Table2[[#This Row],[stacklose]]/3000</f>
        <v>0</v>
      </c>
      <c r="M43" s="45"/>
      <c r="O43" s="41">
        <f t="shared" si="7"/>
        <v>0</v>
      </c>
      <c r="P43" s="46">
        <f>5*Table2[[#This Row],[stackfact]]/3000</f>
        <v>0</v>
      </c>
      <c r="Q43" s="47">
        <f>Table2[[#This Row],[EQwin]]*Table2[[#This Row],[pWin]] + Table2[[#This Row],[EQlose]]*(1-Table2[[#This Row],[pWin]]) - Table2[[#This Row],[Eqfact]]</f>
        <v>0</v>
      </c>
      <c r="R43" s="48">
        <f>Table2[[#This Row],[pWin]]*Table2[[#This Row],[ICMwin]]+(1-Table2[[#This Row],[pWin]])*Table2[[#This Row],[ICMlose]]-Table2[[#This Row],[ICMFact]]</f>
        <v>0</v>
      </c>
      <c r="S43" s="42">
        <f>Table2[[#This Row],[Kowin]]*Table2[[#This Row],[pWin]]+Table2[[#This Row],[Kolose]]*(1-Table2[[#This Row],[pWin]])-Table2[[#This Row],[KOFact]]</f>
        <v>0</v>
      </c>
      <c r="T43" s="41">
        <f>Table2[[#This Row],[KODiff]]*bounty</f>
        <v>0</v>
      </c>
      <c r="U43" s="49">
        <f>Table2[[#This Row],[ICMdiff]]+Table2[[#This Row],[KOmoneyDiff]]</f>
        <v>0</v>
      </c>
      <c r="V43" s="47">
        <f>Table2[[#This Row],[pWin]]*Table2[[#This Row],[stackwin]]+(1-Table2[[#This Row],[pWin]])*Table2[[#This Row],[stacklose]]-Table2[[#This Row],[stackfact]]</f>
        <v>0</v>
      </c>
    </row>
    <row r="44" spans="1:22" x14ac:dyDescent="0.25">
      <c r="A44">
        <v>500</v>
      </c>
      <c r="C44">
        <v>0.66</v>
      </c>
      <c r="D44" s="10">
        <v>490</v>
      </c>
      <c r="E44">
        <v>0.29020000000000001</v>
      </c>
      <c r="F44" s="2">
        <f>Table2[[#This Row],[EQwin]]*$E$1</f>
        <v>78.934400000000011</v>
      </c>
      <c r="G44" s="16">
        <f>2*Table2[[#This Row],[stackwin]]/3000</f>
        <v>0.32666666666666666</v>
      </c>
      <c r="H44" s="10">
        <v>490</v>
      </c>
      <c r="I44">
        <v>0.29020000000000001</v>
      </c>
      <c r="J44" s="2">
        <f t="shared" si="6"/>
        <v>78.934400000000011</v>
      </c>
      <c r="K44" s="14">
        <f>5*Table2[[#This Row],[stacklose]]/3000</f>
        <v>0.81666666666666665</v>
      </c>
      <c r="M44" s="10">
        <v>490</v>
      </c>
      <c r="N44">
        <v>0.29020000000000001</v>
      </c>
      <c r="O44" s="2">
        <f t="shared" si="7"/>
        <v>78.934400000000011</v>
      </c>
      <c r="P44" s="15">
        <f>5*Table2[[#This Row],[stackfact]]/3000</f>
        <v>0.81666666666666665</v>
      </c>
      <c r="Q44" s="38">
        <f>Table2[[#This Row],[EQwin]]*Table2[[#This Row],[pWin]] + Table2[[#This Row],[EQlose]]*(1-Table2[[#This Row],[pWin]]) - Table2[[#This Row],[Eqfact]]</f>
        <v>0</v>
      </c>
      <c r="R44" s="12">
        <f>Table2[[#This Row],[pWin]]*Table2[[#This Row],[ICMwin]]+(1-Table2[[#This Row],[pWin]])*Table2[[#This Row],[ICMlose]]-Table2[[#This Row],[ICMFact]]</f>
        <v>0</v>
      </c>
      <c r="S44" s="16">
        <f>Table2[[#This Row],[Kowin]]*Table2[[#This Row],[pWin]]+Table2[[#This Row],[Kolose]]*(1-Table2[[#This Row],[pWin]])-Table2[[#This Row],[KOFact]]</f>
        <v>-0.32340000000000002</v>
      </c>
      <c r="T44" s="2">
        <f>Table2[[#This Row],[KODiff]]*bounty</f>
        <v>0</v>
      </c>
      <c r="U44" s="7">
        <f>Table2[[#This Row],[ICMdiff]]+Table2[[#This Row],[KOmoneyDiff]]</f>
        <v>0</v>
      </c>
      <c r="V44" s="38">
        <f>Table2[[#This Row],[pWin]]*Table2[[#This Row],[stackwin]]+(1-Table2[[#This Row],[pWin]])*Table2[[#This Row],[stacklose]]-Table2[[#This Row],[stackfact]]</f>
        <v>0</v>
      </c>
    </row>
    <row r="45" spans="1:22" x14ac:dyDescent="0.25">
      <c r="A45">
        <v>500</v>
      </c>
      <c r="C45">
        <v>0.66</v>
      </c>
      <c r="D45" s="10">
        <v>490</v>
      </c>
      <c r="E45">
        <v>0.29020000000000001</v>
      </c>
      <c r="F45" s="2">
        <f>Table2[[#This Row],[EQwin]]*$E$1</f>
        <v>78.934400000000011</v>
      </c>
      <c r="G45" s="16">
        <f>2*Table2[[#This Row],[stackwin]]/3000</f>
        <v>0.32666666666666666</v>
      </c>
      <c r="H45" s="10">
        <v>490</v>
      </c>
      <c r="I45">
        <v>0.29020000000000001</v>
      </c>
      <c r="J45" s="2">
        <f t="shared" si="6"/>
        <v>78.934400000000011</v>
      </c>
      <c r="K45" s="14">
        <f>5*Table2[[#This Row],[stacklose]]/3000</f>
        <v>0.81666666666666665</v>
      </c>
      <c r="M45" s="10">
        <v>490</v>
      </c>
      <c r="N45">
        <v>0.29020000000000001</v>
      </c>
      <c r="O45" s="2">
        <f t="shared" si="7"/>
        <v>78.934400000000011</v>
      </c>
      <c r="P45" s="15">
        <f>5*Table2[[#This Row],[stackfact]]/3000</f>
        <v>0.81666666666666665</v>
      </c>
      <c r="Q45" s="38">
        <f>Table2[[#This Row],[EQwin]]*Table2[[#This Row],[pWin]] + Table2[[#This Row],[EQlose]]*(1-Table2[[#This Row],[pWin]]) - Table2[[#This Row],[Eqfact]]</f>
        <v>0</v>
      </c>
      <c r="R45" s="12">
        <f>Table2[[#This Row],[pWin]]*Table2[[#This Row],[ICMwin]]+(1-Table2[[#This Row],[pWin]])*Table2[[#This Row],[ICMlose]]-Table2[[#This Row],[ICMFact]]</f>
        <v>0</v>
      </c>
      <c r="S45" s="16">
        <f>Table2[[#This Row],[Kowin]]*Table2[[#This Row],[pWin]]+Table2[[#This Row],[Kolose]]*(1-Table2[[#This Row],[pWin]])-Table2[[#This Row],[KOFact]]</f>
        <v>-0.32340000000000002</v>
      </c>
      <c r="T45" s="2">
        <f>Table2[[#This Row],[KODiff]]*bounty</f>
        <v>0</v>
      </c>
      <c r="U45" s="7">
        <f>Table2[[#This Row],[ICMdiff]]+Table2[[#This Row],[KOmoneyDiff]]</f>
        <v>0</v>
      </c>
      <c r="V45" s="38">
        <f>Table2[[#This Row],[pWin]]*Table2[[#This Row],[stackwin]]+(1-Table2[[#This Row],[pWin]])*Table2[[#This Row],[stacklose]]-Table2[[#This Row],[stackfact]]</f>
        <v>0</v>
      </c>
    </row>
    <row r="46" spans="1:22" x14ac:dyDescent="0.25">
      <c r="A46">
        <v>500</v>
      </c>
      <c r="B46" t="s">
        <v>186</v>
      </c>
      <c r="C46">
        <v>0.66</v>
      </c>
      <c r="D46" s="10">
        <v>0</v>
      </c>
      <c r="E46">
        <v>0</v>
      </c>
      <c r="F46" s="2">
        <f>Table2[[#This Row],[EQwin]]*$E$1</f>
        <v>0</v>
      </c>
      <c r="G46" s="16">
        <f>2*Table2[[#This Row],[stackwin]]/3000</f>
        <v>0</v>
      </c>
      <c r="H46" s="10">
        <v>1020</v>
      </c>
      <c r="I46">
        <v>0.41970000000000002</v>
      </c>
      <c r="J46" s="2">
        <f t="shared" si="6"/>
        <v>114.1584</v>
      </c>
      <c r="K46" s="14">
        <f>5*Table2[[#This Row],[stacklose]]/3000</f>
        <v>1.7</v>
      </c>
      <c r="M46" s="10">
        <v>0</v>
      </c>
      <c r="N46">
        <v>0</v>
      </c>
      <c r="O46" s="2">
        <f t="shared" si="7"/>
        <v>0</v>
      </c>
      <c r="P46" s="15">
        <f>5*Table2[[#This Row],[stackfact]]/3000</f>
        <v>0</v>
      </c>
      <c r="Q46" s="38">
        <f>Table2[[#This Row],[EQwin]]*Table2[[#This Row],[pWin]] + Table2[[#This Row],[EQlose]]*(1-Table2[[#This Row],[pWin]]) - Table2[[#This Row],[Eqfact]]</f>
        <v>0.14269799999999999</v>
      </c>
      <c r="R46" s="12">
        <f>Table2[[#This Row],[pWin]]*Table2[[#This Row],[ICMwin]]+(1-Table2[[#This Row],[pWin]])*Table2[[#This Row],[ICMlose]]-Table2[[#This Row],[ICMFact]]</f>
        <v>38.813855999999994</v>
      </c>
      <c r="S46" s="16">
        <f>Table2[[#This Row],[Kowin]]*Table2[[#This Row],[pWin]]+Table2[[#This Row],[Kolose]]*(1-Table2[[#This Row],[pWin]])-Table2[[#This Row],[KOFact]]</f>
        <v>0.57799999999999996</v>
      </c>
      <c r="T46" s="2">
        <f>Table2[[#This Row],[KODiff]]*bounty</f>
        <v>0</v>
      </c>
      <c r="U46" s="7">
        <f>Table2[[#This Row],[ICMdiff]]+Table2[[#This Row],[KOmoneyDiff]]</f>
        <v>38.813855999999994</v>
      </c>
      <c r="V46" s="38">
        <f>Table2[[#This Row],[pWin]]*Table2[[#This Row],[stackwin]]+(1-Table2[[#This Row],[pWin]])*Table2[[#This Row],[stacklose]]-Table2[[#This Row],[stackfact]]</f>
        <v>346.79999999999995</v>
      </c>
    </row>
    <row r="47" spans="1:22" x14ac:dyDescent="0.25">
      <c r="A47">
        <v>500</v>
      </c>
      <c r="B47" t="s">
        <v>27</v>
      </c>
      <c r="C47">
        <v>0.66</v>
      </c>
      <c r="D47" s="10">
        <v>1020</v>
      </c>
      <c r="E47">
        <v>0.41970000000000002</v>
      </c>
      <c r="F47" s="2">
        <f>Table2[[#This Row],[EQwin]]*$E$1</f>
        <v>114.1584</v>
      </c>
      <c r="G47" s="16">
        <f>4*Table2[[#This Row],[stackwin]]/3000</f>
        <v>1.36</v>
      </c>
      <c r="H47" s="10">
        <v>0</v>
      </c>
      <c r="I47">
        <v>0</v>
      </c>
      <c r="J47" s="2">
        <f t="shared" si="6"/>
        <v>0</v>
      </c>
      <c r="K47" s="14">
        <f>3*Table2[[#This Row],[stacklose]]/3000</f>
        <v>0</v>
      </c>
      <c r="M47" s="10">
        <v>1020</v>
      </c>
      <c r="N47">
        <v>0.41970000000000002</v>
      </c>
      <c r="O47" s="2">
        <f t="shared" si="7"/>
        <v>114.1584</v>
      </c>
      <c r="P47" s="15">
        <f>4*Table2[[#This Row],[stackfact]]/3000</f>
        <v>1.36</v>
      </c>
      <c r="Q47" s="38">
        <f>Table2[[#This Row],[EQwin]]*Table2[[#This Row],[pWin]] + Table2[[#This Row],[EQlose]]*(1-Table2[[#This Row],[pWin]]) - Table2[[#This Row],[Eqfact]]</f>
        <v>-0.14269799999999999</v>
      </c>
      <c r="R47" s="12">
        <f>Table2[[#This Row],[pWin]]*Table2[[#This Row],[ICMwin]]+(1-Table2[[#This Row],[pWin]])*Table2[[#This Row],[ICMlose]]-Table2[[#This Row],[ICMFact]]</f>
        <v>-38.813856000000001</v>
      </c>
      <c r="S47" s="16">
        <f>Table2[[#This Row],[Kowin]]*Table2[[#This Row],[pWin]]+Table2[[#This Row],[Kolose]]*(1-Table2[[#This Row],[pWin]])-Table2[[#This Row],[KOFact]]</f>
        <v>-0.46240000000000003</v>
      </c>
      <c r="T47" s="2">
        <f>Table2[[#This Row],[KODiff]]*bounty</f>
        <v>0</v>
      </c>
      <c r="U47" s="7">
        <f>Table2[[#This Row],[ICMdiff]]+Table2[[#This Row],[KOmoneyDiff]]</f>
        <v>-38.813856000000001</v>
      </c>
      <c r="V47" s="38">
        <f>Table2[[#This Row],[pWin]]*Table2[[#This Row],[stackwin]]+(1-Table2[[#This Row],[pWin]])*Table2[[#This Row],[stacklose]]-Table2[[#This Row],[stackfact]]</f>
        <v>-346.79999999999995</v>
      </c>
    </row>
    <row r="48" spans="1:22" s="40" customFormat="1" x14ac:dyDescent="0.25">
      <c r="D48" s="43"/>
      <c r="F48" s="41">
        <f>Table2[[#This Row],[EQwin]]*$E$1</f>
        <v>0</v>
      </c>
      <c r="G48" s="42">
        <f>2*Table2[[#This Row],[stackwin]]/3000</f>
        <v>0</v>
      </c>
      <c r="H48" s="43"/>
      <c r="J48" s="41">
        <f t="shared" si="6"/>
        <v>0</v>
      </c>
      <c r="K48" s="44">
        <f>5*Table2[[#This Row],[stacklose]]/3000</f>
        <v>0</v>
      </c>
      <c r="M48" s="45"/>
      <c r="O48" s="41">
        <f t="shared" si="7"/>
        <v>0</v>
      </c>
      <c r="P48" s="46">
        <f>5*Table2[[#This Row],[stackfact]]/3000</f>
        <v>0</v>
      </c>
      <c r="Q48" s="47">
        <f>Table2[[#This Row],[EQwin]]*Table2[[#This Row],[pWin]] + Table2[[#This Row],[EQlose]]*(1-Table2[[#This Row],[pWin]]) - Table2[[#This Row],[Eqfact]]</f>
        <v>0</v>
      </c>
      <c r="R48" s="48">
        <f>Table2[[#This Row],[pWin]]*Table2[[#This Row],[ICMwin]]+(1-Table2[[#This Row],[pWin]])*Table2[[#This Row],[ICMlose]]-Table2[[#This Row],[ICMFact]]</f>
        <v>0</v>
      </c>
      <c r="S48" s="42">
        <f>Table2[[#This Row],[Kowin]]*Table2[[#This Row],[pWin]]+Table2[[#This Row],[Kolose]]*(1-Table2[[#This Row],[pWin]])-Table2[[#This Row],[KOFact]]</f>
        <v>0</v>
      </c>
      <c r="T48" s="41">
        <f>Table2[[#This Row],[KODiff]]*bounty</f>
        <v>0</v>
      </c>
      <c r="U48" s="49">
        <f>Table2[[#This Row],[ICMdiff]]+Table2[[#This Row],[KOmoneyDiff]]</f>
        <v>0</v>
      </c>
      <c r="V48" s="47">
        <f>Table2[[#This Row],[pWin]]*Table2[[#This Row],[stackwin]]+(1-Table2[[#This Row],[pWin]])*Table2[[#This Row],[stacklose]]-Table2[[#This Row],[stackfact]]</f>
        <v>0</v>
      </c>
    </row>
    <row r="49" spans="1:24" x14ac:dyDescent="0.25">
      <c r="A49">
        <v>395</v>
      </c>
      <c r="B49" t="s">
        <v>190</v>
      </c>
      <c r="C49">
        <v>0.41499999999999998</v>
      </c>
      <c r="D49" s="10">
        <v>790</v>
      </c>
      <c r="E49">
        <v>0.39500000000000002</v>
      </c>
      <c r="F49" s="2">
        <f>Table2[[#This Row],[EQwin]]*$E$1</f>
        <v>107.44</v>
      </c>
      <c r="G49" s="16">
        <f>2*Table2[[#This Row],[stackwin]]/3000</f>
        <v>0.52666666666666662</v>
      </c>
      <c r="H49" s="10">
        <v>0</v>
      </c>
      <c r="I49">
        <v>0</v>
      </c>
      <c r="J49" s="2">
        <f t="shared" ref="J49:J54" si="8">I49*$E$1</f>
        <v>0</v>
      </c>
      <c r="K49" s="14">
        <f>5*Table2[[#This Row],[stacklose]]/3000</f>
        <v>0</v>
      </c>
      <c r="M49" s="10">
        <v>790</v>
      </c>
      <c r="N49">
        <v>0.39500000000000002</v>
      </c>
      <c r="O49" s="2">
        <f t="shared" ref="O49:O54" si="9">N49*$E$1</f>
        <v>107.44</v>
      </c>
      <c r="P49" s="15">
        <f>5*Table2[[#This Row],[stackfact]]/3000</f>
        <v>1.3166666666666667</v>
      </c>
      <c r="Q49" s="38">
        <f>Table2[[#This Row],[EQwin]]*Table2[[#This Row],[pWin]] + Table2[[#This Row],[EQlose]]*(1-Table2[[#This Row],[pWin]]) - Table2[[#This Row],[Eqfact]]</f>
        <v>-0.23107500000000003</v>
      </c>
      <c r="R49" s="12">
        <f>Table2[[#This Row],[pWin]]*Table2[[#This Row],[ICMwin]]+(1-Table2[[#This Row],[pWin]])*Table2[[#This Row],[ICMlose]]-Table2[[#This Row],[ICMFact]]</f>
        <v>-62.852400000000003</v>
      </c>
      <c r="S49" s="16">
        <f>Table2[[#This Row],[Kowin]]*Table2[[#This Row],[pWin]]+Table2[[#This Row],[Kolose]]*(1-Table2[[#This Row],[pWin]])-Table2[[#This Row],[KOFact]]</f>
        <v>-1.0981000000000001</v>
      </c>
      <c r="T49" s="2">
        <f>Table2[[#This Row],[KODiff]]*bounty</f>
        <v>0</v>
      </c>
      <c r="U49" s="7">
        <f>Table2[[#This Row],[ICMdiff]]+Table2[[#This Row],[KOmoneyDiff]]</f>
        <v>-62.852400000000003</v>
      </c>
      <c r="V49" s="38">
        <f>Table2[[#This Row],[pWin]]*Table2[[#This Row],[stackwin]]+(1-Table2[[#This Row],[pWin]])*Table2[[#This Row],[stacklose]]-Table2[[#This Row],[stackfact]]</f>
        <v>-462.15000000000003</v>
      </c>
    </row>
    <row r="50" spans="1:24" x14ac:dyDescent="0.25">
      <c r="A50">
        <v>1605</v>
      </c>
      <c r="B50" t="s">
        <v>191</v>
      </c>
      <c r="C50">
        <v>0.41499999999999998</v>
      </c>
      <c r="D50" s="10">
        <v>1210</v>
      </c>
      <c r="E50" s="10">
        <v>0.60499999999999998</v>
      </c>
      <c r="F50" s="2">
        <f>Table2[[#This Row],[EQwin]]*$E$1</f>
        <v>164.56</v>
      </c>
      <c r="G50" s="16">
        <f>2*Table2[[#This Row],[stackwin]]/3000</f>
        <v>0.80666666666666664</v>
      </c>
      <c r="H50" s="10">
        <v>2000</v>
      </c>
      <c r="I50">
        <v>1</v>
      </c>
      <c r="J50" s="2">
        <f t="shared" si="8"/>
        <v>272</v>
      </c>
      <c r="K50" s="14">
        <f>5*Table2[[#This Row],[stacklose]]/3000</f>
        <v>3.3333333333333335</v>
      </c>
      <c r="M50" s="10">
        <v>1210</v>
      </c>
      <c r="N50" s="10">
        <v>0.60499999999999998</v>
      </c>
      <c r="O50" s="2">
        <f t="shared" si="9"/>
        <v>164.56</v>
      </c>
      <c r="P50" s="15">
        <f>5*Table2[[#This Row],[stackfact]]/3000</f>
        <v>2.0166666666666666</v>
      </c>
      <c r="Q50" s="38">
        <f>Table2[[#This Row],[EQwin]]*Table2[[#This Row],[pWin]] + Table2[[#This Row],[EQlose]]*(1-Table2[[#This Row],[pWin]]) - Table2[[#This Row],[Eqfact]]</f>
        <v>0.23107499999999992</v>
      </c>
      <c r="R50" s="12">
        <f>Table2[[#This Row],[pWin]]*Table2[[#This Row],[ICMwin]]+(1-Table2[[#This Row],[pWin]])*Table2[[#This Row],[ICMlose]]-Table2[[#This Row],[ICMFact]]</f>
        <v>62.852399999999989</v>
      </c>
      <c r="S50" s="16">
        <f>Table2[[#This Row],[Kowin]]*Table2[[#This Row],[pWin]]+Table2[[#This Row],[Kolose]]*(1-Table2[[#This Row],[pWin]])-Table2[[#This Row],[KOFact]]</f>
        <v>0.2681</v>
      </c>
      <c r="T50" s="2">
        <f>Table2[[#This Row],[KODiff]]*bounty</f>
        <v>0</v>
      </c>
      <c r="U50" s="7">
        <f>Table2[[#This Row],[ICMdiff]]+Table2[[#This Row],[KOmoneyDiff]]</f>
        <v>62.852399999999989</v>
      </c>
      <c r="V50" s="38">
        <f>Table2[[#This Row],[pWin]]*Table2[[#This Row],[stackwin]]+(1-Table2[[#This Row],[pWin]])*Table2[[#This Row],[stacklose]]-Table2[[#This Row],[stackfact]]</f>
        <v>462.15000000000009</v>
      </c>
    </row>
    <row r="51" spans="1:24" s="40" customFormat="1" x14ac:dyDescent="0.25">
      <c r="D51" s="43"/>
      <c r="F51" s="41">
        <f>Table2[[#This Row],[EQwin]]*$E$1</f>
        <v>0</v>
      </c>
      <c r="G51" s="42">
        <f>2*Table2[[#This Row],[stackwin]]/3000</f>
        <v>0</v>
      </c>
      <c r="H51" s="43"/>
      <c r="J51" s="41">
        <f t="shared" si="8"/>
        <v>0</v>
      </c>
      <c r="K51" s="44">
        <f>5*Table2[[#This Row],[stacklose]]/3000</f>
        <v>0</v>
      </c>
      <c r="M51" s="45"/>
      <c r="O51" s="41">
        <f t="shared" si="9"/>
        <v>0</v>
      </c>
      <c r="P51" s="46">
        <f>5*Table2[[#This Row],[stackfact]]/3000</f>
        <v>0</v>
      </c>
      <c r="Q51" s="47">
        <f>Table2[[#This Row],[EQwin]]*Table2[[#This Row],[pWin]] + Table2[[#This Row],[EQlose]]*(1-Table2[[#This Row],[pWin]]) - Table2[[#This Row],[Eqfact]]</f>
        <v>0</v>
      </c>
      <c r="R51" s="48">
        <f>Table2[[#This Row],[pWin]]*Table2[[#This Row],[ICMwin]]+(1-Table2[[#This Row],[pWin]])*Table2[[#This Row],[ICMlose]]-Table2[[#This Row],[ICMFact]]</f>
        <v>0</v>
      </c>
      <c r="S51" s="42">
        <f>Table2[[#This Row],[Kowin]]*Table2[[#This Row],[pWin]]+Table2[[#This Row],[Kolose]]*(1-Table2[[#This Row],[pWin]])-Table2[[#This Row],[KOFact]]</f>
        <v>0</v>
      </c>
      <c r="T51" s="41">
        <f>Table2[[#This Row],[KODiff]]*bounty</f>
        <v>0</v>
      </c>
      <c r="U51" s="49">
        <f>Table2[[#This Row],[ICMdiff]]+Table2[[#This Row],[KOmoneyDiff]]</f>
        <v>0</v>
      </c>
      <c r="V51" s="47">
        <f>Table2[[#This Row],[pWin]]*Table2[[#This Row],[stackwin]]+(1-Table2[[#This Row],[pWin]])*Table2[[#This Row],[stacklose]]-Table2[[#This Row],[stackfact]]</f>
        <v>0</v>
      </c>
    </row>
    <row r="52" spans="1:24" x14ac:dyDescent="0.25">
      <c r="A52">
        <v>650</v>
      </c>
      <c r="B52" t="s">
        <v>187</v>
      </c>
      <c r="C52">
        <v>0.3926</v>
      </c>
      <c r="D52" s="10">
        <f>A52-550</f>
        <v>100</v>
      </c>
      <c r="E52">
        <v>0.05</v>
      </c>
      <c r="F52" s="2">
        <f>Table2[[#This Row],[EQwin]]*$E$1</f>
        <v>13.600000000000001</v>
      </c>
      <c r="G52" s="16">
        <f>2*Table2[[#This Row],[stackwin]]/3000</f>
        <v>6.6666666666666666E-2</v>
      </c>
      <c r="H52" s="10">
        <f>650+550+20+50</f>
        <v>1270</v>
      </c>
      <c r="I52">
        <v>0.63500000000000001</v>
      </c>
      <c r="J52" s="2">
        <f t="shared" si="8"/>
        <v>172.72</v>
      </c>
      <c r="K52" s="14">
        <f>5*Table2[[#This Row],[stacklose]]/3000</f>
        <v>2.1166666666666667</v>
      </c>
      <c r="M52" s="8">
        <v>100</v>
      </c>
      <c r="N52">
        <v>0.05</v>
      </c>
      <c r="O52" s="2">
        <f t="shared" si="9"/>
        <v>13.600000000000001</v>
      </c>
      <c r="P52" s="15">
        <f>5*Table2[[#This Row],[stackfact]]/3000</f>
        <v>0.16666666666666666</v>
      </c>
      <c r="Q52" s="38">
        <f>Table2[[#This Row],[EQwin]]*Table2[[#This Row],[pWin]] + Table2[[#This Row],[EQlose]]*(1-Table2[[#This Row],[pWin]]) - Table2[[#This Row],[Eqfact]]</f>
        <v>0.35532899999999995</v>
      </c>
      <c r="R52" s="12">
        <f>Table2[[#This Row],[pWin]]*Table2[[#This Row],[ICMwin]]+(1-Table2[[#This Row],[pWin]])*Table2[[#This Row],[ICMlose]]-Table2[[#This Row],[ICMFact]]</f>
        <v>96.649487999999991</v>
      </c>
      <c r="S52" s="16">
        <f>Table2[[#This Row],[Kowin]]*Table2[[#This Row],[pWin]]+Table2[[#This Row],[Kolose]]*(1-Table2[[#This Row],[pWin]])-Table2[[#This Row],[KOFact]]</f>
        <v>1.1451699999999998</v>
      </c>
      <c r="T52" s="2">
        <f>Table2[[#This Row],[KODiff]]*bounty</f>
        <v>0</v>
      </c>
      <c r="U52" s="7">
        <f>Table2[[#This Row],[ICMdiff]]+Table2[[#This Row],[KOmoneyDiff]]</f>
        <v>96.649487999999991</v>
      </c>
      <c r="V52" s="38">
        <f>Table2[[#This Row],[pWin]]*Table2[[#This Row],[stackwin]]+(1-Table2[[#This Row],[pWin]])*Table2[[#This Row],[stacklose]]-Table2[[#This Row],[stackfact]]</f>
        <v>710.6579999999999</v>
      </c>
    </row>
    <row r="53" spans="1:24" x14ac:dyDescent="0.25">
      <c r="A53">
        <v>330</v>
      </c>
      <c r="C53">
        <v>0.3926</v>
      </c>
      <c r="D53" s="10">
        <f>A53-10-50</f>
        <v>270</v>
      </c>
      <c r="E53">
        <v>0.13500000000000001</v>
      </c>
      <c r="F53" s="2">
        <f>Table2[[#This Row],[EQwin]]*$E$1</f>
        <v>36.72</v>
      </c>
      <c r="G53" s="16">
        <f>2*Table2[[#This Row],[stackwin]]/3000</f>
        <v>0.18</v>
      </c>
      <c r="H53" s="10">
        <v>270</v>
      </c>
      <c r="I53">
        <v>0.13500000000000001</v>
      </c>
      <c r="J53" s="2">
        <f t="shared" si="8"/>
        <v>36.72</v>
      </c>
      <c r="K53" s="14">
        <f>5*Table2[[#This Row],[stacklose]]/3000</f>
        <v>0.45</v>
      </c>
      <c r="M53" s="8">
        <v>270</v>
      </c>
      <c r="N53">
        <v>0.13500000000000001</v>
      </c>
      <c r="O53" s="2">
        <f t="shared" si="9"/>
        <v>36.72</v>
      </c>
      <c r="P53" s="15">
        <f>5*Table2[[#This Row],[stackfact]]/3000</f>
        <v>0.45</v>
      </c>
      <c r="Q53" s="38">
        <f>Table2[[#This Row],[EQwin]]*Table2[[#This Row],[pWin]] + Table2[[#This Row],[EQlose]]*(1-Table2[[#This Row],[pWin]]) - Table2[[#This Row],[Eqfact]]</f>
        <v>0</v>
      </c>
      <c r="R53" s="12">
        <f>Table2[[#This Row],[pWin]]*Table2[[#This Row],[ICMwin]]+(1-Table2[[#This Row],[pWin]])*Table2[[#This Row],[ICMlose]]-Table2[[#This Row],[ICMFact]]</f>
        <v>0</v>
      </c>
      <c r="S53" s="16">
        <f>Table2[[#This Row],[Kowin]]*Table2[[#This Row],[pWin]]+Table2[[#This Row],[Kolose]]*(1-Table2[[#This Row],[pWin]])-Table2[[#This Row],[KOFact]]</f>
        <v>-0.10600200000000004</v>
      </c>
      <c r="T53" s="2">
        <f>Table2[[#This Row],[KODiff]]*bounty</f>
        <v>0</v>
      </c>
      <c r="U53" s="7">
        <f>Table2[[#This Row],[ICMdiff]]+Table2[[#This Row],[KOmoneyDiff]]</f>
        <v>0</v>
      </c>
      <c r="V53" s="38">
        <f>Table2[[#This Row],[pWin]]*Table2[[#This Row],[stackwin]]+(1-Table2[[#This Row],[pWin]])*Table2[[#This Row],[stacklose]]-Table2[[#This Row],[stackfact]]</f>
        <v>0</v>
      </c>
    </row>
    <row r="54" spans="1:24" s="17" customFormat="1" x14ac:dyDescent="0.25">
      <c r="A54" s="17">
        <v>550</v>
      </c>
      <c r="B54" s="17" t="s">
        <v>188</v>
      </c>
      <c r="C54" s="17">
        <v>0.3926</v>
      </c>
      <c r="D54" s="19">
        <v>1170</v>
      </c>
      <c r="E54" s="17">
        <v>0.58499999999999996</v>
      </c>
      <c r="F54" s="18">
        <f>Table2[[#This Row],[EQwin]]*$E$1</f>
        <v>159.12</v>
      </c>
      <c r="G54" s="24">
        <f>2*Table2[[#This Row],[stackwin]]/3000</f>
        <v>0.78</v>
      </c>
      <c r="H54" s="19">
        <v>0</v>
      </c>
      <c r="I54" s="17">
        <v>0</v>
      </c>
      <c r="J54" s="18">
        <f t="shared" si="8"/>
        <v>0</v>
      </c>
      <c r="K54" s="20">
        <f>5*Table2[[#This Row],[stacklose]]/3000</f>
        <v>0</v>
      </c>
      <c r="M54" s="21">
        <v>1170</v>
      </c>
      <c r="N54" s="17">
        <v>0.58499999999999996</v>
      </c>
      <c r="O54" s="18">
        <f t="shared" si="9"/>
        <v>159.12</v>
      </c>
      <c r="P54" s="22">
        <f>5*Table2[[#This Row],[stackfact]]/3000</f>
        <v>1.95</v>
      </c>
      <c r="Q54" s="35">
        <f>Table2[[#This Row],[EQwin]]*Table2[[#This Row],[pWin]] + Table2[[#This Row],[EQlose]]*(1-Table2[[#This Row],[pWin]]) - Table2[[#This Row],[Eqfact]]</f>
        <v>-0.35532900000000001</v>
      </c>
      <c r="R54" s="23">
        <f>Table2[[#This Row],[pWin]]*Table2[[#This Row],[ICMwin]]+(1-Table2[[#This Row],[pWin]])*Table2[[#This Row],[ICMlose]]-Table2[[#This Row],[ICMFact]]</f>
        <v>-96.649488000000005</v>
      </c>
      <c r="S54" s="24">
        <f>Table2[[#This Row],[Kowin]]*Table2[[#This Row],[pWin]]+Table2[[#This Row],[Kolose]]*(1-Table2[[#This Row],[pWin]])-Table2[[#This Row],[KOFact]]</f>
        <v>-1.643772</v>
      </c>
      <c r="T54" s="18">
        <f>Table2[[#This Row],[KODiff]]*bounty</f>
        <v>0</v>
      </c>
      <c r="U54" s="25">
        <f>Table2[[#This Row],[ICMdiff]]+Table2[[#This Row],[KOmoneyDiff]]</f>
        <v>-96.649488000000005</v>
      </c>
      <c r="V54" s="35">
        <f>Table2[[#This Row],[pWin]]*Table2[[#This Row],[stackwin]]+(1-Table2[[#This Row],[pWin]])*Table2[[#This Row],[stacklose]]-Table2[[#This Row],[stackfact]]</f>
        <v>-710.65800000000002</v>
      </c>
      <c r="X54" s="17" t="s">
        <v>189</v>
      </c>
    </row>
    <row r="55" spans="1:24" x14ac:dyDescent="0.25">
      <c r="A55">
        <v>470</v>
      </c>
      <c r="C55">
        <v>0.3926</v>
      </c>
      <c r="D55" s="10">
        <v>460</v>
      </c>
      <c r="E55">
        <v>0.23</v>
      </c>
      <c r="F55" s="2">
        <f>Table2[[#This Row],[EQwin]]*$E$1</f>
        <v>62.56</v>
      </c>
      <c r="G55" s="16">
        <f>2*Table2[[#This Row],[stackwin]]/3000</f>
        <v>0.30666666666666664</v>
      </c>
      <c r="H55" s="10">
        <v>460</v>
      </c>
      <c r="I55">
        <v>0.23</v>
      </c>
      <c r="J55" s="2">
        <f t="shared" si="4"/>
        <v>62.56</v>
      </c>
      <c r="K55" s="14">
        <f>5*Table2[[#This Row],[stacklose]]/3000</f>
        <v>0.76666666666666672</v>
      </c>
      <c r="M55" s="8">
        <v>460</v>
      </c>
      <c r="N55">
        <v>0.23</v>
      </c>
      <c r="O55" s="2">
        <f t="shared" si="5"/>
        <v>62.56</v>
      </c>
      <c r="P55" s="15">
        <f>5*Table2[[#This Row],[stackfact]]/3000</f>
        <v>0.76666666666666672</v>
      </c>
      <c r="Q55" s="38">
        <f>Table2[[#This Row],[EQwin]]*Table2[[#This Row],[pWin]] + Table2[[#This Row],[EQlose]]*(1-Table2[[#This Row],[pWin]]) - Table2[[#This Row],[Eqfact]]</f>
        <v>0</v>
      </c>
      <c r="R55" s="12">
        <f>Table2[[#This Row],[pWin]]*Table2[[#This Row],[ICMwin]]+(1-Table2[[#This Row],[pWin]])*Table2[[#This Row],[ICMlose]]-Table2[[#This Row],[ICMFact]]</f>
        <v>0</v>
      </c>
      <c r="S55" s="16">
        <f>Table2[[#This Row],[Kowin]]*Table2[[#This Row],[pWin]]+Table2[[#This Row],[Kolose]]*(1-Table2[[#This Row],[pWin]])-Table2[[#This Row],[KOFact]]</f>
        <v>-0.18059600000000009</v>
      </c>
      <c r="T55" s="2">
        <f>Table2[[#This Row],[KODiff]]*bounty</f>
        <v>0</v>
      </c>
      <c r="U55" s="7">
        <f>Table2[[#This Row],[ICMdiff]]+Table2[[#This Row],[KOmoneyDiff]]</f>
        <v>0</v>
      </c>
      <c r="V55">
        <f>Table2[[#This Row],[pWin]]*Table2[[#This Row],[stackwin]]+(1-Table2[[#This Row],[pWin]])*Table2[[#This Row],[stacklose]]-Table2[[#This Row],[stackfact]]</f>
        <v>0</v>
      </c>
    </row>
    <row r="56" spans="1:24" s="40" customFormat="1" x14ac:dyDescent="0.25">
      <c r="D56" s="43"/>
      <c r="F56" s="41">
        <f>Table2[[#This Row],[EQwin]]*$E$1</f>
        <v>0</v>
      </c>
      <c r="G56" s="42">
        <f>2*Table2[[#This Row],[stackwin]]/3000</f>
        <v>0</v>
      </c>
      <c r="H56" s="43"/>
      <c r="J56" s="41">
        <f t="shared" ref="J56:J86" si="10">I56*$E$1</f>
        <v>0</v>
      </c>
      <c r="K56" s="44">
        <f>5*Table2[[#This Row],[stacklose]]/3000</f>
        <v>0</v>
      </c>
      <c r="M56" s="45"/>
      <c r="O56" s="41">
        <f t="shared" ref="O56:O86" si="11">N56*$E$1</f>
        <v>0</v>
      </c>
      <c r="P56" s="46">
        <f>5*Table2[[#This Row],[stackfact]]/3000</f>
        <v>0</v>
      </c>
      <c r="Q56" s="47">
        <f>Table2[[#This Row],[EQwin]]*Table2[[#This Row],[pWin]] + Table2[[#This Row],[EQlose]]*(1-Table2[[#This Row],[pWin]]) - Table2[[#This Row],[Eqfact]]</f>
        <v>0</v>
      </c>
      <c r="R56" s="48">
        <f>Table2[[#This Row],[pWin]]*Table2[[#This Row],[ICMwin]]+(1-Table2[[#This Row],[pWin]])*Table2[[#This Row],[ICMlose]]-Table2[[#This Row],[ICMFact]]</f>
        <v>0</v>
      </c>
      <c r="S56" s="42">
        <f>Table2[[#This Row],[Kowin]]*Table2[[#This Row],[pWin]]+Table2[[#This Row],[Kolose]]*(1-Table2[[#This Row],[pWin]])-Table2[[#This Row],[KOFact]]</f>
        <v>0</v>
      </c>
      <c r="T56" s="41">
        <f>Table2[[#This Row],[KODiff]]*bounty</f>
        <v>0</v>
      </c>
      <c r="U56" s="49">
        <f>Table2[[#This Row],[ICMdiff]]+Table2[[#This Row],[KOmoneyDiff]]</f>
        <v>0</v>
      </c>
      <c r="V56" s="47">
        <f>Table2[[#This Row],[pWin]]*Table2[[#This Row],[stackwin]]+(1-Table2[[#This Row],[pWin]])*Table2[[#This Row],[stacklose]]-Table2[[#This Row],[stackfact]]</f>
        <v>0</v>
      </c>
    </row>
    <row r="57" spans="1:24" x14ac:dyDescent="0.25">
      <c r="A57">
        <v>710</v>
      </c>
      <c r="B57" t="s">
        <v>194</v>
      </c>
      <c r="C57" s="10">
        <v>0.52439999999999998</v>
      </c>
      <c r="D57" s="10">
        <v>0</v>
      </c>
      <c r="E57">
        <v>0</v>
      </c>
      <c r="F57" s="2">
        <f>Table2[[#This Row],[EQwin]]*$E$1</f>
        <v>0</v>
      </c>
      <c r="G57" s="16">
        <f>2*Table2[[#This Row],[stackwin]]/3000</f>
        <v>0</v>
      </c>
      <c r="H57" s="10">
        <f>710*2</f>
        <v>1420</v>
      </c>
      <c r="I57">
        <f>Table2[[#This Row],[stacklose]]/2000</f>
        <v>0.71</v>
      </c>
      <c r="J57" s="2">
        <f t="shared" si="10"/>
        <v>193.12</v>
      </c>
      <c r="K57" s="14">
        <f>5*Table2[[#This Row],[stacklose]]/3000</f>
        <v>2.3666666666666667</v>
      </c>
      <c r="M57" s="10">
        <v>0</v>
      </c>
      <c r="N57">
        <v>0</v>
      </c>
      <c r="O57" s="2">
        <f t="shared" si="11"/>
        <v>0</v>
      </c>
      <c r="P57" s="15">
        <f>5*Table2[[#This Row],[stackfact]]/3000</f>
        <v>0</v>
      </c>
      <c r="Q57" s="38">
        <f>Table2[[#This Row],[EQwin]]*Table2[[#This Row],[pWin]] + Table2[[#This Row],[EQlose]]*(1-Table2[[#This Row],[pWin]]) - Table2[[#This Row],[Eqfact]]</f>
        <v>0.33767599999999998</v>
      </c>
      <c r="R57" s="12">
        <f>Table2[[#This Row],[pWin]]*Table2[[#This Row],[ICMwin]]+(1-Table2[[#This Row],[pWin]])*Table2[[#This Row],[ICMlose]]-Table2[[#This Row],[ICMFact]]</f>
        <v>91.84787200000001</v>
      </c>
      <c r="S57" s="16">
        <f>Table2[[#This Row],[Kowin]]*Table2[[#This Row],[pWin]]+Table2[[#This Row],[Kolose]]*(1-Table2[[#This Row],[pWin]])-Table2[[#This Row],[KOFact]]</f>
        <v>1.1255866666666667</v>
      </c>
      <c r="T57" s="2">
        <f>Table2[[#This Row],[KODiff]]*bounty</f>
        <v>0</v>
      </c>
      <c r="U57" s="7">
        <f>Table2[[#This Row],[ICMdiff]]+Table2[[#This Row],[KOmoneyDiff]]</f>
        <v>91.84787200000001</v>
      </c>
      <c r="V57" s="38">
        <f>Table2[[#This Row],[pWin]]*Table2[[#This Row],[stackwin]]+(1-Table2[[#This Row],[pWin]])*Table2[[#This Row],[stacklose]]-Table2[[#This Row],[stackfact]]</f>
        <v>675.35200000000009</v>
      </c>
    </row>
    <row r="58" spans="1:24" s="17" customFormat="1" x14ac:dyDescent="0.25">
      <c r="A58" s="17">
        <v>1290</v>
      </c>
      <c r="B58" s="17" t="s">
        <v>193</v>
      </c>
      <c r="C58" s="19">
        <v>0.52439999999999998</v>
      </c>
      <c r="D58" s="19">
        <v>2000</v>
      </c>
      <c r="E58" s="17">
        <v>1</v>
      </c>
      <c r="F58" s="18">
        <f>Table2[[#This Row],[EQwin]]*$E$1</f>
        <v>272</v>
      </c>
      <c r="G58" s="24">
        <f>2*Table2[[#This Row],[stackwin]]/3000</f>
        <v>1.3333333333333333</v>
      </c>
      <c r="H58" s="19">
        <f>2000-H57</f>
        <v>580</v>
      </c>
      <c r="I58" s="17">
        <f>Table2[[#This Row],[stacklose]]/2000</f>
        <v>0.28999999999999998</v>
      </c>
      <c r="J58" s="18">
        <f t="shared" si="10"/>
        <v>78.88</v>
      </c>
      <c r="K58" s="20">
        <f>5*Table2[[#This Row],[stacklose]]/3000</f>
        <v>0.96666666666666667</v>
      </c>
      <c r="M58" s="19">
        <v>2000</v>
      </c>
      <c r="N58" s="17">
        <v>1</v>
      </c>
      <c r="O58" s="18">
        <f t="shared" si="11"/>
        <v>272</v>
      </c>
      <c r="P58" s="22">
        <f>5*Table2[[#This Row],[stackfact]]/3000</f>
        <v>3.3333333333333335</v>
      </c>
      <c r="Q58" s="35">
        <f>Table2[[#This Row],[EQwin]]*Table2[[#This Row],[pWin]] + Table2[[#This Row],[EQlose]]*(1-Table2[[#This Row],[pWin]]) - Table2[[#This Row],[Eqfact]]</f>
        <v>-0.33767600000000009</v>
      </c>
      <c r="R58" s="23">
        <f>Table2[[#This Row],[pWin]]*Table2[[#This Row],[ICMwin]]+(1-Table2[[#This Row],[pWin]])*Table2[[#This Row],[ICMlose]]-Table2[[#This Row],[ICMFact]]</f>
        <v>-91.847871999999995</v>
      </c>
      <c r="S58" s="24">
        <f>Table2[[#This Row],[Kowin]]*Table2[[#This Row],[pWin]]+Table2[[#This Row],[Kolose]]*(1-Table2[[#This Row],[pWin]])-Table2[[#This Row],[KOFact]]</f>
        <v>-2.1743866666666669</v>
      </c>
      <c r="T58" s="18">
        <f>Table2[[#This Row],[KODiff]]*bounty</f>
        <v>0</v>
      </c>
      <c r="U58" s="25">
        <f>Table2[[#This Row],[ICMdiff]]+Table2[[#This Row],[KOmoneyDiff]]</f>
        <v>-91.847871999999995</v>
      </c>
      <c r="V58" s="35">
        <f>Table2[[#This Row],[pWin]]*Table2[[#This Row],[stackwin]]+(1-Table2[[#This Row],[pWin]])*Table2[[#This Row],[stacklose]]-Table2[[#This Row],[stackfact]]</f>
        <v>-675.35200000000009</v>
      </c>
      <c r="X58" s="17" t="s">
        <v>195</v>
      </c>
    </row>
    <row r="59" spans="1:24" s="40" customFormat="1" x14ac:dyDescent="0.25">
      <c r="D59" s="43"/>
      <c r="F59" s="41">
        <f>Table2[[#This Row],[EQwin]]*$E$1</f>
        <v>0</v>
      </c>
      <c r="G59" s="42">
        <f>2*Table2[[#This Row],[stackwin]]/3000</f>
        <v>0</v>
      </c>
      <c r="H59" s="43"/>
      <c r="J59" s="41">
        <f t="shared" si="10"/>
        <v>0</v>
      </c>
      <c r="K59" s="44">
        <f>5*Table2[[#This Row],[stacklose]]/3000</f>
        <v>0</v>
      </c>
      <c r="M59" s="45"/>
      <c r="O59" s="41">
        <f t="shared" si="11"/>
        <v>0</v>
      </c>
      <c r="P59" s="46">
        <f>5*Table2[[#This Row],[stackfact]]/3000</f>
        <v>0</v>
      </c>
      <c r="Q59" s="47">
        <f>Table2[[#This Row],[EQwin]]*Table2[[#This Row],[pWin]] + Table2[[#This Row],[EQlose]]*(1-Table2[[#This Row],[pWin]]) - Table2[[#This Row],[Eqfact]]</f>
        <v>0</v>
      </c>
      <c r="R59" s="48">
        <f>Table2[[#This Row],[pWin]]*Table2[[#This Row],[ICMwin]]+(1-Table2[[#This Row],[pWin]])*Table2[[#This Row],[ICMlose]]-Table2[[#This Row],[ICMFact]]</f>
        <v>0</v>
      </c>
      <c r="S59" s="42">
        <f>Table2[[#This Row],[Kowin]]*Table2[[#This Row],[pWin]]+Table2[[#This Row],[Kolose]]*(1-Table2[[#This Row],[pWin]])-Table2[[#This Row],[KOFact]]</f>
        <v>0</v>
      </c>
      <c r="T59" s="41">
        <f>Table2[[#This Row],[KODiff]]*bounty</f>
        <v>0</v>
      </c>
      <c r="U59" s="49">
        <f>Table2[[#This Row],[ICMdiff]]+Table2[[#This Row],[KOmoneyDiff]]</f>
        <v>0</v>
      </c>
      <c r="V59" s="47">
        <f>Table2[[#This Row],[pWin]]*Table2[[#This Row],[stackwin]]+(1-Table2[[#This Row],[pWin]])*Table2[[#This Row],[stacklose]]-Table2[[#This Row],[stackfact]]</f>
        <v>0</v>
      </c>
    </row>
    <row r="60" spans="1:24" x14ac:dyDescent="0.25">
      <c r="A60">
        <v>270</v>
      </c>
      <c r="B60" t="s">
        <v>196</v>
      </c>
      <c r="C60">
        <v>0.84279999999999999</v>
      </c>
      <c r="D60" s="10">
        <v>0</v>
      </c>
      <c r="E60">
        <v>0</v>
      </c>
      <c r="F60" s="2">
        <f>Table2[[#This Row],[EQwin]]*$E$1</f>
        <v>0</v>
      </c>
      <c r="G60" s="16">
        <f>2*Table2[[#This Row],[stackwin]]/3000</f>
        <v>0</v>
      </c>
      <c r="H60" s="10">
        <f>560</f>
        <v>560</v>
      </c>
      <c r="I60">
        <f>Table2[[#This Row],[stacklose]]/2000</f>
        <v>0.28000000000000003</v>
      </c>
      <c r="J60" s="2">
        <f t="shared" si="10"/>
        <v>76.160000000000011</v>
      </c>
      <c r="K60" s="14">
        <f>5*Table2[[#This Row],[stacklose]]/3000</f>
        <v>0.93333333333333335</v>
      </c>
      <c r="M60" s="10">
        <v>0</v>
      </c>
      <c r="N60">
        <v>0</v>
      </c>
      <c r="O60" s="2">
        <f t="shared" si="11"/>
        <v>0</v>
      </c>
      <c r="P60" s="15">
        <f>5*Table2[[#This Row],[stackfact]]/3000</f>
        <v>0</v>
      </c>
      <c r="Q60" s="38">
        <f>Table2[[#This Row],[EQwin]]*Table2[[#This Row],[pWin]] + Table2[[#This Row],[EQlose]]*(1-Table2[[#This Row],[pWin]]) - Table2[[#This Row],[Eqfact]]</f>
        <v>4.4016000000000007E-2</v>
      </c>
      <c r="R60" s="12">
        <f>Table2[[#This Row],[pWin]]*Table2[[#This Row],[ICMwin]]+(1-Table2[[#This Row],[pWin]])*Table2[[#This Row],[ICMlose]]-Table2[[#This Row],[ICMFact]]</f>
        <v>11.972352000000003</v>
      </c>
      <c r="S60" s="16">
        <f>Table2[[#This Row],[Kowin]]*Table2[[#This Row],[pWin]]+Table2[[#This Row],[Kolose]]*(1-Table2[[#This Row],[pWin]])-Table2[[#This Row],[KOFact]]</f>
        <v>0.14672000000000002</v>
      </c>
      <c r="T60" s="2">
        <f>Table2[[#This Row],[KODiff]]*bounty</f>
        <v>0</v>
      </c>
      <c r="U60" s="7">
        <f>Table2[[#This Row],[ICMdiff]]+Table2[[#This Row],[KOmoneyDiff]]</f>
        <v>11.972352000000003</v>
      </c>
      <c r="V60" s="38">
        <f>Table2[[#This Row],[pWin]]*Table2[[#This Row],[stackwin]]+(1-Table2[[#This Row],[pWin]])*Table2[[#This Row],[stacklose]]-Table2[[#This Row],[stackfact]]</f>
        <v>88.032000000000011</v>
      </c>
    </row>
    <row r="61" spans="1:24" s="17" customFormat="1" x14ac:dyDescent="0.25">
      <c r="A61" s="17">
        <v>1170</v>
      </c>
      <c r="B61" s="17" t="s">
        <v>197</v>
      </c>
      <c r="C61" s="17">
        <v>0.84279999999999999</v>
      </c>
      <c r="D61" s="19">
        <f>1170+270+20</f>
        <v>1460</v>
      </c>
      <c r="E61" s="17">
        <f>Table2[[#This Row],[stackwin]]/2000</f>
        <v>0.73</v>
      </c>
      <c r="F61" s="18">
        <f>Table2[[#This Row],[EQwin]]*$E$1</f>
        <v>198.56</v>
      </c>
      <c r="G61" s="24">
        <f>2*Table2[[#This Row],[stackwin]]/3000</f>
        <v>0.97333333333333338</v>
      </c>
      <c r="H61" s="19">
        <f>1170-10-50-210</f>
        <v>900</v>
      </c>
      <c r="I61" s="17">
        <f>Table2[[#This Row],[stacklose]]/2000</f>
        <v>0.45</v>
      </c>
      <c r="J61" s="18">
        <f t="shared" si="10"/>
        <v>122.4</v>
      </c>
      <c r="K61" s="20">
        <f>5*Table2[[#This Row],[stacklose]]/3000</f>
        <v>1.5</v>
      </c>
      <c r="M61" s="19">
        <f>1170+270+20</f>
        <v>1460</v>
      </c>
      <c r="N61" s="17">
        <f>Table2[[#This Row],[stackwin]]/2000</f>
        <v>0.73</v>
      </c>
      <c r="O61" s="18">
        <f t="shared" si="11"/>
        <v>198.56</v>
      </c>
      <c r="P61" s="22">
        <f>5*Table2[[#This Row],[stackfact]]/3000</f>
        <v>2.4333333333333331</v>
      </c>
      <c r="Q61" s="35">
        <f>Table2[[#This Row],[EQwin]]*Table2[[#This Row],[pWin]] + Table2[[#This Row],[EQlose]]*(1-Table2[[#This Row],[pWin]]) - Table2[[#This Row],[Eqfact]]</f>
        <v>-4.4015999999999944E-2</v>
      </c>
      <c r="R61" s="23">
        <f>Table2[[#This Row],[pWin]]*Table2[[#This Row],[ICMwin]]+(1-Table2[[#This Row],[pWin]])*Table2[[#This Row],[ICMlose]]-Table2[[#This Row],[ICMFact]]</f>
        <v>-11.972352000000001</v>
      </c>
      <c r="S61" s="24">
        <f>Table2[[#This Row],[Kowin]]*Table2[[#This Row],[pWin]]+Table2[[#This Row],[Kolose]]*(1-Table2[[#This Row],[pWin]])-Table2[[#This Row],[KOFact]]</f>
        <v>-1.3772079999999998</v>
      </c>
      <c r="T61" s="18">
        <f>Table2[[#This Row],[KODiff]]*bounty</f>
        <v>0</v>
      </c>
      <c r="U61" s="25">
        <f>Table2[[#This Row],[ICMdiff]]+Table2[[#This Row],[KOmoneyDiff]]</f>
        <v>-11.972352000000001</v>
      </c>
      <c r="V61" s="35">
        <f>Table2[[#This Row],[pWin]]*Table2[[#This Row],[stackwin]]+(1-Table2[[#This Row],[pWin]])*Table2[[#This Row],[stacklose]]-Table2[[#This Row],[stackfact]]</f>
        <v>-88.031999999999925</v>
      </c>
      <c r="X61" s="17" t="s">
        <v>198</v>
      </c>
    </row>
    <row r="62" spans="1:24" x14ac:dyDescent="0.25">
      <c r="A62">
        <v>460</v>
      </c>
      <c r="C62">
        <v>0.84279999999999999</v>
      </c>
      <c r="D62" s="10">
        <v>450</v>
      </c>
      <c r="E62">
        <f>Table2[[#This Row],[stackwin]]/2000</f>
        <v>0.22500000000000001</v>
      </c>
      <c r="F62" s="2">
        <f>Table2[[#This Row],[EQwin]]*$E$1</f>
        <v>61.2</v>
      </c>
      <c r="G62" s="16">
        <f>2*Table2[[#This Row],[stackwin]]/3000</f>
        <v>0.3</v>
      </c>
      <c r="H62" s="10">
        <v>450</v>
      </c>
      <c r="I62">
        <f>Table2[[#This Row],[stacklose]]/2000</f>
        <v>0.22500000000000001</v>
      </c>
      <c r="J62" s="2">
        <f t="shared" si="10"/>
        <v>61.2</v>
      </c>
      <c r="K62" s="14">
        <f>5*Table2[[#This Row],[stacklose]]/3000</f>
        <v>0.75</v>
      </c>
      <c r="M62" s="10">
        <v>450</v>
      </c>
      <c r="N62">
        <f>Table2[[#This Row],[stackwin]]/2000</f>
        <v>0.22500000000000001</v>
      </c>
      <c r="O62" s="2">
        <f t="shared" si="11"/>
        <v>61.2</v>
      </c>
      <c r="P62" s="15">
        <f>5*Table2[[#This Row],[stackfact]]/3000</f>
        <v>0.75</v>
      </c>
      <c r="Q62" s="38">
        <f>Table2[[#This Row],[EQwin]]*Table2[[#This Row],[pWin]] + Table2[[#This Row],[EQlose]]*(1-Table2[[#This Row],[pWin]]) - Table2[[#This Row],[Eqfact]]</f>
        <v>0</v>
      </c>
      <c r="R62" s="12">
        <f>Table2[[#This Row],[pWin]]*Table2[[#This Row],[ICMwin]]+(1-Table2[[#This Row],[pWin]])*Table2[[#This Row],[ICMlose]]-Table2[[#This Row],[ICMFact]]</f>
        <v>0</v>
      </c>
      <c r="S62" s="16">
        <f>Table2[[#This Row],[Kowin]]*Table2[[#This Row],[pWin]]+Table2[[#This Row],[Kolose]]*(1-Table2[[#This Row],[pWin]])-Table2[[#This Row],[KOFact]]</f>
        <v>-0.37925999999999999</v>
      </c>
      <c r="T62" s="2">
        <f>Table2[[#This Row],[KODiff]]*bounty</f>
        <v>0</v>
      </c>
      <c r="U62" s="7">
        <f>Table2[[#This Row],[ICMdiff]]+Table2[[#This Row],[KOmoneyDiff]]</f>
        <v>0</v>
      </c>
      <c r="V62" s="38">
        <f>Table2[[#This Row],[pWin]]*Table2[[#This Row],[stackwin]]+(1-Table2[[#This Row],[pWin]])*Table2[[#This Row],[stacklose]]-Table2[[#This Row],[stackfact]]</f>
        <v>0</v>
      </c>
    </row>
    <row r="63" spans="1:24" x14ac:dyDescent="0.25">
      <c r="A63">
        <v>100</v>
      </c>
      <c r="C63">
        <v>0.84279999999999999</v>
      </c>
      <c r="D63" s="10">
        <v>90</v>
      </c>
      <c r="E63">
        <f>Table2[[#This Row],[stackwin]]/2000</f>
        <v>4.4999999999999998E-2</v>
      </c>
      <c r="F63" s="2">
        <f>Table2[[#This Row],[EQwin]]*$E$1</f>
        <v>12.24</v>
      </c>
      <c r="G63" s="16">
        <f>2*Table2[[#This Row],[stackwin]]/3000</f>
        <v>0.06</v>
      </c>
      <c r="H63" s="10">
        <v>90</v>
      </c>
      <c r="I63">
        <f>Table2[[#This Row],[stacklose]]/2000</f>
        <v>4.4999999999999998E-2</v>
      </c>
      <c r="J63" s="2">
        <f t="shared" si="10"/>
        <v>12.24</v>
      </c>
      <c r="K63" s="14">
        <f>5*Table2[[#This Row],[stacklose]]/3000</f>
        <v>0.15</v>
      </c>
      <c r="M63" s="10">
        <v>90</v>
      </c>
      <c r="N63">
        <f>Table2[[#This Row],[stackwin]]/2000</f>
        <v>4.4999999999999998E-2</v>
      </c>
      <c r="O63" s="2">
        <f t="shared" si="11"/>
        <v>12.24</v>
      </c>
      <c r="P63" s="15">
        <f>5*Table2[[#This Row],[stackfact]]/3000</f>
        <v>0.15</v>
      </c>
      <c r="Q63" s="38">
        <f>Table2[[#This Row],[EQwin]]*Table2[[#This Row],[pWin]] + Table2[[#This Row],[EQlose]]*(1-Table2[[#This Row],[pWin]]) - Table2[[#This Row],[Eqfact]]</f>
        <v>0</v>
      </c>
      <c r="R63" s="12">
        <f>Table2[[#This Row],[pWin]]*Table2[[#This Row],[ICMwin]]+(1-Table2[[#This Row],[pWin]])*Table2[[#This Row],[ICMlose]]-Table2[[#This Row],[ICMFact]]</f>
        <v>0</v>
      </c>
      <c r="S63" s="16">
        <f>Table2[[#This Row],[Kowin]]*Table2[[#This Row],[pWin]]+Table2[[#This Row],[Kolose]]*(1-Table2[[#This Row],[pWin]])-Table2[[#This Row],[KOFact]]</f>
        <v>-7.5852000000000003E-2</v>
      </c>
      <c r="T63" s="2">
        <f>Table2[[#This Row],[KODiff]]*bounty</f>
        <v>0</v>
      </c>
      <c r="U63" s="7">
        <f>Table2[[#This Row],[ICMdiff]]+Table2[[#This Row],[KOmoneyDiff]]</f>
        <v>0</v>
      </c>
      <c r="V63" s="38">
        <f>Table2[[#This Row],[pWin]]*Table2[[#This Row],[stackwin]]+(1-Table2[[#This Row],[pWin]])*Table2[[#This Row],[stacklose]]-Table2[[#This Row],[stackfact]]</f>
        <v>0</v>
      </c>
    </row>
    <row r="64" spans="1:24" s="40" customFormat="1" x14ac:dyDescent="0.25">
      <c r="D64" s="43"/>
      <c r="F64" s="41">
        <f>Table2[[#This Row],[EQwin]]*$E$1</f>
        <v>0</v>
      </c>
      <c r="G64" s="42">
        <f>2*Table2[[#This Row],[stackwin]]/3000</f>
        <v>0</v>
      </c>
      <c r="H64" s="43"/>
      <c r="J64" s="41">
        <f t="shared" si="10"/>
        <v>0</v>
      </c>
      <c r="K64" s="44">
        <f>5*Table2[[#This Row],[stacklose]]/3000</f>
        <v>0</v>
      </c>
      <c r="M64" s="45"/>
      <c r="O64" s="41">
        <f t="shared" si="11"/>
        <v>0</v>
      </c>
      <c r="P64" s="46">
        <f>5*Table2[[#This Row],[stackfact]]/3000</f>
        <v>0</v>
      </c>
      <c r="Q64" s="47">
        <f>Table2[[#This Row],[EQwin]]*Table2[[#This Row],[pWin]] + Table2[[#This Row],[EQlose]]*(1-Table2[[#This Row],[pWin]]) - Table2[[#This Row],[Eqfact]]</f>
        <v>0</v>
      </c>
      <c r="R64" s="48">
        <f>Table2[[#This Row],[pWin]]*Table2[[#This Row],[ICMwin]]+(1-Table2[[#This Row],[pWin]])*Table2[[#This Row],[ICMlose]]-Table2[[#This Row],[ICMFact]]</f>
        <v>0</v>
      </c>
      <c r="S64" s="42">
        <f>Table2[[#This Row],[Kowin]]*Table2[[#This Row],[pWin]]+Table2[[#This Row],[Kolose]]*(1-Table2[[#This Row],[pWin]])-Table2[[#This Row],[KOFact]]</f>
        <v>0</v>
      </c>
      <c r="T64" s="41">
        <f>Table2[[#This Row],[KODiff]]*bounty</f>
        <v>0</v>
      </c>
      <c r="U64" s="49">
        <f>Table2[[#This Row],[ICMdiff]]+Table2[[#This Row],[KOmoneyDiff]]</f>
        <v>0</v>
      </c>
      <c r="V64" s="47">
        <f>Table2[[#This Row],[pWin]]*Table2[[#This Row],[stackwin]]+(1-Table2[[#This Row],[pWin]])*Table2[[#This Row],[stacklose]]-Table2[[#This Row],[stackfact]]</f>
        <v>0</v>
      </c>
    </row>
    <row r="65" spans="1:24" x14ac:dyDescent="0.25">
      <c r="A65">
        <v>595</v>
      </c>
      <c r="B65" t="s">
        <v>200</v>
      </c>
      <c r="C65">
        <v>0.27950000000000003</v>
      </c>
      <c r="D65" s="10">
        <v>570</v>
      </c>
      <c r="E65">
        <v>0.28499999999999998</v>
      </c>
      <c r="F65" s="2">
        <f>Table2[[#This Row],[EQwin]]*$E$1</f>
        <v>77.52</v>
      </c>
      <c r="G65" s="16">
        <f>2*Table2[[#This Row],[stackwin]]/3000</f>
        <v>0.38</v>
      </c>
      <c r="H65" s="10">
        <v>640</v>
      </c>
      <c r="I65">
        <v>0.32</v>
      </c>
      <c r="J65" s="2">
        <f t="shared" si="10"/>
        <v>87.04</v>
      </c>
      <c r="K65" s="14">
        <f>5*Table2[[#This Row],[stacklose]]/3000</f>
        <v>1.0666666666666667</v>
      </c>
      <c r="M65" s="10">
        <v>640</v>
      </c>
      <c r="N65">
        <v>0.32</v>
      </c>
      <c r="O65" s="2">
        <f t="shared" si="11"/>
        <v>87.04</v>
      </c>
      <c r="P65" s="15">
        <f>5*Table2[[#This Row],[stackfact]]/3000</f>
        <v>1.0666666666666667</v>
      </c>
      <c r="Q65" s="38">
        <f>Table2[[#This Row],[EQwin]]*Table2[[#This Row],[pWin]] + Table2[[#This Row],[EQlose]]*(1-Table2[[#This Row],[pWin]]) - Table2[[#This Row],[Eqfact]]</f>
        <v>-9.7825000000000273E-3</v>
      </c>
      <c r="R65" s="12">
        <f>Table2[[#This Row],[pWin]]*Table2[[#This Row],[ICMwin]]+(1-Table2[[#This Row],[pWin]])*Table2[[#This Row],[ICMlose]]-Table2[[#This Row],[ICMFact]]</f>
        <v>-2.6608400000000074</v>
      </c>
      <c r="S65" s="16">
        <f>Table2[[#This Row],[Kowin]]*Table2[[#This Row],[pWin]]+Table2[[#This Row],[Kolose]]*(1-Table2[[#This Row],[pWin]])-Table2[[#This Row],[KOFact]]</f>
        <v>-0.19192333333333333</v>
      </c>
      <c r="T65" s="2">
        <f>Table2[[#This Row],[KODiff]]*bounty</f>
        <v>0</v>
      </c>
      <c r="U65" s="7">
        <f>Table2[[#This Row],[ICMdiff]]+Table2[[#This Row],[KOmoneyDiff]]</f>
        <v>-2.6608400000000074</v>
      </c>
      <c r="V65" s="38">
        <f>Table2[[#This Row],[pWin]]*Table2[[#This Row],[stackwin]]+(1-Table2[[#This Row],[pWin]])*Table2[[#This Row],[stacklose]]-Table2[[#This Row],[stackfact]]</f>
        <v>-19.565000000000055</v>
      </c>
    </row>
    <row r="66" spans="1:24" x14ac:dyDescent="0.25">
      <c r="A66">
        <v>975</v>
      </c>
      <c r="C66">
        <v>0.27950000000000003</v>
      </c>
      <c r="D66" s="10">
        <v>965</v>
      </c>
      <c r="E66">
        <v>0.48249999999999998</v>
      </c>
      <c r="F66" s="2">
        <f>Table2[[#This Row],[EQwin]]*$E$1</f>
        <v>131.24</v>
      </c>
      <c r="G66" s="16">
        <f>2*Table2[[#This Row],[stackwin]]/3000</f>
        <v>0.64333333333333331</v>
      </c>
      <c r="H66" s="10">
        <v>965</v>
      </c>
      <c r="I66">
        <v>0.48249999999999998</v>
      </c>
      <c r="J66" s="2">
        <f t="shared" si="10"/>
        <v>131.24</v>
      </c>
      <c r="K66" s="14">
        <f>5*Table2[[#This Row],[stacklose]]/3000</f>
        <v>1.6083333333333334</v>
      </c>
      <c r="M66" s="10">
        <v>965</v>
      </c>
      <c r="N66">
        <v>0.48249999999999998</v>
      </c>
      <c r="O66" s="2">
        <f t="shared" si="11"/>
        <v>131.24</v>
      </c>
      <c r="P66" s="15">
        <f>5*Table2[[#This Row],[stackfact]]/3000</f>
        <v>1.6083333333333334</v>
      </c>
      <c r="Q66" s="38">
        <f>Table2[[#This Row],[EQwin]]*Table2[[#This Row],[pWin]] + Table2[[#This Row],[EQlose]]*(1-Table2[[#This Row],[pWin]]) - Table2[[#This Row],[Eqfact]]</f>
        <v>0</v>
      </c>
      <c r="R66" s="12">
        <f>Table2[[#This Row],[pWin]]*Table2[[#This Row],[ICMwin]]+(1-Table2[[#This Row],[pWin]])*Table2[[#This Row],[ICMlose]]-Table2[[#This Row],[ICMFact]]</f>
        <v>0</v>
      </c>
      <c r="S66" s="16">
        <f>Table2[[#This Row],[Kowin]]*Table2[[#This Row],[pWin]]+Table2[[#This Row],[Kolose]]*(1-Table2[[#This Row],[pWin]])-Table2[[#This Row],[KOFact]]</f>
        <v>-0.26971750000000005</v>
      </c>
      <c r="T66" s="2">
        <f>Table2[[#This Row],[KODiff]]*bounty</f>
        <v>0</v>
      </c>
      <c r="U66" s="7">
        <f>Table2[[#This Row],[ICMdiff]]+Table2[[#This Row],[KOmoneyDiff]]</f>
        <v>0</v>
      </c>
      <c r="V66" s="38">
        <f>Table2[[#This Row],[pWin]]*Table2[[#This Row],[stackwin]]+(1-Table2[[#This Row],[pWin]])*Table2[[#This Row],[stacklose]]-Table2[[#This Row],[stackfact]]</f>
        <v>0</v>
      </c>
    </row>
    <row r="67" spans="1:24" x14ac:dyDescent="0.25">
      <c r="A67">
        <v>405</v>
      </c>
      <c r="C67">
        <v>0.27950000000000003</v>
      </c>
      <c r="D67" s="10">
        <v>395</v>
      </c>
      <c r="E67">
        <v>0.19750000000000001</v>
      </c>
      <c r="F67" s="2">
        <f>Table2[[#This Row],[EQwin]]*$E$1</f>
        <v>53.72</v>
      </c>
      <c r="G67" s="16">
        <f>2*Table2[[#This Row],[stackwin]]/3000</f>
        <v>0.26333333333333331</v>
      </c>
      <c r="H67" s="10">
        <v>395</v>
      </c>
      <c r="I67">
        <v>0.19750000000000001</v>
      </c>
      <c r="J67" s="2">
        <f t="shared" si="10"/>
        <v>53.72</v>
      </c>
      <c r="K67" s="14">
        <f>5*Table2[[#This Row],[stacklose]]/3000</f>
        <v>0.65833333333333333</v>
      </c>
      <c r="M67" s="10">
        <v>395</v>
      </c>
      <c r="N67">
        <v>0.19750000000000001</v>
      </c>
      <c r="O67" s="2">
        <f t="shared" si="11"/>
        <v>53.72</v>
      </c>
      <c r="P67" s="15">
        <f>5*Table2[[#This Row],[stackfact]]/3000</f>
        <v>0.65833333333333333</v>
      </c>
      <c r="Q67" s="38">
        <f>Table2[[#This Row],[EQwin]]*Table2[[#This Row],[pWin]] + Table2[[#This Row],[EQlose]]*(1-Table2[[#This Row],[pWin]]) - Table2[[#This Row],[Eqfact]]</f>
        <v>0</v>
      </c>
      <c r="R67" s="12">
        <f>Table2[[#This Row],[pWin]]*Table2[[#This Row],[ICMwin]]+(1-Table2[[#This Row],[pWin]])*Table2[[#This Row],[ICMlose]]-Table2[[#This Row],[ICMFact]]</f>
        <v>0</v>
      </c>
      <c r="S67" s="16">
        <f>Table2[[#This Row],[Kowin]]*Table2[[#This Row],[pWin]]+Table2[[#This Row],[Kolose]]*(1-Table2[[#This Row],[pWin]])-Table2[[#This Row],[KOFact]]</f>
        <v>-0.11040250000000007</v>
      </c>
      <c r="T67" s="2">
        <f>Table2[[#This Row],[KODiff]]*bounty</f>
        <v>0</v>
      </c>
      <c r="U67" s="7">
        <f>Table2[[#This Row],[ICMdiff]]+Table2[[#This Row],[KOmoneyDiff]]</f>
        <v>0</v>
      </c>
      <c r="V67" s="38">
        <f>Table2[[#This Row],[pWin]]*Table2[[#This Row],[stackwin]]+(1-Table2[[#This Row],[pWin]])*Table2[[#This Row],[stacklose]]-Table2[[#This Row],[stackfact]]</f>
        <v>0</v>
      </c>
    </row>
    <row r="68" spans="1:24" s="17" customFormat="1" x14ac:dyDescent="0.25">
      <c r="A68" s="17">
        <v>25</v>
      </c>
      <c r="B68" s="17" t="s">
        <v>199</v>
      </c>
      <c r="C68" s="17">
        <v>0.27950000000000003</v>
      </c>
      <c r="D68" s="19">
        <v>70</v>
      </c>
      <c r="E68" s="17">
        <v>3.5000000000000003E-2</v>
      </c>
      <c r="F68" s="18">
        <f>Table2[[#This Row],[EQwin]]*$E$1</f>
        <v>9.5200000000000014</v>
      </c>
      <c r="G68" s="24">
        <f>2*Table2[[#This Row],[stackwin]]/3000</f>
        <v>4.6666666666666669E-2</v>
      </c>
      <c r="H68" s="19">
        <v>0</v>
      </c>
      <c r="I68" s="17">
        <v>0</v>
      </c>
      <c r="J68" s="18">
        <f t="shared" si="10"/>
        <v>0</v>
      </c>
      <c r="K68" s="20">
        <f>5*Table2[[#This Row],[stacklose]]/3000</f>
        <v>0</v>
      </c>
      <c r="M68" s="19">
        <v>0</v>
      </c>
      <c r="N68" s="17">
        <v>0</v>
      </c>
      <c r="O68" s="18">
        <f t="shared" si="11"/>
        <v>0</v>
      </c>
      <c r="P68" s="22">
        <f>5*Table2[[#This Row],[stackfact]]/3000</f>
        <v>0</v>
      </c>
      <c r="Q68" s="35">
        <f>Table2[[#This Row],[EQwin]]*Table2[[#This Row],[pWin]] + Table2[[#This Row],[EQlose]]*(1-Table2[[#This Row],[pWin]]) - Table2[[#This Row],[Eqfact]]</f>
        <v>9.7825000000000013E-3</v>
      </c>
      <c r="R68" s="23">
        <f>Table2[[#This Row],[pWin]]*Table2[[#This Row],[ICMwin]]+(1-Table2[[#This Row],[pWin]])*Table2[[#This Row],[ICMlose]]-Table2[[#This Row],[ICMFact]]</f>
        <v>2.6608400000000008</v>
      </c>
      <c r="S68" s="24">
        <f>Table2[[#This Row],[Kowin]]*Table2[[#This Row],[pWin]]+Table2[[#This Row],[Kolose]]*(1-Table2[[#This Row],[pWin]])-Table2[[#This Row],[KOFact]]</f>
        <v>1.3043333333333336E-2</v>
      </c>
      <c r="T68" s="18">
        <f>Table2[[#This Row],[KODiff]]*bounty</f>
        <v>0</v>
      </c>
      <c r="U68" s="25">
        <f>Table2[[#This Row],[ICMdiff]]+Table2[[#This Row],[KOmoneyDiff]]</f>
        <v>2.6608400000000008</v>
      </c>
      <c r="V68" s="35">
        <f>Table2[[#This Row],[pWin]]*Table2[[#This Row],[stackwin]]+(1-Table2[[#This Row],[pWin]])*Table2[[#This Row],[stacklose]]-Table2[[#This Row],[stackfact]]</f>
        <v>19.565000000000001</v>
      </c>
      <c r="X68" s="17" t="s">
        <v>201</v>
      </c>
    </row>
    <row r="69" spans="1:24" s="40" customFormat="1" x14ac:dyDescent="0.25">
      <c r="D69" s="43"/>
      <c r="F69" s="41">
        <f>Table2[[#This Row],[EQwin]]*$E$1</f>
        <v>0</v>
      </c>
      <c r="G69" s="42">
        <f>2*Table2[[#This Row],[stackwin]]/3000</f>
        <v>0</v>
      </c>
      <c r="H69" s="43"/>
      <c r="J69" s="41">
        <f t="shared" si="10"/>
        <v>0</v>
      </c>
      <c r="K69" s="44">
        <f>5*Table2[[#This Row],[stacklose]]/3000</f>
        <v>0</v>
      </c>
      <c r="M69" s="45"/>
      <c r="O69" s="41">
        <f t="shared" si="11"/>
        <v>0</v>
      </c>
      <c r="P69" s="46">
        <f>5*Table2[[#This Row],[stackfact]]/3000</f>
        <v>0</v>
      </c>
      <c r="Q69" s="47">
        <f>Table2[[#This Row],[EQwin]]*Table2[[#This Row],[pWin]] + Table2[[#This Row],[EQlose]]*(1-Table2[[#This Row],[pWin]]) - Table2[[#This Row],[Eqfact]]</f>
        <v>0</v>
      </c>
      <c r="R69" s="48">
        <f>Table2[[#This Row],[pWin]]*Table2[[#This Row],[ICMwin]]+(1-Table2[[#This Row],[pWin]])*Table2[[#This Row],[ICMlose]]-Table2[[#This Row],[ICMFact]]</f>
        <v>0</v>
      </c>
      <c r="S69" s="42">
        <f>Table2[[#This Row],[Kowin]]*Table2[[#This Row],[pWin]]+Table2[[#This Row],[Kolose]]*(1-Table2[[#This Row],[pWin]])-Table2[[#This Row],[KOFact]]</f>
        <v>0</v>
      </c>
      <c r="T69" s="41">
        <f>Table2[[#This Row],[KODiff]]*bounty</f>
        <v>0</v>
      </c>
      <c r="U69" s="49">
        <f>Table2[[#This Row],[ICMdiff]]+Table2[[#This Row],[KOmoneyDiff]]</f>
        <v>0</v>
      </c>
      <c r="V69" s="47">
        <f>Table2[[#This Row],[pWin]]*Table2[[#This Row],[stackwin]]+(1-Table2[[#This Row],[pWin]])*Table2[[#This Row],[stacklose]]-Table2[[#This Row],[stackfact]]</f>
        <v>0</v>
      </c>
    </row>
    <row r="70" spans="1:24" x14ac:dyDescent="0.25">
      <c r="D70" s="10"/>
      <c r="F70" s="2">
        <f>Table2[[#This Row],[EQwin]]*$E$1</f>
        <v>0</v>
      </c>
      <c r="G70" s="16">
        <f>2*Table2[[#This Row],[stackwin]]/3000</f>
        <v>0</v>
      </c>
      <c r="H70" s="10"/>
      <c r="J70" s="2">
        <f t="shared" si="10"/>
        <v>0</v>
      </c>
      <c r="K70" s="14">
        <f>5*Table2[[#This Row],[stacklose]]/3000</f>
        <v>0</v>
      </c>
      <c r="M70" s="8"/>
      <c r="O70" s="2">
        <f t="shared" si="11"/>
        <v>0</v>
      </c>
      <c r="P70" s="15">
        <f>5*Table2[[#This Row],[stackfact]]/3000</f>
        <v>0</v>
      </c>
      <c r="Q70" s="38">
        <f>Table2[[#This Row],[EQwin]]*Table2[[#This Row],[pWin]] + Table2[[#This Row],[EQlose]]*(1-Table2[[#This Row],[pWin]]) - Table2[[#This Row],[Eqfact]]</f>
        <v>0</v>
      </c>
      <c r="R70" s="12">
        <f>Table2[[#This Row],[pWin]]*Table2[[#This Row],[ICMwin]]+(1-Table2[[#This Row],[pWin]])*Table2[[#This Row],[ICMlose]]-Table2[[#This Row],[ICMFact]]</f>
        <v>0</v>
      </c>
      <c r="S70" s="16">
        <f>Table2[[#This Row],[Kowin]]*Table2[[#This Row],[pWin]]+Table2[[#This Row],[Kolose]]*(1-Table2[[#This Row],[pWin]])-Table2[[#This Row],[KOFact]]</f>
        <v>0</v>
      </c>
      <c r="T70" s="2">
        <f>Table2[[#This Row],[KODiff]]*bounty</f>
        <v>0</v>
      </c>
      <c r="U70" s="7">
        <f>Table2[[#This Row],[ICMdiff]]+Table2[[#This Row],[KOmoneyDiff]]</f>
        <v>0</v>
      </c>
      <c r="V70" s="38">
        <f>Table2[[#This Row],[pWin]]*Table2[[#This Row],[stackwin]]+(1-Table2[[#This Row],[pWin]])*Table2[[#This Row],[stacklose]]-Table2[[#This Row],[stackfact]]</f>
        <v>0</v>
      </c>
    </row>
    <row r="71" spans="1:24" x14ac:dyDescent="0.25">
      <c r="D71" s="10"/>
      <c r="F71" s="2">
        <f>Table2[[#This Row],[EQwin]]*$E$1</f>
        <v>0</v>
      </c>
      <c r="G71" s="16">
        <f>2*Table2[[#This Row],[stackwin]]/3000</f>
        <v>0</v>
      </c>
      <c r="H71" s="10"/>
      <c r="J71" s="2">
        <f t="shared" si="10"/>
        <v>0</v>
      </c>
      <c r="K71" s="14">
        <f>5*Table2[[#This Row],[stacklose]]/3000</f>
        <v>0</v>
      </c>
      <c r="M71" s="8"/>
      <c r="O71" s="2">
        <f t="shared" si="11"/>
        <v>0</v>
      </c>
      <c r="P71" s="15">
        <f>5*Table2[[#This Row],[stackfact]]/3000</f>
        <v>0</v>
      </c>
      <c r="Q71" s="38">
        <f>Table2[[#This Row],[EQwin]]*Table2[[#This Row],[pWin]] + Table2[[#This Row],[EQlose]]*(1-Table2[[#This Row],[pWin]]) - Table2[[#This Row],[Eqfact]]</f>
        <v>0</v>
      </c>
      <c r="R71" s="12">
        <f>Table2[[#This Row],[pWin]]*Table2[[#This Row],[ICMwin]]+(1-Table2[[#This Row],[pWin]])*Table2[[#This Row],[ICMlose]]-Table2[[#This Row],[ICMFact]]</f>
        <v>0</v>
      </c>
      <c r="S71" s="16">
        <f>Table2[[#This Row],[Kowin]]*Table2[[#This Row],[pWin]]+Table2[[#This Row],[Kolose]]*(1-Table2[[#This Row],[pWin]])-Table2[[#This Row],[KOFact]]</f>
        <v>0</v>
      </c>
      <c r="T71" s="2">
        <f>Table2[[#This Row],[KODiff]]*bounty</f>
        <v>0</v>
      </c>
      <c r="U71" s="7">
        <f>Table2[[#This Row],[ICMdiff]]+Table2[[#This Row],[KOmoneyDiff]]</f>
        <v>0</v>
      </c>
      <c r="V71" s="38">
        <f>Table2[[#This Row],[pWin]]*Table2[[#This Row],[stackwin]]+(1-Table2[[#This Row],[pWin]])*Table2[[#This Row],[stacklose]]-Table2[[#This Row],[stackfact]]</f>
        <v>0</v>
      </c>
    </row>
    <row r="72" spans="1:24" x14ac:dyDescent="0.25">
      <c r="D72" s="10"/>
      <c r="F72" s="2">
        <f>Table2[[#This Row],[EQwin]]*$E$1</f>
        <v>0</v>
      </c>
      <c r="G72" s="16">
        <f>2*Table2[[#This Row],[stackwin]]/3000</f>
        <v>0</v>
      </c>
      <c r="H72" s="10"/>
      <c r="J72" s="2">
        <f t="shared" si="10"/>
        <v>0</v>
      </c>
      <c r="K72" s="14">
        <f>5*Table2[[#This Row],[stacklose]]/3000</f>
        <v>0</v>
      </c>
      <c r="M72" s="8"/>
      <c r="O72" s="2">
        <f t="shared" si="11"/>
        <v>0</v>
      </c>
      <c r="P72" s="15">
        <f>5*Table2[[#This Row],[stackfact]]/3000</f>
        <v>0</v>
      </c>
      <c r="Q72" s="38">
        <f>Table2[[#This Row],[EQwin]]*Table2[[#This Row],[pWin]] + Table2[[#This Row],[EQlose]]*(1-Table2[[#This Row],[pWin]]) - Table2[[#This Row],[Eqfact]]</f>
        <v>0</v>
      </c>
      <c r="R72" s="12">
        <f>Table2[[#This Row],[pWin]]*Table2[[#This Row],[ICMwin]]+(1-Table2[[#This Row],[pWin]])*Table2[[#This Row],[ICMlose]]-Table2[[#This Row],[ICMFact]]</f>
        <v>0</v>
      </c>
      <c r="S72" s="16">
        <f>Table2[[#This Row],[Kowin]]*Table2[[#This Row],[pWin]]+Table2[[#This Row],[Kolose]]*(1-Table2[[#This Row],[pWin]])-Table2[[#This Row],[KOFact]]</f>
        <v>0</v>
      </c>
      <c r="T72" s="2">
        <f>Table2[[#This Row],[KODiff]]*bounty</f>
        <v>0</v>
      </c>
      <c r="U72" s="7">
        <f>Table2[[#This Row],[ICMdiff]]+Table2[[#This Row],[KOmoneyDiff]]</f>
        <v>0</v>
      </c>
      <c r="V72" s="38">
        <f>Table2[[#This Row],[pWin]]*Table2[[#This Row],[stackwin]]+(1-Table2[[#This Row],[pWin]])*Table2[[#This Row],[stacklose]]-Table2[[#This Row],[stackfact]]</f>
        <v>0</v>
      </c>
    </row>
    <row r="73" spans="1:24" x14ac:dyDescent="0.25">
      <c r="D73" s="10"/>
      <c r="F73" s="2">
        <f>Table2[[#This Row],[EQwin]]*$E$1</f>
        <v>0</v>
      </c>
      <c r="G73" s="16">
        <f>2*Table2[[#This Row],[stackwin]]/3000</f>
        <v>0</v>
      </c>
      <c r="H73" s="10"/>
      <c r="J73" s="2">
        <f t="shared" si="10"/>
        <v>0</v>
      </c>
      <c r="K73" s="14">
        <f>5*Table2[[#This Row],[stacklose]]/3000</f>
        <v>0</v>
      </c>
      <c r="M73" s="8"/>
      <c r="O73" s="2">
        <f t="shared" si="11"/>
        <v>0</v>
      </c>
      <c r="P73" s="15">
        <f>5*Table2[[#This Row],[stackfact]]/3000</f>
        <v>0</v>
      </c>
      <c r="Q73" s="38">
        <f>Table2[[#This Row],[EQwin]]*Table2[[#This Row],[pWin]] + Table2[[#This Row],[EQlose]]*(1-Table2[[#This Row],[pWin]]) - Table2[[#This Row],[Eqfact]]</f>
        <v>0</v>
      </c>
      <c r="R73" s="12">
        <f>Table2[[#This Row],[pWin]]*Table2[[#This Row],[ICMwin]]+(1-Table2[[#This Row],[pWin]])*Table2[[#This Row],[ICMlose]]-Table2[[#This Row],[ICMFact]]</f>
        <v>0</v>
      </c>
      <c r="S73" s="16">
        <f>Table2[[#This Row],[Kowin]]*Table2[[#This Row],[pWin]]+Table2[[#This Row],[Kolose]]*(1-Table2[[#This Row],[pWin]])-Table2[[#This Row],[KOFact]]</f>
        <v>0</v>
      </c>
      <c r="T73" s="2">
        <f>Table2[[#This Row],[KODiff]]*bounty</f>
        <v>0</v>
      </c>
      <c r="U73" s="7">
        <f>Table2[[#This Row],[ICMdiff]]+Table2[[#This Row],[KOmoneyDiff]]</f>
        <v>0</v>
      </c>
      <c r="V73" s="38">
        <f>Table2[[#This Row],[pWin]]*Table2[[#This Row],[stackwin]]+(1-Table2[[#This Row],[pWin]])*Table2[[#This Row],[stacklose]]-Table2[[#This Row],[stackfact]]</f>
        <v>0</v>
      </c>
    </row>
    <row r="74" spans="1:24" x14ac:dyDescent="0.25">
      <c r="D74" s="10"/>
      <c r="F74" s="2">
        <f>Table2[[#This Row],[EQwin]]*$E$1</f>
        <v>0</v>
      </c>
      <c r="G74" s="16">
        <f>2*Table2[[#This Row],[stackwin]]/3000</f>
        <v>0</v>
      </c>
      <c r="H74" s="10"/>
      <c r="J74" s="2">
        <f t="shared" si="10"/>
        <v>0</v>
      </c>
      <c r="K74" s="14">
        <f>5*Table2[[#This Row],[stacklose]]/3000</f>
        <v>0</v>
      </c>
      <c r="M74" s="8"/>
      <c r="O74" s="2">
        <f t="shared" si="11"/>
        <v>0</v>
      </c>
      <c r="P74" s="15">
        <f>5*Table2[[#This Row],[stackfact]]/3000</f>
        <v>0</v>
      </c>
      <c r="Q74" s="38">
        <f>Table2[[#This Row],[EQwin]]*Table2[[#This Row],[pWin]] + Table2[[#This Row],[EQlose]]*(1-Table2[[#This Row],[pWin]]) - Table2[[#This Row],[Eqfact]]</f>
        <v>0</v>
      </c>
      <c r="R74" s="12">
        <f>Table2[[#This Row],[pWin]]*Table2[[#This Row],[ICMwin]]+(1-Table2[[#This Row],[pWin]])*Table2[[#This Row],[ICMlose]]-Table2[[#This Row],[ICMFact]]</f>
        <v>0</v>
      </c>
      <c r="S74" s="16">
        <f>Table2[[#This Row],[Kowin]]*Table2[[#This Row],[pWin]]+Table2[[#This Row],[Kolose]]*(1-Table2[[#This Row],[pWin]])-Table2[[#This Row],[KOFact]]</f>
        <v>0</v>
      </c>
      <c r="T74" s="2">
        <f>Table2[[#This Row],[KODiff]]*bounty</f>
        <v>0</v>
      </c>
      <c r="U74" s="7">
        <f>Table2[[#This Row],[ICMdiff]]+Table2[[#This Row],[KOmoneyDiff]]</f>
        <v>0</v>
      </c>
      <c r="V74" s="38">
        <f>Table2[[#This Row],[pWin]]*Table2[[#This Row],[stackwin]]+(1-Table2[[#This Row],[pWin]])*Table2[[#This Row],[stacklose]]-Table2[[#This Row],[stackfact]]</f>
        <v>0</v>
      </c>
    </row>
    <row r="75" spans="1:24" x14ac:dyDescent="0.25">
      <c r="D75" s="10"/>
      <c r="F75" s="2">
        <f>Table2[[#This Row],[EQwin]]*$E$1</f>
        <v>0</v>
      </c>
      <c r="G75" s="16">
        <f>2*Table2[[#This Row],[stackwin]]/3000</f>
        <v>0</v>
      </c>
      <c r="H75" s="10"/>
      <c r="J75" s="2">
        <f t="shared" si="10"/>
        <v>0</v>
      </c>
      <c r="K75" s="14">
        <f>5*Table2[[#This Row],[stacklose]]/3000</f>
        <v>0</v>
      </c>
      <c r="M75" s="8"/>
      <c r="O75" s="2">
        <f t="shared" si="11"/>
        <v>0</v>
      </c>
      <c r="P75" s="15">
        <f>5*Table2[[#This Row],[stackfact]]/3000</f>
        <v>0</v>
      </c>
      <c r="Q75" s="38">
        <f>Table2[[#This Row],[EQwin]]*Table2[[#This Row],[pWin]] + Table2[[#This Row],[EQlose]]*(1-Table2[[#This Row],[pWin]]) - Table2[[#This Row],[Eqfact]]</f>
        <v>0</v>
      </c>
      <c r="R75" s="12">
        <f>Table2[[#This Row],[pWin]]*Table2[[#This Row],[ICMwin]]+(1-Table2[[#This Row],[pWin]])*Table2[[#This Row],[ICMlose]]-Table2[[#This Row],[ICMFact]]</f>
        <v>0</v>
      </c>
      <c r="S75" s="16">
        <f>Table2[[#This Row],[Kowin]]*Table2[[#This Row],[pWin]]+Table2[[#This Row],[Kolose]]*(1-Table2[[#This Row],[pWin]])-Table2[[#This Row],[KOFact]]</f>
        <v>0</v>
      </c>
      <c r="T75" s="2">
        <f>Table2[[#This Row],[KODiff]]*bounty</f>
        <v>0</v>
      </c>
      <c r="U75" s="7">
        <f>Table2[[#This Row],[ICMdiff]]+Table2[[#This Row],[KOmoneyDiff]]</f>
        <v>0</v>
      </c>
      <c r="V75" s="38">
        <f>Table2[[#This Row],[pWin]]*Table2[[#This Row],[stackwin]]+(1-Table2[[#This Row],[pWin]])*Table2[[#This Row],[stacklose]]-Table2[[#This Row],[stackfact]]</f>
        <v>0</v>
      </c>
    </row>
    <row r="76" spans="1:24" x14ac:dyDescent="0.25">
      <c r="D76" s="10"/>
      <c r="F76" s="2">
        <f>Table2[[#This Row],[EQwin]]*$E$1</f>
        <v>0</v>
      </c>
      <c r="G76" s="16">
        <f>2*Table2[[#This Row],[stackwin]]/3000</f>
        <v>0</v>
      </c>
      <c r="H76" s="10"/>
      <c r="J76" s="2">
        <f t="shared" si="10"/>
        <v>0</v>
      </c>
      <c r="K76" s="14">
        <f>5*Table2[[#This Row],[stacklose]]/3000</f>
        <v>0</v>
      </c>
      <c r="M76" s="8"/>
      <c r="O76" s="2">
        <f t="shared" si="11"/>
        <v>0</v>
      </c>
      <c r="P76" s="15">
        <f>5*Table2[[#This Row],[stackfact]]/3000</f>
        <v>0</v>
      </c>
      <c r="Q76" s="38">
        <f>Table2[[#This Row],[EQwin]]*Table2[[#This Row],[pWin]] + Table2[[#This Row],[EQlose]]*(1-Table2[[#This Row],[pWin]]) - Table2[[#This Row],[Eqfact]]</f>
        <v>0</v>
      </c>
      <c r="R76" s="12">
        <f>Table2[[#This Row],[pWin]]*Table2[[#This Row],[ICMwin]]+(1-Table2[[#This Row],[pWin]])*Table2[[#This Row],[ICMlose]]-Table2[[#This Row],[ICMFact]]</f>
        <v>0</v>
      </c>
      <c r="S76" s="16">
        <f>Table2[[#This Row],[Kowin]]*Table2[[#This Row],[pWin]]+Table2[[#This Row],[Kolose]]*(1-Table2[[#This Row],[pWin]])-Table2[[#This Row],[KOFact]]</f>
        <v>0</v>
      </c>
      <c r="T76" s="2">
        <f>Table2[[#This Row],[KODiff]]*bounty</f>
        <v>0</v>
      </c>
      <c r="U76" s="7">
        <f>Table2[[#This Row],[ICMdiff]]+Table2[[#This Row],[KOmoneyDiff]]</f>
        <v>0</v>
      </c>
      <c r="V76" s="38">
        <f>Table2[[#This Row],[pWin]]*Table2[[#This Row],[stackwin]]+(1-Table2[[#This Row],[pWin]])*Table2[[#This Row],[stacklose]]-Table2[[#This Row],[stackfact]]</f>
        <v>0</v>
      </c>
    </row>
    <row r="77" spans="1:24" x14ac:dyDescent="0.25">
      <c r="D77" s="10"/>
      <c r="F77" s="2">
        <f>Table2[[#This Row],[EQwin]]*$E$1</f>
        <v>0</v>
      </c>
      <c r="G77" s="16">
        <f>2*Table2[[#This Row],[stackwin]]/3000</f>
        <v>0</v>
      </c>
      <c r="H77" s="10"/>
      <c r="J77" s="2">
        <f t="shared" si="10"/>
        <v>0</v>
      </c>
      <c r="K77" s="14">
        <f>5*Table2[[#This Row],[stacklose]]/3000</f>
        <v>0</v>
      </c>
      <c r="M77" s="8"/>
      <c r="O77" s="2">
        <f t="shared" si="11"/>
        <v>0</v>
      </c>
      <c r="P77" s="15">
        <f>5*Table2[[#This Row],[stackfact]]/3000</f>
        <v>0</v>
      </c>
      <c r="Q77" s="38">
        <f>Table2[[#This Row],[EQwin]]*Table2[[#This Row],[pWin]] + Table2[[#This Row],[EQlose]]*(1-Table2[[#This Row],[pWin]]) - Table2[[#This Row],[Eqfact]]</f>
        <v>0</v>
      </c>
      <c r="R77" s="12">
        <f>Table2[[#This Row],[pWin]]*Table2[[#This Row],[ICMwin]]+(1-Table2[[#This Row],[pWin]])*Table2[[#This Row],[ICMlose]]-Table2[[#This Row],[ICMFact]]</f>
        <v>0</v>
      </c>
      <c r="S77" s="16">
        <f>Table2[[#This Row],[Kowin]]*Table2[[#This Row],[pWin]]+Table2[[#This Row],[Kolose]]*(1-Table2[[#This Row],[pWin]])-Table2[[#This Row],[KOFact]]</f>
        <v>0</v>
      </c>
      <c r="T77" s="2">
        <f>Table2[[#This Row],[KODiff]]*bounty</f>
        <v>0</v>
      </c>
      <c r="U77" s="7">
        <f>Table2[[#This Row],[ICMdiff]]+Table2[[#This Row],[KOmoneyDiff]]</f>
        <v>0</v>
      </c>
      <c r="V77" s="38">
        <f>Table2[[#This Row],[pWin]]*Table2[[#This Row],[stackwin]]+(1-Table2[[#This Row],[pWin]])*Table2[[#This Row],[stacklose]]-Table2[[#This Row],[stackfact]]</f>
        <v>0</v>
      </c>
    </row>
    <row r="78" spans="1:24" x14ac:dyDescent="0.25">
      <c r="D78" s="10"/>
      <c r="F78" s="2">
        <f>Table2[[#This Row],[EQwin]]*$E$1</f>
        <v>0</v>
      </c>
      <c r="G78" s="16">
        <f>2*Table2[[#This Row],[stackwin]]/3000</f>
        <v>0</v>
      </c>
      <c r="H78" s="10"/>
      <c r="J78" s="2">
        <f t="shared" si="10"/>
        <v>0</v>
      </c>
      <c r="K78" s="14">
        <f>5*Table2[[#This Row],[stacklose]]/3000</f>
        <v>0</v>
      </c>
      <c r="M78" s="8"/>
      <c r="O78" s="2">
        <f t="shared" si="11"/>
        <v>0</v>
      </c>
      <c r="P78" s="15">
        <f>5*Table2[[#This Row],[stackfact]]/3000</f>
        <v>0</v>
      </c>
      <c r="Q78" s="38">
        <f>Table2[[#This Row],[EQwin]]*Table2[[#This Row],[pWin]] + Table2[[#This Row],[EQlose]]*(1-Table2[[#This Row],[pWin]]) - Table2[[#This Row],[Eqfact]]</f>
        <v>0</v>
      </c>
      <c r="R78" s="12">
        <f>Table2[[#This Row],[pWin]]*Table2[[#This Row],[ICMwin]]+(1-Table2[[#This Row],[pWin]])*Table2[[#This Row],[ICMlose]]-Table2[[#This Row],[ICMFact]]</f>
        <v>0</v>
      </c>
      <c r="S78" s="16">
        <f>Table2[[#This Row],[Kowin]]*Table2[[#This Row],[pWin]]+Table2[[#This Row],[Kolose]]*(1-Table2[[#This Row],[pWin]])-Table2[[#This Row],[KOFact]]</f>
        <v>0</v>
      </c>
      <c r="T78" s="2">
        <f>Table2[[#This Row],[KODiff]]*bounty</f>
        <v>0</v>
      </c>
      <c r="U78" s="7">
        <f>Table2[[#This Row],[ICMdiff]]+Table2[[#This Row],[KOmoneyDiff]]</f>
        <v>0</v>
      </c>
      <c r="V78" s="38">
        <f>Table2[[#This Row],[pWin]]*Table2[[#This Row],[stackwin]]+(1-Table2[[#This Row],[pWin]])*Table2[[#This Row],[stacklose]]-Table2[[#This Row],[stackfact]]</f>
        <v>0</v>
      </c>
    </row>
    <row r="79" spans="1:24" x14ac:dyDescent="0.25">
      <c r="D79" s="10"/>
      <c r="F79" s="2">
        <f>Table2[[#This Row],[EQwin]]*$E$1</f>
        <v>0</v>
      </c>
      <c r="G79" s="16">
        <f>2*Table2[[#This Row],[stackwin]]/3000</f>
        <v>0</v>
      </c>
      <c r="H79" s="10"/>
      <c r="J79" s="2">
        <f t="shared" si="10"/>
        <v>0</v>
      </c>
      <c r="K79" s="14">
        <f>5*Table2[[#This Row],[stacklose]]/3000</f>
        <v>0</v>
      </c>
      <c r="M79" s="8"/>
      <c r="O79" s="2">
        <f t="shared" si="11"/>
        <v>0</v>
      </c>
      <c r="P79" s="15">
        <f>5*Table2[[#This Row],[stackfact]]/3000</f>
        <v>0</v>
      </c>
      <c r="Q79" s="38">
        <f>Table2[[#This Row],[EQwin]]*Table2[[#This Row],[pWin]] + Table2[[#This Row],[EQlose]]*(1-Table2[[#This Row],[pWin]]) - Table2[[#This Row],[Eqfact]]</f>
        <v>0</v>
      </c>
      <c r="R79" s="12">
        <f>Table2[[#This Row],[pWin]]*Table2[[#This Row],[ICMwin]]+(1-Table2[[#This Row],[pWin]])*Table2[[#This Row],[ICMlose]]-Table2[[#This Row],[ICMFact]]</f>
        <v>0</v>
      </c>
      <c r="S79" s="16">
        <f>Table2[[#This Row],[Kowin]]*Table2[[#This Row],[pWin]]+Table2[[#This Row],[Kolose]]*(1-Table2[[#This Row],[pWin]])-Table2[[#This Row],[KOFact]]</f>
        <v>0</v>
      </c>
      <c r="T79" s="2">
        <f>Table2[[#This Row],[KODiff]]*bounty</f>
        <v>0</v>
      </c>
      <c r="U79" s="7">
        <f>Table2[[#This Row],[ICMdiff]]+Table2[[#This Row],[KOmoneyDiff]]</f>
        <v>0</v>
      </c>
      <c r="V79" s="38">
        <f>Table2[[#This Row],[pWin]]*Table2[[#This Row],[stackwin]]+(1-Table2[[#This Row],[pWin]])*Table2[[#This Row],[stacklose]]-Table2[[#This Row],[stackfact]]</f>
        <v>0</v>
      </c>
    </row>
    <row r="80" spans="1:24" x14ac:dyDescent="0.25">
      <c r="D80" s="10"/>
      <c r="F80" s="2">
        <f>Table2[[#This Row],[EQwin]]*$E$1</f>
        <v>0</v>
      </c>
      <c r="G80" s="16">
        <f>2*Table2[[#This Row],[stackwin]]/3000</f>
        <v>0</v>
      </c>
      <c r="H80" s="10"/>
      <c r="J80" s="2">
        <f t="shared" si="10"/>
        <v>0</v>
      </c>
      <c r="K80" s="14">
        <f>5*Table2[[#This Row],[stacklose]]/3000</f>
        <v>0</v>
      </c>
      <c r="M80" s="8"/>
      <c r="O80" s="2">
        <f t="shared" si="11"/>
        <v>0</v>
      </c>
      <c r="P80" s="15">
        <f>5*Table2[[#This Row],[stackfact]]/3000</f>
        <v>0</v>
      </c>
      <c r="Q80" s="38">
        <f>Table2[[#This Row],[EQwin]]*Table2[[#This Row],[pWin]] + Table2[[#This Row],[EQlose]]*(1-Table2[[#This Row],[pWin]]) - Table2[[#This Row],[Eqfact]]</f>
        <v>0</v>
      </c>
      <c r="R80" s="12">
        <f>Table2[[#This Row],[pWin]]*Table2[[#This Row],[ICMwin]]+(1-Table2[[#This Row],[pWin]])*Table2[[#This Row],[ICMlose]]-Table2[[#This Row],[ICMFact]]</f>
        <v>0</v>
      </c>
      <c r="S80" s="16">
        <f>Table2[[#This Row],[Kowin]]*Table2[[#This Row],[pWin]]+Table2[[#This Row],[Kolose]]*(1-Table2[[#This Row],[pWin]])-Table2[[#This Row],[KOFact]]</f>
        <v>0</v>
      </c>
      <c r="T80" s="2">
        <f>Table2[[#This Row],[KODiff]]*bounty</f>
        <v>0</v>
      </c>
      <c r="U80" s="7">
        <f>Table2[[#This Row],[ICMdiff]]+Table2[[#This Row],[KOmoneyDiff]]</f>
        <v>0</v>
      </c>
      <c r="V80" s="38">
        <f>Table2[[#This Row],[pWin]]*Table2[[#This Row],[stackwin]]+(1-Table2[[#This Row],[pWin]])*Table2[[#This Row],[stacklose]]-Table2[[#This Row],[stackfact]]</f>
        <v>0</v>
      </c>
    </row>
    <row r="81" spans="4:22" x14ac:dyDescent="0.25">
      <c r="D81" s="10"/>
      <c r="F81" s="2">
        <f>Table2[[#This Row],[EQwin]]*$E$1</f>
        <v>0</v>
      </c>
      <c r="G81" s="16">
        <f>2*Table2[[#This Row],[stackwin]]/3000</f>
        <v>0</v>
      </c>
      <c r="H81" s="10"/>
      <c r="J81" s="2">
        <f t="shared" si="10"/>
        <v>0</v>
      </c>
      <c r="K81" s="14">
        <f>5*Table2[[#This Row],[stacklose]]/3000</f>
        <v>0</v>
      </c>
      <c r="M81" s="8"/>
      <c r="O81" s="2">
        <f t="shared" si="11"/>
        <v>0</v>
      </c>
      <c r="P81" s="15">
        <f>5*Table2[[#This Row],[stackfact]]/3000</f>
        <v>0</v>
      </c>
      <c r="Q81" s="38">
        <f>Table2[[#This Row],[EQwin]]*Table2[[#This Row],[pWin]] + Table2[[#This Row],[EQlose]]*(1-Table2[[#This Row],[pWin]]) - Table2[[#This Row],[Eqfact]]</f>
        <v>0</v>
      </c>
      <c r="R81" s="12">
        <f>Table2[[#This Row],[pWin]]*Table2[[#This Row],[ICMwin]]+(1-Table2[[#This Row],[pWin]])*Table2[[#This Row],[ICMlose]]-Table2[[#This Row],[ICMFact]]</f>
        <v>0</v>
      </c>
      <c r="S81" s="16">
        <f>Table2[[#This Row],[Kowin]]*Table2[[#This Row],[pWin]]+Table2[[#This Row],[Kolose]]*(1-Table2[[#This Row],[pWin]])-Table2[[#This Row],[KOFact]]</f>
        <v>0</v>
      </c>
      <c r="T81" s="2">
        <f>Table2[[#This Row],[KODiff]]*bounty</f>
        <v>0</v>
      </c>
      <c r="U81" s="7">
        <f>Table2[[#This Row],[ICMdiff]]+Table2[[#This Row],[KOmoneyDiff]]</f>
        <v>0</v>
      </c>
      <c r="V81" s="38">
        <f>Table2[[#This Row],[pWin]]*Table2[[#This Row],[stackwin]]+(1-Table2[[#This Row],[pWin]])*Table2[[#This Row],[stacklose]]-Table2[[#This Row],[stackfact]]</f>
        <v>0</v>
      </c>
    </row>
    <row r="82" spans="4:22" x14ac:dyDescent="0.25">
      <c r="D82" s="10"/>
      <c r="F82" s="2">
        <f>Table2[[#This Row],[EQwin]]*$E$1</f>
        <v>0</v>
      </c>
      <c r="G82" s="16">
        <f>2*Table2[[#This Row],[stackwin]]/3000</f>
        <v>0</v>
      </c>
      <c r="H82" s="10"/>
      <c r="J82" s="2">
        <f t="shared" si="10"/>
        <v>0</v>
      </c>
      <c r="K82" s="14">
        <f>5*Table2[[#This Row],[stacklose]]/3000</f>
        <v>0</v>
      </c>
      <c r="M82" s="8"/>
      <c r="O82" s="2">
        <f t="shared" si="11"/>
        <v>0</v>
      </c>
      <c r="P82" s="15">
        <f>5*Table2[[#This Row],[stackfact]]/3000</f>
        <v>0</v>
      </c>
      <c r="Q82" s="38">
        <f>Table2[[#This Row],[EQwin]]*Table2[[#This Row],[pWin]] + Table2[[#This Row],[EQlose]]*(1-Table2[[#This Row],[pWin]]) - Table2[[#This Row],[Eqfact]]</f>
        <v>0</v>
      </c>
      <c r="R82" s="12">
        <f>Table2[[#This Row],[pWin]]*Table2[[#This Row],[ICMwin]]+(1-Table2[[#This Row],[pWin]])*Table2[[#This Row],[ICMlose]]-Table2[[#This Row],[ICMFact]]</f>
        <v>0</v>
      </c>
      <c r="S82" s="16">
        <f>Table2[[#This Row],[Kowin]]*Table2[[#This Row],[pWin]]+Table2[[#This Row],[Kolose]]*(1-Table2[[#This Row],[pWin]])-Table2[[#This Row],[KOFact]]</f>
        <v>0</v>
      </c>
      <c r="T82" s="2">
        <f>Table2[[#This Row],[KODiff]]*bounty</f>
        <v>0</v>
      </c>
      <c r="U82" s="7">
        <f>Table2[[#This Row],[ICMdiff]]+Table2[[#This Row],[KOmoneyDiff]]</f>
        <v>0</v>
      </c>
      <c r="V82" s="38">
        <f>Table2[[#This Row],[pWin]]*Table2[[#This Row],[stackwin]]+(1-Table2[[#This Row],[pWin]])*Table2[[#This Row],[stacklose]]-Table2[[#This Row],[stackfact]]</f>
        <v>0</v>
      </c>
    </row>
    <row r="83" spans="4:22" x14ac:dyDescent="0.25">
      <c r="D83" s="10"/>
      <c r="F83" s="2">
        <f>Table2[[#This Row],[EQwin]]*$E$1</f>
        <v>0</v>
      </c>
      <c r="G83" s="16">
        <f>2*Table2[[#This Row],[stackwin]]/3000</f>
        <v>0</v>
      </c>
      <c r="H83" s="10"/>
      <c r="J83" s="2">
        <f t="shared" si="10"/>
        <v>0</v>
      </c>
      <c r="K83" s="14">
        <f>5*Table2[[#This Row],[stacklose]]/3000</f>
        <v>0</v>
      </c>
      <c r="M83" s="8"/>
      <c r="O83" s="2">
        <f t="shared" si="11"/>
        <v>0</v>
      </c>
      <c r="P83" s="15">
        <f>5*Table2[[#This Row],[stackfact]]/3000</f>
        <v>0</v>
      </c>
      <c r="Q83" s="38">
        <f>Table2[[#This Row],[EQwin]]*Table2[[#This Row],[pWin]] + Table2[[#This Row],[EQlose]]*(1-Table2[[#This Row],[pWin]]) - Table2[[#This Row],[Eqfact]]</f>
        <v>0</v>
      </c>
      <c r="R83" s="12">
        <f>Table2[[#This Row],[pWin]]*Table2[[#This Row],[ICMwin]]+(1-Table2[[#This Row],[pWin]])*Table2[[#This Row],[ICMlose]]-Table2[[#This Row],[ICMFact]]</f>
        <v>0</v>
      </c>
      <c r="S83" s="16">
        <f>Table2[[#This Row],[Kowin]]*Table2[[#This Row],[pWin]]+Table2[[#This Row],[Kolose]]*(1-Table2[[#This Row],[pWin]])-Table2[[#This Row],[KOFact]]</f>
        <v>0</v>
      </c>
      <c r="T83" s="2">
        <f>Table2[[#This Row],[KODiff]]*bounty</f>
        <v>0</v>
      </c>
      <c r="U83" s="7">
        <f>Table2[[#This Row],[ICMdiff]]+Table2[[#This Row],[KOmoneyDiff]]</f>
        <v>0</v>
      </c>
      <c r="V83" s="38">
        <f>Table2[[#This Row],[pWin]]*Table2[[#This Row],[stackwin]]+(1-Table2[[#This Row],[pWin]])*Table2[[#This Row],[stacklose]]-Table2[[#This Row],[stackfact]]</f>
        <v>0</v>
      </c>
    </row>
    <row r="84" spans="4:22" x14ac:dyDescent="0.25">
      <c r="D84" s="10"/>
      <c r="F84" s="2">
        <f>Table2[[#This Row],[EQwin]]*$E$1</f>
        <v>0</v>
      </c>
      <c r="G84" s="16">
        <f>2*Table2[[#This Row],[stackwin]]/3000</f>
        <v>0</v>
      </c>
      <c r="H84" s="10"/>
      <c r="J84" s="2">
        <f t="shared" si="10"/>
        <v>0</v>
      </c>
      <c r="K84" s="14">
        <f>5*Table2[[#This Row],[stacklose]]/3000</f>
        <v>0</v>
      </c>
      <c r="M84" s="8"/>
      <c r="O84" s="2">
        <f t="shared" si="11"/>
        <v>0</v>
      </c>
      <c r="P84" s="15">
        <f>5*Table2[[#This Row],[stackfact]]/3000</f>
        <v>0</v>
      </c>
      <c r="Q84" s="38">
        <f>Table2[[#This Row],[EQwin]]*Table2[[#This Row],[pWin]] + Table2[[#This Row],[EQlose]]*(1-Table2[[#This Row],[pWin]]) - Table2[[#This Row],[Eqfact]]</f>
        <v>0</v>
      </c>
      <c r="R84" s="12">
        <f>Table2[[#This Row],[pWin]]*Table2[[#This Row],[ICMwin]]+(1-Table2[[#This Row],[pWin]])*Table2[[#This Row],[ICMlose]]-Table2[[#This Row],[ICMFact]]</f>
        <v>0</v>
      </c>
      <c r="S84" s="16">
        <f>Table2[[#This Row],[Kowin]]*Table2[[#This Row],[pWin]]+Table2[[#This Row],[Kolose]]*(1-Table2[[#This Row],[pWin]])-Table2[[#This Row],[KOFact]]</f>
        <v>0</v>
      </c>
      <c r="T84" s="2">
        <f>Table2[[#This Row],[KODiff]]*bounty</f>
        <v>0</v>
      </c>
      <c r="U84" s="7">
        <f>Table2[[#This Row],[ICMdiff]]+Table2[[#This Row],[KOmoneyDiff]]</f>
        <v>0</v>
      </c>
      <c r="V84" s="38">
        <f>Table2[[#This Row],[pWin]]*Table2[[#This Row],[stackwin]]+(1-Table2[[#This Row],[pWin]])*Table2[[#This Row],[stacklose]]-Table2[[#This Row],[stackfact]]</f>
        <v>0</v>
      </c>
    </row>
    <row r="85" spans="4:22" x14ac:dyDescent="0.25">
      <c r="D85" s="10"/>
      <c r="F85" s="2">
        <f>Table2[[#This Row],[EQwin]]*$E$1</f>
        <v>0</v>
      </c>
      <c r="G85" s="16">
        <f>2*Table2[[#This Row],[stackwin]]/3000</f>
        <v>0</v>
      </c>
      <c r="H85" s="10"/>
      <c r="J85" s="2">
        <f t="shared" si="10"/>
        <v>0</v>
      </c>
      <c r="K85" s="14">
        <f>5*Table2[[#This Row],[stacklose]]/3000</f>
        <v>0</v>
      </c>
      <c r="M85" s="8"/>
      <c r="O85" s="2">
        <f t="shared" si="11"/>
        <v>0</v>
      </c>
      <c r="P85" s="15">
        <f>5*Table2[[#This Row],[stackfact]]/3000</f>
        <v>0</v>
      </c>
      <c r="Q85" s="38">
        <f>Table2[[#This Row],[EQwin]]*Table2[[#This Row],[pWin]] + Table2[[#This Row],[EQlose]]*(1-Table2[[#This Row],[pWin]]) - Table2[[#This Row],[Eqfact]]</f>
        <v>0</v>
      </c>
      <c r="R85" s="12">
        <f>Table2[[#This Row],[pWin]]*Table2[[#This Row],[ICMwin]]+(1-Table2[[#This Row],[pWin]])*Table2[[#This Row],[ICMlose]]-Table2[[#This Row],[ICMFact]]</f>
        <v>0</v>
      </c>
      <c r="S85" s="16">
        <f>Table2[[#This Row],[Kowin]]*Table2[[#This Row],[pWin]]+Table2[[#This Row],[Kolose]]*(1-Table2[[#This Row],[pWin]])-Table2[[#This Row],[KOFact]]</f>
        <v>0</v>
      </c>
      <c r="T85" s="2">
        <f>Table2[[#This Row],[KODiff]]*bounty</f>
        <v>0</v>
      </c>
      <c r="U85" s="7">
        <f>Table2[[#This Row],[ICMdiff]]+Table2[[#This Row],[KOmoneyDiff]]</f>
        <v>0</v>
      </c>
      <c r="V85" s="38">
        <f>Table2[[#This Row],[pWin]]*Table2[[#This Row],[stackwin]]+(1-Table2[[#This Row],[pWin]])*Table2[[#This Row],[stacklose]]-Table2[[#This Row],[stackfact]]</f>
        <v>0</v>
      </c>
    </row>
    <row r="86" spans="4:22" x14ac:dyDescent="0.25">
      <c r="D86" s="10"/>
      <c r="F86" s="2">
        <f>Table2[[#This Row],[EQwin]]*$E$1</f>
        <v>0</v>
      </c>
      <c r="G86" s="16">
        <f>2*Table2[[#This Row],[stackwin]]/3000</f>
        <v>0</v>
      </c>
      <c r="H86" s="10"/>
      <c r="J86" s="2">
        <f t="shared" si="10"/>
        <v>0</v>
      </c>
      <c r="K86" s="14">
        <f>5*Table2[[#This Row],[stacklose]]/3000</f>
        <v>0</v>
      </c>
      <c r="M86" s="8"/>
      <c r="O86" s="2">
        <f t="shared" si="11"/>
        <v>0</v>
      </c>
      <c r="P86" s="15">
        <f>5*Table2[[#This Row],[stackfact]]/3000</f>
        <v>0</v>
      </c>
      <c r="Q86" s="38">
        <f>Table2[[#This Row],[EQwin]]*Table2[[#This Row],[pWin]] + Table2[[#This Row],[EQlose]]*(1-Table2[[#This Row],[pWin]]) - Table2[[#This Row],[Eqfact]]</f>
        <v>0</v>
      </c>
      <c r="R86" s="12">
        <f>Table2[[#This Row],[pWin]]*Table2[[#This Row],[ICMwin]]+(1-Table2[[#This Row],[pWin]])*Table2[[#This Row],[ICMlose]]-Table2[[#This Row],[ICMFact]]</f>
        <v>0</v>
      </c>
      <c r="S86" s="16">
        <f>Table2[[#This Row],[Kowin]]*Table2[[#This Row],[pWin]]+Table2[[#This Row],[Kolose]]*(1-Table2[[#This Row],[pWin]])-Table2[[#This Row],[KOFact]]</f>
        <v>0</v>
      </c>
      <c r="T86" s="2">
        <f>Table2[[#This Row],[KODiff]]*bounty</f>
        <v>0</v>
      </c>
      <c r="U86" s="7">
        <f>Table2[[#This Row],[ICMdiff]]+Table2[[#This Row],[KOmoneyDiff]]</f>
        <v>0</v>
      </c>
      <c r="V86" s="38">
        <f>Table2[[#This Row],[pWin]]*Table2[[#This Row],[stackwin]]+(1-Table2[[#This Row],[pWin]])*Table2[[#This Row],[stacklose]]-Table2[[#This Row],[stackfact]]</f>
        <v>0</v>
      </c>
    </row>
    <row r="87" spans="4:22" x14ac:dyDescent="0.25">
      <c r="D87" s="10"/>
      <c r="F87" s="2"/>
      <c r="G87" s="2"/>
      <c r="H87" s="10"/>
      <c r="J87" s="2"/>
      <c r="K87" s="14"/>
      <c r="M87" s="8"/>
      <c r="O87" s="2"/>
      <c r="P87" s="15"/>
      <c r="R87" s="12"/>
      <c r="S87" s="16"/>
      <c r="T87" s="2"/>
      <c r="U87" s="7"/>
    </row>
    <row r="1048505" spans="17:17" x14ac:dyDescent="0.25">
      <c r="Q1048505" s="13">
        <f>M1048505/3000</f>
        <v>0</v>
      </c>
    </row>
  </sheetData>
  <mergeCells count="4">
    <mergeCell ref="M6:P6"/>
    <mergeCell ref="H6:K6"/>
    <mergeCell ref="R6:U6"/>
    <mergeCell ref="D6:G6"/>
  </mergeCells>
  <pageMargins left="0.7" right="0.7" top="0.75" bottom="0.75" header="0.3" footer="0.3"/>
  <pageSetup paperSize="9" orientation="portrait" horizontalDpi="4294967293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5"/>
  <sheetViews>
    <sheetView workbookViewId="0">
      <selection activeCell="P20" sqref="P20"/>
    </sheetView>
  </sheetViews>
  <sheetFormatPr defaultRowHeight="15" x14ac:dyDescent="0.25"/>
  <cols>
    <col min="11" max="11" width="9.5703125" bestFit="1" customWidth="1"/>
    <col min="17" max="17" width="9.5703125" bestFit="1" customWidth="1"/>
    <col min="23" max="23" width="9.5703125" bestFit="1" customWidth="1"/>
    <col min="29" max="29" width="10.5703125" customWidth="1"/>
    <col min="31" max="31" width="10" customWidth="1"/>
    <col min="34" max="34" width="9.5703125" customWidth="1"/>
    <col min="36" max="36" width="10.28515625" customWidth="1"/>
  </cols>
  <sheetData>
    <row r="1" spans="1:39" x14ac:dyDescent="0.25">
      <c r="C1" t="s">
        <v>2</v>
      </c>
      <c r="D1">
        <f>bounty*6</f>
        <v>0</v>
      </c>
      <c r="F1" t="s">
        <v>85</v>
      </c>
      <c r="G1">
        <v>8.8999999999999996E-2</v>
      </c>
      <c r="I1" t="s">
        <v>88</v>
      </c>
      <c r="J1">
        <v>0.2893</v>
      </c>
      <c r="L1" t="s">
        <v>90</v>
      </c>
      <c r="M1">
        <v>1460</v>
      </c>
    </row>
    <row r="2" spans="1:39" x14ac:dyDescent="0.25">
      <c r="C2" t="s">
        <v>1</v>
      </c>
      <c r="D2">
        <f>bounty</f>
        <v>0</v>
      </c>
      <c r="F2" t="s">
        <v>86</v>
      </c>
      <c r="G2">
        <v>0.54559999999999997</v>
      </c>
      <c r="I2" t="s">
        <v>89</v>
      </c>
      <c r="J2">
        <v>0.7107</v>
      </c>
      <c r="L2" t="s">
        <v>91</v>
      </c>
      <c r="M2">
        <v>20</v>
      </c>
    </row>
    <row r="3" spans="1:39" x14ac:dyDescent="0.25">
      <c r="C3" t="s">
        <v>67</v>
      </c>
      <c r="D3">
        <v>3000</v>
      </c>
      <c r="F3" t="s">
        <v>87</v>
      </c>
      <c r="G3">
        <v>0.3654</v>
      </c>
    </row>
    <row r="5" spans="1:39" x14ac:dyDescent="0.25">
      <c r="C5" t="s">
        <v>92</v>
      </c>
      <c r="D5" t="s">
        <v>93</v>
      </c>
    </row>
    <row r="6" spans="1:39" ht="15.75" thickBot="1" x14ac:dyDescent="0.3"/>
    <row r="7" spans="1:39" ht="19.5" thickTop="1" x14ac:dyDescent="0.3">
      <c r="E7" s="81" t="s">
        <v>49</v>
      </c>
      <c r="F7" s="82"/>
      <c r="G7" s="82"/>
      <c r="H7" s="82"/>
      <c r="I7" s="83"/>
      <c r="J7" s="81" t="s">
        <v>50</v>
      </c>
      <c r="K7" s="82"/>
      <c r="L7" s="82"/>
      <c r="M7" s="82"/>
      <c r="N7" s="83"/>
      <c r="P7" s="81" t="s">
        <v>68</v>
      </c>
      <c r="Q7" s="82"/>
      <c r="R7" s="82"/>
      <c r="S7" s="82"/>
      <c r="T7" s="83"/>
      <c r="V7" s="81" t="s">
        <v>69</v>
      </c>
      <c r="W7" s="82"/>
      <c r="X7" s="82"/>
      <c r="Y7" s="82"/>
      <c r="Z7" s="83"/>
      <c r="AB7" s="78" t="s">
        <v>7</v>
      </c>
      <c r="AC7" s="79"/>
      <c r="AD7" s="79"/>
      <c r="AE7" s="79"/>
      <c r="AF7" s="80"/>
      <c r="AG7" s="3"/>
      <c r="AH7" s="84" t="s">
        <v>4</v>
      </c>
      <c r="AI7" s="85"/>
      <c r="AJ7" s="86"/>
    </row>
    <row r="8" spans="1:39" x14ac:dyDescent="0.25">
      <c r="A8" t="s">
        <v>66</v>
      </c>
      <c r="B8" t="s">
        <v>28</v>
      </c>
      <c r="C8" t="s">
        <v>0</v>
      </c>
      <c r="D8" t="s">
        <v>3</v>
      </c>
      <c r="E8" s="10" t="s">
        <v>59</v>
      </c>
      <c r="F8" t="s">
        <v>51</v>
      </c>
      <c r="G8" t="s">
        <v>52</v>
      </c>
      <c r="H8" t="s">
        <v>53</v>
      </c>
      <c r="I8" s="11" t="s">
        <v>54</v>
      </c>
      <c r="J8" s="5" t="s">
        <v>61</v>
      </c>
      <c r="K8" s="5" t="s">
        <v>55</v>
      </c>
      <c r="L8" s="5" t="s">
        <v>56</v>
      </c>
      <c r="M8" s="5" t="s">
        <v>57</v>
      </c>
      <c r="N8" s="11" t="s">
        <v>58</v>
      </c>
      <c r="O8" s="5" t="s">
        <v>60</v>
      </c>
      <c r="P8" s="10" t="s">
        <v>74</v>
      </c>
      <c r="Q8" s="5" t="s">
        <v>70</v>
      </c>
      <c r="R8" s="5" t="s">
        <v>71</v>
      </c>
      <c r="S8" s="5" t="s">
        <v>72</v>
      </c>
      <c r="T8" s="11" t="s">
        <v>73</v>
      </c>
      <c r="U8" t="s">
        <v>6</v>
      </c>
      <c r="V8" s="10" t="s">
        <v>75</v>
      </c>
      <c r="W8" s="5" t="s">
        <v>76</v>
      </c>
      <c r="X8" s="5" t="s">
        <v>77</v>
      </c>
      <c r="Y8" s="5" t="s">
        <v>78</v>
      </c>
      <c r="Z8" s="11" t="s">
        <v>79</v>
      </c>
      <c r="AA8" t="s">
        <v>62</v>
      </c>
      <c r="AB8" s="8" t="s">
        <v>63</v>
      </c>
      <c r="AC8" s="5" t="s">
        <v>64</v>
      </c>
      <c r="AD8" s="5" t="s">
        <v>65</v>
      </c>
      <c r="AE8" s="5" t="s">
        <v>83</v>
      </c>
      <c r="AF8" s="9" t="s">
        <v>84</v>
      </c>
      <c r="AG8" t="s">
        <v>22</v>
      </c>
      <c r="AH8" s="4" t="s">
        <v>80</v>
      </c>
      <c r="AI8" s="5" t="s">
        <v>81</v>
      </c>
      <c r="AJ8" s="5" t="s">
        <v>82</v>
      </c>
      <c r="AK8" t="s">
        <v>148</v>
      </c>
    </row>
    <row r="9" spans="1:39" s="17" customFormat="1" x14ac:dyDescent="0.25">
      <c r="A9" s="17">
        <v>1</v>
      </c>
      <c r="B9" s="17">
        <v>498</v>
      </c>
      <c r="C9" s="17" t="s">
        <v>47</v>
      </c>
      <c r="D9" s="17">
        <v>8.8999999999999996E-2</v>
      </c>
      <c r="E9" s="19">
        <v>4</v>
      </c>
      <c r="F9" s="17">
        <v>1490</v>
      </c>
      <c r="G9" s="17">
        <v>0.39860000000000001</v>
      </c>
      <c r="H9" s="18">
        <f>Table1[[#This Row],[EQ1]]*prize</f>
        <v>0</v>
      </c>
      <c r="I9" s="24">
        <f>Table1[[#This Row],[players1]]*Table1[[#This Row],[stack1]]/chips+2</f>
        <v>3.9866666666666664</v>
      </c>
      <c r="J9" s="19">
        <v>5</v>
      </c>
      <c r="K9" s="17">
        <v>10</v>
      </c>
      <c r="L9" s="17">
        <v>4.3E-3</v>
      </c>
      <c r="M9" s="18">
        <f>Table1[[#This Row],[EQ2]]*prize</f>
        <v>0</v>
      </c>
      <c r="N9" s="20">
        <f>Table1[[#This Row],[players2]]*Table1[[#This Row],[stack2]]/3000</f>
        <v>1.6666666666666666E-2</v>
      </c>
      <c r="O9" s="68"/>
      <c r="P9" s="19">
        <v>5</v>
      </c>
      <c r="Q9" s="17">
        <v>30</v>
      </c>
      <c r="R9" s="17">
        <v>1.2699999999999999E-2</v>
      </c>
      <c r="S9" s="18">
        <f>Table1[[#This Row],[EQside1]]*prize</f>
        <v>0</v>
      </c>
      <c r="T9" s="20">
        <f>Table1[[#This Row],[playersside1]]*Table1[[#This Row],[stackside1]]/3000+1</f>
        <v>1.05</v>
      </c>
      <c r="V9" s="19">
        <v>6</v>
      </c>
      <c r="W9" s="17">
        <v>10</v>
      </c>
      <c r="X9" s="17">
        <v>4.4000000000000003E-3</v>
      </c>
      <c r="Y9" s="18">
        <f>Table1[[#This Row],[EQside2]]*prize</f>
        <v>0</v>
      </c>
      <c r="Z9" s="20">
        <f>Table1[[#This Row],[playersside2]]*Table1[[#This Row],[stackside2]]/3000</f>
        <v>0.02</v>
      </c>
      <c r="AB9" s="21">
        <v>5</v>
      </c>
      <c r="AC9" s="17">
        <v>10</v>
      </c>
      <c r="AD9" s="17">
        <v>4.3E-3</v>
      </c>
      <c r="AE9" s="18">
        <f>Table1[[#This Row],[EQf]]*prize</f>
        <v>0</v>
      </c>
      <c r="AF9" s="22">
        <f>Table1[[#This Row],[playersf]]*Table1[[#This Row],[stackf]]/3000</f>
        <v>1.6666666666666666E-2</v>
      </c>
      <c r="AG9" s="35">
        <f>Table2[[#This Row],[EQwin]]*Table2[[#This Row],[pWin]] + Table2[[#This Row],[EQlose]]*(1-Table2[[#This Row],[pWin]]) - Table2[[#This Row],[Eqfact]]</f>
        <v>0</v>
      </c>
      <c r="AH9" s="23">
        <f>p3win*(p1spwin*Table1[[#This Row],[ICMside1]]+(1-p1spwin)*Table1[[#This Row],[ICMside2]])+p2win*Table1[[#This Row],[ICM2]]+p1win*Table1[[#This Row],[ICM1]] -Table1[[#This Row],[ICMf]]</f>
        <v>0</v>
      </c>
      <c r="AI9" s="23">
        <f>p3win*(p1spwin*Table1[[#This Row],[KOside1]]+(1-p1spwin)*Table1[[#This Row],[KOside2]])+p2win*Table1[[#This Row],[KO2]]+p1win*Table1[[#This Row],[KO1]] -Table1[[#This Row],[KOf]]</f>
        <v>0.46342952659999997</v>
      </c>
      <c r="AJ9" s="70">
        <f>Table1[[#This Row],[ICMd]]+Table1[[#This Row],[KOd]]</f>
        <v>0.46342952659999997</v>
      </c>
      <c r="AK9" s="17">
        <f>p3win*(p1spwin*Table1[[#This Row],[stackside1]]+(1-p1spwin)*Table1[[#This Row],[stackside2]])+p2win*Table1[[#This Row],[stack2]]+p1win*Table1[[#This Row],[stack1]] -Table1[[#This Row],[stackf]]</f>
        <v>133.83420439999998</v>
      </c>
      <c r="AM9" s="17">
        <f>M1*p1win+M2*p1spwin-Table1[[#This Row],[stackf]]+10</f>
        <v>135.726</v>
      </c>
    </row>
    <row r="10" spans="1:39" x14ac:dyDescent="0.25">
      <c r="B10">
        <v>540</v>
      </c>
      <c r="E10" s="10">
        <v>4</v>
      </c>
      <c r="F10">
        <v>538</v>
      </c>
      <c r="G10">
        <v>0.21279999999999999</v>
      </c>
      <c r="H10" s="2">
        <f>Table1[[#This Row],[EQ1]]*prize</f>
        <v>0</v>
      </c>
      <c r="I10" s="16">
        <f>Table1[[#This Row],[players1]]*Table1[[#This Row],[stack1]]/chips</f>
        <v>0.71733333333333338</v>
      </c>
      <c r="J10" s="10">
        <v>5</v>
      </c>
      <c r="K10">
        <v>538</v>
      </c>
      <c r="L10">
        <v>0.21190000000000001</v>
      </c>
      <c r="M10" s="2">
        <f>Table1[[#This Row],[EQ2]]*prize</f>
        <v>0</v>
      </c>
      <c r="N10" s="14">
        <f>Table1[[#This Row],[players2]]*Table1[[#This Row],[stack2]]/3000</f>
        <v>0.89666666666666661</v>
      </c>
      <c r="O10" s="67"/>
      <c r="P10" s="10">
        <v>5</v>
      </c>
      <c r="Q10">
        <v>538</v>
      </c>
      <c r="R10">
        <v>0.21029999999999999</v>
      </c>
      <c r="S10" s="2">
        <f>Table1[[#This Row],[EQside1]]*prize</f>
        <v>0</v>
      </c>
      <c r="T10" s="14">
        <f>Table1[[#This Row],[playersside1]]*Table1[[#This Row],[stackside1]]/3000</f>
        <v>0.89666666666666661</v>
      </c>
      <c r="V10" s="10">
        <v>6</v>
      </c>
      <c r="W10">
        <v>538</v>
      </c>
      <c r="X10">
        <v>0.2102</v>
      </c>
      <c r="Y10" s="2">
        <f>Table1[[#This Row],[EQside2]]*prize</f>
        <v>0</v>
      </c>
      <c r="Z10" s="14">
        <f>Table1[[#This Row],[playersside2]]*Table1[[#This Row],[stackside2]]/3000</f>
        <v>1.0760000000000001</v>
      </c>
      <c r="AB10" s="8">
        <v>5</v>
      </c>
      <c r="AC10">
        <v>538</v>
      </c>
      <c r="AD10">
        <v>0.21190000000000001</v>
      </c>
      <c r="AE10" s="2">
        <f>Table1[[#This Row],[EQf]]*prize</f>
        <v>0</v>
      </c>
      <c r="AF10" s="15">
        <f>Table1[[#This Row],[playersf]]*Table1[[#This Row],[stackf]]/3000</f>
        <v>0.89666666666666661</v>
      </c>
      <c r="AG10" s="38">
        <f>Table2[[#This Row],[EQwin]]*Table2[[#This Row],[pWin]] + Table2[[#This Row],[EQlose]]*(1-Table2[[#This Row],[pWin]]) - Table2[[#This Row],[Eqfact]]</f>
        <v>0</v>
      </c>
      <c r="AH10" s="12">
        <f>p3win*(p1spwin*Table1[[#This Row],[ICMside1]]+(1-p1spwin)*Table1[[#This Row],[ICMside2]])+p2win*Table1[[#This Row],[ICM2]]+p1win*Table1[[#This Row],[ICM1]] -Table1[[#This Row],[ICMf]]</f>
        <v>0</v>
      </c>
      <c r="AI10" s="69">
        <f>p3win*(p1spwin*Table1[[#This Row],[KOside1]]+(1-p1spwin)*Table1[[#This Row],[KOside2]])+p2win*Table1[[#This Row],[KO2]]+p1win*Table1[[#This Row],[KO1]] -Table1[[#This Row],[KOf]]</f>
        <v>3.0610367213333434E-2</v>
      </c>
      <c r="AJ10" s="69">
        <f>Table1[[#This Row],[ICMd]]+Table1[[#This Row],[KOd]]</f>
        <v>3.0610367213333434E-2</v>
      </c>
      <c r="AK10">
        <f>p3win*(p1spwin*Table1[[#This Row],[stackside1]]+(1-p1spwin)*Table1[[#This Row],[stackside2]])+p2win*Table1[[#This Row],[stack2]]+p1win*Table1[[#This Row],[stack1]] -Table1[[#This Row],[stackf]]</f>
        <v>0</v>
      </c>
    </row>
    <row r="11" spans="1:39" x14ac:dyDescent="0.25">
      <c r="B11">
        <v>498</v>
      </c>
      <c r="E11" s="10">
        <v>4</v>
      </c>
      <c r="F11">
        <v>496</v>
      </c>
      <c r="G11">
        <v>0.19789999999999999</v>
      </c>
      <c r="H11" s="2">
        <f>Table1[[#This Row],[EQ1]]*prize</f>
        <v>0</v>
      </c>
      <c r="I11" s="16">
        <f>Table1[[#This Row],[players1]]*Table1[[#This Row],[stack1]]/chips</f>
        <v>0.66133333333333333</v>
      </c>
      <c r="J11" s="10">
        <v>5</v>
      </c>
      <c r="K11">
        <v>496</v>
      </c>
      <c r="L11">
        <v>0.1971</v>
      </c>
      <c r="M11" s="2">
        <f>Table1[[#This Row],[EQ2]]*prize</f>
        <v>0</v>
      </c>
      <c r="N11" s="14">
        <f>Table1[[#This Row],[players2]]*Table1[[#This Row],[stack2]]/3000</f>
        <v>0.82666666666666666</v>
      </c>
      <c r="O11" s="67"/>
      <c r="P11" s="10">
        <v>5</v>
      </c>
      <c r="Q11">
        <v>496</v>
      </c>
      <c r="R11">
        <v>0.19550000000000001</v>
      </c>
      <c r="S11" s="2">
        <f>Table1[[#This Row],[EQside1]]*prize</f>
        <v>0</v>
      </c>
      <c r="T11" s="14">
        <f>Table1[[#This Row],[playersside1]]*Table1[[#This Row],[stackside1]]/3000</f>
        <v>0.82666666666666666</v>
      </c>
      <c r="V11" s="10">
        <v>6</v>
      </c>
      <c r="W11">
        <v>496</v>
      </c>
      <c r="X11">
        <v>0.19550000000000001</v>
      </c>
      <c r="Y11" s="2">
        <f>Table1[[#This Row],[EQside2]]*prize</f>
        <v>0</v>
      </c>
      <c r="Z11" s="14">
        <f>Table1[[#This Row],[playersside2]]*Table1[[#This Row],[stackside2]]/3000</f>
        <v>0.99199999999999999</v>
      </c>
      <c r="AB11" s="8">
        <v>5</v>
      </c>
      <c r="AC11">
        <v>496</v>
      </c>
      <c r="AD11">
        <v>0.1971</v>
      </c>
      <c r="AE11" s="2">
        <f>Table1[[#This Row],[EQf]]*prize</f>
        <v>0</v>
      </c>
      <c r="AF11" s="15">
        <f>Table1[[#This Row],[playersf]]*Table1[[#This Row],[stackf]]/3000</f>
        <v>0.82666666666666666</v>
      </c>
      <c r="AG11" s="38">
        <f>Table2[[#This Row],[EQwin]]*Table2[[#This Row],[pWin]] + Table2[[#This Row],[EQlose]]*(1-Table2[[#This Row],[pWin]]) - Table2[[#This Row],[Eqfact]]</f>
        <v>-7.9633889999999985E-2</v>
      </c>
      <c r="AH11" s="12">
        <f>p3win*(p1spwin*Table1[[#This Row],[ICMside1]]+(1-p1spwin)*Table1[[#This Row],[ICMside2]])+p2win*Table1[[#This Row],[ICM2]]+p1win*Table1[[#This Row],[ICM1]] -Table1[[#This Row],[ICMf]]</f>
        <v>0</v>
      </c>
      <c r="AI11" s="69">
        <f>p3win*(p1spwin*Table1[[#This Row],[KOside1]]+(1-p1spwin)*Table1[[#This Row],[KOside2]])+p2win*Table1[[#This Row],[KO2]]+p1win*Table1[[#This Row],[KO1]] -Table1[[#This Row],[KOf]]</f>
        <v>2.8220710293333173E-2</v>
      </c>
      <c r="AJ11" s="69">
        <f>Table1[[#This Row],[ICMd]]+Table1[[#This Row],[KOd]]</f>
        <v>2.8220710293333173E-2</v>
      </c>
      <c r="AK11">
        <f>p3win*(p1spwin*Table1[[#This Row],[stackside1]]+(1-p1spwin)*Table1[[#This Row],[stackside2]])+p2win*Table1[[#This Row],[stack2]]+p1win*Table1[[#This Row],[stack1]] -Table1[[#This Row],[stackf]]</f>
        <v>0</v>
      </c>
    </row>
    <row r="12" spans="1:39" s="26" customFormat="1" x14ac:dyDescent="0.25">
      <c r="A12" s="26">
        <v>2</v>
      </c>
      <c r="B12" s="26">
        <v>488</v>
      </c>
      <c r="C12" s="26" t="s">
        <v>30</v>
      </c>
      <c r="D12" s="26">
        <v>0.54559999999999997</v>
      </c>
      <c r="E12" s="29">
        <v>4</v>
      </c>
      <c r="F12" s="26">
        <v>0</v>
      </c>
      <c r="G12" s="26">
        <v>0</v>
      </c>
      <c r="H12" s="27">
        <f>Table1[[#This Row],[EQ1]]*prize</f>
        <v>0</v>
      </c>
      <c r="I12" s="28">
        <f>Table1[[#This Row],[players1]]*Table1[[#This Row],[stack1]]/chips</f>
        <v>0</v>
      </c>
      <c r="J12" s="29">
        <v>5</v>
      </c>
      <c r="K12" s="26">
        <v>1480</v>
      </c>
      <c r="L12" s="26">
        <v>0.39679999999999999</v>
      </c>
      <c r="M12" s="27">
        <f>Table1[[#This Row],[EQ2]]*prize</f>
        <v>0</v>
      </c>
      <c r="N12" s="30">
        <f>Table1[[#This Row],[players2]]*Table1[[#This Row],[stack2]]/3000+1</f>
        <v>3.4666666666666668</v>
      </c>
      <c r="O12" s="72"/>
      <c r="P12" s="29">
        <v>5</v>
      </c>
      <c r="Q12" s="26">
        <v>0</v>
      </c>
      <c r="R12" s="26">
        <v>0</v>
      </c>
      <c r="S12" s="27">
        <f>Table1[[#This Row],[EQside1]]*prize</f>
        <v>0</v>
      </c>
      <c r="T12" s="30">
        <f>Table1[[#This Row],[playersside1]]*Table1[[#This Row],[stackside1]]/3000</f>
        <v>0</v>
      </c>
      <c r="V12" s="29">
        <v>6</v>
      </c>
      <c r="W12" s="26">
        <v>20</v>
      </c>
      <c r="X12" s="26">
        <v>8.5000000000000006E-3</v>
      </c>
      <c r="Y12" s="27">
        <f>Table1[[#This Row],[EQside2]]*prize</f>
        <v>0</v>
      </c>
      <c r="Z12" s="30">
        <f>Table1[[#This Row],[playersside2]]*Table1[[#This Row],[stackside2]]/3000</f>
        <v>0.04</v>
      </c>
      <c r="AB12" s="31">
        <v>5</v>
      </c>
      <c r="AC12" s="26">
        <v>1480</v>
      </c>
      <c r="AD12" s="26">
        <v>0.39679999999999999</v>
      </c>
      <c r="AE12" s="27">
        <f>Table1[[#This Row],[EQf]]*prize</f>
        <v>0</v>
      </c>
      <c r="AF12" s="32">
        <f>Table1[[#This Row],[playersf]]*Table1[[#This Row],[stackf]]/3000+1</f>
        <v>3.4666666666666668</v>
      </c>
      <c r="AG12" s="39">
        <f>Table2[[#This Row],[EQwin]]*Table2[[#This Row],[pWin]] + Table2[[#This Row],[EQlose]]*(1-Table2[[#This Row],[pWin]]) - Table2[[#This Row],[Eqfact]]</f>
        <v>7.9633889999999999E-2</v>
      </c>
      <c r="AH12" s="12">
        <f>p3win*(p1spwin*Table1[[#This Row],[ICMside1]]+(1-p1spwin)*Table1[[#This Row],[ICMside2]])+p2win*Table1[[#This Row],[ICM2]]+p1win*Table1[[#This Row],[ICM1]] -Table1[[#This Row],[ICMf]]</f>
        <v>0</v>
      </c>
      <c r="AI12" s="73">
        <f>p3win*(p1spwin*Table1[[#This Row],[KOside1]]+(1-p1spwin)*Table1[[#This Row],[KOside2]])+p2win*Table1[[#This Row],[KO2]]+p1win*Table1[[#This Row],[KO1]] -Table1[[#This Row],[KOf]]</f>
        <v>-1.5648657421333334</v>
      </c>
      <c r="AJ12" s="73">
        <f>Table1[[#This Row],[ICMd]]+Table1[[#This Row],[KOd]]</f>
        <v>-1.5648657421333334</v>
      </c>
      <c r="AK12" s="26">
        <f>p3win*(p1spwin*Table1[[#This Row],[stackside1]]+(1-p1spwin)*Table1[[#This Row],[stackside2]])+p2win*Table1[[#This Row],[stack2]]+p1win*Table1[[#This Row],[stack1]] -Table1[[#This Row],[stackf]]</f>
        <v>-667.31820440000001</v>
      </c>
    </row>
    <row r="13" spans="1:39" x14ac:dyDescent="0.25">
      <c r="A13">
        <v>3</v>
      </c>
      <c r="B13">
        <v>478</v>
      </c>
      <c r="C13" t="s">
        <v>48</v>
      </c>
      <c r="D13">
        <v>0.3654</v>
      </c>
      <c r="E13" s="10">
        <v>4</v>
      </c>
      <c r="F13">
        <v>0</v>
      </c>
      <c r="H13" s="2">
        <f>Table1[[#This Row],[EQ1]]*prize</f>
        <v>0</v>
      </c>
      <c r="I13" s="16">
        <f>Table1[[#This Row],[players1]]*Table1[[#This Row],[stack1]]/chips</f>
        <v>0</v>
      </c>
      <c r="J13" s="10">
        <v>5</v>
      </c>
      <c r="K13">
        <v>0</v>
      </c>
      <c r="M13" s="2">
        <f>Table1[[#This Row],[EQ2]]*prize</f>
        <v>0</v>
      </c>
      <c r="N13" s="14">
        <f>Table1[[#This Row],[players2]]*Table1[[#This Row],[stack2]]/3000</f>
        <v>0</v>
      </c>
      <c r="O13" s="67"/>
      <c r="P13" s="10">
        <v>5</v>
      </c>
      <c r="Q13">
        <v>1460</v>
      </c>
      <c r="R13">
        <v>0.3931</v>
      </c>
      <c r="S13" s="2">
        <f>Table1[[#This Row],[EQside1]]*prize</f>
        <v>0</v>
      </c>
      <c r="T13" s="14">
        <f>Table1[[#This Row],[playersside1]]*Table1[[#This Row],[stackside1]]/3000</f>
        <v>2.4333333333333331</v>
      </c>
      <c r="V13" s="10">
        <v>6</v>
      </c>
      <c r="W13">
        <v>1460</v>
      </c>
      <c r="X13">
        <v>0.39300000000000002</v>
      </c>
      <c r="Y13" s="2">
        <f>Table1[[#This Row],[EQside2]]*prize</f>
        <v>0</v>
      </c>
      <c r="Z13" s="14">
        <f>Table1[[#This Row],[playersside2]]*Table1[[#This Row],[stackside2]]/3000</f>
        <v>2.92</v>
      </c>
      <c r="AB13" s="8">
        <v>5</v>
      </c>
      <c r="AC13">
        <v>0</v>
      </c>
      <c r="AE13" s="2">
        <f>Table1[[#This Row],[EQf]]*prize</f>
        <v>0</v>
      </c>
      <c r="AF13" s="15">
        <f>Table1[[#This Row],[playersf]]*Table1[[#This Row],[stackf]]/3000</f>
        <v>0</v>
      </c>
      <c r="AG13" s="38">
        <f>Table2[[#This Row],[EQwin]]*Table2[[#This Row],[pWin]] + Table2[[#This Row],[EQlose]]*(1-Table2[[#This Row],[pWin]]) - Table2[[#This Row],[Eqfact]]</f>
        <v>0</v>
      </c>
      <c r="AH13" s="12">
        <f>p3win*(p1spwin*Table1[[#This Row],[ICMside1]]+(1-p1spwin)*Table1[[#This Row],[ICMside2]])+p2win*Table1[[#This Row],[ICM2]]+p1win*Table1[[#This Row],[ICM1]] -Table1[[#This Row],[ICMf]]</f>
        <v>0</v>
      </c>
      <c r="AI13" s="69">
        <f>p3win*(p1spwin*Table1[[#This Row],[KOside1]]+(1-p1spwin)*Table1[[#This Row],[KOside2]])+p2win*Table1[[#This Row],[KO2]]+p1win*Table1[[#This Row],[KO1]] -Table1[[#This Row],[KOf]]</f>
        <v>1.0155223596</v>
      </c>
      <c r="AJ13" s="69">
        <f>Table1[[#This Row],[ICMd]]+Table1[[#This Row],[KOd]]</f>
        <v>1.0155223596</v>
      </c>
      <c r="AK13">
        <f>p3win*(p1spwin*Table1[[#This Row],[stackside1]]+(1-p1spwin)*Table1[[#This Row],[stackside2]])+p2win*Table1[[#This Row],[stack2]]+p1win*Table1[[#This Row],[stack1]] -Table1[[#This Row],[stackf]]</f>
        <v>533.48400000000004</v>
      </c>
    </row>
    <row r="14" spans="1:39" x14ac:dyDescent="0.25">
      <c r="B14">
        <v>498</v>
      </c>
      <c r="E14" s="10">
        <v>4</v>
      </c>
      <c r="F14">
        <v>476</v>
      </c>
      <c r="G14">
        <v>0.19070000000000001</v>
      </c>
      <c r="H14" s="2">
        <f>Table1[[#This Row],[EQ1]]*prize</f>
        <v>0</v>
      </c>
      <c r="I14" s="16">
        <f>Table1[[#This Row],[players1]]*Table1[[#This Row],[stack1]]/chips</f>
        <v>0.63466666666666671</v>
      </c>
      <c r="J14" s="10">
        <v>5</v>
      </c>
      <c r="K14">
        <v>476</v>
      </c>
      <c r="L14">
        <v>0.18990000000000001</v>
      </c>
      <c r="M14" s="2">
        <f>Table1[[#This Row],[EQ2]]*prize</f>
        <v>0</v>
      </c>
      <c r="N14" s="14">
        <f>Table1[[#This Row],[players2]]*Table1[[#This Row],[stack2]]/3000</f>
        <v>0.79333333333333333</v>
      </c>
      <c r="O14" s="67"/>
      <c r="P14" s="10">
        <v>5</v>
      </c>
      <c r="Q14">
        <v>476</v>
      </c>
      <c r="R14">
        <v>0.18840000000000001</v>
      </c>
      <c r="S14" s="2">
        <f>Table1[[#This Row],[EQside1]]*prize</f>
        <v>0</v>
      </c>
      <c r="T14" s="14">
        <f>Table1[[#This Row],[playersside1]]*Table1[[#This Row],[stackside1]]/3000</f>
        <v>0.79333333333333333</v>
      </c>
      <c r="V14" s="10">
        <v>6</v>
      </c>
      <c r="W14">
        <v>476</v>
      </c>
      <c r="X14">
        <v>0.18840000000000001</v>
      </c>
      <c r="Y14" s="2">
        <f>Table1[[#This Row],[EQside2]]*prize</f>
        <v>0</v>
      </c>
      <c r="Z14" s="14">
        <f>Table1[[#This Row],[playersside2]]*Table1[[#This Row],[stackside2]]/3000</f>
        <v>0.95199999999999996</v>
      </c>
      <c r="AB14" s="8">
        <v>5</v>
      </c>
      <c r="AC14">
        <v>476</v>
      </c>
      <c r="AD14">
        <v>0.18990000000000001</v>
      </c>
      <c r="AE14" s="2">
        <f>Table1[[#This Row],[EQf]]*prize</f>
        <v>0</v>
      </c>
      <c r="AF14" s="15">
        <f>Table1[[#This Row],[playersf]]*Table1[[#This Row],[stackf]]/3000</f>
        <v>0.79333333333333333</v>
      </c>
      <c r="AG14" s="38">
        <f>Table2[[#This Row],[EQwin]]*Table2[[#This Row],[pWin]] + Table2[[#This Row],[EQlose]]*(1-Table2[[#This Row],[pWin]]) - Table2[[#This Row],[Eqfact]]</f>
        <v>0</v>
      </c>
      <c r="AH14" s="12">
        <f>p3win*(p1spwin*Table1[[#This Row],[ICMside1]]+(1-p1spwin)*Table1[[#This Row],[ICMside2]])+p2win*Table1[[#This Row],[ICM2]]+p1win*Table1[[#This Row],[ICM1]] -Table1[[#This Row],[ICMf]]</f>
        <v>0</v>
      </c>
      <c r="AI14" s="69">
        <f>p3win*(p1spwin*Table1[[#This Row],[KOside1]]+(1-p1spwin)*Table1[[#This Row],[KOside2]])+p2win*Table1[[#This Row],[KO2]]+p1win*Table1[[#This Row],[KO1]] -Table1[[#This Row],[KOf]]</f>
        <v>2.708277842666662E-2</v>
      </c>
      <c r="AJ14" s="69">
        <f>Table1[[#This Row],[ICMd]]+Table1[[#This Row],[KOd]]</f>
        <v>2.708277842666662E-2</v>
      </c>
      <c r="AK14">
        <f>p3win*(p1spwin*Table1[[#This Row],[stackside1]]+(1-p1spwin)*Table1[[#This Row],[stackside2]])+p2win*Table1[[#This Row],[stack2]]+p1win*Table1[[#This Row],[stack1]] -Table1[[#This Row],[stackf]]</f>
        <v>0</v>
      </c>
    </row>
    <row r="15" spans="1:39" s="37" customFormat="1" x14ac:dyDescent="0.25">
      <c r="A15" s="50"/>
      <c r="B15" s="50"/>
      <c r="C15" s="50"/>
      <c r="D15" s="50"/>
      <c r="E15" s="53"/>
      <c r="F15" s="50">
        <f>SUM(Table1[stack1])</f>
        <v>3000</v>
      </c>
      <c r="G15" s="50">
        <f>SUM(Table1[EQ1])</f>
        <v>0.99999999999999989</v>
      </c>
      <c r="H15" s="52">
        <f>SUM(Table1[ICM1])</f>
        <v>0</v>
      </c>
      <c r="I15" s="52">
        <f>SUM(Table1[KO1])</f>
        <v>6</v>
      </c>
      <c r="J15" s="53"/>
      <c r="K15" s="50">
        <f>SUM(Table1[stack1])</f>
        <v>3000</v>
      </c>
      <c r="L15" s="52">
        <f>SUM(Table1[EQ2])</f>
        <v>1</v>
      </c>
      <c r="M15" s="52">
        <f>SUM(Table1[ICM2])</f>
        <v>0</v>
      </c>
      <c r="N15" s="52">
        <f>SUM(Table1[KO2])</f>
        <v>6</v>
      </c>
      <c r="O15" s="71"/>
      <c r="P15" s="53"/>
      <c r="Q15" s="52">
        <f>SUM(Table1[stackside1])</f>
        <v>3000</v>
      </c>
      <c r="R15" s="52">
        <f>SUM(Table1[EQside1])</f>
        <v>1</v>
      </c>
      <c r="S15" s="52">
        <f>SUM(Table1[ICMside1])</f>
        <v>0</v>
      </c>
      <c r="T15" s="52">
        <f>SUM(Table1[KOside1])</f>
        <v>6</v>
      </c>
      <c r="U15" s="50"/>
      <c r="V15" s="53"/>
      <c r="W15" s="52">
        <f>SUM(Table1[stackside2])</f>
        <v>3000</v>
      </c>
      <c r="X15" s="52">
        <f>SUM(Table1[EQside2])</f>
        <v>1</v>
      </c>
      <c r="Y15" s="52">
        <f>SUM(Table1[ICMside2])</f>
        <v>0</v>
      </c>
      <c r="Z15" s="52">
        <f>SUM(Table1[KOside2])</f>
        <v>6</v>
      </c>
      <c r="AA15" s="50"/>
      <c r="AB15" s="54"/>
      <c r="AC15" s="52">
        <f>SUM(Table1[stackf])</f>
        <v>3000</v>
      </c>
      <c r="AD15" s="52">
        <f>SUM(Table1[EQf])</f>
        <v>1</v>
      </c>
      <c r="AE15" s="51"/>
      <c r="AF15" s="52">
        <f>SUM(Table1[KOf])</f>
        <v>6</v>
      </c>
      <c r="AG15" s="55">
        <f>Table2[[#This Row],[EQwin]]*Table2[[#This Row],[pWin]] + Table2[[#This Row],[EQlose]]*(1-Table2[[#This Row],[pWin]]) - Table2[[#This Row],[Eqfact]]</f>
        <v>-0.17214599999999999</v>
      </c>
      <c r="AH15" s="52">
        <f>SUM(Table1[ICMd])</f>
        <v>0</v>
      </c>
      <c r="AI15" s="52">
        <f>SUM(Table1[KOd])</f>
        <v>-1.1102230246251565E-16</v>
      </c>
      <c r="AJ15" s="52">
        <f>SUM(Table1[totald])</f>
        <v>-1.1102230246251565E-16</v>
      </c>
      <c r="AK15" s="50"/>
    </row>
  </sheetData>
  <mergeCells count="6">
    <mergeCell ref="P7:T7"/>
    <mergeCell ref="V7:Z7"/>
    <mergeCell ref="AH7:AJ7"/>
    <mergeCell ref="E7:I7"/>
    <mergeCell ref="J7:N7"/>
    <mergeCell ref="AB7:AF7"/>
  </mergeCells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P70"/>
  <sheetViews>
    <sheetView workbookViewId="0">
      <selection activeCell="N11" sqref="N11"/>
    </sheetView>
  </sheetViews>
  <sheetFormatPr defaultRowHeight="15" x14ac:dyDescent="0.25"/>
  <cols>
    <col min="1" max="1" width="9.28515625" customWidth="1"/>
    <col min="6" max="6" width="10.28515625" customWidth="1"/>
    <col min="13" max="13" width="10.28515625" customWidth="1"/>
    <col min="20" max="20" width="9.5703125" bestFit="1" customWidth="1"/>
    <col min="27" max="27" width="7.7109375" customWidth="1"/>
    <col min="28" max="29" width="8.5703125" customWidth="1"/>
    <col min="30" max="30" width="9.85546875" customWidth="1"/>
    <col min="31" max="31" width="8.42578125" customWidth="1"/>
    <col min="62" max="62" width="10" customWidth="1"/>
    <col min="66" max="66" width="10.5703125" customWidth="1"/>
    <col min="69" max="69" width="10" customWidth="1"/>
    <col min="72" max="72" width="10" customWidth="1"/>
    <col min="75" max="75" width="10.28515625" customWidth="1"/>
    <col min="78" max="78" width="10.140625" customWidth="1"/>
  </cols>
  <sheetData>
    <row r="1" spans="1:92" x14ac:dyDescent="0.25">
      <c r="C1" t="s">
        <v>2</v>
      </c>
      <c r="D1">
        <f>bounty*6</f>
        <v>0</v>
      </c>
      <c r="F1" t="s">
        <v>85</v>
      </c>
      <c r="G1">
        <v>0.16070000000000001</v>
      </c>
      <c r="I1" t="s">
        <v>126</v>
      </c>
      <c r="J1">
        <v>0.16919999999999999</v>
      </c>
      <c r="N1" t="s">
        <v>129</v>
      </c>
      <c r="O1" s="77">
        <v>0.54400000000000004</v>
      </c>
      <c r="S1" t="s">
        <v>90</v>
      </c>
      <c r="T1">
        <v>182</v>
      </c>
    </row>
    <row r="2" spans="1:92" x14ac:dyDescent="0.25">
      <c r="C2" t="s">
        <v>1</v>
      </c>
      <c r="D2">
        <f>bounty</f>
        <v>0</v>
      </c>
      <c r="F2" t="s">
        <v>86</v>
      </c>
      <c r="G2">
        <v>0.1988</v>
      </c>
      <c r="I2" t="s">
        <v>127</v>
      </c>
      <c r="J2">
        <v>0.38219999999999998</v>
      </c>
      <c r="N2" t="s">
        <v>130</v>
      </c>
      <c r="O2">
        <v>0.45600000000000002</v>
      </c>
      <c r="S2" t="s">
        <v>131</v>
      </c>
      <c r="T2">
        <v>1272</v>
      </c>
    </row>
    <row r="3" spans="1:92" x14ac:dyDescent="0.25">
      <c r="C3" t="s">
        <v>67</v>
      </c>
      <c r="D3">
        <v>3000</v>
      </c>
      <c r="F3" t="s">
        <v>87</v>
      </c>
      <c r="G3">
        <v>0.35339999999999999</v>
      </c>
      <c r="I3" t="s">
        <v>128</v>
      </c>
      <c r="J3">
        <v>0.4486</v>
      </c>
      <c r="S3" t="s">
        <v>132</v>
      </c>
      <c r="T3">
        <v>40</v>
      </c>
    </row>
    <row r="4" spans="1:92" x14ac:dyDescent="0.25">
      <c r="F4" t="s">
        <v>125</v>
      </c>
      <c r="G4">
        <v>0.28710000000000002</v>
      </c>
      <c r="S4" t="s">
        <v>137</v>
      </c>
      <c r="T4">
        <v>548</v>
      </c>
    </row>
    <row r="6" spans="1:92" x14ac:dyDescent="0.25">
      <c r="C6" t="s">
        <v>97</v>
      </c>
      <c r="D6" t="s">
        <v>98</v>
      </c>
    </row>
    <row r="7" spans="1:92" x14ac:dyDescent="0.25">
      <c r="C7" t="s">
        <v>95</v>
      </c>
      <c r="D7" t="s">
        <v>94</v>
      </c>
    </row>
    <row r="8" spans="1:92" x14ac:dyDescent="0.25">
      <c r="C8" t="s">
        <v>96</v>
      </c>
      <c r="D8" t="s">
        <v>99</v>
      </c>
    </row>
    <row r="10" spans="1:92" ht="19.5" thickBot="1" x14ac:dyDescent="0.35">
      <c r="F10" s="66"/>
      <c r="G10" s="66"/>
      <c r="H10" s="66"/>
      <c r="I10" s="66"/>
      <c r="J10" s="66"/>
      <c r="K10" s="74"/>
      <c r="AH10" s="76"/>
      <c r="AJ10" t="s">
        <v>155</v>
      </c>
      <c r="AQ10" t="s">
        <v>156</v>
      </c>
      <c r="AX10" t="s">
        <v>157</v>
      </c>
      <c r="BE10" t="s">
        <v>158</v>
      </c>
      <c r="BX10" t="s">
        <v>161</v>
      </c>
    </row>
    <row r="11" spans="1:92" ht="20.25" thickTop="1" thickBot="1" x14ac:dyDescent="0.35">
      <c r="F11" s="66"/>
      <c r="G11" s="66"/>
      <c r="H11" s="66"/>
      <c r="I11" s="66"/>
      <c r="J11" s="66"/>
      <c r="K11" s="74"/>
      <c r="V11" t="s">
        <v>152</v>
      </c>
      <c r="AC11" t="s">
        <v>154</v>
      </c>
      <c r="AH11" s="87" t="s">
        <v>139</v>
      </c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88"/>
      <c r="BD11" s="88"/>
      <c r="BE11" s="88"/>
      <c r="BF11" s="88"/>
      <c r="BG11" s="88"/>
      <c r="BR11" t="s">
        <v>160</v>
      </c>
      <c r="BW11" s="87" t="s">
        <v>139</v>
      </c>
      <c r="BX11" s="88"/>
      <c r="BY11" s="88"/>
      <c r="BZ11" s="88"/>
      <c r="CD11" t="s">
        <v>162</v>
      </c>
    </row>
    <row r="12" spans="1:92" ht="20.25" thickTop="1" thickBot="1" x14ac:dyDescent="0.35">
      <c r="F12" s="66"/>
      <c r="G12" s="66"/>
      <c r="H12" s="66"/>
      <c r="I12" s="66"/>
      <c r="J12" s="66"/>
      <c r="K12" s="74"/>
      <c r="T12" s="87" t="s">
        <v>138</v>
      </c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92"/>
      <c r="AH12" s="87" t="s">
        <v>144</v>
      </c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Q12" s="87" t="s">
        <v>138</v>
      </c>
      <c r="BR12" s="88"/>
      <c r="BS12" s="88"/>
      <c r="BT12" s="88"/>
      <c r="BW12" s="87" t="s">
        <v>138</v>
      </c>
      <c r="BX12" s="88"/>
      <c r="BY12" s="88"/>
      <c r="BZ12" s="88"/>
      <c r="CC12" s="87" t="s">
        <v>139</v>
      </c>
      <c r="CD12" s="88"/>
      <c r="CE12" s="88"/>
      <c r="CF12" s="88"/>
      <c r="CI12" s="87" t="s">
        <v>140</v>
      </c>
      <c r="CJ12" s="88"/>
      <c r="CK12" s="88"/>
      <c r="CL12" s="88"/>
    </row>
    <row r="13" spans="1:92" ht="20.25" thickTop="1" thickBot="1" x14ac:dyDescent="0.35">
      <c r="F13" s="66"/>
      <c r="G13" s="66"/>
      <c r="H13" s="66" t="s">
        <v>151</v>
      </c>
      <c r="I13" s="66"/>
      <c r="J13" s="66"/>
      <c r="K13" s="74"/>
      <c r="O13" t="s">
        <v>153</v>
      </c>
      <c r="T13" s="87" t="s">
        <v>101</v>
      </c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92"/>
      <c r="AH13" s="87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92"/>
      <c r="AV13" s="87" t="s">
        <v>145</v>
      </c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92"/>
      <c r="BL13" t="s">
        <v>159</v>
      </c>
      <c r="BQ13" s="87" t="s">
        <v>101</v>
      </c>
      <c r="BR13" s="88"/>
      <c r="BS13" s="88"/>
      <c r="BT13" s="88"/>
      <c r="BW13" s="87" t="s">
        <v>101</v>
      </c>
      <c r="BX13" s="88"/>
      <c r="BY13" s="88"/>
      <c r="BZ13" s="88"/>
      <c r="CC13" s="87" t="s">
        <v>100</v>
      </c>
      <c r="CD13" s="88"/>
      <c r="CE13" s="88"/>
      <c r="CF13" s="88"/>
      <c r="CI13" s="87"/>
      <c r="CJ13" s="88"/>
      <c r="CK13" s="88"/>
      <c r="CL13" s="88"/>
    </row>
    <row r="14" spans="1:92" ht="19.5" thickTop="1" x14ac:dyDescent="0.3">
      <c r="F14" s="81" t="s">
        <v>49</v>
      </c>
      <c r="G14" s="82"/>
      <c r="H14" s="82"/>
      <c r="I14" s="82"/>
      <c r="J14" s="83"/>
      <c r="K14" s="74"/>
      <c r="M14" s="81" t="s">
        <v>50</v>
      </c>
      <c r="N14" s="82"/>
      <c r="O14" s="82"/>
      <c r="P14" s="82"/>
      <c r="Q14" s="83"/>
      <c r="R14" s="74"/>
      <c r="T14" s="89" t="s">
        <v>68</v>
      </c>
      <c r="U14" s="90"/>
      <c r="V14" s="90"/>
      <c r="W14" s="90"/>
      <c r="X14" s="91"/>
      <c r="Y14" s="74"/>
      <c r="AA14" s="89" t="s">
        <v>69</v>
      </c>
      <c r="AB14" s="90"/>
      <c r="AC14" s="90"/>
      <c r="AD14" s="90"/>
      <c r="AE14" s="91"/>
      <c r="AH14" s="89" t="s">
        <v>68</v>
      </c>
      <c r="AI14" s="90"/>
      <c r="AJ14" s="90"/>
      <c r="AK14" s="90"/>
      <c r="AL14" s="91"/>
      <c r="AO14" s="89" t="s">
        <v>69</v>
      </c>
      <c r="AP14" s="90"/>
      <c r="AQ14" s="90"/>
      <c r="AR14" s="90"/>
      <c r="AS14" s="91"/>
      <c r="AV14" s="89" t="s">
        <v>68</v>
      </c>
      <c r="AW14" s="90"/>
      <c r="AX14" s="90"/>
      <c r="AY14" s="90"/>
      <c r="AZ14" s="91"/>
      <c r="BC14" s="89" t="s">
        <v>69</v>
      </c>
      <c r="BD14" s="90"/>
      <c r="BE14" s="90"/>
      <c r="BF14" s="90"/>
      <c r="BG14" s="91"/>
      <c r="BJ14" s="78" t="s">
        <v>7</v>
      </c>
      <c r="BK14" s="79"/>
      <c r="BL14" s="79"/>
      <c r="BM14" s="79"/>
      <c r="BN14" s="80"/>
      <c r="BQ14" s="84" t="s">
        <v>146</v>
      </c>
      <c r="BR14" s="85"/>
      <c r="BS14" s="85"/>
      <c r="BT14" s="86"/>
      <c r="BW14" s="84" t="s">
        <v>146</v>
      </c>
      <c r="BX14" s="85"/>
      <c r="BY14" s="85"/>
      <c r="BZ14" s="86"/>
      <c r="CC14" s="84" t="s">
        <v>146</v>
      </c>
      <c r="CD14" s="85"/>
      <c r="CE14" s="85"/>
      <c r="CF14" s="86"/>
      <c r="CI14" s="84" t="s">
        <v>146</v>
      </c>
      <c r="CJ14" s="85"/>
      <c r="CK14" s="85"/>
      <c r="CL14" s="86"/>
    </row>
    <row r="15" spans="1:92" x14ac:dyDescent="0.25">
      <c r="A15" t="s">
        <v>141</v>
      </c>
      <c r="B15" t="s">
        <v>28</v>
      </c>
      <c r="C15" t="s">
        <v>0</v>
      </c>
      <c r="D15" t="s">
        <v>3</v>
      </c>
      <c r="F15" s="5" t="s">
        <v>66</v>
      </c>
      <c r="G15" t="s">
        <v>28</v>
      </c>
      <c r="H15" t="s">
        <v>142</v>
      </c>
      <c r="I15" t="s">
        <v>143</v>
      </c>
      <c r="J15" s="5" t="s">
        <v>1</v>
      </c>
      <c r="K15" s="5" t="s">
        <v>150</v>
      </c>
      <c r="M15" s="5" t="s">
        <v>66</v>
      </c>
      <c r="N15" s="5" t="s">
        <v>28</v>
      </c>
      <c r="O15" s="5" t="s">
        <v>142</v>
      </c>
      <c r="P15" s="5" t="s">
        <v>143</v>
      </c>
      <c r="Q15" s="5" t="s">
        <v>1</v>
      </c>
      <c r="R15" s="5" t="s">
        <v>150</v>
      </c>
      <c r="T15" s="5" t="s">
        <v>66</v>
      </c>
      <c r="U15" s="5" t="s">
        <v>28</v>
      </c>
      <c r="V15" s="5" t="s">
        <v>142</v>
      </c>
      <c r="W15" s="5" t="s">
        <v>143</v>
      </c>
      <c r="X15" s="5" t="s">
        <v>1</v>
      </c>
      <c r="Y15" s="5" t="s">
        <v>150</v>
      </c>
      <c r="AA15" s="5" t="s">
        <v>66</v>
      </c>
      <c r="AB15" s="5" t="s">
        <v>28</v>
      </c>
      <c r="AC15" s="5" t="s">
        <v>142</v>
      </c>
      <c r="AD15" s="5" t="s">
        <v>143</v>
      </c>
      <c r="AE15" s="5" t="s">
        <v>1</v>
      </c>
      <c r="AF15" t="s">
        <v>150</v>
      </c>
      <c r="AG15" t="s">
        <v>146</v>
      </c>
      <c r="AH15" s="5" t="s">
        <v>66</v>
      </c>
      <c r="AI15" s="5" t="s">
        <v>28</v>
      </c>
      <c r="AJ15" s="5" t="s">
        <v>142</v>
      </c>
      <c r="AK15" s="5" t="s">
        <v>143</v>
      </c>
      <c r="AL15" s="5" t="s">
        <v>1</v>
      </c>
      <c r="AM15" t="s">
        <v>150</v>
      </c>
      <c r="AO15" s="5" t="s">
        <v>66</v>
      </c>
      <c r="AP15" s="5" t="s">
        <v>28</v>
      </c>
      <c r="AQ15" s="5" t="s">
        <v>142</v>
      </c>
      <c r="AR15" s="5" t="s">
        <v>143</v>
      </c>
      <c r="AS15" s="5" t="s">
        <v>1</v>
      </c>
      <c r="AT15" t="s">
        <v>150</v>
      </c>
      <c r="AV15" s="5" t="s">
        <v>66</v>
      </c>
      <c r="AW15" s="5" t="s">
        <v>28</v>
      </c>
      <c r="AX15" s="5" t="s">
        <v>142</v>
      </c>
      <c r="AY15" s="5" t="s">
        <v>143</v>
      </c>
      <c r="AZ15" s="5" t="s">
        <v>1</v>
      </c>
      <c r="BA15" t="s">
        <v>150</v>
      </c>
      <c r="BC15" s="5" t="s">
        <v>66</v>
      </c>
      <c r="BD15" s="5" t="s">
        <v>28</v>
      </c>
      <c r="BE15" s="5" t="s">
        <v>142</v>
      </c>
      <c r="BF15" s="5" t="s">
        <v>143</v>
      </c>
      <c r="BG15" s="5" t="s">
        <v>1</v>
      </c>
      <c r="BH15" t="s">
        <v>150</v>
      </c>
      <c r="BJ15" s="5" t="s">
        <v>66</v>
      </c>
      <c r="BK15" s="5" t="s">
        <v>28</v>
      </c>
      <c r="BL15" s="5" t="s">
        <v>142</v>
      </c>
      <c r="BM15" s="5" t="s">
        <v>143</v>
      </c>
      <c r="BN15" s="5" t="s">
        <v>1</v>
      </c>
      <c r="BO15" t="s">
        <v>150</v>
      </c>
      <c r="BQ15" s="5" t="s">
        <v>143</v>
      </c>
      <c r="BR15" s="5" t="s">
        <v>1</v>
      </c>
      <c r="BS15" s="5" t="s">
        <v>146</v>
      </c>
      <c r="BT15" s="5" t="s">
        <v>147</v>
      </c>
      <c r="BW15" s="5" t="s">
        <v>143</v>
      </c>
      <c r="BX15" s="5" t="s">
        <v>1</v>
      </c>
      <c r="BY15" s="5" t="s">
        <v>146</v>
      </c>
      <c r="BZ15" s="5" t="s">
        <v>147</v>
      </c>
      <c r="CC15" s="5" t="s">
        <v>143</v>
      </c>
      <c r="CD15" s="5" t="s">
        <v>1</v>
      </c>
      <c r="CE15" s="5" t="s">
        <v>146</v>
      </c>
      <c r="CF15" s="5" t="s">
        <v>147</v>
      </c>
      <c r="CI15" s="5" t="s">
        <v>143</v>
      </c>
      <c r="CJ15" s="5" t="s">
        <v>1</v>
      </c>
      <c r="CK15" s="5" t="s">
        <v>146</v>
      </c>
      <c r="CL15" s="5" t="s">
        <v>147</v>
      </c>
      <c r="CM15" t="s">
        <v>148</v>
      </c>
      <c r="CN15" t="s">
        <v>149</v>
      </c>
    </row>
    <row r="16" spans="1:92" x14ac:dyDescent="0.25">
      <c r="A16" s="26"/>
      <c r="B16" s="26">
        <v>494</v>
      </c>
      <c r="C16" s="26"/>
      <c r="D16" s="26"/>
      <c r="F16" s="75">
        <f>COUNTIF(T_p1[stack],"&gt;0")</f>
        <v>3</v>
      </c>
      <c r="G16" s="26">
        <f>IF(T_init[[#This Row],[p]]=1,mainpot+sidepot1+sidepot2+uncalled,IF(T_init[[#This Row],[p]]&gt;1,0,T_init[[#This Row],[stack]]))</f>
        <v>494</v>
      </c>
      <c r="H16" s="26">
        <v>0.27529999999999999</v>
      </c>
      <c r="I16" s="27">
        <f>T_p1[[#This Row],[EQ]]*prize</f>
        <v>0</v>
      </c>
      <c r="J16" s="72">
        <f>IF(T_init[[#This Row],[p]]=1,T_p1[[#This Row],[players]]*T_p1[[#This Row],[stack]]/chips+COUNTIF(T_p1[stack],0),T_p1[[#This Row],[players]]*T_p1[[#This Row],[stack]]/chips)</f>
        <v>0.49399999999999999</v>
      </c>
      <c r="K16" s="72">
        <f>T_p1[[#This Row],[ICM]]+bounty*T_p1[[#This Row],[KO]]</f>
        <v>0</v>
      </c>
      <c r="M16" s="29">
        <f>COUNTIF(T_p2[stack],"&gt;0")</f>
        <v>4</v>
      </c>
      <c r="N16" s="26">
        <f>IF(T_init[[#This Row],[p]]=1,uncalled,IF(T_init[[#This Row],[p]]=2,mainpot+sidepot1+sidepot2,IF(T_init[[#This Row],[p]]&gt;2,0,T_init[[#This Row],[stack]])))</f>
        <v>494</v>
      </c>
      <c r="O16" s="26">
        <v>0.19750000000000001</v>
      </c>
      <c r="P16" s="27">
        <f>T_p2[[#This Row],[EQ]]*prize</f>
        <v>0</v>
      </c>
      <c r="Q16" s="72">
        <f>IF(T_init[[#This Row],[p]]=2,T_p2[[#This Row],[players]]*T_p2[[#This Row],[stack]]/chips+COUNTIF(T_p2[stack],0),T_p2[[#This Row],[players]]*T_p2[[#This Row],[stack]]/chips)</f>
        <v>0.65866666666666662</v>
      </c>
      <c r="R16" s="72">
        <f>T_p2[[#This Row],[ICM]]+bounty*T_p2[[#This Row],[KO]]</f>
        <v>0</v>
      </c>
      <c r="T16" s="75">
        <f>COUNTIF(T_p3p1[stack],"&gt;0")</f>
        <v>4</v>
      </c>
      <c r="U16" s="26">
        <f>IF(T_init[[#This Row],[p]]=1,sidepot2+uncalled,IF(T_init[[#This Row],[p]]=3,mainpot+sidepot1,IF(ISBLANK(T_init[[#This Row],[p]]),T_init[[#This Row],[stack]],0)))</f>
        <v>494</v>
      </c>
      <c r="V16" s="26">
        <v>0.19489999999999999</v>
      </c>
      <c r="W16" s="27">
        <f>T_p3p1[[#This Row],[EQ]]*prize</f>
        <v>0</v>
      </c>
      <c r="X16" s="72">
        <f>IF(OR(T_init[[#This Row],[p]]=1, T_init[[#This Row],[p]]=3),T_p3p1[[#This Row],[players]]*T_p3p1[[#This Row],[stack]]/chips+1,T_p3p1[[#This Row],[players]]*T_p3p1[[#This Row],[stack]]/chips)</f>
        <v>0.65866666666666662</v>
      </c>
      <c r="Y16" s="72">
        <f>T_p3p1[[#This Row],[ICM]]+bounty*T_p3p1[[#This Row],[KO]]</f>
        <v>0</v>
      </c>
      <c r="AA16" s="75">
        <f>COUNTIF(T_p3p2[stack],"&gt;0")</f>
        <v>5</v>
      </c>
      <c r="AB16" s="26">
        <f>IF(T_init[[#This Row],[p]]=1,uncalled,IF(T_init[[#This Row],[p]]=2,sidepot2,IF(T_init[[#This Row],[p]]=3,mainpot+sidepot1,IF(ISBLANK(T_init[[#This Row],[p]]),T_init[[#This Row],[stack]],0))))</f>
        <v>494</v>
      </c>
      <c r="AC16" s="26">
        <v>0.1943</v>
      </c>
      <c r="AD16" s="27">
        <f>T_p3p2[[#This Row],[EQ]]*prize</f>
        <v>0</v>
      </c>
      <c r="AE16" s="72">
        <f>IF(T_init[[#This Row],[p]]=3,T_p3p2[[#This Row],[players]]*T_p3p2[[#This Row],[stack]]/chips+1,T_p3p2[[#This Row],[players]]*T_p3p2[[#This Row],[stack]]/chips)</f>
        <v>0.82333333333333336</v>
      </c>
      <c r="AF16" s="72">
        <f>T_p3p2[[#This Row],[ICM]]+bounty*T_p3p2[[#This Row],[KO]]</f>
        <v>0</v>
      </c>
      <c r="AH16" s="75">
        <f>COUNTIF(T_p4p1[stack],"&gt;0")</f>
        <v>4</v>
      </c>
      <c r="AI16" s="26">
        <f>IF(T_init[[#This Row],[p]]=4,mainpot,IF(T_init[[#This Row],[p]]=1,sidepot1+sidepot2+uncalled,IF(ISBLANK(T_init[[#This Row],[p]]),T_init[[#This Row],[stack]],0)))</f>
        <v>494</v>
      </c>
      <c r="AJ16" s="26">
        <v>0.23699999999999999</v>
      </c>
      <c r="AK16" s="27">
        <f>T_p4p1[[#This Row],[EQ]]*prize</f>
        <v>0</v>
      </c>
      <c r="AL16" s="72">
        <f>IF(T_init[[#This Row],[p]]=1,T_p4p1[[#This Row],[players]]*T_p4p1[[#This Row],[stack]]/chips+2,T_p4p1[[#This Row],[players]]*T_p4p1[[#This Row],[stack]]/chips)</f>
        <v>0.65866666666666662</v>
      </c>
      <c r="AM16" s="72">
        <f>T_p4p1[[#This Row],[ICM]]+bounty*T_p4p1[[#This Row],[KO]]</f>
        <v>0</v>
      </c>
      <c r="AO16" s="75">
        <f>COUNTIF(T_p4p2[stack],"&gt;0")</f>
        <v>5</v>
      </c>
      <c r="AP16" s="26">
        <f>IF(T_init[[#This Row],[p]]=1,uncalled,IF(T_init[[#This Row],[p]]=2,sidepot1+sidepot2,IF(T_init[[#This Row],[p]]=4,mainpot,IF(ISBLANK(T_init[[#This Row],[p]]),T_init[[#This Row],[stack]],0))))</f>
        <v>494</v>
      </c>
      <c r="AQ16" s="26">
        <v>0.18509999999999999</v>
      </c>
      <c r="AR16" s="27">
        <f>T_p4p2[[#This Row],[EQ]]*prize</f>
        <v>0</v>
      </c>
      <c r="AS16" s="72">
        <f>IF(T_init[[#This Row],[p]]=2,T_p4p2[[#This Row],[players]]*T_p4p2[[#This Row],[stack]]/chips+1,T_p4p2[[#This Row],[players]]*T_p4p2[[#This Row],[stack]]/chips)</f>
        <v>0.82333333333333336</v>
      </c>
      <c r="AT16" s="72">
        <f>T_p4p2[[#This Row],[ICM]]+bounty*T_p4p2[[#This Row],[KO]]</f>
        <v>0</v>
      </c>
      <c r="AV16" s="75">
        <f>COUNTIF(T_p4p3p1[stack],"&gt;0")</f>
        <v>5</v>
      </c>
      <c r="AW16" s="26">
        <f>IF(T_init[[#This Row],[p]]=1,uncalled+sidepot2,IF(T_init[[#This Row],[p]]=3,sidepot1,IF(T_init[[#This Row],[p]]=4,mainpot,IF(ISBLANK(T_init[[#This Row],[p]]),T_init[[#This Row],[stack]],0))))</f>
        <v>494</v>
      </c>
      <c r="AX16" s="26">
        <v>0.18340000000000001</v>
      </c>
      <c r="AY16" s="27">
        <f>T_p4p3p1[[#This Row],[EQ]]*prize</f>
        <v>0</v>
      </c>
      <c r="AZ16" s="72">
        <f>IF(T_init[[#This Row],[p]]=1,T_p4p3p1[[#This Row],[players]]*T_p4p3p1[[#This Row],[stack]]/chips+1,T_p4p3p1[[#This Row],[players]]*T_p4p3p1[[#This Row],[stack]]/chips)</f>
        <v>0.82333333333333336</v>
      </c>
      <c r="BA16" s="72">
        <f>T_p4p3p1[[#This Row],[ICM]]+bounty*T_p4p3p1[[#This Row],[KO]]</f>
        <v>0</v>
      </c>
      <c r="BC16" s="75">
        <f>COUNTIF(T_p4p3p2[stack],"&gt;0")</f>
        <v>6</v>
      </c>
      <c r="BD16" s="26">
        <f>IF(T_init[[#This Row],[p]]=1,uncalled,IF(T_init[[#This Row],[p]]=2,sidepot2,IF(T_init[[#This Row],[p]]=3,sidepot1,IF(T_init[[#This Row],[p]]=4,mainpot,IF(ISBLANK(T_init[[#This Row],[p]]),T_init[[#This Row],[stack]],0)))))</f>
        <v>494</v>
      </c>
      <c r="BE16" s="26">
        <v>0.18279999999999999</v>
      </c>
      <c r="BF16" s="27">
        <f>T_p4p3p2[[#This Row],[EQ]]*prize</f>
        <v>0</v>
      </c>
      <c r="BG16" s="72">
        <f>T_p4p3p2[[#This Row],[players]]*T_p4p3p2[[#This Row],[stack]]/chips</f>
        <v>0.98799999999999999</v>
      </c>
      <c r="BH16" s="72">
        <f>T_p4p3p2[[#This Row],[ICM]]+bounty*T_p4p3p2[[#This Row],[KO]]</f>
        <v>0</v>
      </c>
      <c r="BJ16" s="75">
        <f>COUNTIF(T_fact[stack],"&gt;0")</f>
        <v>4</v>
      </c>
      <c r="BK16" s="26">
        <f>IF(T_init[[#This Row],[p]]=1,sidepot2+uncalled,IF(T_init[[#This Row],[p]]=3,mainpot+sidepot1,IF(ISBLANK(T_init[[#This Row],[p]]),T_init[[#This Row],[stack]],0)))</f>
        <v>494</v>
      </c>
      <c r="BL16" s="26">
        <v>0.19489999999999999</v>
      </c>
      <c r="BM16" s="27">
        <f>T_fact[[#This Row],[EQ]]*prize</f>
        <v>0</v>
      </c>
      <c r="BN16" s="72">
        <f>IF(OR(T_init[[#This Row],[p]]=1, T_init[[#This Row],[p]]=3),T_fact[[#This Row],[players]]*T_fact[[#This Row],[stack]]/chips+1,T_fact[[#This Row],[players]]*T_fact[[#This Row],[stack]]/chips)</f>
        <v>0.65866666666666662</v>
      </c>
      <c r="BO16" s="72">
        <f>T_fact[[#This Row],[ICM]]+bounty*T_fact[[#This Row],[KO]]</f>
        <v>0</v>
      </c>
      <c r="BQ16" s="73">
        <f>p1sp2win*T_p3p1[[#This Row],[ICM]]+p2sp2win*T_p3p2[[#This Row],[ICM]]</f>
        <v>0</v>
      </c>
      <c r="BR16" s="33">
        <f>bounty*(p1sp2win*T_p3p1[[#This Row],[KO]]+p2sp2win*T_p3p2[[#This Row],[KO]])</f>
        <v>0</v>
      </c>
      <c r="BS16" s="73">
        <f>T_EV_p3sp2[[#This Row],[ICM]]+T_EV_p3sp2[[#This Row],[KO]]</f>
        <v>0</v>
      </c>
      <c r="BT16" s="33">
        <f>p1sp2win*T_p3p1[[#This Row],[stack]]+p2sp2win*T_p3p2[[#This Row],[stack]]</f>
        <v>494.00000000000006</v>
      </c>
      <c r="BW16" s="73">
        <f>p1sp2win*T_p4p3p1[[#This Row],[ICM]]+p2sp2win*T_p4p3p2[[#This Row],[ICM]]</f>
        <v>0</v>
      </c>
      <c r="BX16" s="33">
        <f>bounty*(p1sp2win*T_p4p3p1[[#This Row],[KO]]+p2sp2win*T_p4p3p2[[#This Row],[KO]])</f>
        <v>0</v>
      </c>
      <c r="BY16" s="73">
        <f>T_EV_p4p3sp2[[#This Row],[ICM]]+T_EV_p4p3sp2[[#This Row],[KO]]</f>
        <v>0</v>
      </c>
      <c r="BZ16" s="33">
        <f>p1sp2win*T_p4p3p1[[#This Row],[stack]]+p2sp2win*T_p4p3p2[[#This Row],[stack]]</f>
        <v>494.00000000000006</v>
      </c>
      <c r="CC16" s="73">
        <f>p1sp1win*T_p4p1[[#This Row],[ICM]]+p2sp1win*T_p4p2[[#This Row],[ICM]]+p3sp1win*T_EV_p4p3sp2[[#This Row],[ICM]]</f>
        <v>0</v>
      </c>
      <c r="CD16" s="33">
        <f>bounty*(p1sp1win*T_p4p1[[#This Row],[KO]]+p2sp1win*T_p4p2[[#This Row],[KO]])+p3sp1win*T_EV_p4p3sp2[[#This Row],[KO]]</f>
        <v>0</v>
      </c>
      <c r="CE16" s="73">
        <f>T_EV_p4sp1[[#This Row],[ICM]]+T_EV_p4sp1[[#This Row],[KO]]</f>
        <v>0</v>
      </c>
      <c r="CF16" s="33">
        <f>p1sp1win*T_p4p1[[#This Row],[stack]]+p2sp1win*T_p4p2[[#This Row],[stack]]+p3sp1win*T_EV_p4p3sp2[[#This Row],[chipEV]]</f>
        <v>494</v>
      </c>
      <c r="CI16" s="73">
        <f>p4win*(T_EV_p4sp1[[#This Row],[ICM]])+'4way'!p3win*T_EV_p3sp2[[#This Row],[ICM]]+'4way'!p2win*T_p2[[#This Row],[ICM]]+'4way'!p1win*T_p1[[#This Row],[ICM]]</f>
        <v>0</v>
      </c>
      <c r="CJ16" s="33">
        <f>p4win*(T_EV_p4sp1[[#This Row],[KO]])+'4way'!p3win*T_EV_p3sp2[[#This Row],[KO]]+bounty*('4way'!p2win*T_p2[[#This Row],[KO]]+'4way'!p1win*T_p1[[#This Row],[KO]])</f>
        <v>0</v>
      </c>
      <c r="CK16" s="73">
        <f>T_EV[[#This Row],[ICM]]+T_EV[[#This Row],[KO]]</f>
        <v>0</v>
      </c>
      <c r="CL16" s="33">
        <f>'4way'!p1win*T_p1[[#This Row],[stack]]+
'4way'!p2win*T_p2[[#This Row],[stack]]+
'4way'!p3win*(p1sp2win*T_p3p1[[#This Row],[stack]]+p2sp2win*T_p3p2[[#This Row],[stack]])+
p4win*(p1sp1win*T_p4p1[[#This Row],[stack]]+p2sp1win*T_p4p2[[#This Row],[stack]]+p3sp1win*(p1sp2win*T_p4p3p1[[#This Row],[stack]]+p2sp2win*T_p4p3p2[[#This Row],[stack]]))</f>
        <v>494.00000000000006</v>
      </c>
      <c r="CM16" s="2">
        <f>T_EV[[#This Row],[chipEV]]-T_fact[[#This Row],[stack]]</f>
        <v>0</v>
      </c>
      <c r="CN16" s="2">
        <f>T_EV[[#This Row],[EV]]-(T_fact[[#This Row],[ICM]]+bounty*T_fact[[#This Row],[KO]])</f>
        <v>0</v>
      </c>
    </row>
    <row r="17" spans="1:94" x14ac:dyDescent="0.25">
      <c r="A17">
        <v>4</v>
      </c>
      <c r="B17">
        <v>40</v>
      </c>
      <c r="C17" t="s">
        <v>133</v>
      </c>
      <c r="D17">
        <v>0.28699999999999998</v>
      </c>
      <c r="F17" s="5">
        <f>COUNTIF(T_p1[stack],"&gt;0")</f>
        <v>3</v>
      </c>
      <c r="G17">
        <f>IF(T_init[[#This Row],[p]]=1,mainpot+sidepot1+sidepot2+uncalled,IF(T_init[[#This Row],[p]]&gt;1,0,T_init[[#This Row],[stack]]))</f>
        <v>0</v>
      </c>
      <c r="I17" s="2">
        <f>T_p1[[#This Row],[EQ]]*prize</f>
        <v>0</v>
      </c>
      <c r="J17" s="67">
        <f>IF(T_init[[#This Row],[p]]=1,T_p1[[#This Row],[players]]*T_p1[[#This Row],[stack]]/chips+COUNTIF(T_p1[stack],0),T_p1[[#This Row],[players]]*T_p1[[#This Row],[stack]]/chips)</f>
        <v>0</v>
      </c>
      <c r="K17" s="67">
        <f>T_p1[[#This Row],[ICM]]+bounty*T_p1[[#This Row],[KO]]</f>
        <v>0</v>
      </c>
      <c r="M17" s="10">
        <f>COUNTIF(T_p2[stack],"&gt;0")</f>
        <v>4</v>
      </c>
      <c r="N17">
        <f>IF(T_init[[#This Row],[p]]=1,uncalled,IF(T_init[[#This Row],[p]]=2,mainpot+sidepot1+sidepot2,IF(T_init[[#This Row],[p]]&gt;2,0,T_init[[#This Row],[stack]])))</f>
        <v>0</v>
      </c>
      <c r="P17" s="2">
        <f>T_p2[[#This Row],[EQ]]*prize</f>
        <v>0</v>
      </c>
      <c r="Q17" s="67">
        <f>IF(T_init[[#This Row],[p]]=2,T_p2[[#This Row],[players]]*T_p2[[#This Row],[stack]]/chips+COUNTIF(T_p2[stack],0),T_p2[[#This Row],[players]]*T_p2[[#This Row],[stack]]/chips)</f>
        <v>0</v>
      </c>
      <c r="R17" s="67">
        <f>T_p2[[#This Row],[ICM]]+bounty*T_p2[[#This Row],[KO]]</f>
        <v>0</v>
      </c>
      <c r="T17" s="5">
        <f>COUNTIF(T_p3p1[stack],"&gt;0")</f>
        <v>4</v>
      </c>
      <c r="U17" s="26">
        <f>IF(T_init[[#This Row],[p]]=1,sidepot2+uncalled,IF(T_init[[#This Row],[p]]=3,mainpot+sidepot1,IF(ISBLANK(T_init[[#This Row],[p]]),T_init[[#This Row],[stack]],0)))</f>
        <v>0</v>
      </c>
      <c r="V17">
        <v>0</v>
      </c>
      <c r="W17" s="2">
        <f>T_p3p1[[#This Row],[EQ]]*prize</f>
        <v>0</v>
      </c>
      <c r="X17" s="67">
        <f>IF(OR(T_init[[#This Row],[p]]=1, T_init[[#This Row],[p]]=3),T_p3p1[[#This Row],[players]]*T_p3p1[[#This Row],[stack]]/chips+1,T_p3p1[[#This Row],[players]]*T_p3p1[[#This Row],[stack]]/chips)</f>
        <v>0</v>
      </c>
      <c r="Y17" s="67">
        <f>T_p3p1[[#This Row],[ICM]]+bounty*T_p3p1[[#This Row],[KO]]</f>
        <v>0</v>
      </c>
      <c r="AA17" s="5">
        <f>COUNTIF(T_p3p2[stack],"&gt;0")</f>
        <v>5</v>
      </c>
      <c r="AB17">
        <f>IF(T_init[[#This Row],[p]]=1,uncalled,IF(T_init[[#This Row],[p]]=2,sidepot2,IF(T_init[[#This Row],[p]]=3,mainpot+sidepot1,IF(ISBLANK(T_init[[#This Row],[p]]),T_init[[#This Row],[stack]],0))))</f>
        <v>0</v>
      </c>
      <c r="AC17">
        <v>0</v>
      </c>
      <c r="AD17" s="2">
        <f>T_p3p2[[#This Row],[EQ]]*prize</f>
        <v>0</v>
      </c>
      <c r="AE17" s="67">
        <f>IF(T_init[[#This Row],[p]]=3,T_p3p2[[#This Row],[players]]*T_p3p2[[#This Row],[stack]]/chips+1,T_p3p2[[#This Row],[players]]*T_p3p2[[#This Row],[stack]]/chips)</f>
        <v>0</v>
      </c>
      <c r="AF17" s="16">
        <f>T_p3p2[[#This Row],[ICM]]+bounty*T_p3p2[[#This Row],[KO]]</f>
        <v>0</v>
      </c>
      <c r="AH17" s="5">
        <f>COUNTIF(T_p4p1[stack],"&gt;0")</f>
        <v>4</v>
      </c>
      <c r="AI17">
        <f>IF(T_init[[#This Row],[p]]=4,mainpot,IF(T_init[[#This Row],[p]]=1,sidepot1+sidepot2+uncalled,IF(ISBLANK(T_init[[#This Row],[p]]),T_init[[#This Row],[stack]],0)))</f>
        <v>182</v>
      </c>
      <c r="AJ17">
        <v>9.1399999999999995E-2</v>
      </c>
      <c r="AK17" s="2">
        <f>T_p4p1[[#This Row],[EQ]]*prize</f>
        <v>0</v>
      </c>
      <c r="AL17" s="67">
        <f>IF(T_init[[#This Row],[p]]=1,T_p4p1[[#This Row],[players]]*T_p4p1[[#This Row],[stack]]/chips+2,T_p4p1[[#This Row],[players]]*T_p4p1[[#This Row],[stack]]/chips)</f>
        <v>0.24266666666666667</v>
      </c>
      <c r="AM17" s="16">
        <f>T_p4p1[[#This Row],[ICM]]+bounty*T_p4p1[[#This Row],[KO]]</f>
        <v>0</v>
      </c>
      <c r="AO17" s="5">
        <f>COUNTIF(T_p4p2[stack],"&gt;0")</f>
        <v>5</v>
      </c>
      <c r="AP17">
        <f>IF(T_init[[#This Row],[p]]=1,uncalled,IF(T_init[[#This Row],[p]]=2,sidepot1+sidepot2,IF(T_init[[#This Row],[p]]=4,mainpot,IF(ISBLANK(T_init[[#This Row],[p]]),T_init[[#This Row],[stack]],0))))</f>
        <v>182</v>
      </c>
      <c r="AQ17">
        <v>7.22E-2</v>
      </c>
      <c r="AR17" s="2">
        <f>T_p4p2[[#This Row],[EQ]]*prize</f>
        <v>0</v>
      </c>
      <c r="AS17" s="67">
        <f>IF(T_init[[#This Row],[p]]=2,T_p4p2[[#This Row],[players]]*T_p4p2[[#This Row],[stack]]/chips+1,T_p4p2[[#This Row],[players]]*T_p4p2[[#This Row],[stack]]/chips)</f>
        <v>0.30333333333333334</v>
      </c>
      <c r="AT17" s="16">
        <f>T_p4p2[[#This Row],[ICM]]+bounty*T_p4p2[[#This Row],[KO]]</f>
        <v>0</v>
      </c>
      <c r="AV17" s="5">
        <f>COUNTIF(T_p4p3p1[stack],"&gt;0")</f>
        <v>5</v>
      </c>
      <c r="AW17">
        <f>IF(T_init[[#This Row],[p]]=1,uncalled+sidepot2,IF(T_init[[#This Row],[p]]=3,sidepot1,IF(T_init[[#This Row],[p]]=4,mainpot,IF(ISBLANK(T_init[[#This Row],[p]]),T_init[[#This Row],[stack]],0))))</f>
        <v>182</v>
      </c>
      <c r="AX17">
        <v>7.1599999999999997E-2</v>
      </c>
      <c r="AY17" s="2">
        <f>T_p4p3p1[[#This Row],[EQ]]*prize</f>
        <v>0</v>
      </c>
      <c r="AZ17" s="67">
        <f>IF(T_init[[#This Row],[p]]=1,T_p4p3p1[[#This Row],[players]]*T_p4p3p1[[#This Row],[stack]]/chips+1,T_p4p3p1[[#This Row],[players]]*T_p4p3p1[[#This Row],[stack]]/chips)</f>
        <v>0.30333333333333334</v>
      </c>
      <c r="BA17" s="16">
        <f>T_p4p3p1[[#This Row],[ICM]]+bounty*T_p4p3p1[[#This Row],[KO]]</f>
        <v>0</v>
      </c>
      <c r="BC17" s="5">
        <f>COUNTIF(T_p4p3p2[stack],"&gt;0")</f>
        <v>6</v>
      </c>
      <c r="BD17">
        <f>IF(T_init[[#This Row],[p]]=1,uncalled,IF(T_init[[#This Row],[p]]=2,sidepot2,IF(T_init[[#This Row],[p]]=3,sidepot1,IF(T_init[[#This Row],[p]]=4,mainpot,IF(ISBLANK(T_init[[#This Row],[p]]),T_init[[#This Row],[stack]],0)))))</f>
        <v>182</v>
      </c>
      <c r="BE17">
        <v>7.1400000000000005E-2</v>
      </c>
      <c r="BF17" s="2">
        <f>T_p4p3p2[[#This Row],[EQ]]*prize</f>
        <v>0</v>
      </c>
      <c r="BG17" s="67">
        <f>T_p4p3p2[[#This Row],[players]]*T_p4p3p2[[#This Row],[stack]]/chips</f>
        <v>0.36399999999999999</v>
      </c>
      <c r="BH17" s="16">
        <f>T_p4p3p2[[#This Row],[ICM]]+bounty*T_p4p3p2[[#This Row],[KO]]</f>
        <v>0</v>
      </c>
      <c r="BJ17" s="75">
        <f>COUNTIF(T_fact[stack],"&gt;0")</f>
        <v>4</v>
      </c>
      <c r="BK17" s="26">
        <f>IF(T_init[[#This Row],[p]]=1,sidepot2+uncalled,IF(T_init[[#This Row],[p]]=3,mainpot+sidepot1,IF(ISBLANK(T_init[[#This Row],[p]]),T_init[[#This Row],[stack]],0)))</f>
        <v>0</v>
      </c>
      <c r="BL17">
        <v>0</v>
      </c>
      <c r="BM17" s="2">
        <f>T_fact[[#This Row],[EQ]]*prize</f>
        <v>0</v>
      </c>
      <c r="BN17" s="67">
        <f>IF(OR(T_init[[#This Row],[p]]=1, T_init[[#This Row],[p]]=3),T_fact[[#This Row],[players]]*T_fact[[#This Row],[stack]]/chips+1,T_fact[[#This Row],[players]]*T_fact[[#This Row],[stack]]/chips)</f>
        <v>0</v>
      </c>
      <c r="BO17" s="16">
        <f>T_fact[[#This Row],[ICM]]+bounty*T_fact[[#This Row],[KO]]</f>
        <v>0</v>
      </c>
      <c r="BQ17" s="69">
        <f>p1sp2win*T_p3p1[[#This Row],[ICM]]+p2sp2win*T_p3p2[[#This Row],[ICM]]</f>
        <v>0</v>
      </c>
      <c r="BR17" s="69">
        <f>bounty*(p1sp2win*T_p3p1[[#This Row],[KO]]+p2sp2win*T_p3p2[[#This Row],[KO]])</f>
        <v>0</v>
      </c>
      <c r="BS17" s="69">
        <f>T_EV_p3sp2[[#This Row],[ICM]]+T_EV_p3sp2[[#This Row],[KO]]</f>
        <v>0</v>
      </c>
      <c r="BT17" s="69">
        <f>p1sp2win*T_p3p1[[#This Row],[stack]]+p2sp2win*T_p3p2[[#This Row],[stack]]</f>
        <v>0</v>
      </c>
      <c r="BW17" s="69">
        <f>p1sp2win*T_p4p3p1[[#This Row],[ICM]]+p2sp2win*T_p4p3p2[[#This Row],[ICM]]</f>
        <v>0</v>
      </c>
      <c r="BX17" s="69">
        <f>bounty*(p1sp2win*T_p4p3p1[[#This Row],[KO]]+p2sp2win*T_p4p3p2[[#This Row],[KO]])</f>
        <v>0</v>
      </c>
      <c r="BY17" s="69">
        <f>T_EV_p4p3sp2[[#This Row],[ICM]]+T_EV_p4p3sp2[[#This Row],[KO]]</f>
        <v>0</v>
      </c>
      <c r="BZ17" s="69">
        <f>p1sp2win*T_p4p3p1[[#This Row],[stack]]+p2sp2win*T_p4p3p2[[#This Row],[stack]]</f>
        <v>182</v>
      </c>
      <c r="CC17" s="69">
        <f>p1sp1win*T_p4p1[[#This Row],[ICM]]+p2sp1win*T_p4p2[[#This Row],[ICM]]+p3sp1win*T_EV_p4p3sp2[[#This Row],[ICM]]</f>
        <v>0</v>
      </c>
      <c r="CD17" s="69">
        <f>bounty*(p1sp1win*T_p4p1[[#This Row],[KO]]+p2sp1win*T_p4p2[[#This Row],[KO]])+p3sp1win*T_EV_p4p3sp2[[#This Row],[KO]]</f>
        <v>0</v>
      </c>
      <c r="CE17" s="69">
        <f>T_EV_p4sp1[[#This Row],[ICM]]+T_EV_p4sp1[[#This Row],[KO]]</f>
        <v>0</v>
      </c>
      <c r="CF17" s="69">
        <f>p1sp1win*T_p4p1[[#This Row],[stack]]+p2sp1win*T_p4p2[[#This Row],[stack]]+p3sp1win*T_EV_p4p3sp2[[#This Row],[chipEV]]</f>
        <v>182</v>
      </c>
      <c r="CI17" s="69">
        <f>p4win*(T_EV_p4sp1[[#This Row],[ICM]])+'4way'!p3win*T_EV_p3sp2[[#This Row],[ICM]]+'4way'!p2win*T_p2[[#This Row],[ICM]]+'4way'!p1win*T_p1[[#This Row],[ICM]]</f>
        <v>0</v>
      </c>
      <c r="CJ17" s="69">
        <f>p4win*(T_EV_p4sp1[[#This Row],[KO]])+'4way'!p3win*T_EV_p3sp2[[#This Row],[KO]]+bounty*('4way'!p2win*T_p2[[#This Row],[KO]]+'4way'!p1win*T_p1[[#This Row],[KO]])</f>
        <v>0</v>
      </c>
      <c r="CK17" s="69">
        <f>T_EV[[#This Row],[ICM]]+T_EV[[#This Row],[KO]]</f>
        <v>0</v>
      </c>
      <c r="CL17" s="69">
        <f>'4way'!p1win*T_p1[[#This Row],[stack]]+
'4way'!p2win*T_p2[[#This Row],[stack]]+
'4way'!p3win*(p1sp2win*T_p3p1[[#This Row],[stack]]+p2sp2win*T_p3p2[[#This Row],[stack]])+
p4win*(p1sp1win*T_p4p1[[#This Row],[stack]]+p2sp1win*T_p4p2[[#This Row],[stack]]+p3sp1win*(p1sp2win*T_p4p3p1[[#This Row],[stack]]+p2sp2win*T_p4p3p2[[#This Row],[stack]]))</f>
        <v>52.252200000000002</v>
      </c>
      <c r="CM17" s="2">
        <f>T_EV[[#This Row],[chipEV]]-T_fact[[#This Row],[stack]]</f>
        <v>52.252200000000002</v>
      </c>
      <c r="CN17" s="2">
        <f>T_EV[[#This Row],[EV]]-(T_fact[[#This Row],[ICM]]+bounty*T_fact[[#This Row],[KO]])</f>
        <v>0</v>
      </c>
    </row>
    <row r="18" spans="1:94" x14ac:dyDescent="0.25">
      <c r="A18">
        <v>2</v>
      </c>
      <c r="B18">
        <v>484</v>
      </c>
      <c r="C18" t="s">
        <v>134</v>
      </c>
      <c r="D18">
        <v>0.19850000000000001</v>
      </c>
      <c r="F18" s="5">
        <f>COUNTIF(T_p1[stack],"&gt;0")</f>
        <v>3</v>
      </c>
      <c r="G18">
        <f>IF(T_init[[#This Row],[p]]=1,mainpot+sidepot1+sidepot2+uncalled,IF(T_init[[#This Row],[p]]&gt;1,0,T_init[[#This Row],[stack]]))</f>
        <v>0</v>
      </c>
      <c r="I18" s="2">
        <f>T_p1[[#This Row],[EQ]]*prize</f>
        <v>0</v>
      </c>
      <c r="J18" s="67">
        <f>IF(T_init[[#This Row],[p]]=1,T_p1[[#This Row],[players]]*T_p1[[#This Row],[stack]]/chips+COUNTIF(T_p1[stack],0),T_p1[[#This Row],[players]]*T_p1[[#This Row],[stack]]/chips)</f>
        <v>0</v>
      </c>
      <c r="K18" s="67">
        <f>T_p1[[#This Row],[ICM]]+bounty*T_p1[[#This Row],[KO]]</f>
        <v>0</v>
      </c>
      <c r="M18" s="10">
        <f>COUNTIF(T_p2[stack],"&gt;0")</f>
        <v>4</v>
      </c>
      <c r="N18">
        <f>IF(T_init[[#This Row],[p]]=1,uncalled,IF(T_init[[#This Row],[p]]=2,mainpot+sidepot1+sidepot2,IF(T_init[[#This Row],[p]]&gt;2,0,T_init[[#This Row],[stack]])))</f>
        <v>1494</v>
      </c>
      <c r="O18">
        <v>0.39929999999999999</v>
      </c>
      <c r="P18" s="2">
        <f>T_p2[[#This Row],[EQ]]*prize</f>
        <v>0</v>
      </c>
      <c r="Q18" s="67">
        <f>IF(T_init[[#This Row],[p]]=2,T_p2[[#This Row],[players]]*T_p2[[#This Row],[stack]]/chips+COUNTIF(T_p2[stack],0),T_p2[[#This Row],[players]]*T_p2[[#This Row],[stack]]/chips)</f>
        <v>3.992</v>
      </c>
      <c r="R18" s="67">
        <f>T_p2[[#This Row],[ICM]]+bounty*T_p2[[#This Row],[KO]]</f>
        <v>0</v>
      </c>
      <c r="T18" s="5">
        <f>COUNTIF(T_p3p1[stack],"&gt;0")</f>
        <v>4</v>
      </c>
      <c r="U18" s="26">
        <f>IF(T_init[[#This Row],[p]]=1,sidepot2+uncalled,IF(T_init[[#This Row],[p]]=3,mainpot+sidepot1,IF(ISBLANK(T_init[[#This Row],[p]]),T_init[[#This Row],[stack]],0)))</f>
        <v>0</v>
      </c>
      <c r="V18">
        <v>0</v>
      </c>
      <c r="W18" s="2">
        <f>T_p3p1[[#This Row],[EQ]]*prize</f>
        <v>0</v>
      </c>
      <c r="X18" s="67">
        <f>IF(OR(T_init[[#This Row],[p]]=1, T_init[[#This Row],[p]]=3),T_p3p1[[#This Row],[players]]*T_p3p1[[#This Row],[stack]]/chips+1,T_p3p1[[#This Row],[players]]*T_p3p1[[#This Row],[stack]]/chips)</f>
        <v>0</v>
      </c>
      <c r="Y18" s="67">
        <f>T_p3p1[[#This Row],[ICM]]+bounty*T_p3p1[[#This Row],[KO]]</f>
        <v>0</v>
      </c>
      <c r="AA18" s="5">
        <f>COUNTIF(T_p3p2[stack],"&gt;0")</f>
        <v>5</v>
      </c>
      <c r="AB18">
        <f>IF(T_init[[#This Row],[p]]=1,uncalled,IF(T_init[[#This Row],[p]]=2,sidepot2,IF(T_init[[#This Row],[p]]=3,mainpot+sidepot1,IF(ISBLANK(T_init[[#This Row],[p]]),T_init[[#This Row],[stack]],0))))</f>
        <v>40</v>
      </c>
      <c r="AC18">
        <v>1.7000000000000001E-2</v>
      </c>
      <c r="AD18" s="2">
        <f>T_p3p2[[#This Row],[EQ]]*prize</f>
        <v>0</v>
      </c>
      <c r="AE18" s="67">
        <f>IF(T_init[[#This Row],[p]]=3,T_p3p2[[#This Row],[players]]*T_p3p2[[#This Row],[stack]]/chips+1,T_p3p2[[#This Row],[players]]*T_p3p2[[#This Row],[stack]]/chips)</f>
        <v>6.6666666666666666E-2</v>
      </c>
      <c r="AF18" s="16">
        <f>T_p3p2[[#This Row],[ICM]]+bounty*T_p3p2[[#This Row],[KO]]</f>
        <v>0</v>
      </c>
      <c r="AH18" s="5">
        <f>COUNTIF(T_p4p1[stack],"&gt;0")</f>
        <v>4</v>
      </c>
      <c r="AI18">
        <f>IF(T_init[[#This Row],[p]]=4,mainpot,IF(T_init[[#This Row],[p]]=1,sidepot1+sidepot2+uncalled,IF(ISBLANK(T_init[[#This Row],[p]]),T_init[[#This Row],[stack]],0)))</f>
        <v>0</v>
      </c>
      <c r="AJ18">
        <v>0</v>
      </c>
      <c r="AK18" s="2">
        <f>T_p4p1[[#This Row],[EQ]]*prize</f>
        <v>0</v>
      </c>
      <c r="AL18" s="67">
        <f>IF(T_init[[#This Row],[p]]=1,T_p4p1[[#This Row],[players]]*T_p4p1[[#This Row],[stack]]/chips+2,T_p4p1[[#This Row],[players]]*T_p4p1[[#This Row],[stack]]/chips)</f>
        <v>0</v>
      </c>
      <c r="AM18" s="16">
        <f>T_p4p1[[#This Row],[ICM]]+bounty*T_p4p1[[#This Row],[KO]]</f>
        <v>0</v>
      </c>
      <c r="AO18" s="5">
        <f>COUNTIF(T_p4p2[stack],"&gt;0")</f>
        <v>5</v>
      </c>
      <c r="AP18">
        <f>IF(T_init[[#This Row],[p]]=1,uncalled,IF(T_init[[#This Row],[p]]=2,sidepot1+sidepot2,IF(T_init[[#This Row],[p]]=4,mainpot,IF(ISBLANK(T_init[[#This Row],[p]]),T_init[[#This Row],[stack]],0))))</f>
        <v>1312</v>
      </c>
      <c r="AQ18">
        <v>0.36480000000000001</v>
      </c>
      <c r="AR18" s="2">
        <f>T_p4p2[[#This Row],[EQ]]*prize</f>
        <v>0</v>
      </c>
      <c r="AS18" s="67">
        <f>IF(T_init[[#This Row],[p]]=2,T_p4p2[[#This Row],[players]]*T_p4p2[[#This Row],[stack]]/chips+1,T_p4p2[[#This Row],[players]]*T_p4p2[[#This Row],[stack]]/chips)</f>
        <v>3.1866666666666665</v>
      </c>
      <c r="AT18" s="16">
        <f>T_p4p2[[#This Row],[ICM]]+bounty*T_p4p2[[#This Row],[KO]]</f>
        <v>0</v>
      </c>
      <c r="AV18" s="5">
        <f>COUNTIF(T_p4p3p1[stack],"&gt;0")</f>
        <v>5</v>
      </c>
      <c r="AW18">
        <f>IF(T_init[[#This Row],[p]]=1,uncalled+sidepot2,IF(T_init[[#This Row],[p]]=3,sidepot1,IF(T_init[[#This Row],[p]]=4,mainpot,IF(ISBLANK(T_init[[#This Row],[p]]),T_init[[#This Row],[stack]],0))))</f>
        <v>0</v>
      </c>
      <c r="AX18">
        <v>0</v>
      </c>
      <c r="AY18" s="2">
        <f>T_p4p3p1[[#This Row],[EQ]]*prize</f>
        <v>0</v>
      </c>
      <c r="AZ18" s="67">
        <f>IF(T_init[[#This Row],[p]]=1,T_p4p3p1[[#This Row],[players]]*T_p4p3p1[[#This Row],[stack]]/chips+1,T_p4p3p1[[#This Row],[players]]*T_p4p3p1[[#This Row],[stack]]/chips)</f>
        <v>0</v>
      </c>
      <c r="BA18" s="16">
        <f>T_p4p3p1[[#This Row],[ICM]]+bounty*T_p4p3p1[[#This Row],[KO]]</f>
        <v>0</v>
      </c>
      <c r="BC18" s="5">
        <f>COUNTIF(T_p4p3p2[stack],"&gt;0")</f>
        <v>6</v>
      </c>
      <c r="BD18">
        <f>IF(T_init[[#This Row],[p]]=1,uncalled,IF(T_init[[#This Row],[p]]=2,sidepot2,IF(T_init[[#This Row],[p]]=3,sidepot1,IF(T_init[[#This Row],[p]]=4,mainpot,IF(ISBLANK(T_init[[#This Row],[p]]),T_init[[#This Row],[stack]],0)))))</f>
        <v>40</v>
      </c>
      <c r="BE18">
        <v>1.6E-2</v>
      </c>
      <c r="BF18" s="2">
        <f>T_p4p3p2[[#This Row],[EQ]]*prize</f>
        <v>0</v>
      </c>
      <c r="BG18" s="67">
        <f>T_p4p3p2[[#This Row],[players]]*T_p4p3p2[[#This Row],[stack]]/chips</f>
        <v>0.08</v>
      </c>
      <c r="BH18" s="16">
        <f>T_p4p3p2[[#This Row],[ICM]]+bounty*T_p4p3p2[[#This Row],[KO]]</f>
        <v>0</v>
      </c>
      <c r="BJ18" s="75">
        <f>COUNTIF(T_fact[stack],"&gt;0")</f>
        <v>4</v>
      </c>
      <c r="BK18" s="26">
        <f>IF(T_init[[#This Row],[p]]=1,sidepot2+uncalled,IF(T_init[[#This Row],[p]]=3,mainpot+sidepot1,IF(ISBLANK(T_init[[#This Row],[p]]),T_init[[#This Row],[stack]],0)))</f>
        <v>0</v>
      </c>
      <c r="BL18">
        <v>0</v>
      </c>
      <c r="BM18" s="2">
        <f>T_fact[[#This Row],[EQ]]*prize</f>
        <v>0</v>
      </c>
      <c r="BN18" s="67">
        <f>IF(OR(T_init[[#This Row],[p]]=1, T_init[[#This Row],[p]]=3),T_fact[[#This Row],[players]]*T_fact[[#This Row],[stack]]/chips+1,T_fact[[#This Row],[players]]*T_fact[[#This Row],[stack]]/chips)</f>
        <v>0</v>
      </c>
      <c r="BO18" s="16">
        <f>T_fact[[#This Row],[ICM]]+bounty*T_fact[[#This Row],[KO]]</f>
        <v>0</v>
      </c>
      <c r="BQ18" s="69">
        <f>p1sp2win*T_p3p1[[#This Row],[ICM]]+p2sp2win*T_p3p2[[#This Row],[ICM]]</f>
        <v>0</v>
      </c>
      <c r="BR18" s="69">
        <f>bounty*(p1sp2win*T_p3p1[[#This Row],[KO]]+p2sp2win*T_p3p2[[#This Row],[KO]])</f>
        <v>0</v>
      </c>
      <c r="BS18" s="69">
        <f>T_EV_p3sp2[[#This Row],[ICM]]+T_EV_p3sp2[[#This Row],[KO]]</f>
        <v>0</v>
      </c>
      <c r="BT18" s="69">
        <f>p1sp2win*T_p3p1[[#This Row],[stack]]+p2sp2win*T_p3p2[[#This Row],[stack]]</f>
        <v>18.240000000000002</v>
      </c>
      <c r="BW18" s="69">
        <f>p1sp2win*T_p4p3p1[[#This Row],[ICM]]+p2sp2win*T_p4p3p2[[#This Row],[ICM]]</f>
        <v>0</v>
      </c>
      <c r="BX18" s="69">
        <f>bounty*(p1sp2win*T_p4p3p1[[#This Row],[KO]]+p2sp2win*T_p4p3p2[[#This Row],[KO]])</f>
        <v>0</v>
      </c>
      <c r="BY18" s="69">
        <f>T_EV_p4p3sp2[[#This Row],[ICM]]+T_EV_p4p3sp2[[#This Row],[KO]]</f>
        <v>0</v>
      </c>
      <c r="BZ18" s="69">
        <f>p1sp2win*T_p4p3p1[[#This Row],[stack]]+p2sp2win*T_p4p3p2[[#This Row],[stack]]</f>
        <v>18.240000000000002</v>
      </c>
      <c r="CC18" s="69">
        <f>p1sp1win*T_p4p1[[#This Row],[ICM]]+p2sp1win*T_p4p2[[#This Row],[ICM]]+p3sp1win*T_EV_p4p3sp2[[#This Row],[ICM]]</f>
        <v>0</v>
      </c>
      <c r="CD18" s="69">
        <f>bounty*(p1sp1win*T_p4p1[[#This Row],[KO]]+p2sp1win*T_p4p2[[#This Row],[KO]])+p3sp1win*T_EV_p4p3sp2[[#This Row],[KO]]</f>
        <v>0</v>
      </c>
      <c r="CE18" s="69">
        <f>T_EV_p4sp1[[#This Row],[ICM]]+T_EV_p4sp1[[#This Row],[KO]]</f>
        <v>0</v>
      </c>
      <c r="CF18" s="69">
        <f>p1sp1win*T_p4p1[[#This Row],[stack]]+p2sp1win*T_p4p2[[#This Row],[stack]]+p3sp1win*T_EV_p4p3sp2[[#This Row],[chipEV]]</f>
        <v>509.62886399999996</v>
      </c>
      <c r="CI18" s="69">
        <f>p4win*(T_EV_p4sp1[[#This Row],[ICM]])+'4way'!p3win*T_EV_p3sp2[[#This Row],[ICM]]+'4way'!p2win*T_p2[[#This Row],[ICM]]+'4way'!p1win*T_p1[[#This Row],[ICM]]</f>
        <v>0</v>
      </c>
      <c r="CJ18" s="69">
        <f>p4win*(T_EV_p4sp1[[#This Row],[KO]])+'4way'!p3win*T_EV_p3sp2[[#This Row],[KO]]+bounty*('4way'!p2win*T_p2[[#This Row],[KO]]+'4way'!p1win*T_p1[[#This Row],[KO]])</f>
        <v>0</v>
      </c>
      <c r="CK18" s="69">
        <f>T_EV[[#This Row],[ICM]]+T_EV[[#This Row],[KO]]</f>
        <v>0</v>
      </c>
      <c r="CL18" s="69">
        <f>'4way'!p1win*T_p1[[#This Row],[stack]]+
'4way'!p2win*T_p2[[#This Row],[stack]]+
'4way'!p3win*(p1sp2win*T_p3p1[[#This Row],[stack]]+p2sp2win*T_p3p2[[#This Row],[stack]])+
p4win*(p1sp1win*T_p4p1[[#This Row],[stack]]+p2sp1win*T_p4p2[[#This Row],[stack]]+p3sp1win*(p1sp2win*T_p4p3p1[[#This Row],[stack]]+p2sp2win*T_p4p3p2[[#This Row],[stack]]))</f>
        <v>449.76766285439999</v>
      </c>
      <c r="CM18" s="2">
        <f>T_EV[[#This Row],[chipEV]]-T_fact[[#This Row],[stack]]</f>
        <v>449.76766285439999</v>
      </c>
      <c r="CN18" s="2">
        <f>T_EV[[#This Row],[EV]]-(T_fact[[#This Row],[ICM]]+bounty*T_fact[[#This Row],[KO]])</f>
        <v>0</v>
      </c>
    </row>
    <row r="19" spans="1:94" x14ac:dyDescent="0.25">
      <c r="A19" s="26">
        <v>3</v>
      </c>
      <c r="B19" s="26">
        <v>464</v>
      </c>
      <c r="C19" s="26" t="s">
        <v>135</v>
      </c>
      <c r="D19" s="26">
        <v>0.35349999999999998</v>
      </c>
      <c r="F19" s="75">
        <f>COUNTIF(T_p1[stack],"&gt;0")</f>
        <v>3</v>
      </c>
      <c r="G19" s="26">
        <f>IF(T_init[[#This Row],[p]]=1,mainpot+sidepot1+sidepot2+uncalled,IF(T_init[[#This Row],[p]]&gt;1,0,T_init[[#This Row],[stack]]))</f>
        <v>0</v>
      </c>
      <c r="H19" s="26"/>
      <c r="I19" s="27">
        <f>T_p1[[#This Row],[EQ]]*prize</f>
        <v>0</v>
      </c>
      <c r="J19" s="72">
        <f>IF(T_init[[#This Row],[p]]=1,T_p1[[#This Row],[players]]*T_p1[[#This Row],[stack]]/chips+COUNTIF(T_p1[stack],0),T_p1[[#This Row],[players]]*T_p1[[#This Row],[stack]]/chips)</f>
        <v>0</v>
      </c>
      <c r="K19" s="72">
        <f>T_p1[[#This Row],[ICM]]+bounty*T_p1[[#This Row],[KO]]</f>
        <v>0</v>
      </c>
      <c r="M19" s="29">
        <f>COUNTIF(T_p2[stack],"&gt;0")</f>
        <v>4</v>
      </c>
      <c r="N19" s="26">
        <f>IF(T_init[[#This Row],[p]]=1,uncalled,IF(T_init[[#This Row],[p]]=2,mainpot+sidepot1+sidepot2,IF(T_init[[#This Row],[p]]&gt;2,0,T_init[[#This Row],[stack]])))</f>
        <v>0</v>
      </c>
      <c r="O19" s="26"/>
      <c r="P19" s="27">
        <f>T_p2[[#This Row],[EQ]]*prize</f>
        <v>0</v>
      </c>
      <c r="Q19" s="72">
        <f>IF(T_init[[#This Row],[p]]=2,T_p2[[#This Row],[players]]*T_p2[[#This Row],[stack]]/chips+COUNTIF(T_p2[stack],0),T_p2[[#This Row],[players]]*T_p2[[#This Row],[stack]]/chips)</f>
        <v>0</v>
      </c>
      <c r="R19" s="72">
        <f>T_p2[[#This Row],[ICM]]+bounty*T_p2[[#This Row],[KO]]</f>
        <v>0</v>
      </c>
      <c r="T19" s="75">
        <f>COUNTIF(T_p3p1[stack],"&gt;0")</f>
        <v>4</v>
      </c>
      <c r="U19" s="26">
        <f>IF(T_init[[#This Row],[p]]=1,sidepot2+uncalled,IF(T_init[[#This Row],[p]]=3,mainpot+sidepot1,IF(ISBLANK(T_init[[#This Row],[p]]),T_init[[#This Row],[stack]],0)))</f>
        <v>1454</v>
      </c>
      <c r="V19" s="26">
        <v>0.39350000000000002</v>
      </c>
      <c r="W19" s="27">
        <f>T_p3p1[[#This Row],[EQ]]*prize</f>
        <v>0</v>
      </c>
      <c r="X19" s="72">
        <f>IF(OR(T_init[[#This Row],[p]]=1, T_init[[#This Row],[p]]=3),T_p3p1[[#This Row],[players]]*T_p3p1[[#This Row],[stack]]/chips+1,T_p3p1[[#This Row],[players]]*T_p3p1[[#This Row],[stack]]/chips)</f>
        <v>2.9386666666666668</v>
      </c>
      <c r="Y19" s="72">
        <f>T_p3p1[[#This Row],[ICM]]+bounty*T_p3p1[[#This Row],[KO]]</f>
        <v>0</v>
      </c>
      <c r="AA19" s="75">
        <f>COUNTIF(T_p3p2[stack],"&gt;0")</f>
        <v>5</v>
      </c>
      <c r="AB19" s="26">
        <f>IF(T_init[[#This Row],[p]]=1,uncalled,IF(T_init[[#This Row],[p]]=2,sidepot2,IF(T_init[[#This Row],[p]]=3,mainpot+sidepot1,IF(ISBLANK(T_init[[#This Row],[p]]),T_init[[#This Row],[stack]],0))))</f>
        <v>1454</v>
      </c>
      <c r="AC19" s="26">
        <v>0.39190000000000003</v>
      </c>
      <c r="AD19" s="27">
        <f>T_p3p2[[#This Row],[EQ]]*prize</f>
        <v>0</v>
      </c>
      <c r="AE19" s="72">
        <f>IF(T_init[[#This Row],[p]]=3,T_p3p2[[#This Row],[players]]*T_p3p2[[#This Row],[stack]]/chips+1,T_p3p2[[#This Row],[players]]*T_p3p2[[#This Row],[stack]]/chips)</f>
        <v>3.4233333333333333</v>
      </c>
      <c r="AF19" s="16">
        <f>T_p3p2[[#This Row],[ICM]]+bounty*T_p3p2[[#This Row],[KO]]</f>
        <v>0</v>
      </c>
      <c r="AH19" s="75">
        <f>COUNTIF(T_p4p1[stack],"&gt;0")</f>
        <v>4</v>
      </c>
      <c r="AI19" s="26">
        <f>IF(T_init[[#This Row],[p]]=4,mainpot,IF(T_init[[#This Row],[p]]=1,sidepot1+sidepot2+uncalled,IF(ISBLANK(T_init[[#This Row],[p]]),T_init[[#This Row],[stack]],0)))</f>
        <v>0</v>
      </c>
      <c r="AJ19" s="26">
        <v>0</v>
      </c>
      <c r="AK19" s="27">
        <f>T_p4p1[[#This Row],[EQ]]*prize</f>
        <v>0</v>
      </c>
      <c r="AL19" s="72">
        <f>IF(T_init[[#This Row],[p]]=1,T_p4p1[[#This Row],[players]]*T_p4p1[[#This Row],[stack]]/chips+2,T_p4p1[[#This Row],[players]]*T_p4p1[[#This Row],[stack]]/chips)</f>
        <v>0</v>
      </c>
      <c r="AM19" s="16">
        <f>T_p4p1[[#This Row],[ICM]]+bounty*T_p4p1[[#This Row],[KO]]</f>
        <v>0</v>
      </c>
      <c r="AO19" s="75">
        <f>COUNTIF(T_p4p2[stack],"&gt;0")</f>
        <v>5</v>
      </c>
      <c r="AP19" s="26">
        <f>IF(T_init[[#This Row],[p]]=1,uncalled,IF(T_init[[#This Row],[p]]=2,sidepot1+sidepot2,IF(T_init[[#This Row],[p]]=4,mainpot,IF(ISBLANK(T_init[[#This Row],[p]]),T_init[[#This Row],[stack]],0))))</f>
        <v>0</v>
      </c>
      <c r="AQ19" s="26">
        <v>0</v>
      </c>
      <c r="AR19" s="27">
        <f>T_p4p2[[#This Row],[EQ]]*prize</f>
        <v>0</v>
      </c>
      <c r="AS19" s="72">
        <f>IF(T_init[[#This Row],[p]]=2,T_p4p2[[#This Row],[players]]*T_p4p2[[#This Row],[stack]]/chips+1,T_p4p2[[#This Row],[players]]*T_p4p2[[#This Row],[stack]]/chips)</f>
        <v>0</v>
      </c>
      <c r="AT19" s="16">
        <f>T_p4p2[[#This Row],[ICM]]+bounty*T_p4p2[[#This Row],[KO]]</f>
        <v>0</v>
      </c>
      <c r="AV19" s="75">
        <f>COUNTIF(T_p4p3p1[stack],"&gt;0")</f>
        <v>5</v>
      </c>
      <c r="AW19" s="26">
        <f>IF(T_init[[#This Row],[p]]=1,uncalled+sidepot2,IF(T_init[[#This Row],[p]]=3,sidepot1,IF(T_init[[#This Row],[p]]=4,mainpot,IF(ISBLANK(T_init[[#This Row],[p]]),T_init[[#This Row],[stack]],0))))</f>
        <v>1272</v>
      </c>
      <c r="AX19" s="26">
        <v>0.35799999999999998</v>
      </c>
      <c r="AY19" s="27">
        <f>T_p4p3p1[[#This Row],[EQ]]*prize</f>
        <v>0</v>
      </c>
      <c r="AZ19" s="72">
        <f>IF(T_init[[#This Row],[p]]=1,T_p4p3p1[[#This Row],[players]]*T_p4p3p1[[#This Row],[stack]]/chips+1,T_p4p3p1[[#This Row],[players]]*T_p4p3p1[[#This Row],[stack]]/chips)</f>
        <v>2.12</v>
      </c>
      <c r="BA19" s="16">
        <f>T_p4p3p1[[#This Row],[ICM]]+bounty*T_p4p3p1[[#This Row],[KO]]</f>
        <v>0</v>
      </c>
      <c r="BC19" s="75">
        <f>COUNTIF(T_p4p3p2[stack],"&gt;0")</f>
        <v>6</v>
      </c>
      <c r="BD19" s="26">
        <f>IF(T_init[[#This Row],[p]]=1,uncalled,IF(T_init[[#This Row],[p]]=2,sidepot2,IF(T_init[[#This Row],[p]]=3,sidepot1,IF(T_init[[#This Row],[p]]=4,mainpot,IF(ISBLANK(T_init[[#This Row],[p]]),T_init[[#This Row],[stack]],0)))))</f>
        <v>1272</v>
      </c>
      <c r="BE19" s="26">
        <v>0.35649999999999998</v>
      </c>
      <c r="BF19" s="27">
        <f>T_p4p3p2[[#This Row],[EQ]]*prize</f>
        <v>0</v>
      </c>
      <c r="BG19" s="72">
        <f>T_p4p3p2[[#This Row],[players]]*T_p4p3p2[[#This Row],[stack]]/chips</f>
        <v>2.544</v>
      </c>
      <c r="BH19" s="16">
        <f>T_p4p3p2[[#This Row],[ICM]]+bounty*T_p4p3p2[[#This Row],[KO]]</f>
        <v>0</v>
      </c>
      <c r="BJ19" s="75">
        <f>COUNTIF(T_fact[stack],"&gt;0")</f>
        <v>4</v>
      </c>
      <c r="BK19" s="26">
        <f>IF(T_init[[#This Row],[p]]=1,sidepot2+uncalled,IF(T_init[[#This Row],[p]]=3,mainpot+sidepot1,IF(ISBLANK(T_init[[#This Row],[p]]),T_init[[#This Row],[stack]],0)))</f>
        <v>1454</v>
      </c>
      <c r="BL19" s="26">
        <v>0.39350000000000002</v>
      </c>
      <c r="BM19" s="27">
        <f>T_fact[[#This Row],[EQ]]*prize</f>
        <v>0</v>
      </c>
      <c r="BN19" s="72">
        <f>IF(OR(T_init[[#This Row],[p]]=1, T_init[[#This Row],[p]]=3),T_fact[[#This Row],[players]]*T_fact[[#This Row],[stack]]/chips+1,T_fact[[#This Row],[players]]*T_fact[[#This Row],[stack]]/chips)</f>
        <v>2.9386666666666668</v>
      </c>
      <c r="BO19" s="16">
        <f>T_fact[[#This Row],[ICM]]+bounty*T_fact[[#This Row],[KO]]</f>
        <v>0</v>
      </c>
      <c r="BQ19" s="69">
        <f>p1sp2win*T_p3p1[[#This Row],[ICM]]+p2sp2win*T_p3p2[[#This Row],[ICM]]</f>
        <v>0</v>
      </c>
      <c r="BR19" s="73">
        <f>bounty*(p1sp2win*T_p3p1[[#This Row],[KO]]+p2sp2win*T_p3p2[[#This Row],[KO]])</f>
        <v>0</v>
      </c>
      <c r="BS19" s="73">
        <f>T_EV_p3sp2[[#This Row],[ICM]]+T_EV_p3sp2[[#This Row],[KO]]</f>
        <v>0</v>
      </c>
      <c r="BT19" s="73">
        <f>p1sp2win*T_p3p1[[#This Row],[stack]]+p2sp2win*T_p3p2[[#This Row],[stack]]</f>
        <v>1454</v>
      </c>
      <c r="BW19" s="69">
        <f>p1sp2win*T_p4p3p1[[#This Row],[ICM]]+p2sp2win*T_p4p3p2[[#This Row],[ICM]]</f>
        <v>0</v>
      </c>
      <c r="BX19" s="73">
        <f>bounty*(p1sp2win*T_p4p3p1[[#This Row],[KO]]+p2sp2win*T_p4p3p2[[#This Row],[KO]])</f>
        <v>0</v>
      </c>
      <c r="BY19" s="73">
        <f>T_EV_p4p3sp2[[#This Row],[ICM]]+T_EV_p4p3sp2[[#This Row],[KO]]</f>
        <v>0</v>
      </c>
      <c r="BZ19" s="73">
        <f>p1sp2win*T_p4p3p1[[#This Row],[stack]]+p2sp2win*T_p4p3p2[[#This Row],[stack]]</f>
        <v>1272</v>
      </c>
      <c r="CC19" s="69">
        <f>p1sp1win*T_p4p1[[#This Row],[ICM]]+p2sp1win*T_p4p2[[#This Row],[ICM]]+p3sp1win*T_EV_p4p3sp2[[#This Row],[ICM]]</f>
        <v>0</v>
      </c>
      <c r="CD19" s="73">
        <f>bounty*(p1sp1win*T_p4p1[[#This Row],[KO]]+p2sp1win*T_p4p2[[#This Row],[KO]])+p3sp1win*T_EV_p4p3sp2[[#This Row],[KO]]</f>
        <v>0</v>
      </c>
      <c r="CE19" s="73">
        <f>T_EV_p4sp1[[#This Row],[ICM]]+T_EV_p4sp1[[#This Row],[KO]]</f>
        <v>0</v>
      </c>
      <c r="CF19" s="73">
        <f>p1sp1win*T_p4p1[[#This Row],[stack]]+p2sp1win*T_p4p2[[#This Row],[stack]]+p3sp1win*T_EV_p4p3sp2[[#This Row],[chipEV]]</f>
        <v>570.61919999999998</v>
      </c>
      <c r="CI19" s="69">
        <f>p4win*(T_EV_p4sp1[[#This Row],[ICM]])+'4way'!p3win*T_EV_p3sp2[[#This Row],[ICM]]+'4way'!p2win*T_p2[[#This Row],[ICM]]+'4way'!p1win*T_p1[[#This Row],[ICM]]</f>
        <v>0</v>
      </c>
      <c r="CJ19" s="73">
        <f>p4win*(T_EV_p4sp1[[#This Row],[KO]])+'4way'!p3win*T_EV_p3sp2[[#This Row],[KO]]+bounty*('4way'!p2win*T_p2[[#This Row],[KO]]+'4way'!p1win*T_p1[[#This Row],[KO]])</f>
        <v>0</v>
      </c>
      <c r="CK19" s="73">
        <f>T_EV[[#This Row],[ICM]]+T_EV[[#This Row],[KO]]</f>
        <v>0</v>
      </c>
      <c r="CL19" s="73">
        <f>'4way'!p1win*T_p1[[#This Row],[stack]]+
'4way'!p2win*T_p2[[#This Row],[stack]]+
'4way'!p3win*(p1sp2win*T_p3p1[[#This Row],[stack]]+p2sp2win*T_p3p2[[#This Row],[stack]])+
p4win*(p1sp1win*T_p4p1[[#This Row],[stack]]+p2sp1win*T_p4p2[[#This Row],[stack]]+p3sp1win*(p1sp2win*T_p4p3p1[[#This Row],[stack]]+p2sp2win*T_p4p3p2[[#This Row],[stack]]))</f>
        <v>677.66837232</v>
      </c>
      <c r="CM19" s="2">
        <f>T_EV[[#This Row],[chipEV]]-T_fact[[#This Row],[stack]]</f>
        <v>-776.33162768</v>
      </c>
      <c r="CN19" s="2">
        <f>T_EV[[#This Row],[EV]]-(T_fact[[#This Row],[ICM]]+bounty*T_fact[[#This Row],[KO]])</f>
        <v>0</v>
      </c>
    </row>
    <row r="20" spans="1:94" x14ac:dyDescent="0.25">
      <c r="B20">
        <v>464</v>
      </c>
      <c r="F20" s="5">
        <f>COUNTIF(T_p1[stack],"&gt;0")</f>
        <v>3</v>
      </c>
      <c r="G20">
        <f>IF(T_init[[#This Row],[p]]=1,mainpot+sidepot1+sidepot2+uncalled,IF(T_init[[#This Row],[p]]&gt;1,0,T_init[[#This Row],[stack]]))</f>
        <v>464</v>
      </c>
      <c r="H20">
        <v>0.25459999999999999</v>
      </c>
      <c r="I20" s="2">
        <f>T_p1[[#This Row],[EQ]]*prize</f>
        <v>0</v>
      </c>
      <c r="J20" s="67">
        <f>IF(T_init[[#This Row],[p]]=1,T_p1[[#This Row],[players]]*T_p1[[#This Row],[stack]]/chips+COUNTIF(T_p1[stack],0),T_p1[[#This Row],[players]]*T_p1[[#This Row],[stack]]/chips)</f>
        <v>0.46400000000000002</v>
      </c>
      <c r="K20" s="67">
        <f>T_p1[[#This Row],[ICM]]+bounty*T_p1[[#This Row],[KO]]</f>
        <v>0</v>
      </c>
      <c r="M20" s="10">
        <f>COUNTIF(T_p2[stack],"&gt;0")</f>
        <v>4</v>
      </c>
      <c r="N20">
        <f>IF(T_init[[#This Row],[p]]=1,uncalled,IF(T_init[[#This Row],[p]]=2,mainpot+sidepot1+sidepot2,IF(T_init[[#This Row],[p]]&gt;2,0,T_init[[#This Row],[stack]])))</f>
        <v>464</v>
      </c>
      <c r="O20">
        <v>0.18659999999999999</v>
      </c>
      <c r="P20" s="2">
        <f>T_p2[[#This Row],[EQ]]*prize</f>
        <v>0</v>
      </c>
      <c r="Q20" s="67">
        <f>IF(T_init[[#This Row],[p]]=2,T_p2[[#This Row],[players]]*T_p2[[#This Row],[stack]]/chips+COUNTIF(T_p2[stack],0),T_p2[[#This Row],[players]]*T_p2[[#This Row],[stack]]/chips)</f>
        <v>0.6186666666666667</v>
      </c>
      <c r="R20" s="67">
        <f>T_p2[[#This Row],[ICM]]+bounty*T_p2[[#This Row],[KO]]</f>
        <v>0</v>
      </c>
      <c r="T20" s="5">
        <f>COUNTIF(T_p3p1[stack],"&gt;0")</f>
        <v>4</v>
      </c>
      <c r="U20" s="26">
        <f>IF(T_init[[#This Row],[p]]=1,sidepot2+uncalled,IF(T_init[[#This Row],[p]]=3,mainpot+sidepot1,IF(ISBLANK(T_init[[#This Row],[p]]),T_init[[#This Row],[stack]],0)))</f>
        <v>464</v>
      </c>
      <c r="V20">
        <v>0.1842</v>
      </c>
      <c r="W20" s="2">
        <f>T_p3p1[[#This Row],[EQ]]*prize</f>
        <v>0</v>
      </c>
      <c r="X20" s="67">
        <f>IF(OR(T_init[[#This Row],[p]]=1, T_init[[#This Row],[p]]=3),T_p3p1[[#This Row],[players]]*T_p3p1[[#This Row],[stack]]/chips+1,T_p3p1[[#This Row],[players]]*T_p3p1[[#This Row],[stack]]/chips)</f>
        <v>0.6186666666666667</v>
      </c>
      <c r="Y20" s="67">
        <f>T_p3p1[[#This Row],[ICM]]+bounty*T_p3p1[[#This Row],[KO]]</f>
        <v>0</v>
      </c>
      <c r="AA20" s="5">
        <f>COUNTIF(T_p3p2[stack],"&gt;0")</f>
        <v>5</v>
      </c>
      <c r="AB20">
        <f>IF(T_init[[#This Row],[p]]=1,uncalled,IF(T_init[[#This Row],[p]]=2,sidepot2,IF(T_init[[#This Row],[p]]=3,mainpot+sidepot1,IF(ISBLANK(T_init[[#This Row],[p]]),T_init[[#This Row],[stack]],0))))</f>
        <v>464</v>
      </c>
      <c r="AC20">
        <v>0.18360000000000001</v>
      </c>
      <c r="AD20" s="2">
        <f>T_p3p2[[#This Row],[EQ]]*prize</f>
        <v>0</v>
      </c>
      <c r="AE20" s="67">
        <f>IF(T_init[[#This Row],[p]]=3,T_p3p2[[#This Row],[players]]*T_p3p2[[#This Row],[stack]]/chips+1,T_p3p2[[#This Row],[players]]*T_p3p2[[#This Row],[stack]]/chips)</f>
        <v>0.77333333333333332</v>
      </c>
      <c r="AF20" s="16">
        <f>T_p3p2[[#This Row],[ICM]]+bounty*T_p3p2[[#This Row],[KO]]</f>
        <v>0</v>
      </c>
      <c r="AH20" s="5">
        <f>COUNTIF(T_p4p1[stack],"&gt;0")</f>
        <v>4</v>
      </c>
      <c r="AI20">
        <f>IF(T_init[[#This Row],[p]]=4,mainpot,IF(T_init[[#This Row],[p]]=1,sidepot1+sidepot2+uncalled,IF(ISBLANK(T_init[[#This Row],[p]]),T_init[[#This Row],[stack]],0)))</f>
        <v>464</v>
      </c>
      <c r="AJ20">
        <v>0.22370000000000001</v>
      </c>
      <c r="AK20" s="2">
        <f>T_p4p1[[#This Row],[EQ]]*prize</f>
        <v>0</v>
      </c>
      <c r="AL20" s="67">
        <f>IF(T_init[[#This Row],[p]]=1,T_p4p1[[#This Row],[players]]*T_p4p1[[#This Row],[stack]]/chips+2,T_p4p1[[#This Row],[players]]*T_p4p1[[#This Row],[stack]]/chips)</f>
        <v>0.6186666666666667</v>
      </c>
      <c r="AM20" s="16">
        <f>T_p4p1[[#This Row],[ICM]]+bounty*T_p4p1[[#This Row],[KO]]</f>
        <v>0</v>
      </c>
      <c r="AO20" s="5">
        <f>COUNTIF(T_p4p2[stack],"&gt;0")</f>
        <v>5</v>
      </c>
      <c r="AP20">
        <f>IF(T_init[[#This Row],[p]]=1,uncalled,IF(T_init[[#This Row],[p]]=2,sidepot1+sidepot2,IF(T_init[[#This Row],[p]]=4,mainpot,IF(ISBLANK(T_init[[#This Row],[p]]),T_init[[#This Row],[stack]],0))))</f>
        <v>464</v>
      </c>
      <c r="AQ20">
        <v>0.17499999999999999</v>
      </c>
      <c r="AR20" s="2">
        <f>T_p4p2[[#This Row],[EQ]]*prize</f>
        <v>0</v>
      </c>
      <c r="AS20" s="67">
        <f>IF(T_init[[#This Row],[p]]=2,T_p4p2[[#This Row],[players]]*T_p4p2[[#This Row],[stack]]/chips+1,T_p4p2[[#This Row],[players]]*T_p4p2[[#This Row],[stack]]/chips)</f>
        <v>0.77333333333333332</v>
      </c>
      <c r="AT20" s="16">
        <f>T_p4p2[[#This Row],[ICM]]+bounty*T_p4p2[[#This Row],[KO]]</f>
        <v>0</v>
      </c>
      <c r="AV20" s="5">
        <f>COUNTIF(T_p4p3p1[stack],"&gt;0")</f>
        <v>5</v>
      </c>
      <c r="AW20">
        <f>IF(T_init[[#This Row],[p]]=1,uncalled+sidepot2,IF(T_init[[#This Row],[p]]=3,sidepot1,IF(T_init[[#This Row],[p]]=4,mainpot,IF(ISBLANK(T_init[[#This Row],[p]]),T_init[[#This Row],[stack]],0))))</f>
        <v>464</v>
      </c>
      <c r="AX20">
        <v>0.1734</v>
      </c>
      <c r="AY20" s="2">
        <f>T_p4p3p1[[#This Row],[EQ]]*prize</f>
        <v>0</v>
      </c>
      <c r="AZ20" s="67">
        <f>IF(T_init[[#This Row],[p]]=1,T_p4p3p1[[#This Row],[players]]*T_p4p3p1[[#This Row],[stack]]/chips+1,T_p4p3p1[[#This Row],[players]]*T_p4p3p1[[#This Row],[stack]]/chips)</f>
        <v>0.77333333333333332</v>
      </c>
      <c r="BA20" s="16">
        <f>T_p4p3p1[[#This Row],[ICM]]+bounty*T_p4p3p1[[#This Row],[KO]]</f>
        <v>0</v>
      </c>
      <c r="BC20" s="5">
        <f>COUNTIF(T_p4p3p2[stack],"&gt;0")</f>
        <v>6</v>
      </c>
      <c r="BD20">
        <f>IF(T_init[[#This Row],[p]]=1,uncalled,IF(T_init[[#This Row],[p]]=2,sidepot2,IF(T_init[[#This Row],[p]]=3,sidepot1,IF(T_init[[#This Row],[p]]=4,mainpot,IF(ISBLANK(T_init[[#This Row],[p]]),T_init[[#This Row],[stack]],0)))))</f>
        <v>464</v>
      </c>
      <c r="BE20">
        <v>0.17280000000000001</v>
      </c>
      <c r="BF20" s="2">
        <f>T_p4p3p2[[#This Row],[EQ]]*prize</f>
        <v>0</v>
      </c>
      <c r="BG20" s="67">
        <f>T_p4p3p2[[#This Row],[players]]*T_p4p3p2[[#This Row],[stack]]/chips</f>
        <v>0.92800000000000005</v>
      </c>
      <c r="BH20" s="16">
        <f>T_p4p3p2[[#This Row],[ICM]]+bounty*T_p4p3p2[[#This Row],[KO]]</f>
        <v>0</v>
      </c>
      <c r="BJ20" s="75">
        <f>COUNTIF(T_fact[stack],"&gt;0")</f>
        <v>4</v>
      </c>
      <c r="BK20" s="26">
        <f>IF(T_init[[#This Row],[p]]=1,sidepot2+uncalled,IF(T_init[[#This Row],[p]]=3,mainpot+sidepot1,IF(ISBLANK(T_init[[#This Row],[p]]),T_init[[#This Row],[stack]],0)))</f>
        <v>464</v>
      </c>
      <c r="BL20">
        <v>0.1842</v>
      </c>
      <c r="BM20" s="2">
        <f>T_fact[[#This Row],[EQ]]*prize</f>
        <v>0</v>
      </c>
      <c r="BN20" s="67">
        <f>IF(OR(T_init[[#This Row],[p]]=1, T_init[[#This Row],[p]]=3),T_fact[[#This Row],[players]]*T_fact[[#This Row],[stack]]/chips+1,T_fact[[#This Row],[players]]*T_fact[[#This Row],[stack]]/chips)</f>
        <v>0.6186666666666667</v>
      </c>
      <c r="BO20" s="16">
        <f>T_fact[[#This Row],[ICM]]+bounty*T_fact[[#This Row],[KO]]</f>
        <v>0</v>
      </c>
      <c r="BQ20" s="69">
        <f>p1sp2win*T_p3p1[[#This Row],[ICM]]+p2sp2win*T_p3p2[[#This Row],[ICM]]</f>
        <v>0</v>
      </c>
      <c r="BR20" s="69">
        <f>bounty*(p1sp2win*T_p3p1[[#This Row],[KO]]+p2sp2win*T_p3p2[[#This Row],[KO]])</f>
        <v>0</v>
      </c>
      <c r="BS20" s="69">
        <f>T_EV_p3sp2[[#This Row],[ICM]]+T_EV_p3sp2[[#This Row],[KO]]</f>
        <v>0</v>
      </c>
      <c r="BT20" s="69">
        <f>p1sp2win*T_p3p1[[#This Row],[stack]]+p2sp2win*T_p3p2[[#This Row],[stack]]</f>
        <v>464</v>
      </c>
      <c r="BW20" s="69">
        <f>p1sp2win*T_p4p3p1[[#This Row],[ICM]]+p2sp2win*T_p4p3p2[[#This Row],[ICM]]</f>
        <v>0</v>
      </c>
      <c r="BX20" s="69">
        <f>bounty*(p1sp2win*T_p4p3p1[[#This Row],[KO]]+p2sp2win*T_p4p3p2[[#This Row],[KO]])</f>
        <v>0</v>
      </c>
      <c r="BY20" s="69">
        <f>T_EV_p4p3sp2[[#This Row],[ICM]]+T_EV_p4p3sp2[[#This Row],[KO]]</f>
        <v>0</v>
      </c>
      <c r="BZ20" s="69">
        <f>p1sp2win*T_p4p3p1[[#This Row],[stack]]+p2sp2win*T_p4p3p2[[#This Row],[stack]]</f>
        <v>464</v>
      </c>
      <c r="CC20" s="69">
        <f>p1sp1win*T_p4p1[[#This Row],[ICM]]+p2sp1win*T_p4p2[[#This Row],[ICM]]+p3sp1win*T_EV_p4p3sp2[[#This Row],[ICM]]</f>
        <v>0</v>
      </c>
      <c r="CD20" s="69">
        <f>bounty*(p1sp1win*T_p4p1[[#This Row],[KO]]+p2sp1win*T_p4p2[[#This Row],[KO]])+p3sp1win*T_EV_p4p3sp2[[#This Row],[KO]]</f>
        <v>0</v>
      </c>
      <c r="CE20" s="69">
        <f>T_EV_p4sp1[[#This Row],[ICM]]+T_EV_p4sp1[[#This Row],[KO]]</f>
        <v>0</v>
      </c>
      <c r="CF20" s="69">
        <f>p1sp1win*T_p4p1[[#This Row],[stack]]+p2sp1win*T_p4p2[[#This Row],[stack]]+p3sp1win*T_EV_p4p3sp2[[#This Row],[chipEV]]</f>
        <v>464</v>
      </c>
      <c r="CI20" s="69">
        <f>p4win*(T_EV_p4sp1[[#This Row],[ICM]])+'4way'!p3win*T_EV_p3sp2[[#This Row],[ICM]]+'4way'!p2win*T_p2[[#This Row],[ICM]]+'4way'!p1win*T_p1[[#This Row],[ICM]]</f>
        <v>0</v>
      </c>
      <c r="CJ20" s="69">
        <f>p4win*(T_EV_p4sp1[[#This Row],[KO]])+'4way'!p3win*T_EV_p3sp2[[#This Row],[KO]]+bounty*('4way'!p2win*T_p2[[#This Row],[KO]]+'4way'!p1win*T_p1[[#This Row],[KO]])</f>
        <v>0</v>
      </c>
      <c r="CK20" s="69">
        <f>T_EV[[#This Row],[ICM]]+T_EV[[#This Row],[KO]]</f>
        <v>0</v>
      </c>
      <c r="CL20" s="69">
        <f>'4way'!p1win*T_p1[[#This Row],[stack]]+
'4way'!p2win*T_p2[[#This Row],[stack]]+
'4way'!p3win*(p1sp2win*T_p3p1[[#This Row],[stack]]+p2sp2win*T_p3p2[[#This Row],[stack]])+
p4win*(p1sp1win*T_p4p1[[#This Row],[stack]]+p2sp1win*T_p4p2[[#This Row],[stack]]+p3sp1win*(p1sp2win*T_p4p3p1[[#This Row],[stack]]+p2sp2win*T_p4p3p2[[#This Row],[stack]]))</f>
        <v>464</v>
      </c>
      <c r="CM20" s="2">
        <f>T_EV[[#This Row],[chipEV]]-T_fact[[#This Row],[stack]]</f>
        <v>0</v>
      </c>
      <c r="CN20" s="2">
        <f>T_EV[[#This Row],[EV]]-(T_fact[[#This Row],[ICM]]+bounty*T_fact[[#This Row],[KO]])</f>
        <v>0</v>
      </c>
    </row>
    <row r="21" spans="1:94" x14ac:dyDescent="0.25">
      <c r="A21">
        <v>1</v>
      </c>
      <c r="B21">
        <v>1012</v>
      </c>
      <c r="C21" t="s">
        <v>136</v>
      </c>
      <c r="D21">
        <v>0.16089999999999999</v>
      </c>
      <c r="F21" s="5">
        <f>COUNTIF(T_p1[stack],"&gt;0")</f>
        <v>3</v>
      </c>
      <c r="G21">
        <f>IF(T_init[[#This Row],[p]]=1,mainpot+sidepot1+sidepot2+uncalled,IF(T_init[[#This Row],[p]]&gt;1,0,T_init[[#This Row],[stack]]))</f>
        <v>2042</v>
      </c>
      <c r="H21">
        <v>0.47010000000000002</v>
      </c>
      <c r="I21" s="2">
        <f>T_p1[[#This Row],[EQ]]*prize</f>
        <v>0</v>
      </c>
      <c r="J21" s="67">
        <f>IF(T_init[[#This Row],[p]]=1,T_p1[[#This Row],[players]]*T_p1[[#This Row],[stack]]/chips+COUNTIF(T_p1[stack],0),T_p1[[#This Row],[players]]*T_p1[[#This Row],[stack]]/chips)</f>
        <v>5.0419999999999998</v>
      </c>
      <c r="K21" s="67">
        <f>T_p1[[#This Row],[ICM]]+bounty*T_p1[[#This Row],[KO]]</f>
        <v>0</v>
      </c>
      <c r="M21" s="10">
        <f>COUNTIF(T_p2[stack],"&gt;0")</f>
        <v>4</v>
      </c>
      <c r="N21">
        <f>IF(T_init[[#This Row],[p]]=1,uncalled,IF(T_init[[#This Row],[p]]=2,mainpot+sidepot1+sidepot2,IF(T_init[[#This Row],[p]]&gt;2,0,T_init[[#This Row],[stack]])))</f>
        <v>548</v>
      </c>
      <c r="O21">
        <v>0.2167</v>
      </c>
      <c r="P21" s="2">
        <f>T_p2[[#This Row],[EQ]]*prize</f>
        <v>0</v>
      </c>
      <c r="Q21" s="67">
        <f>IF(T_init[[#This Row],[p]]=2,T_p2[[#This Row],[players]]*T_p2[[#This Row],[stack]]/chips+COUNTIF(T_p2[stack],0),T_p2[[#This Row],[players]]*T_p2[[#This Row],[stack]]/chips)</f>
        <v>0.73066666666666669</v>
      </c>
      <c r="R21" s="67">
        <f>T_p2[[#This Row],[ICM]]+bounty*T_p2[[#This Row],[KO]]</f>
        <v>0</v>
      </c>
      <c r="T21" s="5">
        <f>COUNTIF(T_p3p1[stack],"&gt;0")</f>
        <v>4</v>
      </c>
      <c r="U21" s="26">
        <f>IF(T_init[[#This Row],[p]]=1,sidepot2+uncalled,IF(T_init[[#This Row],[p]]=3,mainpot+sidepot1,IF(ISBLANK(T_init[[#This Row],[p]]),T_init[[#This Row],[stack]],0)))</f>
        <v>588</v>
      </c>
      <c r="V21">
        <v>0.22739999999999999</v>
      </c>
      <c r="W21" s="2">
        <f>T_p3p1[[#This Row],[EQ]]*prize</f>
        <v>0</v>
      </c>
      <c r="X21" s="67">
        <f>IF(OR(T_init[[#This Row],[p]]=1, T_init[[#This Row],[p]]=3),T_p3p1[[#This Row],[players]]*T_p3p1[[#This Row],[stack]]/chips+1,T_p3p1[[#This Row],[players]]*T_p3p1[[#This Row],[stack]]/chips)</f>
        <v>1.784</v>
      </c>
      <c r="Y21" s="67">
        <f>T_p3p1[[#This Row],[ICM]]+bounty*T_p3p1[[#This Row],[KO]]</f>
        <v>0</v>
      </c>
      <c r="AA21" s="5">
        <f>COUNTIF(T_p3p2[stack],"&gt;0")</f>
        <v>5</v>
      </c>
      <c r="AB21">
        <f>IF(T_init[[#This Row],[p]]=1,uncalled,IF(T_init[[#This Row],[p]]=2,sidepot2,IF(T_init[[#This Row],[p]]=3,mainpot+sidepot1,IF(ISBLANK(T_init[[#This Row],[p]]),T_init[[#This Row],[stack]],0))))</f>
        <v>548</v>
      </c>
      <c r="AC21">
        <v>0.2132</v>
      </c>
      <c r="AD21" s="2">
        <f>T_p3p2[[#This Row],[EQ]]*prize</f>
        <v>0</v>
      </c>
      <c r="AE21" s="67">
        <f>IF(T_init[[#This Row],[p]]=3,T_p3p2[[#This Row],[players]]*T_p3p2[[#This Row],[stack]]/chips+1,T_p3p2[[#This Row],[players]]*T_p3p2[[#This Row],[stack]]/chips)</f>
        <v>0.91333333333333333</v>
      </c>
      <c r="AF21" s="16">
        <f>T_p3p2[[#This Row],[ICM]]+bounty*T_p3p2[[#This Row],[KO]]</f>
        <v>0</v>
      </c>
      <c r="AH21" s="5">
        <f>COUNTIF(T_p4p1[stack],"&gt;0")</f>
        <v>4</v>
      </c>
      <c r="AI21">
        <f>IF(T_init[[#This Row],[p]]=4,mainpot,IF(T_init[[#This Row],[p]]=1,sidepot1+sidepot2+uncalled,IF(ISBLANK(T_init[[#This Row],[p]]),T_init[[#This Row],[stack]],0)))</f>
        <v>1860</v>
      </c>
      <c r="AJ21">
        <v>0.44790000000000002</v>
      </c>
      <c r="AK21" s="2">
        <f>T_p4p1[[#This Row],[EQ]]*prize</f>
        <v>0</v>
      </c>
      <c r="AL21" s="67">
        <f>IF(T_init[[#This Row],[p]]=1,T_p4p1[[#This Row],[players]]*T_p4p1[[#This Row],[stack]]/chips+2,T_p4p1[[#This Row],[players]]*T_p4p1[[#This Row],[stack]]/chips)</f>
        <v>4.4800000000000004</v>
      </c>
      <c r="AM21" s="16">
        <f>T_p4p1[[#This Row],[ICM]]+bounty*T_p4p1[[#This Row],[KO]]</f>
        <v>0</v>
      </c>
      <c r="AO21" s="5">
        <f>COUNTIF(T_p4p2[stack],"&gt;0")</f>
        <v>5</v>
      </c>
      <c r="AP21">
        <f>IF(T_init[[#This Row],[p]]=1,uncalled,IF(T_init[[#This Row],[p]]=2,sidepot1+sidepot2,IF(T_init[[#This Row],[p]]=4,mainpot,IF(ISBLANK(T_init[[#This Row],[p]]),T_init[[#This Row],[stack]],0))))</f>
        <v>548</v>
      </c>
      <c r="AQ21">
        <v>0.2029</v>
      </c>
      <c r="AR21" s="2">
        <f>T_p4p2[[#This Row],[EQ]]*prize</f>
        <v>0</v>
      </c>
      <c r="AS21" s="67">
        <f>IF(T_init[[#This Row],[p]]=2,T_p4p2[[#This Row],[players]]*T_p4p2[[#This Row],[stack]]/chips+1,T_p4p2[[#This Row],[players]]*T_p4p2[[#This Row],[stack]]/chips)</f>
        <v>0.91333333333333333</v>
      </c>
      <c r="AT21" s="16">
        <f>T_p4p2[[#This Row],[ICM]]+bounty*T_p4p2[[#This Row],[KO]]</f>
        <v>0</v>
      </c>
      <c r="AV21" s="5">
        <f>COUNTIF(T_p4p3p1[stack],"&gt;0")</f>
        <v>5</v>
      </c>
      <c r="AW21">
        <f>IF(T_init[[#This Row],[p]]=1,uncalled+sidepot2,IF(T_init[[#This Row],[p]]=3,sidepot1,IF(T_init[[#This Row],[p]]=4,mainpot,IF(ISBLANK(T_init[[#This Row],[p]]),T_init[[#This Row],[stack]],0))))</f>
        <v>588</v>
      </c>
      <c r="AX21">
        <v>0.2137</v>
      </c>
      <c r="AY21" s="2">
        <f>T_p4p3p1[[#This Row],[EQ]]*prize</f>
        <v>0</v>
      </c>
      <c r="AZ21" s="67">
        <f>IF(T_init[[#This Row],[p]]=1,T_p4p3p1[[#This Row],[players]]*T_p4p3p1[[#This Row],[stack]]/chips+1,T_p4p3p1[[#This Row],[players]]*T_p4p3p1[[#This Row],[stack]]/chips)</f>
        <v>1.98</v>
      </c>
      <c r="BA21" s="16">
        <f>T_p4p3p1[[#This Row],[ICM]]+bounty*T_p4p3p1[[#This Row],[KO]]</f>
        <v>0</v>
      </c>
      <c r="BC21" s="5">
        <f>COUNTIF(T_p4p3p2[stack],"&gt;0")</f>
        <v>6</v>
      </c>
      <c r="BD21">
        <f>IF(T_init[[#This Row],[p]]=1,uncalled,IF(T_init[[#This Row],[p]]=2,sidepot2,IF(T_init[[#This Row],[p]]=3,sidepot1,IF(T_init[[#This Row],[p]]=4,mainpot,IF(ISBLANK(T_init[[#This Row],[p]]),T_init[[#This Row],[stack]],0)))))</f>
        <v>548</v>
      </c>
      <c r="BE21">
        <v>0.20039999999999999</v>
      </c>
      <c r="BF21" s="2">
        <f>T_p4p3p2[[#This Row],[EQ]]*prize</f>
        <v>0</v>
      </c>
      <c r="BG21" s="67">
        <f>T_p4p3p2[[#This Row],[players]]*T_p4p3p2[[#This Row],[stack]]/chips</f>
        <v>1.0960000000000001</v>
      </c>
      <c r="BH21" s="16">
        <f>T_p4p3p2[[#This Row],[ICM]]+bounty*T_p4p3p2[[#This Row],[KO]]</f>
        <v>0</v>
      </c>
      <c r="BJ21" s="75">
        <f>COUNTIF(T_fact[stack],"&gt;0")</f>
        <v>4</v>
      </c>
      <c r="BK21" s="26">
        <f>IF(T_init[[#This Row],[p]]=1,sidepot2+uncalled,IF(T_init[[#This Row],[p]]=3,mainpot+sidepot1,IF(ISBLANK(T_init[[#This Row],[p]]),T_init[[#This Row],[stack]],0)))</f>
        <v>588</v>
      </c>
      <c r="BL21">
        <v>0.22739999999999999</v>
      </c>
      <c r="BM21" s="2">
        <f>T_fact[[#This Row],[EQ]]*prize</f>
        <v>0</v>
      </c>
      <c r="BN21" s="67">
        <f>IF(OR(T_init[[#This Row],[p]]=1, T_init[[#This Row],[p]]=3),T_fact[[#This Row],[players]]*T_fact[[#This Row],[stack]]/chips+1,T_fact[[#This Row],[players]]*T_fact[[#This Row],[stack]]/chips)</f>
        <v>1.784</v>
      </c>
      <c r="BO21" s="16">
        <f>T_fact[[#This Row],[ICM]]+bounty*T_fact[[#This Row],[KO]]</f>
        <v>0</v>
      </c>
      <c r="BQ21" s="69">
        <f>p1sp2win*T_p3p1[[#This Row],[ICM]]+p2sp2win*T_p3p2[[#This Row],[ICM]]</f>
        <v>0</v>
      </c>
      <c r="BR21" s="69">
        <f>bounty*(p1sp2win*T_p3p1[[#This Row],[KO]]+p2sp2win*T_p3p2[[#This Row],[KO]])</f>
        <v>0</v>
      </c>
      <c r="BS21" s="69">
        <f>T_EV_p3sp2[[#This Row],[ICM]]+T_EV_p3sp2[[#This Row],[KO]]</f>
        <v>0</v>
      </c>
      <c r="BT21" s="69">
        <f>p1sp2win*T_p3p1[[#This Row],[stack]]+p2sp2win*T_p3p2[[#This Row],[stack]]</f>
        <v>569.76</v>
      </c>
      <c r="BW21" s="69">
        <f>p1sp2win*T_p4p3p1[[#This Row],[ICM]]+p2sp2win*T_p4p3p2[[#This Row],[ICM]]</f>
        <v>0</v>
      </c>
      <c r="BX21" s="69">
        <f>bounty*(p1sp2win*T_p4p3p1[[#This Row],[KO]]+p2sp2win*T_p4p3p2[[#This Row],[KO]])</f>
        <v>0</v>
      </c>
      <c r="BY21" s="69">
        <f>T_EV_p4p3sp2[[#This Row],[ICM]]+T_EV_p4p3sp2[[#This Row],[KO]]</f>
        <v>0</v>
      </c>
      <c r="BZ21" s="69">
        <f>p1sp2win*T_p4p3p1[[#This Row],[stack]]+p2sp2win*T_p4p3p2[[#This Row],[stack]]</f>
        <v>569.76</v>
      </c>
      <c r="CC21" s="69">
        <f>p1sp1win*T_p4p1[[#This Row],[ICM]]+p2sp1win*T_p4p2[[#This Row],[ICM]]+p3sp1win*T_EV_p4p3sp2[[#This Row],[ICM]]</f>
        <v>0</v>
      </c>
      <c r="CD21" s="69">
        <f>bounty*(p1sp1win*T_p4p1[[#This Row],[KO]]+p2sp1win*T_p4p2[[#This Row],[KO]])+p3sp1win*T_EV_p4p3sp2[[#This Row],[KO]]</f>
        <v>0</v>
      </c>
      <c r="CE21" s="69">
        <f>T_EV_p4sp1[[#This Row],[ICM]]+T_EV_p4sp1[[#This Row],[KO]]</f>
        <v>0</v>
      </c>
      <c r="CF21" s="69">
        <f>p1sp1win*T_p4p1[[#This Row],[stack]]+p2sp1win*T_p4p2[[#This Row],[stack]]+p3sp1win*T_EV_p4p3sp2[[#This Row],[chipEV]]</f>
        <v>779.751936</v>
      </c>
      <c r="CI21" s="69">
        <f>p4win*(T_EV_p4sp1[[#This Row],[ICM]])+'4way'!p3win*T_EV_p3sp2[[#This Row],[ICM]]+'4way'!p2win*T_p2[[#This Row],[ICM]]+'4way'!p1win*T_p1[[#This Row],[ICM]]</f>
        <v>0</v>
      </c>
      <c r="CJ21" s="69">
        <f>p4win*(T_EV_p4sp1[[#This Row],[KO]])+'4way'!p3win*T_EV_p3sp2[[#This Row],[KO]]+bounty*('4way'!p2win*T_p2[[#This Row],[KO]]+'4way'!p1win*T_p1[[#This Row],[KO]])</f>
        <v>0</v>
      </c>
      <c r="CK21" s="69">
        <f>T_EV[[#This Row],[ICM]]+T_EV[[#This Row],[KO]]</f>
        <v>0</v>
      </c>
      <c r="CL21" s="69">
        <f>'4way'!p1win*T_p1[[#This Row],[stack]]+
'4way'!p2win*T_p2[[#This Row],[stack]]+
'4way'!p3win*(p1sp2win*T_p3p1[[#This Row],[stack]]+p2sp2win*T_p3p2[[#This Row],[stack]])+
p4win*(p1sp1win*T_p4p1[[#This Row],[stack]]+p2sp1win*T_p4p2[[#This Row],[stack]]+p3sp1win*(p1sp2win*T_p4p3p1[[#This Row],[stack]]+p2sp2win*T_p4p3p2[[#This Row],[stack]]))</f>
        <v>862.31176482559999</v>
      </c>
      <c r="CM21" s="2">
        <f>T_EV[[#This Row],[chipEV]]-T_fact[[#This Row],[stack]]</f>
        <v>274.31176482559999</v>
      </c>
      <c r="CN21" s="2">
        <f>T_EV[[#This Row],[EV]]-(T_fact[[#This Row],[ICM]]+bounty*T_fact[[#This Row],[KO]])</f>
        <v>0</v>
      </c>
      <c r="CP21">
        <f>'4way'!p1win*mainpot+p1sp1win*sidepot1+p1sp2win*sidepot2 -T_fact[[#This Row],[stack]]+uncalled</f>
        <v>226.22980000000001</v>
      </c>
    </row>
    <row r="22" spans="1:94" x14ac:dyDescent="0.25">
      <c r="A22" t="s">
        <v>140</v>
      </c>
      <c r="D22">
        <f>SUBTOTAL(109,T_init[pWin])</f>
        <v>0.99990000000000001</v>
      </c>
      <c r="F22" s="53"/>
      <c r="G22" s="50">
        <f>SUM(T_p1[stack])</f>
        <v>3000</v>
      </c>
      <c r="H22" s="50">
        <f>SUM(T_p1[EQ])</f>
        <v>1</v>
      </c>
      <c r="I22" s="50">
        <f>SUM(T_p1[ICM])</f>
        <v>0</v>
      </c>
      <c r="J22" s="50">
        <f>SUM(T_p1[KO])</f>
        <v>6</v>
      </c>
      <c r="K22" s="50">
        <f>SUM(T_p1[$stack])</f>
        <v>0</v>
      </c>
      <c r="M22" s="53"/>
      <c r="N22" s="55">
        <f>SUM(T_p2[stack])</f>
        <v>3000</v>
      </c>
      <c r="O22" s="50">
        <f>SUM(T_p2[EQ])</f>
        <v>1.0001</v>
      </c>
      <c r="P22" s="51">
        <f>SUM(T_p2[ICM])</f>
        <v>0</v>
      </c>
      <c r="Q22" s="52">
        <f>SUM(T_p2[KO])</f>
        <v>6.0000000000000009</v>
      </c>
      <c r="R22" s="50">
        <f>SUM(T_p2[$stack])</f>
        <v>0</v>
      </c>
      <c r="T22" s="53"/>
      <c r="U22" s="55">
        <f>SUM(T_p3p1[stack])</f>
        <v>3000</v>
      </c>
      <c r="V22" s="50">
        <f>SUM(T_p3p1[EQ])</f>
        <v>1</v>
      </c>
      <c r="W22" s="51">
        <f>SUM(T_p3p1[ICM])</f>
        <v>0</v>
      </c>
      <c r="X22" s="52">
        <f>SUM(T_p3p1[KO])</f>
        <v>6</v>
      </c>
      <c r="Y22" s="50">
        <f>SUM(T_p3p1[$stack])</f>
        <v>0</v>
      </c>
      <c r="AA22" s="53"/>
      <c r="AB22" s="55">
        <f>SUM(T_p3p2[stack])</f>
        <v>3000</v>
      </c>
      <c r="AC22" s="50">
        <f>SUM(T_p3p2[EQ])</f>
        <v>1</v>
      </c>
      <c r="AD22" s="51">
        <f>SUM(T_p3p2[ICM])</f>
        <v>0</v>
      </c>
      <c r="AE22" s="52">
        <f>SUM(T_p3p2[KO])</f>
        <v>6</v>
      </c>
      <c r="AF22" s="50">
        <f>SUM(T_p3p1[$stack])</f>
        <v>0</v>
      </c>
      <c r="AH22" s="53"/>
      <c r="AI22" s="55">
        <f>SUM(T_p4p1[stack])</f>
        <v>3000</v>
      </c>
      <c r="AJ22" s="50">
        <f>SUM(T_p4p1[EQ])</f>
        <v>1</v>
      </c>
      <c r="AK22" s="51">
        <f>SUM(T_p4p1[ICM])</f>
        <v>0</v>
      </c>
      <c r="AL22" s="52">
        <f>SUM(T_p4p1[KO])</f>
        <v>6</v>
      </c>
      <c r="AM22" s="51">
        <f>SUM(T_p4p1[$stack])</f>
        <v>0</v>
      </c>
      <c r="AO22" s="53"/>
      <c r="AP22" s="55">
        <f>SUM(T_p4p2[stack])</f>
        <v>3000</v>
      </c>
      <c r="AQ22" s="50">
        <f>SUM(T_p4p2[EQ])</f>
        <v>0.99999999999999989</v>
      </c>
      <c r="AR22" s="51">
        <f>SUM(T_p4p2[ICM])</f>
        <v>0</v>
      </c>
      <c r="AS22" s="52">
        <f>SUM(T_p4p2[KO])</f>
        <v>6</v>
      </c>
      <c r="AT22" s="51">
        <f>SUM(T_p4p2[$stack])</f>
        <v>0</v>
      </c>
      <c r="AV22" s="53"/>
      <c r="AW22" s="55">
        <f>SUM(T_p4p3p1[stack])</f>
        <v>3000</v>
      </c>
      <c r="AX22" s="50">
        <f>SUM(T_p4p3p1[EQ])</f>
        <v>1.0001</v>
      </c>
      <c r="AY22" s="51">
        <f>SUM(T_p4p3p1[ICM])</f>
        <v>0</v>
      </c>
      <c r="AZ22" s="52">
        <f>SUM(T_p4p3p1[KO])</f>
        <v>6</v>
      </c>
      <c r="BA22" s="51">
        <f>SUM(T_p4p3p1[$stack])</f>
        <v>0</v>
      </c>
      <c r="BC22" s="53"/>
      <c r="BD22" s="55">
        <f>SUM(T_p4p3p2[stack])</f>
        <v>3000</v>
      </c>
      <c r="BE22" s="50">
        <f>SUM(T_p4p3p2[EQ])</f>
        <v>0.99990000000000012</v>
      </c>
      <c r="BF22" s="51">
        <f>SUM(T_p4p3p2[ICM])</f>
        <v>0</v>
      </c>
      <c r="BG22" s="52">
        <f>SUM(T_p4p3p2[KO])</f>
        <v>6</v>
      </c>
      <c r="BH22" s="51">
        <f>SUM(T_p4p3p2[$stack])</f>
        <v>0</v>
      </c>
      <c r="BJ22" s="53"/>
      <c r="BK22" s="55">
        <f>SUM(T_fact[stack])</f>
        <v>3000</v>
      </c>
      <c r="BL22" s="50">
        <f>SUM(T_fact[EQ])</f>
        <v>1</v>
      </c>
      <c r="BM22" s="51">
        <f>SUM(T_fact[ICM])</f>
        <v>0</v>
      </c>
      <c r="BN22" s="52">
        <f>SUM(T_fact[KO])</f>
        <v>6</v>
      </c>
      <c r="BO22" s="51">
        <f>SUM(T_fact[$stack])</f>
        <v>0</v>
      </c>
      <c r="BQ22" s="52">
        <f>SUM(T_EV_p3sp2[ICM])</f>
        <v>0</v>
      </c>
      <c r="BR22" s="52">
        <f>SUM(T_EV_p3sp2[KO])</f>
        <v>0</v>
      </c>
      <c r="BS22" s="52">
        <f>SUM(T_EV_p3sp2[EV])</f>
        <v>0</v>
      </c>
      <c r="BT22" s="50">
        <f>SUM(T_EV_p3sp2[chipEV])</f>
        <v>3000</v>
      </c>
      <c r="BW22" s="52">
        <f>SUM(T_EV_p4p3sp2[ICM])</f>
        <v>0</v>
      </c>
      <c r="BX22" s="52">
        <f>SUM(T_EV_p4p3sp2[KO])</f>
        <v>0</v>
      </c>
      <c r="BY22" s="52">
        <f>SUM(T_EV_p4p3sp2[EV])</f>
        <v>0</v>
      </c>
      <c r="BZ22" s="50">
        <f>SUM(T_EV_p4p3sp2[chipEV])</f>
        <v>3000</v>
      </c>
      <c r="CC22" s="52">
        <f>SUM(T_EV_p4sp1[ICM])</f>
        <v>0</v>
      </c>
      <c r="CD22" s="52">
        <f>SUM(T_EV_p4sp1[KO])</f>
        <v>0</v>
      </c>
      <c r="CE22" s="52">
        <f>SUM(T_EV_p4sp1[EV])</f>
        <v>0</v>
      </c>
      <c r="CF22" s="50">
        <f>SUM(T_EV_p4sp1[chipEV])</f>
        <v>3000</v>
      </c>
      <c r="CI22" s="52">
        <f>SUM(T_EV[ICM])</f>
        <v>0</v>
      </c>
      <c r="CJ22" s="52">
        <f>SUM(T_EV[KO])</f>
        <v>0</v>
      </c>
      <c r="CK22" s="52">
        <f>SUM(T_EV[EV])</f>
        <v>0</v>
      </c>
      <c r="CL22" s="50">
        <f>SUM(T_EV[chipEV])</f>
        <v>3000</v>
      </c>
    </row>
    <row r="38" spans="2:4" x14ac:dyDescent="0.25">
      <c r="C38" t="s">
        <v>102</v>
      </c>
    </row>
    <row r="39" spans="2:4" x14ac:dyDescent="0.25">
      <c r="C39" t="s">
        <v>103</v>
      </c>
    </row>
    <row r="40" spans="2:4" x14ac:dyDescent="0.25">
      <c r="C40" t="s">
        <v>104</v>
      </c>
    </row>
    <row r="43" spans="2:4" x14ac:dyDescent="0.25">
      <c r="C43" t="s">
        <v>105</v>
      </c>
    </row>
    <row r="45" spans="2:4" x14ac:dyDescent="0.25">
      <c r="B45" t="s">
        <v>124</v>
      </c>
    </row>
    <row r="46" spans="2:4" x14ac:dyDescent="0.25">
      <c r="B46" t="s">
        <v>123</v>
      </c>
    </row>
    <row r="47" spans="2:4" x14ac:dyDescent="0.25">
      <c r="C47" t="s">
        <v>106</v>
      </c>
    </row>
    <row r="48" spans="2:4" x14ac:dyDescent="0.25">
      <c r="D48" t="s">
        <v>108</v>
      </c>
    </row>
    <row r="49" spans="3:6" x14ac:dyDescent="0.25">
      <c r="C49" t="s">
        <v>107</v>
      </c>
    </row>
    <row r="50" spans="3:6" x14ac:dyDescent="0.25">
      <c r="D50" t="s">
        <v>108</v>
      </c>
    </row>
    <row r="51" spans="3:6" x14ac:dyDescent="0.25">
      <c r="C51" t="s">
        <v>109</v>
      </c>
    </row>
    <row r="52" spans="3:6" x14ac:dyDescent="0.25">
      <c r="D52" t="s">
        <v>110</v>
      </c>
    </row>
    <row r="53" spans="3:6" x14ac:dyDescent="0.25">
      <c r="D53" t="s">
        <v>111</v>
      </c>
      <c r="E53" t="s">
        <v>112</v>
      </c>
    </row>
    <row r="54" spans="3:6" x14ac:dyDescent="0.25">
      <c r="F54" t="s">
        <v>113</v>
      </c>
    </row>
    <row r="55" spans="3:6" x14ac:dyDescent="0.25">
      <c r="E55" t="s">
        <v>114</v>
      </c>
    </row>
    <row r="56" spans="3:6" x14ac:dyDescent="0.25">
      <c r="F56" t="s">
        <v>115</v>
      </c>
    </row>
    <row r="58" spans="3:6" x14ac:dyDescent="0.25">
      <c r="C58" t="s">
        <v>116</v>
      </c>
    </row>
    <row r="59" spans="3:6" x14ac:dyDescent="0.25">
      <c r="D59" t="s">
        <v>117</v>
      </c>
    </row>
    <row r="60" spans="3:6" x14ac:dyDescent="0.25">
      <c r="D60" t="s">
        <v>118</v>
      </c>
      <c r="E60" t="s">
        <v>112</v>
      </c>
    </row>
    <row r="61" spans="3:6" x14ac:dyDescent="0.25">
      <c r="F61" t="s">
        <v>119</v>
      </c>
    </row>
    <row r="62" spans="3:6" x14ac:dyDescent="0.25">
      <c r="E62" t="s">
        <v>114</v>
      </c>
    </row>
    <row r="63" spans="3:6" x14ac:dyDescent="0.25">
      <c r="F63" t="s">
        <v>120</v>
      </c>
    </row>
    <row r="64" spans="3:6" x14ac:dyDescent="0.25">
      <c r="E64" t="s">
        <v>121</v>
      </c>
    </row>
    <row r="65" spans="6:8" x14ac:dyDescent="0.25">
      <c r="F65" t="s">
        <v>122</v>
      </c>
    </row>
    <row r="66" spans="6:8" x14ac:dyDescent="0.25">
      <c r="F66" t="s">
        <v>111</v>
      </c>
    </row>
    <row r="67" spans="6:8" x14ac:dyDescent="0.25">
      <c r="G67" t="s">
        <v>112</v>
      </c>
    </row>
    <row r="68" spans="6:8" x14ac:dyDescent="0.25">
      <c r="H68" t="s">
        <v>113</v>
      </c>
    </row>
    <row r="69" spans="6:8" x14ac:dyDescent="0.25">
      <c r="G69" t="s">
        <v>114</v>
      </c>
    </row>
    <row r="70" spans="6:8" x14ac:dyDescent="0.25">
      <c r="H70" t="s">
        <v>115</v>
      </c>
    </row>
  </sheetData>
  <mergeCells count="28">
    <mergeCell ref="CI12:CL12"/>
    <mergeCell ref="CI13:CL13"/>
    <mergeCell ref="CI14:CL14"/>
    <mergeCell ref="BJ14:BN14"/>
    <mergeCell ref="BQ14:BT14"/>
    <mergeCell ref="BQ12:BT12"/>
    <mergeCell ref="BQ13:BT13"/>
    <mergeCell ref="BW12:BZ12"/>
    <mergeCell ref="BW13:BZ13"/>
    <mergeCell ref="BW14:BZ14"/>
    <mergeCell ref="CC12:CF12"/>
    <mergeCell ref="CC13:CF13"/>
    <mergeCell ref="CC14:CF14"/>
    <mergeCell ref="AH11:BG11"/>
    <mergeCell ref="AH12:BG12"/>
    <mergeCell ref="BW11:BZ11"/>
    <mergeCell ref="F14:J14"/>
    <mergeCell ref="M14:Q14"/>
    <mergeCell ref="T14:X14"/>
    <mergeCell ref="AA14:AE14"/>
    <mergeCell ref="T12:AE12"/>
    <mergeCell ref="T13:AE13"/>
    <mergeCell ref="BC14:BG14"/>
    <mergeCell ref="AV13:BG13"/>
    <mergeCell ref="AH14:AL14"/>
    <mergeCell ref="AO14:AS14"/>
    <mergeCell ref="AV14:AZ14"/>
    <mergeCell ref="AH13:AS13"/>
  </mergeCells>
  <pageMargins left="0.7" right="0.7" top="0.75" bottom="0.75" header="0.3" footer="0.3"/>
  <pageSetup paperSize="9" orientation="portrait" horizontalDpi="4294967293" verticalDpi="0" r:id="rId1"/>
  <legacyDrawing r:id="rId2"/>
  <tableParts count="14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70"/>
  <sheetViews>
    <sheetView workbookViewId="0">
      <selection activeCell="W18" sqref="W18"/>
    </sheetView>
  </sheetViews>
  <sheetFormatPr defaultRowHeight="15" x14ac:dyDescent="0.25"/>
  <cols>
    <col min="1" max="1" width="9.28515625" customWidth="1"/>
    <col min="6" max="6" width="10.28515625" customWidth="1"/>
    <col min="13" max="13" width="10.28515625" customWidth="1"/>
    <col min="20" max="20" width="9.5703125" bestFit="1" customWidth="1"/>
    <col min="27" max="27" width="7.7109375" customWidth="1"/>
    <col min="28" max="29" width="8.5703125" customWidth="1"/>
    <col min="30" max="30" width="9.85546875" customWidth="1"/>
    <col min="31" max="31" width="8.42578125" customWidth="1"/>
    <col min="35" max="35" width="10" customWidth="1"/>
    <col min="39" max="39" width="10.5703125" customWidth="1"/>
    <col min="46" max="46" width="9.140625" customWidth="1"/>
  </cols>
  <sheetData>
    <row r="1" spans="1:48" x14ac:dyDescent="0.25">
      <c r="C1" t="s">
        <v>2</v>
      </c>
      <c r="D1">
        <f>bounty*6</f>
        <v>0</v>
      </c>
      <c r="F1" t="s">
        <v>85</v>
      </c>
      <c r="G1">
        <v>0.625</v>
      </c>
      <c r="I1" t="s">
        <v>126</v>
      </c>
      <c r="J1">
        <v>0.79800000000000004</v>
      </c>
      <c r="O1" s="77"/>
      <c r="S1" t="s">
        <v>90</v>
      </c>
      <c r="T1">
        <v>248</v>
      </c>
    </row>
    <row r="2" spans="1:48" x14ac:dyDescent="0.25">
      <c r="C2" t="s">
        <v>1</v>
      </c>
      <c r="D2">
        <f>bounty</f>
        <v>0</v>
      </c>
      <c r="F2" t="s">
        <v>86</v>
      </c>
      <c r="G2">
        <v>0.16420000000000001</v>
      </c>
      <c r="I2" t="s">
        <v>127</v>
      </c>
      <c r="J2">
        <v>0.20200000000000001</v>
      </c>
      <c r="S2" t="s">
        <v>131</v>
      </c>
      <c r="T2">
        <v>844</v>
      </c>
    </row>
    <row r="3" spans="1:48" x14ac:dyDescent="0.25">
      <c r="C3" t="s">
        <v>67</v>
      </c>
      <c r="D3">
        <v>3000</v>
      </c>
      <c r="F3" t="s">
        <v>87</v>
      </c>
      <c r="G3">
        <v>0.21079999999999999</v>
      </c>
      <c r="S3" t="s">
        <v>132</v>
      </c>
      <c r="T3">
        <v>0</v>
      </c>
    </row>
    <row r="4" spans="1:48" x14ac:dyDescent="0.25">
      <c r="F4" t="s">
        <v>125</v>
      </c>
      <c r="G4">
        <v>0</v>
      </c>
      <c r="S4" t="s">
        <v>137</v>
      </c>
      <c r="T4">
        <v>498</v>
      </c>
    </row>
    <row r="6" spans="1:48" x14ac:dyDescent="0.25">
      <c r="C6" t="s">
        <v>97</v>
      </c>
      <c r="D6" t="s">
        <v>98</v>
      </c>
    </row>
    <row r="7" spans="1:48" x14ac:dyDescent="0.25">
      <c r="C7" t="s">
        <v>95</v>
      </c>
      <c r="D7" t="s">
        <v>167</v>
      </c>
    </row>
    <row r="8" spans="1:48" x14ac:dyDescent="0.25">
      <c r="C8" t="s">
        <v>96</v>
      </c>
      <c r="D8" t="s">
        <v>99</v>
      </c>
    </row>
    <row r="10" spans="1:48" ht="18.75" x14ac:dyDescent="0.3">
      <c r="F10" s="74"/>
      <c r="G10" s="74"/>
      <c r="H10" s="74"/>
      <c r="I10" s="74"/>
      <c r="J10" s="74"/>
      <c r="K10" s="74"/>
    </row>
    <row r="11" spans="1:48" ht="19.5" thickBot="1" x14ac:dyDescent="0.35">
      <c r="F11" s="74"/>
      <c r="G11" s="74"/>
      <c r="H11" s="74"/>
      <c r="I11" s="74"/>
      <c r="J11" s="74"/>
      <c r="K11" s="74"/>
      <c r="V11" t="s">
        <v>152</v>
      </c>
      <c r="AC11" t="s">
        <v>154</v>
      </c>
    </row>
    <row r="12" spans="1:48" ht="20.25" thickTop="1" thickBot="1" x14ac:dyDescent="0.35">
      <c r="F12" s="74"/>
      <c r="G12" s="74"/>
      <c r="H12" s="74"/>
      <c r="I12" s="74"/>
      <c r="J12" s="74"/>
      <c r="K12" s="74"/>
      <c r="T12" s="87" t="s">
        <v>138</v>
      </c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92"/>
      <c r="AQ12" s="87" t="s">
        <v>140</v>
      </c>
      <c r="AR12" s="88"/>
      <c r="AS12" s="88"/>
      <c r="AT12" s="88"/>
    </row>
    <row r="13" spans="1:48" ht="20.25" thickTop="1" thickBot="1" x14ac:dyDescent="0.35">
      <c r="F13" s="74"/>
      <c r="G13" s="74"/>
      <c r="H13" s="74" t="s">
        <v>151</v>
      </c>
      <c r="I13" s="74"/>
      <c r="J13" s="74"/>
      <c r="K13" s="74"/>
      <c r="O13" t="s">
        <v>153</v>
      </c>
      <c r="T13" s="87" t="s">
        <v>166</v>
      </c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92"/>
      <c r="AK13" t="s">
        <v>159</v>
      </c>
      <c r="AQ13" s="87"/>
      <c r="AR13" s="88"/>
      <c r="AS13" s="88"/>
      <c r="AT13" s="88"/>
    </row>
    <row r="14" spans="1:48" ht="19.5" thickTop="1" x14ac:dyDescent="0.3">
      <c r="F14" s="81" t="s">
        <v>49</v>
      </c>
      <c r="G14" s="82"/>
      <c r="H14" s="82"/>
      <c r="I14" s="82"/>
      <c r="J14" s="83"/>
      <c r="K14" s="74"/>
      <c r="M14" s="81" t="s">
        <v>50</v>
      </c>
      <c r="N14" s="82"/>
      <c r="O14" s="82"/>
      <c r="P14" s="82"/>
      <c r="Q14" s="83"/>
      <c r="R14" s="74"/>
      <c r="T14" s="89" t="s">
        <v>68</v>
      </c>
      <c r="U14" s="90"/>
      <c r="V14" s="90"/>
      <c r="W14" s="90"/>
      <c r="X14" s="91"/>
      <c r="Y14" s="74"/>
      <c r="AA14" s="89" t="s">
        <v>69</v>
      </c>
      <c r="AB14" s="90"/>
      <c r="AC14" s="90"/>
      <c r="AD14" s="90"/>
      <c r="AE14" s="91"/>
      <c r="AI14" s="78" t="s">
        <v>7</v>
      </c>
      <c r="AJ14" s="79"/>
      <c r="AK14" s="79"/>
      <c r="AL14" s="79"/>
      <c r="AM14" s="80"/>
      <c r="AQ14" s="84" t="s">
        <v>146</v>
      </c>
      <c r="AR14" s="85"/>
      <c r="AS14" s="85"/>
      <c r="AT14" s="86"/>
    </row>
    <row r="15" spans="1:48" x14ac:dyDescent="0.25">
      <c r="A15" t="s">
        <v>141</v>
      </c>
      <c r="B15" t="s">
        <v>28</v>
      </c>
      <c r="C15" t="s">
        <v>0</v>
      </c>
      <c r="D15" t="s">
        <v>3</v>
      </c>
      <c r="F15" s="5" t="s">
        <v>66</v>
      </c>
      <c r="G15" t="s">
        <v>28</v>
      </c>
      <c r="H15" t="s">
        <v>142</v>
      </c>
      <c r="I15" t="s">
        <v>143</v>
      </c>
      <c r="J15" s="5" t="s">
        <v>1</v>
      </c>
      <c r="K15" s="5" t="s">
        <v>150</v>
      </c>
      <c r="M15" s="5" t="s">
        <v>66</v>
      </c>
      <c r="N15" s="5" t="s">
        <v>28</v>
      </c>
      <c r="O15" s="5" t="s">
        <v>142</v>
      </c>
      <c r="P15" s="5" t="s">
        <v>143</v>
      </c>
      <c r="Q15" s="5" t="s">
        <v>1</v>
      </c>
      <c r="R15" s="5" t="s">
        <v>150</v>
      </c>
      <c r="T15" s="5" t="s">
        <v>66</v>
      </c>
      <c r="U15" s="5" t="s">
        <v>28</v>
      </c>
      <c r="V15" s="5" t="s">
        <v>142</v>
      </c>
      <c r="W15" s="5" t="s">
        <v>143</v>
      </c>
      <c r="X15" s="5" t="s">
        <v>1</v>
      </c>
      <c r="Y15" s="5" t="s">
        <v>150</v>
      </c>
      <c r="AA15" s="5" t="s">
        <v>66</v>
      </c>
      <c r="AB15" s="5" t="s">
        <v>28</v>
      </c>
      <c r="AC15" s="5" t="s">
        <v>142</v>
      </c>
      <c r="AD15" s="5" t="s">
        <v>143</v>
      </c>
      <c r="AE15" s="5" t="s">
        <v>1</v>
      </c>
      <c r="AF15" t="s">
        <v>150</v>
      </c>
      <c r="AI15" s="5" t="s">
        <v>66</v>
      </c>
      <c r="AJ15" s="5" t="s">
        <v>28</v>
      </c>
      <c r="AK15" s="5" t="s">
        <v>142</v>
      </c>
      <c r="AL15" s="5" t="s">
        <v>143</v>
      </c>
      <c r="AM15" s="5" t="s">
        <v>1</v>
      </c>
      <c r="AN15" t="s">
        <v>150</v>
      </c>
      <c r="AQ15" s="5" t="s">
        <v>143</v>
      </c>
      <c r="AR15" s="5" t="s">
        <v>1</v>
      </c>
      <c r="AS15" s="5" t="s">
        <v>146</v>
      </c>
      <c r="AT15" s="5" t="s">
        <v>147</v>
      </c>
      <c r="AU15" t="s">
        <v>148</v>
      </c>
      <c r="AV15" t="s">
        <v>149</v>
      </c>
    </row>
    <row r="16" spans="1:48" x14ac:dyDescent="0.25">
      <c r="A16" s="26">
        <v>2</v>
      </c>
      <c r="B16" s="26">
        <v>494</v>
      </c>
      <c r="C16" s="26" t="s">
        <v>168</v>
      </c>
      <c r="D16" s="26"/>
      <c r="F16" s="75">
        <f>COUNTIF(T_p12135[stack],"&gt;0")</f>
        <v>4</v>
      </c>
      <c r="G16" s="26">
        <f>IF(T_init2034[[#This Row],[p]]=1,mainpot+sidepot1+sidepot2+uncalled,IF(T_init2034[[#This Row],[p]]&gt;1,0,T_init2034[[#This Row],[stack]]))</f>
        <v>0</v>
      </c>
      <c r="H16" s="26"/>
      <c r="I16" s="27">
        <f>T_p12135[[#This Row],[EQ]]*prize</f>
        <v>0</v>
      </c>
      <c r="J16" s="72">
        <f>IF(T_init2034[[#This Row],[p]]=1,T_p12135[[#This Row],[players]]*T_p12135[[#This Row],[stack]]/chips+COUNTIF(T_p12135[stack],0),T_p12135[[#This Row],[players]]*T_p12135[[#This Row],[stack]]/chips)</f>
        <v>0</v>
      </c>
      <c r="K16" s="72">
        <f>T_p12135[[#This Row],[ICM]]+bounty*T_p12135[[#This Row],[KO]]</f>
        <v>0</v>
      </c>
      <c r="M16" s="29">
        <f>COUNTIF(T_p22236[stack],"&gt;0")</f>
        <v>5</v>
      </c>
      <c r="N16" s="26">
        <f>IF(T_init2034[[#This Row],[p]]=1,uncalled,IF(T_init2034[[#This Row],[p]]=2,mainpot+sidepot1+sidepot2,IF(T_init2034[[#This Row],[p]]&gt;2,0,T_init2034[[#This Row],[stack]])))</f>
        <v>1092</v>
      </c>
      <c r="O16" s="26">
        <v>0.31969999999999998</v>
      </c>
      <c r="P16" s="27">
        <f>T_p22236[[#This Row],[EQ]]*prize</f>
        <v>0</v>
      </c>
      <c r="Q16" s="72">
        <f>IF(T_init2034[[#This Row],[p]]=2,T_p22236[[#This Row],[players]]*T_p22236[[#This Row],[stack]]/chips+COUNTIF(T_p22236[stack],0),T_p22236[[#This Row],[players]]*T_p22236[[#This Row],[stack]]/chips)</f>
        <v>2.8200000000000003</v>
      </c>
      <c r="R16" s="72">
        <f>T_p22236[[#This Row],[ICM]]+bounty*T_p22236[[#This Row],[KO]]</f>
        <v>0</v>
      </c>
      <c r="T16" s="75">
        <f>COUNTIF(T_p3p12337[stack],"&gt;0")</f>
        <v>5</v>
      </c>
      <c r="U16" s="26">
        <f>IF(T_init2034[[#This Row],[p]]=1,sidepot1+uncalled,IF(T_init2034[[#This Row],[p]]=3,mainpot,IF(ISBLANK(T_init2034[[#This Row],[p]]),T_init2034[[#This Row],[stack]],0)))</f>
        <v>0</v>
      </c>
      <c r="V16" s="26">
        <v>0</v>
      </c>
      <c r="W16" s="27">
        <f>T_p3p12337[[#This Row],[EQ]]*prize</f>
        <v>0</v>
      </c>
      <c r="X16" s="72">
        <f>IF(T_init2034[[#This Row],[p]]=1,T_p3p12337[[#This Row],[players]]*T_p3p12337[[#This Row],[stack]]/chips+COUNTIF(T_p3p12337[stack],0),T_p3p12337[[#This Row],[players]]*T_p3p12337[[#This Row],[stack]]/chips)</f>
        <v>0</v>
      </c>
      <c r="Y16" s="72">
        <f>T_p3p12337[[#This Row],[ICM]]+bounty*T_p3p12337[[#This Row],[KO]]</f>
        <v>0</v>
      </c>
      <c r="AA16" s="75">
        <f>COUNTIF(T_p3p22438[stack],"&gt;0")</f>
        <v>6</v>
      </c>
      <c r="AB16" s="26">
        <f>IF(T_init2034[[#This Row],[p]]=1,uncalled,IF(T_init2034[[#This Row],[p]]=2,sidepot1,IF(T_init2034[[#This Row],[p]]=3,mainpot,IF(ISBLANK(T_init2034[[#This Row],[p]]),T_init2034[[#This Row],[stack]],0))))</f>
        <v>844</v>
      </c>
      <c r="AC16" s="26">
        <v>0.25979999999999998</v>
      </c>
      <c r="AD16" s="27">
        <f>T_p3p22438[[#This Row],[EQ]]*prize</f>
        <v>0</v>
      </c>
      <c r="AE16" s="72">
        <f>IF(T_init2034[[#This Row],[p]]=2,T_p3p22438[[#This Row],[players]]*T_p3p22438[[#This Row],[stack]]/chips+COUNTIF(T_p3p22438[stack],0),T_p3p22438[[#This Row],[players]]*T_p3p22438[[#This Row],[stack]]/chips)</f>
        <v>1.6879999999999999</v>
      </c>
      <c r="AF16" s="72">
        <f>T_p3p22438[[#This Row],[ICM]]+bounty*T_p3p22438[[#This Row],[KO]]</f>
        <v>0</v>
      </c>
      <c r="AI16" s="75">
        <f>COUNTIF(T_fact2939[stack],"&gt;0")</f>
        <v>6</v>
      </c>
      <c r="AJ16" s="26">
        <v>968</v>
      </c>
      <c r="AK16" s="26">
        <v>0.29039999999999999</v>
      </c>
      <c r="AL16" s="27">
        <f>T_fact2939[[#This Row],[EQ]]*prize</f>
        <v>0</v>
      </c>
      <c r="AM16" s="72">
        <f>IF(T_init2034[[#This Row],[p]]=1,T_fact2939[[#This Row],[players]]*T_fact2939[[#This Row],[stack]]/chips+COUNTIF(T_fact2939[stack],0),T_fact2939[[#This Row],[players]]*T_fact2939[[#This Row],[stack]]/chips)</f>
        <v>1.9359999999999999</v>
      </c>
      <c r="AN16" s="72">
        <f>T_fact2939[[#This Row],[ICM]]+bounty*T_fact2939[[#This Row],[KO]]</f>
        <v>0</v>
      </c>
      <c r="AQ16" s="73">
        <f>'3wKhQs'!p3win* ('3wKhQs'!p1sp1win*T_p3p12337[[#This Row],[ICM]] + '3wKhQs'!p2sp1win*T_p3p22438[[#This Row],[ICM]])
+'3wKhQs'!p2win*T_p22236[[#This Row],[ICM]]
+'3wKhQs'!p1win*T_p12135[[#This Row],[ICM]]</f>
        <v>0</v>
      </c>
      <c r="AR16" s="33">
        <f>('3wKhQs'!p3win* ('3wKhQs'!p1sp1win*T_p3p12337[[#This Row],[KO]] + '3wKhQs'!p2sp1win*T_p3p22438[[#This Row],[KO]])
+'3wKhQs'!p2win*T_p22236[[#This Row],[KO]]
+'3wKhQs'!p1win*T_p12135[[#This Row],[KO]])*bounty</f>
        <v>0</v>
      </c>
      <c r="AS16" s="73">
        <f>'3wKhQs'!p3win* ('3wKhQs'!p1sp1win*T_p3p12337[[#This Row],[$stack]] + '3wKhQs'!p2sp1win*T_p3p22438[[#This Row],[$stack]])
+'3wKhQs'!p2win*T_p22236[[#This Row],[$stack]]
+'3wKhQs'!p1win*T_p12135[[#This Row],[$stack]]</f>
        <v>0</v>
      </c>
      <c r="AT16" s="33">
        <f>'3wKhQs'!p3win* ('3wKhQs'!p1sp1win*T_p3p12337[[#This Row],[stack]] + '3wKhQs'!p2sp1win*T_p3p22438[[#This Row],[stack]])
+'3wKhQs'!p2win*T_p22236[[#This Row],[stack]]
+'3wKhQs'!p1win*T_p12135[[#This Row],[stack]]</f>
        <v>215.24527040000004</v>
      </c>
      <c r="AU16" s="2">
        <f>T_EV3340[[#This Row],[chipEV]]-T_fact2939[[#This Row],[stack]]</f>
        <v>-752.75472960000002</v>
      </c>
      <c r="AV16" s="2">
        <f>T_EV3340[[#This Row],[EV]]-(T_fact2939[[#This Row],[ICM]]+bounty*T_fact2939[[#This Row],[KO]])</f>
        <v>0</v>
      </c>
    </row>
    <row r="17" spans="1:48" x14ac:dyDescent="0.25">
      <c r="B17">
        <v>494</v>
      </c>
      <c r="F17" s="5">
        <f>COUNTIF(T_p12135[stack],"&gt;0")</f>
        <v>4</v>
      </c>
      <c r="G17">
        <f>IF(T_init2034[[#This Row],[p]]=1,mainpot+sidepot1+sidepot2+uncalled,IF(T_init2034[[#This Row],[p]]&gt;1,0,T_init2034[[#This Row],[stack]]))</f>
        <v>494</v>
      </c>
      <c r="H17">
        <v>0.2049</v>
      </c>
      <c r="I17" s="2">
        <f>T_p12135[[#This Row],[EQ]]*prize</f>
        <v>0</v>
      </c>
      <c r="J17" s="67">
        <f>IF(T_init2034[[#This Row],[p]]=1,T_p12135[[#This Row],[players]]*T_p12135[[#This Row],[stack]]/chips+COUNTIF(T_p12135[stack],0),T_p12135[[#This Row],[players]]*T_p12135[[#This Row],[stack]]/chips)</f>
        <v>0.65866666666666662</v>
      </c>
      <c r="K17" s="67">
        <f>T_p12135[[#This Row],[ICM]]+bounty*T_p12135[[#This Row],[KO]]</f>
        <v>0</v>
      </c>
      <c r="M17" s="10">
        <f>COUNTIF(T_p22236[stack],"&gt;0")</f>
        <v>5</v>
      </c>
      <c r="N17" s="26">
        <f>IF(T_init2034[[#This Row],[p]]=1,uncalled,IF(T_init2034[[#This Row],[p]]=2,mainpot+sidepot1+sidepot2,IF(T_init2034[[#This Row],[p]]&gt;2,0,T_init2034[[#This Row],[stack]])))</f>
        <v>494</v>
      </c>
      <c r="O17">
        <v>0.17549999999999999</v>
      </c>
      <c r="P17" s="2">
        <f>T_p22236[[#This Row],[EQ]]*prize</f>
        <v>0</v>
      </c>
      <c r="Q17" s="67">
        <f>IF(T_init2034[[#This Row],[p]]=2,T_p22236[[#This Row],[players]]*T_p22236[[#This Row],[stack]]/chips+COUNTIF(T_p22236[stack],0),T_p22236[[#This Row],[players]]*T_p22236[[#This Row],[stack]]/chips)</f>
        <v>0.82333333333333336</v>
      </c>
      <c r="R17" s="67">
        <f>T_p22236[[#This Row],[ICM]]+bounty*T_p22236[[#This Row],[KO]]</f>
        <v>0</v>
      </c>
      <c r="T17" s="5">
        <f>COUNTIF(T_p3p12337[stack],"&gt;0")</f>
        <v>5</v>
      </c>
      <c r="U17" s="26">
        <f>IF(T_init2034[[#This Row],[p]]=1,sidepot1+uncalled,IF(T_init2034[[#This Row],[p]]=3,mainpot,IF(ISBLANK(T_init2034[[#This Row],[p]]),T_init2034[[#This Row],[stack]],0)))</f>
        <v>494</v>
      </c>
      <c r="V17">
        <v>0.18609999999999999</v>
      </c>
      <c r="W17" s="2">
        <f>T_p3p12337[[#This Row],[EQ]]*prize</f>
        <v>0</v>
      </c>
      <c r="X17" s="67">
        <f>IF(T_init2034[[#This Row],[p]]=1,T_p3p12337[[#This Row],[players]]*T_p3p12337[[#This Row],[stack]]/chips+COUNTIF(T_p3p12337[stack],0),T_p3p12337[[#This Row],[players]]*T_p3p12337[[#This Row],[stack]]/chips)</f>
        <v>0.82333333333333336</v>
      </c>
      <c r="Y17" s="67">
        <f>T_p3p12337[[#This Row],[ICM]]+bounty*T_p3p12337[[#This Row],[KO]]</f>
        <v>0</v>
      </c>
      <c r="AA17" s="5">
        <f>COUNTIF(T_p3p22438[stack],"&gt;0")</f>
        <v>6</v>
      </c>
      <c r="AB17">
        <f>IF(T_init2034[[#This Row],[p]]=1,uncalled,IF(T_init2034[[#This Row],[p]]=2,sidepot1,IF(T_init2034[[#This Row],[p]]=3,mainpot,IF(ISBLANK(T_init2034[[#This Row],[p]]),T_init2034[[#This Row],[stack]],0))))</f>
        <v>494</v>
      </c>
      <c r="AC17">
        <v>0.16800000000000001</v>
      </c>
      <c r="AD17" s="2">
        <f>T_p3p22438[[#This Row],[EQ]]*prize</f>
        <v>0</v>
      </c>
      <c r="AE17" s="67">
        <f>IF(T_init2034[[#This Row],[p]]=2,T_p3p22438[[#This Row],[players]]*T_p3p22438[[#This Row],[stack]]/chips+COUNTIF(T_p3p22438[stack],0),T_p3p22438[[#This Row],[players]]*T_p3p22438[[#This Row],[stack]]/chips)</f>
        <v>0.98799999999999999</v>
      </c>
      <c r="AF17" s="16">
        <f>T_p3p22438[[#This Row],[ICM]]+bounty*T_p3p22438[[#This Row],[KO]]</f>
        <v>0</v>
      </c>
      <c r="AI17" s="75">
        <f>COUNTIF(T_fact2939[stack],"&gt;0")</f>
        <v>6</v>
      </c>
      <c r="AJ17" s="26">
        <v>494</v>
      </c>
      <c r="AK17">
        <v>0.17119999999999999</v>
      </c>
      <c r="AL17" s="2">
        <f>T_fact2939[[#This Row],[EQ]]*prize</f>
        <v>0</v>
      </c>
      <c r="AM17" s="67">
        <f>IF(T_init2034[[#This Row],[p]]=1,T_fact2939[[#This Row],[players]]*T_fact2939[[#This Row],[stack]]/chips+COUNTIF(T_fact2939[stack],0),T_fact2939[[#This Row],[players]]*T_fact2939[[#This Row],[stack]]/chips)</f>
        <v>0.98799999999999999</v>
      </c>
      <c r="AN17" s="16">
        <f>T_fact2939[[#This Row],[ICM]]+bounty*T_fact2939[[#This Row],[KO]]</f>
        <v>0</v>
      </c>
      <c r="AQ17" s="69">
        <f>'3wKhQs'!p3win* ('3wKhQs'!p1sp1win*T_p3p12337[[#This Row],[ICM]] + '3wKhQs'!p2sp1win*T_p3p22438[[#This Row],[ICM]])
+'3wKhQs'!p2win*T_p22236[[#This Row],[ICM]]
+'3wKhQs'!p1win*T_p12135[[#This Row],[ICM]]</f>
        <v>0</v>
      </c>
      <c r="AR17" s="69">
        <f>('3wKhQs'!p3win* ('3wKhQs'!p1sp1win*T_p3p12337[[#This Row],[KO]] + '3wKhQs'!p2sp1win*T_p3p22438[[#This Row],[KO]])
+'3wKhQs'!p2win*T_p22236[[#This Row],[KO]]
+'3wKhQs'!p1win*T_p12135[[#This Row],[KO]])*bounty</f>
        <v>0</v>
      </c>
      <c r="AS17" s="69">
        <f>'3wKhQs'!p3win* ('3wKhQs'!p1sp1win*T_p3p12337[[#This Row],[$stack]] + '3wKhQs'!p2sp1win*T_p3p22438[[#This Row],[$stack]])
+'3wKhQs'!p2win*T_p22236[[#This Row],[$stack]]
+'3wKhQs'!p1win*T_p12135[[#This Row],[$stack]]</f>
        <v>0</v>
      </c>
      <c r="AT17" s="69">
        <f>'3wKhQs'!p3win* ('3wKhQs'!p1sp1win*T_p3p12337[[#This Row],[stack]] + '3wKhQs'!p2sp1win*T_p3p22438[[#This Row],[stack]])
+'3wKhQs'!p2win*T_p22236[[#This Row],[stack]]
+'3wKhQs'!p1win*T_p12135[[#This Row],[stack]]</f>
        <v>494</v>
      </c>
      <c r="AU17" s="2">
        <f>T_EV3340[[#This Row],[chipEV]]-T_fact2939[[#This Row],[stack]]</f>
        <v>0</v>
      </c>
      <c r="AV17" s="2">
        <f>T_EV3340[[#This Row],[EV]]-(T_fact2939[[#This Row],[ICM]]+bounty*T_fact2939[[#This Row],[KO]])</f>
        <v>0</v>
      </c>
    </row>
    <row r="18" spans="1:48" x14ac:dyDescent="0.25">
      <c r="A18">
        <v>1</v>
      </c>
      <c r="B18">
        <v>992</v>
      </c>
      <c r="C18" t="s">
        <v>169</v>
      </c>
      <c r="F18" s="5">
        <f>COUNTIF(T_p12135[stack],"&gt;0")</f>
        <v>4</v>
      </c>
      <c r="G18">
        <f>IF(T_init2034[[#This Row],[p]]=1,mainpot+sidepot1+sidepot2+uncalled,IF(T_init2034[[#This Row],[p]]&gt;1,0,T_init2034[[#This Row],[stack]]))</f>
        <v>1590</v>
      </c>
      <c r="H18">
        <v>0.4128</v>
      </c>
      <c r="I18" s="2">
        <f>T_p12135[[#This Row],[EQ]]*prize</f>
        <v>0</v>
      </c>
      <c r="J18" s="67">
        <f>IF(T_init2034[[#This Row],[p]]=1,T_p12135[[#This Row],[players]]*T_p12135[[#This Row],[stack]]/chips+COUNTIF(T_p12135[stack],0),T_p12135[[#This Row],[players]]*T_p12135[[#This Row],[stack]]/chips)</f>
        <v>4.12</v>
      </c>
      <c r="K18" s="67">
        <f>T_p12135[[#This Row],[ICM]]+bounty*T_p12135[[#This Row],[KO]]</f>
        <v>0</v>
      </c>
      <c r="M18" s="10">
        <f>COUNTIF(T_p22236[stack],"&gt;0")</f>
        <v>5</v>
      </c>
      <c r="N18" s="26">
        <f>IF(T_init2034[[#This Row],[p]]=1,uncalled,IF(T_init2034[[#This Row],[p]]=2,mainpot+sidepot1+sidepot2,IF(T_init2034[[#This Row],[p]]&gt;2,0,T_init2034[[#This Row],[stack]])))</f>
        <v>498</v>
      </c>
      <c r="O18">
        <v>0.17680000000000001</v>
      </c>
      <c r="P18" s="2">
        <f>T_p22236[[#This Row],[EQ]]*prize</f>
        <v>0</v>
      </c>
      <c r="Q18" s="67">
        <f>IF(T_init2034[[#This Row],[p]]=2,T_p22236[[#This Row],[players]]*T_p22236[[#This Row],[stack]]/chips+COUNTIF(T_p22236[stack],0),T_p22236[[#This Row],[players]]*T_p22236[[#This Row],[stack]]/chips)</f>
        <v>0.83</v>
      </c>
      <c r="R18" s="67">
        <f>T_p22236[[#This Row],[ICM]]+bounty*T_p22236[[#This Row],[KO]]</f>
        <v>0</v>
      </c>
      <c r="T18" s="5">
        <f>COUNTIF(T_p3p12337[stack],"&gt;0")</f>
        <v>5</v>
      </c>
      <c r="U18" s="26">
        <f>IF(T_init2034[[#This Row],[p]]=1,sidepot1+uncalled,IF(T_init2034[[#This Row],[p]]=3,mainpot,IF(ISBLANK(T_init2034[[#This Row],[p]]),T_init2034[[#This Row],[stack]],0)))</f>
        <v>1342</v>
      </c>
      <c r="V18">
        <v>0.36849999999999999</v>
      </c>
      <c r="W18" s="2">
        <f>T_p3p12337[[#This Row],[EQ]]*prize</f>
        <v>0</v>
      </c>
      <c r="X18" s="67">
        <f>IF(T_init2034[[#This Row],[p]]=1,T_p3p12337[[#This Row],[players]]*T_p3p12337[[#This Row],[stack]]/chips+COUNTIF(T_p3p12337[stack],0),T_p3p12337[[#This Row],[players]]*T_p3p12337[[#This Row],[stack]]/chips)</f>
        <v>3.2366666666666668</v>
      </c>
      <c r="Y18" s="67">
        <f>T_p3p12337[[#This Row],[ICM]]+bounty*T_p3p12337[[#This Row],[KO]]</f>
        <v>0</v>
      </c>
      <c r="AA18" s="5">
        <f>COUNTIF(T_p3p22438[stack],"&gt;0")</f>
        <v>6</v>
      </c>
      <c r="AB18">
        <f>IF(T_init2034[[#This Row],[p]]=1,uncalled,IF(T_init2034[[#This Row],[p]]=2,sidepot1,IF(T_init2034[[#This Row],[p]]=3,mainpot,IF(ISBLANK(T_init2034[[#This Row],[p]]),T_init2034[[#This Row],[stack]],0))))</f>
        <v>498</v>
      </c>
      <c r="AC18">
        <v>0.16919999999999999</v>
      </c>
      <c r="AD18" s="2">
        <f>T_p3p22438[[#This Row],[EQ]]*prize</f>
        <v>0</v>
      </c>
      <c r="AE18" s="67">
        <f>IF(T_init2034[[#This Row],[p]]=2,T_p3p22438[[#This Row],[players]]*T_p3p22438[[#This Row],[stack]]/chips+COUNTIF(T_p3p22438[stack],0),T_p3p22438[[#This Row],[players]]*T_p3p22438[[#This Row],[stack]]/chips)</f>
        <v>0.996</v>
      </c>
      <c r="AF18" s="16">
        <f>T_p3p22438[[#This Row],[ICM]]+bounty*T_p3p22438[[#This Row],[KO]]</f>
        <v>0</v>
      </c>
      <c r="AI18" s="75">
        <f>COUNTIF(T_fact2939[stack],"&gt;0")</f>
        <v>6</v>
      </c>
      <c r="AJ18" s="26">
        <v>498</v>
      </c>
      <c r="AK18">
        <v>0.1724</v>
      </c>
      <c r="AL18" s="2">
        <f>T_fact2939[[#This Row],[EQ]]*prize</f>
        <v>0</v>
      </c>
      <c r="AM18" s="67">
        <f>IF(T_init2034[[#This Row],[p]]=1,T_fact2939[[#This Row],[players]]*T_fact2939[[#This Row],[stack]]/chips+COUNTIF(T_fact2939[stack],0),T_fact2939[[#This Row],[players]]*T_fact2939[[#This Row],[stack]]/chips)</f>
        <v>0.996</v>
      </c>
      <c r="AN18" s="16">
        <f>T_fact2939[[#This Row],[ICM]]+bounty*T_fact2939[[#This Row],[KO]]</f>
        <v>0</v>
      </c>
      <c r="AQ18" s="69">
        <f>'3wKhQs'!p3win* ('3wKhQs'!p1sp1win*T_p3p12337[[#This Row],[ICM]] + '3wKhQs'!p2sp1win*T_p3p22438[[#This Row],[ICM]])
+'3wKhQs'!p2win*T_p22236[[#This Row],[ICM]]
+'3wKhQs'!p1win*T_p12135[[#This Row],[ICM]]</f>
        <v>0</v>
      </c>
      <c r="AR18" s="69">
        <f>('3wKhQs'!p3win* ('3wKhQs'!p1sp1win*T_p3p12337[[#This Row],[KO]] + '3wKhQs'!p2sp1win*T_p3p22438[[#This Row],[KO]])
+'3wKhQs'!p2win*T_p22236[[#This Row],[KO]]
+'3wKhQs'!p1win*T_p12135[[#This Row],[KO]])*bounty</f>
        <v>0</v>
      </c>
      <c r="AS18" s="69">
        <f>'3wKhQs'!p3win* ('3wKhQs'!p1sp1win*T_p3p12337[[#This Row],[$stack]] + '3wKhQs'!p2sp1win*T_p3p22438[[#This Row],[$stack]])
+'3wKhQs'!p2win*T_p22236[[#This Row],[$stack]]
+'3wKhQs'!p1win*T_p12135[[#This Row],[$stack]]</f>
        <v>0</v>
      </c>
      <c r="AT18" s="69">
        <f>'3wKhQs'!p3win* ('3wKhQs'!p1sp1win*T_p3p12337[[#This Row],[stack]] + '3wKhQs'!p2sp1win*T_p3p22438[[#This Row],[stack]])
+'3wKhQs'!p2win*T_p22236[[#This Row],[stack]]
+'3wKhQs'!p1win*T_p12135[[#This Row],[stack]]</f>
        <v>1322.4763296000001</v>
      </c>
      <c r="AU18" s="2">
        <f>T_EV3340[[#This Row],[chipEV]]-T_fact2939[[#This Row],[stack]]</f>
        <v>824.4763296000001</v>
      </c>
      <c r="AV18" s="2">
        <f>T_EV3340[[#This Row],[EV]]-(T_fact2939[[#This Row],[ICM]]+bounty*T_fact2939[[#This Row],[KO]])</f>
        <v>0</v>
      </c>
    </row>
    <row r="19" spans="1:48" x14ac:dyDescent="0.25">
      <c r="A19" s="26"/>
      <c r="B19" s="26">
        <v>442</v>
      </c>
      <c r="C19" s="26"/>
      <c r="D19" s="26"/>
      <c r="F19" s="75">
        <f>COUNTIF(T_p12135[stack],"&gt;0")</f>
        <v>4</v>
      </c>
      <c r="G19" s="26">
        <f>IF(T_init2034[[#This Row],[p]]=1,mainpot+sidepot1+sidepot2+uncalled,IF(T_init2034[[#This Row],[p]]&gt;1,0,T_init2034[[#This Row],[stack]]))</f>
        <v>442</v>
      </c>
      <c r="H19" s="26">
        <v>0.18509999999999999</v>
      </c>
      <c r="I19" s="27">
        <f>T_p12135[[#This Row],[EQ]]*prize</f>
        <v>0</v>
      </c>
      <c r="J19" s="72">
        <f>IF(T_init2034[[#This Row],[p]]=1,T_p12135[[#This Row],[players]]*T_p12135[[#This Row],[stack]]/chips+COUNTIF(T_p12135[stack],0),T_p12135[[#This Row],[players]]*T_p12135[[#This Row],[stack]]/chips)</f>
        <v>0.58933333333333338</v>
      </c>
      <c r="K19" s="72">
        <f>T_p12135[[#This Row],[ICM]]+bounty*T_p12135[[#This Row],[KO]]</f>
        <v>0</v>
      </c>
      <c r="M19" s="29">
        <f>COUNTIF(T_p22236[stack],"&gt;0")</f>
        <v>5</v>
      </c>
      <c r="N19" s="26">
        <f>IF(T_init2034[[#This Row],[p]]=1,uncalled,IF(T_init2034[[#This Row],[p]]=2,mainpot+sidepot1+sidepot2,IF(T_init2034[[#This Row],[p]]&gt;2,0,T_init2034[[#This Row],[stack]])))</f>
        <v>442</v>
      </c>
      <c r="O19" s="26">
        <v>0.1588</v>
      </c>
      <c r="P19" s="27">
        <f>T_p22236[[#This Row],[EQ]]*prize</f>
        <v>0</v>
      </c>
      <c r="Q19" s="72">
        <f>IF(T_init2034[[#This Row],[p]]=2,T_p22236[[#This Row],[players]]*T_p22236[[#This Row],[stack]]/chips+COUNTIF(T_p22236[stack],0),T_p22236[[#This Row],[players]]*T_p22236[[#This Row],[stack]]/chips)</f>
        <v>0.73666666666666669</v>
      </c>
      <c r="R19" s="72">
        <f>T_p22236[[#This Row],[ICM]]+bounty*T_p22236[[#This Row],[KO]]</f>
        <v>0</v>
      </c>
      <c r="T19" s="75">
        <f>COUNTIF(T_p3p12337[stack],"&gt;0")</f>
        <v>5</v>
      </c>
      <c r="U19" s="26">
        <f>IF(T_init2034[[#This Row],[p]]=1,sidepot1+uncalled,IF(T_init2034[[#This Row],[p]]=3,mainpot,IF(ISBLANK(T_init2034[[#This Row],[p]]),T_init2034[[#This Row],[stack]],0)))</f>
        <v>442</v>
      </c>
      <c r="V19" s="26">
        <v>0.16830000000000001</v>
      </c>
      <c r="W19" s="27">
        <f>T_p3p12337[[#This Row],[EQ]]*prize</f>
        <v>0</v>
      </c>
      <c r="X19" s="72">
        <f>IF(T_init2034[[#This Row],[p]]=1,T_p3p12337[[#This Row],[players]]*T_p3p12337[[#This Row],[stack]]/chips+COUNTIF(T_p3p12337[stack],0),T_p3p12337[[#This Row],[players]]*T_p3p12337[[#This Row],[stack]]/chips)</f>
        <v>0.73666666666666669</v>
      </c>
      <c r="Y19" s="72">
        <f>T_p3p12337[[#This Row],[ICM]]+bounty*T_p3p12337[[#This Row],[KO]]</f>
        <v>0</v>
      </c>
      <c r="AA19" s="75">
        <f>COUNTIF(T_p3p22438[stack],"&gt;0")</f>
        <v>6</v>
      </c>
      <c r="AB19" s="26">
        <f>IF(T_init2034[[#This Row],[p]]=1,uncalled,IF(T_init2034[[#This Row],[p]]=2,sidepot1,IF(T_init2034[[#This Row],[p]]=3,mainpot,IF(ISBLANK(T_init2034[[#This Row],[p]]),T_init2034[[#This Row],[stack]],0))))</f>
        <v>442</v>
      </c>
      <c r="AC19" s="26">
        <v>0.1522</v>
      </c>
      <c r="AD19" s="27">
        <f>T_p3p22438[[#This Row],[EQ]]*prize</f>
        <v>0</v>
      </c>
      <c r="AE19" s="72">
        <f>IF(T_init2034[[#This Row],[p]]=2,T_p3p22438[[#This Row],[players]]*T_p3p22438[[#This Row],[stack]]/chips+COUNTIF(T_p3p22438[stack],0),T_p3p22438[[#This Row],[players]]*T_p3p22438[[#This Row],[stack]]/chips)</f>
        <v>0.88400000000000001</v>
      </c>
      <c r="AF19" s="16">
        <f>T_p3p22438[[#This Row],[ICM]]+bounty*T_p3p22438[[#This Row],[KO]]</f>
        <v>0</v>
      </c>
      <c r="AI19" s="75">
        <f>COUNTIF(T_fact2939[stack],"&gt;0")</f>
        <v>6</v>
      </c>
      <c r="AJ19" s="26">
        <v>442</v>
      </c>
      <c r="AK19" s="26">
        <v>0.15490000000000001</v>
      </c>
      <c r="AL19" s="27">
        <f>T_fact2939[[#This Row],[EQ]]*prize</f>
        <v>0</v>
      </c>
      <c r="AM19" s="72">
        <f>IF(T_init2034[[#This Row],[p]]=1,T_fact2939[[#This Row],[players]]*T_fact2939[[#This Row],[stack]]/chips+COUNTIF(T_fact2939[stack],0),T_fact2939[[#This Row],[players]]*T_fact2939[[#This Row],[stack]]/chips)</f>
        <v>0.88400000000000001</v>
      </c>
      <c r="AN19" s="16">
        <f>T_fact2939[[#This Row],[ICM]]+bounty*T_fact2939[[#This Row],[KO]]</f>
        <v>0</v>
      </c>
      <c r="AQ19" s="69">
        <f>'3wKhQs'!p3win* ('3wKhQs'!p1sp1win*T_p3p12337[[#This Row],[ICM]] + '3wKhQs'!p2sp1win*T_p3p22438[[#This Row],[ICM]])
+'3wKhQs'!p2win*T_p22236[[#This Row],[ICM]]
+'3wKhQs'!p1win*T_p12135[[#This Row],[ICM]]</f>
        <v>0</v>
      </c>
      <c r="AR19" s="73">
        <f>('3wKhQs'!p3win* ('3wKhQs'!p1sp1win*T_p3p12337[[#This Row],[KO]] + '3wKhQs'!p2sp1win*T_p3p22438[[#This Row],[KO]])
+'3wKhQs'!p2win*T_p22236[[#This Row],[KO]]
+'3wKhQs'!p1win*T_p12135[[#This Row],[KO]])*bounty</f>
        <v>0</v>
      </c>
      <c r="AS19" s="73">
        <f>'3wKhQs'!p3win* ('3wKhQs'!p1sp1win*T_p3p12337[[#This Row],[$stack]] + '3wKhQs'!p2sp1win*T_p3p22438[[#This Row],[$stack]])
+'3wKhQs'!p2win*T_p22236[[#This Row],[$stack]]
+'3wKhQs'!p1win*T_p12135[[#This Row],[$stack]]</f>
        <v>0</v>
      </c>
      <c r="AT19" s="73">
        <f>'3wKhQs'!p3win* ('3wKhQs'!p1sp1win*T_p3p12337[[#This Row],[stack]] + '3wKhQs'!p2sp1win*T_p3p22438[[#This Row],[stack]])
+'3wKhQs'!p2win*T_p22236[[#This Row],[stack]]
+'3wKhQs'!p1win*T_p12135[[#This Row],[stack]]</f>
        <v>442</v>
      </c>
      <c r="AU19" s="2">
        <f>T_EV3340[[#This Row],[chipEV]]-T_fact2939[[#This Row],[stack]]</f>
        <v>0</v>
      </c>
      <c r="AV19" s="2">
        <f>T_EV3340[[#This Row],[EV]]-(T_fact2939[[#This Row],[ICM]]+bounty*T_fact2939[[#This Row],[KO]])</f>
        <v>0</v>
      </c>
    </row>
    <row r="20" spans="1:48" x14ac:dyDescent="0.25">
      <c r="A20">
        <v>3</v>
      </c>
      <c r="B20">
        <v>62</v>
      </c>
      <c r="C20" s="26" t="s">
        <v>170</v>
      </c>
      <c r="F20" s="5">
        <f>COUNTIF(T_p12135[stack],"&gt;0")</f>
        <v>4</v>
      </c>
      <c r="G20">
        <f>IF(T_init2034[[#This Row],[p]]=1,mainpot+sidepot1+sidepot2+uncalled,IF(T_init2034[[#This Row],[p]]&gt;1,0,T_init2034[[#This Row],[stack]]))</f>
        <v>0</v>
      </c>
      <c r="H20">
        <v>0</v>
      </c>
      <c r="I20" s="2">
        <f>T_p12135[[#This Row],[EQ]]*prize</f>
        <v>0</v>
      </c>
      <c r="J20" s="67">
        <f>IF(T_init2034[[#This Row],[p]]=1,T_p12135[[#This Row],[players]]*T_p12135[[#This Row],[stack]]/chips+COUNTIF(T_p12135[stack],0),T_p12135[[#This Row],[players]]*T_p12135[[#This Row],[stack]]/chips)</f>
        <v>0</v>
      </c>
      <c r="K20" s="67">
        <f>T_p12135[[#This Row],[ICM]]+bounty*T_p12135[[#This Row],[KO]]</f>
        <v>0</v>
      </c>
      <c r="M20" s="10">
        <f>COUNTIF(T_p22236[stack],"&gt;0")</f>
        <v>5</v>
      </c>
      <c r="N20" s="26">
        <f>IF(T_init2034[[#This Row],[p]]=1,uncalled,IF(T_init2034[[#This Row],[p]]=2,mainpot+sidepot1+sidepot2,IF(T_init2034[[#This Row],[p]]&gt;2,0,T_init2034[[#This Row],[stack]])))</f>
        <v>0</v>
      </c>
      <c r="O20">
        <v>0</v>
      </c>
      <c r="P20" s="2">
        <f>T_p22236[[#This Row],[EQ]]*prize</f>
        <v>0</v>
      </c>
      <c r="Q20" s="67">
        <f>IF(T_init2034[[#This Row],[p]]=2,T_p22236[[#This Row],[players]]*T_p22236[[#This Row],[stack]]/chips+COUNTIF(T_p22236[stack],0),T_p22236[[#This Row],[players]]*T_p22236[[#This Row],[stack]]/chips)</f>
        <v>0</v>
      </c>
      <c r="R20" s="67">
        <f>T_p22236[[#This Row],[ICM]]+bounty*T_p22236[[#This Row],[KO]]</f>
        <v>0</v>
      </c>
      <c r="T20" s="5">
        <f>COUNTIF(T_p3p12337[stack],"&gt;0")</f>
        <v>5</v>
      </c>
      <c r="U20" s="26">
        <f>IF(T_init2034[[#This Row],[p]]=1,sidepot1+uncalled,IF(T_init2034[[#This Row],[p]]=3,mainpot,IF(ISBLANK(T_init2034[[#This Row],[p]]),T_init2034[[#This Row],[stack]],0)))</f>
        <v>248</v>
      </c>
      <c r="V20">
        <v>9.7799999999999998E-2</v>
      </c>
      <c r="W20" s="2">
        <f>T_p3p12337[[#This Row],[EQ]]*prize</f>
        <v>0</v>
      </c>
      <c r="X20" s="67">
        <f>IF(T_init2034[[#This Row],[p]]=1,T_p3p12337[[#This Row],[players]]*T_p3p12337[[#This Row],[stack]]/chips+COUNTIF(T_p3p12337[stack],0),T_p3p12337[[#This Row],[players]]*T_p3p12337[[#This Row],[stack]]/chips)</f>
        <v>0.41333333333333333</v>
      </c>
      <c r="Y20" s="67">
        <f>T_p3p12337[[#This Row],[ICM]]+bounty*T_p3p12337[[#This Row],[KO]]</f>
        <v>0</v>
      </c>
      <c r="AA20" s="5">
        <f>COUNTIF(T_p3p22438[stack],"&gt;0")</f>
        <v>6</v>
      </c>
      <c r="AB20">
        <f>IF(T_init2034[[#This Row],[p]]=1,uncalled,IF(T_init2034[[#This Row],[p]]=2,sidepot1,IF(T_init2034[[#This Row],[p]]=3,mainpot,IF(ISBLANK(T_init2034[[#This Row],[p]]),T_init2034[[#This Row],[stack]],0))))</f>
        <v>248</v>
      </c>
      <c r="AC20">
        <v>8.8800000000000004E-2</v>
      </c>
      <c r="AD20" s="2">
        <f>T_p3p22438[[#This Row],[EQ]]*prize</f>
        <v>0</v>
      </c>
      <c r="AE20" s="67">
        <f>IF(T_init2034[[#This Row],[p]]=2,T_p3p22438[[#This Row],[players]]*T_p3p22438[[#This Row],[stack]]/chips+COUNTIF(T_p3p22438[stack],0),T_p3p22438[[#This Row],[players]]*T_p3p22438[[#This Row],[stack]]/chips)</f>
        <v>0.496</v>
      </c>
      <c r="AF20" s="16">
        <f>T_p3p22438[[#This Row],[ICM]]+bounty*T_p3p22438[[#This Row],[KO]]</f>
        <v>0</v>
      </c>
      <c r="AI20" s="75">
        <f>COUNTIF(T_fact2939[stack],"&gt;0")</f>
        <v>6</v>
      </c>
      <c r="AJ20" s="26">
        <v>124</v>
      </c>
      <c r="AK20">
        <v>4.6100000000000002E-2</v>
      </c>
      <c r="AL20" s="2">
        <f>T_fact2939[[#This Row],[EQ]]*prize</f>
        <v>0</v>
      </c>
      <c r="AM20" s="67">
        <f>IF(T_init2034[[#This Row],[p]]=1,T_fact2939[[#This Row],[players]]*T_fact2939[[#This Row],[stack]]/chips+COUNTIF(T_fact2939[stack],0),T_fact2939[[#This Row],[players]]*T_fact2939[[#This Row],[stack]]/chips)</f>
        <v>0.248</v>
      </c>
      <c r="AN20" s="16">
        <f>T_fact2939[[#This Row],[ICM]]+bounty*T_fact2939[[#This Row],[KO]]</f>
        <v>0</v>
      </c>
      <c r="AQ20" s="69">
        <f>'3wKhQs'!p3win* ('3wKhQs'!p1sp1win*T_p3p12337[[#This Row],[ICM]] + '3wKhQs'!p2sp1win*T_p3p22438[[#This Row],[ICM]])
+'3wKhQs'!p2win*T_p22236[[#This Row],[ICM]]
+'3wKhQs'!p1win*T_p12135[[#This Row],[ICM]]</f>
        <v>0</v>
      </c>
      <c r="AR20" s="69">
        <f>('3wKhQs'!p3win* ('3wKhQs'!p1sp1win*T_p3p12337[[#This Row],[KO]] + '3wKhQs'!p2sp1win*T_p3p22438[[#This Row],[KO]])
+'3wKhQs'!p2win*T_p22236[[#This Row],[KO]]
+'3wKhQs'!p1win*T_p12135[[#This Row],[KO]])*bounty</f>
        <v>0</v>
      </c>
      <c r="AS20" s="69">
        <f>'3wKhQs'!p3win* ('3wKhQs'!p1sp1win*T_p3p12337[[#This Row],[$stack]] + '3wKhQs'!p2sp1win*T_p3p22438[[#This Row],[$stack]])
+'3wKhQs'!p2win*T_p22236[[#This Row],[$stack]]
+'3wKhQs'!p1win*T_p12135[[#This Row],[$stack]]</f>
        <v>0</v>
      </c>
      <c r="AT20" s="69">
        <f>'3wKhQs'!p3win* ('3wKhQs'!p1sp1win*T_p3p12337[[#This Row],[stack]] + '3wKhQs'!p2sp1win*T_p3p22438[[#This Row],[stack]])
+'3wKhQs'!p2win*T_p22236[[#This Row],[stack]]
+'3wKhQs'!p1win*T_p12135[[#This Row],[stack]]</f>
        <v>52.278399999999998</v>
      </c>
      <c r="AU20" s="2">
        <f>T_EV3340[[#This Row],[chipEV]]-T_fact2939[[#This Row],[stack]]</f>
        <v>-71.721599999999995</v>
      </c>
      <c r="AV20" s="2">
        <f>T_EV3340[[#This Row],[EV]]-(T_fact2939[[#This Row],[ICM]]+bounty*T_fact2939[[#This Row],[KO]])</f>
        <v>0</v>
      </c>
    </row>
    <row r="21" spans="1:48" x14ac:dyDescent="0.25">
      <c r="B21">
        <v>474</v>
      </c>
      <c r="F21" s="5">
        <f>COUNTIF(T_p12135[stack],"&gt;0")</f>
        <v>4</v>
      </c>
      <c r="G21">
        <f>IF(T_init2034[[#This Row],[p]]=1,mainpot+sidepot1+sidepot2+uncalled,IF(T_init2034[[#This Row],[p]]&gt;1,0,T_init2034[[#This Row],[stack]]))</f>
        <v>474</v>
      </c>
      <c r="H21">
        <v>0.1973</v>
      </c>
      <c r="I21" s="2">
        <f>T_p12135[[#This Row],[EQ]]*prize</f>
        <v>0</v>
      </c>
      <c r="J21" s="67">
        <f>IF(T_init2034[[#This Row],[p]]=1,T_p12135[[#This Row],[players]]*T_p12135[[#This Row],[stack]]/chips+COUNTIF(T_p12135[stack],0),T_p12135[[#This Row],[players]]*T_p12135[[#This Row],[stack]]/chips)</f>
        <v>0.63200000000000001</v>
      </c>
      <c r="K21" s="67">
        <f>T_p12135[[#This Row],[ICM]]+bounty*T_p12135[[#This Row],[KO]]</f>
        <v>0</v>
      </c>
      <c r="M21" s="10">
        <f>COUNTIF(T_p22236[stack],"&gt;0")</f>
        <v>5</v>
      </c>
      <c r="N21" s="26">
        <f>IF(T_init2034[[#This Row],[p]]=1,uncalled,IF(T_init2034[[#This Row],[p]]=2,mainpot+sidepot1+sidepot2,IF(T_init2034[[#This Row],[p]]&gt;2,0,T_init2034[[#This Row],[stack]])))</f>
        <v>474</v>
      </c>
      <c r="O21">
        <v>0.16919999999999999</v>
      </c>
      <c r="P21" s="2">
        <f>T_p22236[[#This Row],[EQ]]*prize</f>
        <v>0</v>
      </c>
      <c r="Q21" s="67">
        <f>IF(T_init2034[[#This Row],[p]]=2,T_p22236[[#This Row],[players]]*T_p22236[[#This Row],[stack]]/chips+COUNTIF(T_p22236[stack],0),T_p22236[[#This Row],[players]]*T_p22236[[#This Row],[stack]]/chips)</f>
        <v>0.79</v>
      </c>
      <c r="R21" s="67">
        <f>T_p22236[[#This Row],[ICM]]+bounty*T_p22236[[#This Row],[KO]]</f>
        <v>0</v>
      </c>
      <c r="T21" s="5">
        <f>COUNTIF(T_p3p12337[stack],"&gt;0")</f>
        <v>5</v>
      </c>
      <c r="U21" s="26">
        <f>IF(T_init2034[[#This Row],[p]]=1,sidepot1+uncalled,IF(T_init2034[[#This Row],[p]]=3,mainpot,IF(ISBLANK(T_init2034[[#This Row],[p]]),T_init2034[[#This Row],[stack]],0)))</f>
        <v>474</v>
      </c>
      <c r="V21">
        <v>0.17929999999999999</v>
      </c>
      <c r="W21" s="2">
        <f>T_p3p12337[[#This Row],[EQ]]*prize</f>
        <v>0</v>
      </c>
      <c r="X21" s="67">
        <f>IF(T_init2034[[#This Row],[p]]=1,T_p3p12337[[#This Row],[players]]*T_p3p12337[[#This Row],[stack]]/chips+COUNTIF(T_p3p12337[stack],0),T_p3p12337[[#This Row],[players]]*T_p3p12337[[#This Row],[stack]]/chips)</f>
        <v>0.79</v>
      </c>
      <c r="Y21" s="67">
        <f>T_p3p12337[[#This Row],[ICM]]+bounty*T_p3p12337[[#This Row],[KO]]</f>
        <v>0</v>
      </c>
      <c r="AA21" s="5">
        <f>COUNTIF(T_p3p22438[stack],"&gt;0")</f>
        <v>6</v>
      </c>
      <c r="AB21">
        <f>IF(T_init2034[[#This Row],[p]]=1,uncalled,IF(T_init2034[[#This Row],[p]]=2,sidepot1,IF(T_init2034[[#This Row],[p]]=3,mainpot,IF(ISBLANK(T_init2034[[#This Row],[p]]),T_init2034[[#This Row],[stack]],0))))</f>
        <v>474</v>
      </c>
      <c r="AC21">
        <v>0.16200000000000001</v>
      </c>
      <c r="AD21" s="2">
        <f>T_p3p22438[[#This Row],[EQ]]*prize</f>
        <v>0</v>
      </c>
      <c r="AE21" s="67">
        <f>IF(T_init2034[[#This Row],[p]]=2,T_p3p22438[[#This Row],[players]]*T_p3p22438[[#This Row],[stack]]/chips+COUNTIF(T_p3p22438[stack],0),T_p3p22438[[#This Row],[players]]*T_p3p22438[[#This Row],[stack]]/chips)</f>
        <v>0.94799999999999995</v>
      </c>
      <c r="AF21" s="16">
        <f>T_p3p22438[[#This Row],[ICM]]+bounty*T_p3p22438[[#This Row],[KO]]</f>
        <v>0</v>
      </c>
      <c r="AI21" s="75">
        <f>COUNTIF(T_fact2939[stack],"&gt;0")</f>
        <v>6</v>
      </c>
      <c r="AJ21" s="26">
        <v>474</v>
      </c>
      <c r="AK21">
        <v>0.16500000000000001</v>
      </c>
      <c r="AL21" s="2">
        <f>T_fact2939[[#This Row],[EQ]]*prize</f>
        <v>0</v>
      </c>
      <c r="AM21" s="67">
        <f>IF(T_init2034[[#This Row],[p]]=1,T_fact2939[[#This Row],[players]]*T_fact2939[[#This Row],[stack]]/chips+COUNTIF(T_fact2939[stack],0),T_fact2939[[#This Row],[players]]*T_fact2939[[#This Row],[stack]]/chips)</f>
        <v>0.94799999999999995</v>
      </c>
      <c r="AN21" s="16">
        <f>T_fact2939[[#This Row],[ICM]]+bounty*T_fact2939[[#This Row],[KO]]</f>
        <v>0</v>
      </c>
      <c r="AQ21" s="69">
        <f>'3wKhQs'!p3win* ('3wKhQs'!p1sp1win*T_p3p12337[[#This Row],[ICM]] + '3wKhQs'!p2sp1win*T_p3p22438[[#This Row],[ICM]])
+'3wKhQs'!p2win*T_p22236[[#This Row],[ICM]]
+'3wKhQs'!p1win*T_p12135[[#This Row],[ICM]]</f>
        <v>0</v>
      </c>
      <c r="AR21" s="69">
        <f>('3wKhQs'!p3win* ('3wKhQs'!p1sp1win*T_p3p12337[[#This Row],[KO]] + '3wKhQs'!p2sp1win*T_p3p22438[[#This Row],[KO]])
+'3wKhQs'!p2win*T_p22236[[#This Row],[KO]]
+'3wKhQs'!p1win*T_p12135[[#This Row],[KO]])*bounty</f>
        <v>0</v>
      </c>
      <c r="AS21" s="69">
        <f>'3wKhQs'!p3win* ('3wKhQs'!p1sp1win*T_p3p12337[[#This Row],[$stack]] + '3wKhQs'!p2sp1win*T_p3p22438[[#This Row],[$stack]])
+'3wKhQs'!p2win*T_p22236[[#This Row],[$stack]]
+'3wKhQs'!p1win*T_p12135[[#This Row],[$stack]]</f>
        <v>0</v>
      </c>
      <c r="AT21" s="69">
        <f>'3wKhQs'!p3win* ('3wKhQs'!p1sp1win*T_p3p12337[[#This Row],[stack]] + '3wKhQs'!p2sp1win*T_p3p22438[[#This Row],[stack]])
+'3wKhQs'!p2win*T_p22236[[#This Row],[stack]]
+'3wKhQs'!p1win*T_p12135[[#This Row],[stack]]</f>
        <v>474</v>
      </c>
      <c r="AU21" s="2">
        <f>T_EV3340[[#This Row],[chipEV]]-T_fact2939[[#This Row],[stack]]</f>
        <v>0</v>
      </c>
      <c r="AV21" s="2">
        <f>T_EV3340[[#This Row],[EV]]-(T_fact2939[[#This Row],[ICM]]+bounty*T_fact2939[[#This Row],[KO]])</f>
        <v>0</v>
      </c>
    </row>
    <row r="22" spans="1:48" x14ac:dyDescent="0.25">
      <c r="A22" t="s">
        <v>140</v>
      </c>
      <c r="D22">
        <f>SUBTOTAL(109,T_init2034[pWin])</f>
        <v>0</v>
      </c>
      <c r="F22" s="53"/>
      <c r="G22" s="50">
        <f>SUM(T_p12135[stack])</f>
        <v>3000</v>
      </c>
      <c r="H22" s="50">
        <f>SUM(T_p12135[EQ])</f>
        <v>1.0001</v>
      </c>
      <c r="I22" s="50">
        <f>SUM(T_p12135[ICM])</f>
        <v>0</v>
      </c>
      <c r="J22" s="50">
        <f>SUM(T_p12135[KO])</f>
        <v>6</v>
      </c>
      <c r="K22" s="50">
        <f>SUM(T_p12135[$stack])</f>
        <v>0</v>
      </c>
      <c r="M22" s="53"/>
      <c r="N22" s="55">
        <f>SUM(T_p22236[stack])</f>
        <v>3000</v>
      </c>
      <c r="O22" s="50">
        <f>SUM(T_p22236[EQ])</f>
        <v>1</v>
      </c>
      <c r="P22" s="51">
        <f>SUM(T_p22236[ICM])</f>
        <v>0</v>
      </c>
      <c r="Q22" s="52">
        <f>SUM(T_p22236[KO])</f>
        <v>6</v>
      </c>
      <c r="R22" s="50">
        <f>SUM(T_p22236[$stack])</f>
        <v>0</v>
      </c>
      <c r="T22" s="53"/>
      <c r="U22" s="55">
        <f>SUM(T_p3p12337[stack])</f>
        <v>3000</v>
      </c>
      <c r="V22" s="50">
        <f>SUM(T_p3p12337[EQ])</f>
        <v>1</v>
      </c>
      <c r="W22" s="51">
        <f>SUM(T_p3p12337[ICM])</f>
        <v>0</v>
      </c>
      <c r="X22" s="52">
        <f>SUM(T_p3p12337[KO])</f>
        <v>6</v>
      </c>
      <c r="Y22" s="50">
        <f>SUM(T_p3p12337[$stack])</f>
        <v>0</v>
      </c>
      <c r="AA22" s="53"/>
      <c r="AB22" s="55">
        <f>SUM(T_p3p22438[stack])</f>
        <v>3000</v>
      </c>
      <c r="AC22" s="50">
        <f>SUM(T_p3p22438[EQ])</f>
        <v>1</v>
      </c>
      <c r="AD22" s="51">
        <f>SUM(T_p3p22438[ICM])</f>
        <v>0</v>
      </c>
      <c r="AE22" s="52">
        <f>SUM(T_p3p22438[KO])</f>
        <v>6</v>
      </c>
      <c r="AF22" s="50">
        <f>SUM(T_p3p12337[$stack])</f>
        <v>0</v>
      </c>
      <c r="AI22" s="53"/>
      <c r="AJ22" s="55">
        <f>SUM(T_fact2939[stack])</f>
        <v>3000</v>
      </c>
      <c r="AK22" s="50">
        <f>SUM(T_fact2939[EQ])</f>
        <v>1</v>
      </c>
      <c r="AL22" s="51">
        <f>SUM(T_fact2939[ICM])</f>
        <v>0</v>
      </c>
      <c r="AM22" s="52">
        <f>SUM(T_fact2939[KO])</f>
        <v>6</v>
      </c>
      <c r="AN22" s="51">
        <f>SUM(T_fact2939[$stack])</f>
        <v>0</v>
      </c>
      <c r="AQ22" s="52">
        <f>SUM(T_EV3340[ICM])</f>
        <v>0</v>
      </c>
      <c r="AR22" s="52">
        <f>SUM(T_EV3340[KO])</f>
        <v>0</v>
      </c>
      <c r="AS22" s="52">
        <f>SUM(T_EV3340[EV])</f>
        <v>0</v>
      </c>
      <c r="AT22" s="50">
        <f>SUM(T_EV3340[chipEV])</f>
        <v>3000</v>
      </c>
    </row>
    <row r="38" spans="2:4" x14ac:dyDescent="0.25">
      <c r="C38" t="s">
        <v>102</v>
      </c>
    </row>
    <row r="39" spans="2:4" x14ac:dyDescent="0.25">
      <c r="C39" t="s">
        <v>103</v>
      </c>
    </row>
    <row r="40" spans="2:4" x14ac:dyDescent="0.25">
      <c r="C40" t="s">
        <v>104</v>
      </c>
    </row>
    <row r="43" spans="2:4" x14ac:dyDescent="0.25">
      <c r="C43" t="s">
        <v>105</v>
      </c>
    </row>
    <row r="45" spans="2:4" x14ac:dyDescent="0.25">
      <c r="B45" t="s">
        <v>124</v>
      </c>
    </row>
    <row r="46" spans="2:4" x14ac:dyDescent="0.25">
      <c r="B46" t="s">
        <v>123</v>
      </c>
    </row>
    <row r="47" spans="2:4" x14ac:dyDescent="0.25">
      <c r="C47" t="s">
        <v>106</v>
      </c>
    </row>
    <row r="48" spans="2:4" x14ac:dyDescent="0.25">
      <c r="D48" t="s">
        <v>108</v>
      </c>
    </row>
    <row r="49" spans="3:6" x14ac:dyDescent="0.25">
      <c r="C49" t="s">
        <v>107</v>
      </c>
    </row>
    <row r="50" spans="3:6" x14ac:dyDescent="0.25">
      <c r="D50" t="s">
        <v>108</v>
      </c>
    </row>
    <row r="51" spans="3:6" x14ac:dyDescent="0.25">
      <c r="C51" t="s">
        <v>109</v>
      </c>
    </row>
    <row r="52" spans="3:6" x14ac:dyDescent="0.25">
      <c r="D52" t="s">
        <v>110</v>
      </c>
    </row>
    <row r="53" spans="3:6" x14ac:dyDescent="0.25">
      <c r="D53" t="s">
        <v>111</v>
      </c>
      <c r="E53" t="s">
        <v>112</v>
      </c>
    </row>
    <row r="54" spans="3:6" x14ac:dyDescent="0.25">
      <c r="F54" t="s">
        <v>113</v>
      </c>
    </row>
    <row r="55" spans="3:6" x14ac:dyDescent="0.25">
      <c r="E55" t="s">
        <v>114</v>
      </c>
    </row>
    <row r="56" spans="3:6" x14ac:dyDescent="0.25">
      <c r="F56" t="s">
        <v>115</v>
      </c>
    </row>
    <row r="58" spans="3:6" x14ac:dyDescent="0.25">
      <c r="C58" t="s">
        <v>116</v>
      </c>
    </row>
    <row r="59" spans="3:6" x14ac:dyDescent="0.25">
      <c r="D59" t="s">
        <v>117</v>
      </c>
    </row>
    <row r="60" spans="3:6" x14ac:dyDescent="0.25">
      <c r="D60" t="s">
        <v>118</v>
      </c>
      <c r="E60" t="s">
        <v>112</v>
      </c>
    </row>
    <row r="61" spans="3:6" x14ac:dyDescent="0.25">
      <c r="F61" t="s">
        <v>119</v>
      </c>
    </row>
    <row r="62" spans="3:6" x14ac:dyDescent="0.25">
      <c r="E62" t="s">
        <v>114</v>
      </c>
    </row>
    <row r="63" spans="3:6" x14ac:dyDescent="0.25">
      <c r="F63" t="s">
        <v>120</v>
      </c>
    </row>
    <row r="64" spans="3:6" x14ac:dyDescent="0.25">
      <c r="E64" t="s">
        <v>121</v>
      </c>
    </row>
    <row r="65" spans="6:8" x14ac:dyDescent="0.25">
      <c r="F65" t="s">
        <v>122</v>
      </c>
    </row>
    <row r="66" spans="6:8" x14ac:dyDescent="0.25">
      <c r="F66" t="s">
        <v>111</v>
      </c>
    </row>
    <row r="67" spans="6:8" x14ac:dyDescent="0.25">
      <c r="G67" t="s">
        <v>112</v>
      </c>
    </row>
    <row r="68" spans="6:8" x14ac:dyDescent="0.25">
      <c r="H68" t="s">
        <v>113</v>
      </c>
    </row>
    <row r="69" spans="6:8" x14ac:dyDescent="0.25">
      <c r="G69" t="s">
        <v>114</v>
      </c>
    </row>
    <row r="70" spans="6:8" x14ac:dyDescent="0.25">
      <c r="H70" t="s">
        <v>115</v>
      </c>
    </row>
  </sheetData>
  <mergeCells count="10">
    <mergeCell ref="T12:AE12"/>
    <mergeCell ref="AQ12:AT12"/>
    <mergeCell ref="T13:AE13"/>
    <mergeCell ref="AQ13:AT13"/>
    <mergeCell ref="F14:J14"/>
    <mergeCell ref="M14:Q14"/>
    <mergeCell ref="T14:X14"/>
    <mergeCell ref="AA14:AE14"/>
    <mergeCell ref="AI14:AM14"/>
    <mergeCell ref="AQ14:AT14"/>
  </mergeCells>
  <pageMargins left="0.7" right="0.7" top="0.75" bottom="0.75" header="0.3" footer="0.3"/>
  <pageSetup paperSize="9" orientation="portrait" horizontalDpi="4294967293" verticalDpi="0" r:id="rId1"/>
  <legacy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70"/>
  <sheetViews>
    <sheetView topLeftCell="A31" workbookViewId="0">
      <selection activeCell="X18" sqref="X18"/>
    </sheetView>
  </sheetViews>
  <sheetFormatPr defaultRowHeight="15" x14ac:dyDescent="0.25"/>
  <cols>
    <col min="1" max="1" width="9.28515625" customWidth="1"/>
    <col min="6" max="6" width="10.28515625" customWidth="1"/>
    <col min="13" max="13" width="10.28515625" customWidth="1"/>
    <col min="20" max="20" width="9.5703125" bestFit="1" customWidth="1"/>
    <col min="27" max="27" width="7.7109375" customWidth="1"/>
    <col min="28" max="29" width="8.5703125" customWidth="1"/>
    <col min="30" max="30" width="9.85546875" customWidth="1"/>
    <col min="31" max="31" width="8.42578125" customWidth="1"/>
    <col min="35" max="35" width="10" customWidth="1"/>
    <col min="39" max="39" width="10.5703125" customWidth="1"/>
  </cols>
  <sheetData>
    <row r="1" spans="1:48" x14ac:dyDescent="0.25">
      <c r="C1" t="s">
        <v>2</v>
      </c>
      <c r="D1">
        <f>bounty*6</f>
        <v>0</v>
      </c>
      <c r="F1" t="s">
        <v>85</v>
      </c>
      <c r="G1">
        <v>0.34510000000000002</v>
      </c>
      <c r="I1" t="s">
        <v>126</v>
      </c>
      <c r="J1">
        <v>0.52800000000000002</v>
      </c>
      <c r="O1" s="77"/>
      <c r="S1" t="s">
        <v>90</v>
      </c>
      <c r="T1">
        <v>1404</v>
      </c>
    </row>
    <row r="2" spans="1:48" x14ac:dyDescent="0.25">
      <c r="C2" t="s">
        <v>1</v>
      </c>
      <c r="D2">
        <f>bounty</f>
        <v>0</v>
      </c>
      <c r="F2" t="s">
        <v>86</v>
      </c>
      <c r="G2">
        <v>0.17469999999999999</v>
      </c>
      <c r="I2" t="s">
        <v>127</v>
      </c>
      <c r="J2">
        <v>0.47199999999999998</v>
      </c>
      <c r="S2" t="s">
        <v>131</v>
      </c>
      <c r="T2">
        <v>144</v>
      </c>
    </row>
    <row r="3" spans="1:48" x14ac:dyDescent="0.25">
      <c r="C3" t="s">
        <v>67</v>
      </c>
      <c r="D3">
        <v>3000</v>
      </c>
      <c r="F3" t="s">
        <v>87</v>
      </c>
      <c r="G3">
        <v>0.48020000000000002</v>
      </c>
      <c r="S3" t="s">
        <v>132</v>
      </c>
      <c r="T3">
        <v>0</v>
      </c>
    </row>
    <row r="4" spans="1:48" x14ac:dyDescent="0.25">
      <c r="F4" t="s">
        <v>125</v>
      </c>
      <c r="G4">
        <v>0</v>
      </c>
      <c r="S4" t="s">
        <v>137</v>
      </c>
      <c r="T4">
        <v>20</v>
      </c>
    </row>
    <row r="6" spans="1:48" x14ac:dyDescent="0.25">
      <c r="C6" t="s">
        <v>97</v>
      </c>
      <c r="D6" t="s">
        <v>98</v>
      </c>
    </row>
    <row r="7" spans="1:48" x14ac:dyDescent="0.25">
      <c r="C7" t="s">
        <v>95</v>
      </c>
      <c r="D7" t="s">
        <v>167</v>
      </c>
    </row>
    <row r="8" spans="1:48" x14ac:dyDescent="0.25">
      <c r="C8" t="s">
        <v>96</v>
      </c>
      <c r="D8" t="s">
        <v>99</v>
      </c>
    </row>
    <row r="10" spans="1:48" ht="18.75" x14ac:dyDescent="0.3">
      <c r="F10" s="74"/>
      <c r="G10" s="74"/>
      <c r="H10" s="74"/>
      <c r="I10" s="74"/>
      <c r="J10" s="74"/>
      <c r="K10" s="74"/>
    </row>
    <row r="11" spans="1:48" ht="19.5" thickBot="1" x14ac:dyDescent="0.35">
      <c r="F11" s="74"/>
      <c r="G11" s="74"/>
      <c r="H11" s="74"/>
      <c r="I11" s="74"/>
      <c r="J11" s="74"/>
      <c r="K11" s="74"/>
      <c r="V11" t="s">
        <v>152</v>
      </c>
      <c r="AC11" t="s">
        <v>154</v>
      </c>
    </row>
    <row r="12" spans="1:48" ht="20.25" thickTop="1" thickBot="1" x14ac:dyDescent="0.35">
      <c r="F12" s="74"/>
      <c r="G12" s="74"/>
      <c r="H12" s="74"/>
      <c r="I12" s="74"/>
      <c r="J12" s="74"/>
      <c r="K12" s="74"/>
      <c r="T12" s="87" t="s">
        <v>138</v>
      </c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92"/>
      <c r="AQ12" s="87" t="s">
        <v>140</v>
      </c>
      <c r="AR12" s="88"/>
      <c r="AS12" s="88"/>
      <c r="AT12" s="88"/>
    </row>
    <row r="13" spans="1:48" ht="20.25" thickTop="1" thickBot="1" x14ac:dyDescent="0.35">
      <c r="F13" s="74"/>
      <c r="G13" s="74"/>
      <c r="H13" s="74" t="s">
        <v>151</v>
      </c>
      <c r="I13" s="74"/>
      <c r="J13" s="74"/>
      <c r="K13" s="74"/>
      <c r="O13" t="s">
        <v>153</v>
      </c>
      <c r="T13" s="87" t="s">
        <v>166</v>
      </c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92"/>
      <c r="AK13" t="s">
        <v>159</v>
      </c>
      <c r="AQ13" s="87"/>
      <c r="AR13" s="88"/>
      <c r="AS13" s="88"/>
      <c r="AT13" s="88"/>
    </row>
    <row r="14" spans="1:48" ht="19.5" thickTop="1" x14ac:dyDescent="0.3">
      <c r="F14" s="81" t="s">
        <v>49</v>
      </c>
      <c r="G14" s="82"/>
      <c r="H14" s="82"/>
      <c r="I14" s="82"/>
      <c r="J14" s="83"/>
      <c r="K14" s="74"/>
      <c r="M14" s="81" t="s">
        <v>50</v>
      </c>
      <c r="N14" s="82"/>
      <c r="O14" s="82"/>
      <c r="P14" s="82"/>
      <c r="Q14" s="83"/>
      <c r="R14" s="74"/>
      <c r="T14" s="89" t="s">
        <v>68</v>
      </c>
      <c r="U14" s="90"/>
      <c r="V14" s="90"/>
      <c r="W14" s="90"/>
      <c r="X14" s="91"/>
      <c r="Y14" s="74"/>
      <c r="AA14" s="89" t="s">
        <v>69</v>
      </c>
      <c r="AB14" s="90"/>
      <c r="AC14" s="90"/>
      <c r="AD14" s="90"/>
      <c r="AE14" s="91"/>
      <c r="AG14">
        <f>'3wAdKd'!p3win*'3wAdKd'!mainpot</f>
        <v>674.20080000000007</v>
      </c>
      <c r="AI14" s="78" t="s">
        <v>7</v>
      </c>
      <c r="AJ14" s="79"/>
      <c r="AK14" s="79"/>
      <c r="AL14" s="79"/>
      <c r="AM14" s="80"/>
      <c r="AQ14" s="84" t="s">
        <v>146</v>
      </c>
      <c r="AR14" s="85"/>
      <c r="AS14" s="85"/>
      <c r="AT14" s="86"/>
    </row>
    <row r="15" spans="1:48" x14ac:dyDescent="0.25">
      <c r="A15" t="s">
        <v>141</v>
      </c>
      <c r="B15" t="s">
        <v>28</v>
      </c>
      <c r="C15" t="s">
        <v>0</v>
      </c>
      <c r="D15" t="s">
        <v>3</v>
      </c>
      <c r="F15" s="5" t="s">
        <v>66</v>
      </c>
      <c r="G15" t="s">
        <v>28</v>
      </c>
      <c r="H15" t="s">
        <v>142</v>
      </c>
      <c r="I15" t="s">
        <v>143</v>
      </c>
      <c r="J15" s="5" t="s">
        <v>1</v>
      </c>
      <c r="K15" s="5" t="s">
        <v>150</v>
      </c>
      <c r="M15" s="5" t="s">
        <v>66</v>
      </c>
      <c r="N15" s="5" t="s">
        <v>28</v>
      </c>
      <c r="O15" s="5" t="s">
        <v>142</v>
      </c>
      <c r="P15" s="5" t="s">
        <v>143</v>
      </c>
      <c r="Q15" s="5" t="s">
        <v>1</v>
      </c>
      <c r="R15" s="5" t="s">
        <v>150</v>
      </c>
      <c r="T15" s="5" t="s">
        <v>66</v>
      </c>
      <c r="U15" s="5" t="s">
        <v>28</v>
      </c>
      <c r="V15" s="5" t="s">
        <v>142</v>
      </c>
      <c r="W15" s="5" t="s">
        <v>143</v>
      </c>
      <c r="X15" s="5" t="s">
        <v>1</v>
      </c>
      <c r="Y15" s="5" t="s">
        <v>150</v>
      </c>
      <c r="AA15" s="5" t="s">
        <v>66</v>
      </c>
      <c r="AB15" s="5" t="s">
        <v>28</v>
      </c>
      <c r="AC15" s="5" t="s">
        <v>142</v>
      </c>
      <c r="AD15" s="5" t="s">
        <v>143</v>
      </c>
      <c r="AE15" s="5" t="s">
        <v>1</v>
      </c>
      <c r="AF15" t="s">
        <v>150</v>
      </c>
      <c r="AG15" t="s">
        <v>146</v>
      </c>
      <c r="AI15" s="5" t="s">
        <v>66</v>
      </c>
      <c r="AJ15" s="5" t="s">
        <v>28</v>
      </c>
      <c r="AK15" s="5" t="s">
        <v>142</v>
      </c>
      <c r="AL15" s="5" t="s">
        <v>143</v>
      </c>
      <c r="AM15" s="5" t="s">
        <v>1</v>
      </c>
      <c r="AN15" t="s">
        <v>150</v>
      </c>
      <c r="AQ15" s="5" t="s">
        <v>143</v>
      </c>
      <c r="AR15" s="5" t="s">
        <v>1</v>
      </c>
      <c r="AS15" s="5" t="s">
        <v>146</v>
      </c>
      <c r="AT15" s="5" t="s">
        <v>147</v>
      </c>
      <c r="AU15" t="s">
        <v>148</v>
      </c>
      <c r="AV15" t="s">
        <v>149</v>
      </c>
    </row>
    <row r="16" spans="1:48" x14ac:dyDescent="0.25">
      <c r="A16" s="26">
        <v>3</v>
      </c>
      <c r="B16" s="26">
        <v>454</v>
      </c>
      <c r="C16" s="26" t="s">
        <v>163</v>
      </c>
      <c r="D16" s="26"/>
      <c r="F16" s="75">
        <f>COUNTIF(T_p121[stack],"&gt;0")</f>
        <v>4</v>
      </c>
      <c r="G16" s="26">
        <f>IF(T_init20[[#This Row],[p]]=1,mainpot+sidepot1+sidepot2+uncalled,IF(T_init20[[#This Row],[p]]&gt;1,0,T_init20[[#This Row],[stack]]))</f>
        <v>0</v>
      </c>
      <c r="H16" s="26">
        <v>0.27529999999999999</v>
      </c>
      <c r="I16" s="27">
        <f>T_p121[[#This Row],[EQ]]*prize</f>
        <v>0</v>
      </c>
      <c r="J16" s="72">
        <f>IF(T_init20[[#This Row],[p]]=1,T_p121[[#This Row],[players]]*T_p121[[#This Row],[stack]]/chips+COUNTIF(T_p121[stack],0),T_p121[[#This Row],[players]]*T_p121[[#This Row],[stack]]/chips)</f>
        <v>0</v>
      </c>
      <c r="K16" s="72">
        <f>T_p121[[#This Row],[ICM]]+bounty*T_p121[[#This Row],[KO]]</f>
        <v>0</v>
      </c>
      <c r="M16" s="29">
        <f>COUNTIF(T_p222[stack],"&gt;0")</f>
        <v>5</v>
      </c>
      <c r="N16" s="26">
        <f>IF(T_init20[[#This Row],[p]]=1,uncalled,IF(T_init20[[#This Row],[p]]=2,mainpot+sidepot1+sidepot2,IF(T_init20[[#This Row],[p]]&gt;2,0,T_init20[[#This Row],[stack]])))</f>
        <v>0</v>
      </c>
      <c r="O16" s="26">
        <v>0.19750000000000001</v>
      </c>
      <c r="P16" s="27">
        <f>T_p222[[#This Row],[EQ]]*prize</f>
        <v>0</v>
      </c>
      <c r="Q16" s="72">
        <f>IF(T_init20[[#This Row],[p]]=2,T_p222[[#This Row],[players]]*T_p222[[#This Row],[stack]]/chips+COUNTIF(T_p222[stack],0),T_p222[[#This Row],[players]]*T_p222[[#This Row],[stack]]/chips)</f>
        <v>0</v>
      </c>
      <c r="R16" s="72">
        <f>T_p222[[#This Row],[ICM]]+bounty*T_p222[[#This Row],[KO]]</f>
        <v>0</v>
      </c>
      <c r="T16" s="75">
        <f>COUNTIF(T_p3p123[stack],"&gt;0")</f>
        <v>5</v>
      </c>
      <c r="U16" s="26">
        <f>IF(T_init20[[#This Row],[p]]=1,sidepot1+uncalled,IF(T_init20[[#This Row],[p]]=3,mainpot,IF(ISBLANK(T_init20[[#This Row],[p]]),T_init20[[#This Row],[stack]],0)))</f>
        <v>1404</v>
      </c>
      <c r="V16" s="26">
        <v>0.19489999999999999</v>
      </c>
      <c r="W16" s="27">
        <f>T_p3p123[[#This Row],[EQ]]*prize</f>
        <v>0</v>
      </c>
      <c r="X16" s="72">
        <f>IF(T_init20[[#This Row],[p]]=1,T_p3p123[[#This Row],[players]]*T_p3p123[[#This Row],[stack]]/chips+COUNTIF(T_p3p123[stack],0),T_p3p123[[#This Row],[players]]*T_p3p123[[#This Row],[stack]]/chips)</f>
        <v>2.34</v>
      </c>
      <c r="Y16" s="72">
        <f>T_p3p123[[#This Row],[ICM]]+bounty*T_p3p123[[#This Row],[KO]]</f>
        <v>0</v>
      </c>
      <c r="AA16" s="75">
        <f>COUNTIF(T_p3p224[stack],"&gt;0")</f>
        <v>6</v>
      </c>
      <c r="AB16" s="26">
        <f>IF(T_init20[[#This Row],[p]]=1,uncalled,IF(T_init20[[#This Row],[p]]=2,sidepot1,IF(T_init20[[#This Row],[p]]=3,mainpot,IF(ISBLANK(T_init20[[#This Row],[p]]),T_init20[[#This Row],[stack]],0))))</f>
        <v>1404</v>
      </c>
      <c r="AC16" s="26">
        <v>0.1943</v>
      </c>
      <c r="AD16" s="27">
        <f>T_p3p224[[#This Row],[EQ]]*prize</f>
        <v>0</v>
      </c>
      <c r="AE16" s="72">
        <f>IF(T_init20[[#This Row],[p]]=2,T_p3p224[[#This Row],[players]]*T_p3p224[[#This Row],[stack]]/chips+COUNTIF(T_p3p224[stack],0),T_p3p224[[#This Row],[players]]*T_p3p224[[#This Row],[stack]]/chips)</f>
        <v>2.8079999999999998</v>
      </c>
      <c r="AF16" s="72">
        <f>T_p3p224[[#This Row],[ICM]]+bounty*T_p3p224[[#This Row],[KO]]</f>
        <v>0</v>
      </c>
      <c r="AG16">
        <f>'3wAdKd'!p1win*T_p121[[#This Row],[stack]]
+'3wAdKd'!p2win*T_p222[[#This Row],[stack]]
+'3wAdKd'!p3win*(T_p3p123[[#This Row],[stack]]*'3wAdKd'!p1sp2win+'3wAdKd'!p2sp2win*T_p3p224[[#This Row],[stack]])-T_fact29[[#This Row],[stack]]</f>
        <v>0</v>
      </c>
      <c r="AI16" s="75">
        <f>COUNTIF(T_fact29[stack],"&gt;0")</f>
        <v>4</v>
      </c>
      <c r="AJ16" s="26">
        <f>IF(T_init20[[#This Row],[p]]=1,mainpot+sidepot1+sidepot2+uncalled,IF(T_init20[[#This Row],[p]]&gt;1,0,T_init20[[#This Row],[stack]]))</f>
        <v>0</v>
      </c>
      <c r="AK16" s="26">
        <v>0.19489999999999999</v>
      </c>
      <c r="AL16" s="27">
        <f>T_fact29[[#This Row],[EQ]]*prize</f>
        <v>0</v>
      </c>
      <c r="AM16" s="72">
        <f>IF(T_init20[[#This Row],[p]]=1,T_fact29[[#This Row],[players]]*T_fact29[[#This Row],[stack]]/chips+COUNTIF(T_fact29[stack],0),T_fact29[[#This Row],[players]]*T_fact29[[#This Row],[stack]]/chips)</f>
        <v>0</v>
      </c>
      <c r="AN16" s="72">
        <f>T_fact29[[#This Row],[ICM]]+bounty*T_fact29[[#This Row],[KO]]</f>
        <v>0</v>
      </c>
      <c r="AQ16" s="73">
        <f>'3wAdKd'!p3win* ('3wAdKd'!p1sp1win*T_p3p123[[#This Row],[ICM]] + '3wAdKd'!p2sp1win*T_p3p224[[#This Row],[ICM]])
+'3wAdKd'!p2win*T_p222[[#This Row],[ICM]]
+'3wAdKd'!p1win*T_p121[[#This Row],[ICM]]</f>
        <v>0</v>
      </c>
      <c r="AR16" s="33">
        <f>('3wAdKd'!p3win* ('3wAdKd'!p1sp1win*T_p3p123[[#This Row],[KO]] + '3wAdKd'!p2sp1win*T_p3p224[[#This Row],[KO]])
+'3wAdKd'!p2win*T_p222[[#This Row],[KO]]
+'3wAdKd'!p1win*T_p121[[#This Row],[KO]])*bounty</f>
        <v>0</v>
      </c>
      <c r="AS16" s="73">
        <f>'3wAdKd'!p3win* ('3wAdKd'!p1sp1win*T_p3p123[[#This Row],[$stack]] + '3wAdKd'!p2sp1win*T_p3p224[[#This Row],[$stack]])
+'3wAdKd'!p2win*T_p222[[#This Row],[$stack]]
+'3wAdKd'!p1win*T_p121[[#This Row],[$stack]]</f>
        <v>0</v>
      </c>
      <c r="AT16" s="33">
        <f>'3wAdKd'!p3win* ('3wAdKd'!p1sp1win*T_p3p123[[#This Row],[stack]] + '3wAdKd'!p2sp1win*T_p3p224[[#This Row],[stack]])
+'3wAdKd'!p2win*T_p222[[#This Row],[stack]]
+'3wAdKd'!p1win*T_p121[[#This Row],[stack]]</f>
        <v>674.20080000000007</v>
      </c>
      <c r="AU16" s="2">
        <f>T_EV33[[#This Row],[chipEV]]-T_fact29[[#This Row],[stack]]</f>
        <v>674.20080000000007</v>
      </c>
      <c r="AV16" s="2">
        <f>T_EV33[[#This Row],[EV]]-(T_fact29[[#This Row],[ICM]]+bounty*T_fact29[[#This Row],[KO]])</f>
        <v>0</v>
      </c>
    </row>
    <row r="17" spans="1:48" x14ac:dyDescent="0.25">
      <c r="B17">
        <v>494</v>
      </c>
      <c r="F17" s="5">
        <f>COUNTIF(T_p121[stack],"&gt;0")</f>
        <v>4</v>
      </c>
      <c r="G17">
        <f>IF(T_init20[[#This Row],[p]]=1,mainpot+sidepot1+sidepot2+uncalled,IF(T_init20[[#This Row],[p]]&gt;1,0,T_init20[[#This Row],[stack]]))</f>
        <v>494</v>
      </c>
      <c r="I17" s="2">
        <f>T_p121[[#This Row],[EQ]]*prize</f>
        <v>0</v>
      </c>
      <c r="J17" s="67">
        <f>IF(T_init20[[#This Row],[p]]=1,T_p121[[#This Row],[players]]*T_p121[[#This Row],[stack]]/chips+COUNTIF(T_p121[stack],0),T_p121[[#This Row],[players]]*T_p121[[#This Row],[stack]]/chips)</f>
        <v>0.65866666666666662</v>
      </c>
      <c r="K17" s="67">
        <f>T_p121[[#This Row],[ICM]]+bounty*T_p121[[#This Row],[KO]]</f>
        <v>0</v>
      </c>
      <c r="M17" s="10">
        <f>COUNTIF(T_p222[stack],"&gt;0")</f>
        <v>5</v>
      </c>
      <c r="N17" s="26">
        <f>IF(T_init20[[#This Row],[p]]=1,uncalled,IF(T_init20[[#This Row],[p]]=2,mainpot+sidepot1+sidepot2,IF(T_init20[[#This Row],[p]]&gt;2,0,T_init20[[#This Row],[stack]])))</f>
        <v>494</v>
      </c>
      <c r="P17" s="2">
        <f>T_p222[[#This Row],[EQ]]*prize</f>
        <v>0</v>
      </c>
      <c r="Q17" s="67">
        <f>IF(T_init20[[#This Row],[p]]=2,T_p222[[#This Row],[players]]*T_p222[[#This Row],[stack]]/chips+COUNTIF(T_p222[stack],0),T_p222[[#This Row],[players]]*T_p222[[#This Row],[stack]]/chips)</f>
        <v>0.82333333333333336</v>
      </c>
      <c r="R17" s="67">
        <f>T_p222[[#This Row],[ICM]]+bounty*T_p222[[#This Row],[KO]]</f>
        <v>0</v>
      </c>
      <c r="T17" s="5">
        <f>COUNTIF(T_p3p123[stack],"&gt;0")</f>
        <v>5</v>
      </c>
      <c r="U17" s="26">
        <f>IF(T_init20[[#This Row],[p]]=1,sidepot1+uncalled,IF(T_init20[[#This Row],[p]]=3,mainpot,IF(ISBLANK(T_init20[[#This Row],[p]]),T_init20[[#This Row],[stack]],0)))</f>
        <v>494</v>
      </c>
      <c r="V17">
        <v>0</v>
      </c>
      <c r="W17" s="2">
        <f>T_p3p123[[#This Row],[EQ]]*prize</f>
        <v>0</v>
      </c>
      <c r="X17" s="67">
        <f>IF(T_init20[[#This Row],[p]]=1,T_p3p123[[#This Row],[players]]*T_p3p123[[#This Row],[stack]]/chips+COUNTIF(T_p3p123[stack],0),T_p3p123[[#This Row],[players]]*T_p3p123[[#This Row],[stack]]/chips)</f>
        <v>0.82333333333333336</v>
      </c>
      <c r="Y17" s="67">
        <f>T_p3p123[[#This Row],[ICM]]+bounty*T_p3p123[[#This Row],[KO]]</f>
        <v>0</v>
      </c>
      <c r="AA17" s="5">
        <f>COUNTIF(T_p3p224[stack],"&gt;0")</f>
        <v>6</v>
      </c>
      <c r="AB17">
        <f>IF(T_init20[[#This Row],[p]]=1,uncalled,IF(T_init20[[#This Row],[p]]=2,sidepot1,IF(T_init20[[#This Row],[p]]=3,mainpot,IF(ISBLANK(T_init20[[#This Row],[p]]),T_init20[[#This Row],[stack]],0))))</f>
        <v>494</v>
      </c>
      <c r="AC17">
        <v>0</v>
      </c>
      <c r="AD17" s="2">
        <f>T_p3p224[[#This Row],[EQ]]*prize</f>
        <v>0</v>
      </c>
      <c r="AE17" s="67">
        <f>IF(T_init20[[#This Row],[p]]=2,T_p3p224[[#This Row],[players]]*T_p3p224[[#This Row],[stack]]/chips+COUNTIF(T_p3p224[stack],0),T_p3p224[[#This Row],[players]]*T_p3p224[[#This Row],[stack]]/chips)</f>
        <v>0.98799999999999999</v>
      </c>
      <c r="AF17" s="16">
        <f>T_p3p224[[#This Row],[ICM]]+bounty*T_p3p224[[#This Row],[KO]]</f>
        <v>0</v>
      </c>
      <c r="AG17">
        <f>'3wAdKd'!p1win*T_p121[[#This Row],[stack]]
+'3wAdKd'!p2win*T_p222[[#This Row],[stack]]
+'3wAdKd'!p3win*(T_p3p123[[#This Row],[stack]]*'3wAdKd'!p1sp2win+'3wAdKd'!p2sp2win*T_p3p224[[#This Row],[stack]])-T_fact29[[#This Row],[stack]]</f>
        <v>-237.21879999999999</v>
      </c>
      <c r="AI17" s="75">
        <f>COUNTIF(T_fact29[stack],"&gt;0")</f>
        <v>4</v>
      </c>
      <c r="AJ17" s="26">
        <f>IF(T_init20[[#This Row],[p]]=1,mainpot+sidepot1+sidepot2+uncalled,IF(T_init20[[#This Row],[p]]&gt;1,0,T_init20[[#This Row],[stack]]))</f>
        <v>494</v>
      </c>
      <c r="AK17">
        <v>0</v>
      </c>
      <c r="AL17" s="2">
        <f>T_fact29[[#This Row],[EQ]]*prize</f>
        <v>0</v>
      </c>
      <c r="AM17" s="67">
        <f>IF(T_init20[[#This Row],[p]]=1,T_fact29[[#This Row],[players]]*T_fact29[[#This Row],[stack]]/chips+COUNTIF(T_fact29[stack],0),T_fact29[[#This Row],[players]]*T_fact29[[#This Row],[stack]]/chips)</f>
        <v>0.65866666666666662</v>
      </c>
      <c r="AN17" s="16">
        <f>T_fact29[[#This Row],[ICM]]+bounty*T_fact29[[#This Row],[KO]]</f>
        <v>0</v>
      </c>
      <c r="AQ17" s="69">
        <f>'3wAdKd'!p3win* ('3wAdKd'!p1sp1win*T_p3p123[[#This Row],[ICM]] + '3wAdKd'!p2sp1win*T_p3p224[[#This Row],[ICM]])
+'3wAdKd'!p2win*T_p222[[#This Row],[ICM]]
+'3wAdKd'!p1win*T_p121[[#This Row],[ICM]]</f>
        <v>0</v>
      </c>
      <c r="AR17" s="69">
        <f>('3wAdKd'!p3win* ('3wAdKd'!p1sp1win*T_p3p123[[#This Row],[KO]] + '3wAdKd'!p2sp1win*T_p3p224[[#This Row],[KO]])
+'3wAdKd'!p2win*T_p222[[#This Row],[KO]]
+'3wAdKd'!p1win*T_p121[[#This Row],[KO]])*bounty</f>
        <v>0</v>
      </c>
      <c r="AS17" s="69">
        <f>'3wAdKd'!p3win* ('3wAdKd'!p1sp1win*T_p3p123[[#This Row],[$stack]] + '3wAdKd'!p2sp1win*T_p3p224[[#This Row],[$stack]])
+'3wAdKd'!p2win*T_p222[[#This Row],[$stack]]
+'3wAdKd'!p1win*T_p121[[#This Row],[$stack]]</f>
        <v>0</v>
      </c>
      <c r="AT17" s="69">
        <f>'3wAdKd'!p3win* ('3wAdKd'!p1sp1win*T_p3p123[[#This Row],[stack]] + '3wAdKd'!p2sp1win*T_p3p224[[#This Row],[stack]])
+'3wAdKd'!p2win*T_p222[[#This Row],[stack]]
+'3wAdKd'!p1win*T_p121[[#This Row],[stack]]</f>
        <v>494</v>
      </c>
      <c r="AU17" s="2">
        <f>T_EV33[[#This Row],[chipEV]]-T_fact29[[#This Row],[stack]]</f>
        <v>0</v>
      </c>
      <c r="AV17" s="2">
        <f>T_EV33[[#This Row],[EV]]-(T_fact29[[#This Row],[ICM]]+bounty*T_fact29[[#This Row],[KO]])</f>
        <v>0</v>
      </c>
    </row>
    <row r="18" spans="1:48" x14ac:dyDescent="0.25">
      <c r="A18">
        <v>2</v>
      </c>
      <c r="B18">
        <v>526</v>
      </c>
      <c r="C18" t="s">
        <v>164</v>
      </c>
      <c r="F18" s="5">
        <f>COUNTIF(T_p121[stack],"&gt;0")</f>
        <v>4</v>
      </c>
      <c r="G18">
        <f>IF(T_init20[[#This Row],[p]]=1,mainpot+sidepot1+sidepot2+uncalled,IF(T_init20[[#This Row],[p]]&gt;1,0,T_init20[[#This Row],[stack]]))</f>
        <v>0</v>
      </c>
      <c r="I18" s="2">
        <f>T_p121[[#This Row],[EQ]]*prize</f>
        <v>0</v>
      </c>
      <c r="J18" s="67">
        <f>IF(T_init20[[#This Row],[p]]=1,T_p121[[#This Row],[players]]*T_p121[[#This Row],[stack]]/chips+COUNTIF(T_p121[stack],0),T_p121[[#This Row],[players]]*T_p121[[#This Row],[stack]]/chips)</f>
        <v>0</v>
      </c>
      <c r="K18" s="67">
        <f>T_p121[[#This Row],[ICM]]+bounty*T_p121[[#This Row],[KO]]</f>
        <v>0</v>
      </c>
      <c r="M18" s="10">
        <f>COUNTIF(T_p222[stack],"&gt;0")</f>
        <v>5</v>
      </c>
      <c r="N18" s="26">
        <f>IF(T_init20[[#This Row],[p]]=1,uncalled,IF(T_init20[[#This Row],[p]]=2,mainpot+sidepot1+sidepot2,IF(T_init20[[#This Row],[p]]&gt;2,0,T_init20[[#This Row],[stack]])))</f>
        <v>1548</v>
      </c>
      <c r="O18">
        <v>0.39929999999999999</v>
      </c>
      <c r="P18" s="2">
        <f>T_p222[[#This Row],[EQ]]*prize</f>
        <v>0</v>
      </c>
      <c r="Q18" s="67">
        <f>IF(T_init20[[#This Row],[p]]=2,T_p222[[#This Row],[players]]*T_p222[[#This Row],[stack]]/chips+COUNTIF(T_p222[stack],0),T_p222[[#This Row],[players]]*T_p222[[#This Row],[stack]]/chips)</f>
        <v>3.58</v>
      </c>
      <c r="R18" s="67">
        <f>T_p222[[#This Row],[ICM]]+bounty*T_p222[[#This Row],[KO]]</f>
        <v>0</v>
      </c>
      <c r="T18" s="5">
        <f>COUNTIF(T_p3p123[stack],"&gt;0")</f>
        <v>5</v>
      </c>
      <c r="U18" s="26">
        <f>IF(T_init20[[#This Row],[p]]=1,sidepot1+uncalled,IF(T_init20[[#This Row],[p]]=3,mainpot,IF(ISBLANK(T_init20[[#This Row],[p]]),T_init20[[#This Row],[stack]],0)))</f>
        <v>0</v>
      </c>
      <c r="V18">
        <v>0</v>
      </c>
      <c r="W18" s="2">
        <f>T_p3p123[[#This Row],[EQ]]*prize</f>
        <v>0</v>
      </c>
      <c r="X18" s="67">
        <f>IF(T_init20[[#This Row],[p]]=1,T_p3p123[[#This Row],[players]]*T_p3p123[[#This Row],[stack]]/chips+COUNTIF(T_p3p123[stack],0),T_p3p123[[#This Row],[players]]*T_p3p123[[#This Row],[stack]]/chips)</f>
        <v>0</v>
      </c>
      <c r="Y18" s="67">
        <f>T_p3p123[[#This Row],[ICM]]+bounty*T_p3p123[[#This Row],[KO]]</f>
        <v>0</v>
      </c>
      <c r="AA18" s="5">
        <f>COUNTIF(T_p3p224[stack],"&gt;0")</f>
        <v>6</v>
      </c>
      <c r="AB18">
        <f>IF(T_init20[[#This Row],[p]]=1,uncalled,IF(T_init20[[#This Row],[p]]=2,sidepot1,IF(T_init20[[#This Row],[p]]=3,mainpot,IF(ISBLANK(T_init20[[#This Row],[p]]),T_init20[[#This Row],[stack]],0))))</f>
        <v>144</v>
      </c>
      <c r="AC18">
        <v>1.7000000000000001E-2</v>
      </c>
      <c r="AD18" s="2">
        <f>T_p3p224[[#This Row],[EQ]]*prize</f>
        <v>0</v>
      </c>
      <c r="AE18" s="67">
        <f>IF(T_init20[[#This Row],[p]]=2,T_p3p224[[#This Row],[players]]*T_p3p224[[#This Row],[stack]]/chips+COUNTIF(T_p3p224[stack],0),T_p3p224[[#This Row],[players]]*T_p3p224[[#This Row],[stack]]/chips)</f>
        <v>0.28799999999999998</v>
      </c>
      <c r="AF18" s="16">
        <f>T_p3p224[[#This Row],[ICM]]+bounty*T_p3p224[[#This Row],[KO]]</f>
        <v>0</v>
      </c>
      <c r="AG18">
        <f>'3wAdKd'!p1win*T_p121[[#This Row],[stack]]
+'3wAdKd'!p2win*T_p222[[#This Row],[stack]]
+'3wAdKd'!p3win*(T_p3p123[[#This Row],[stack]]*'3wAdKd'!p1sp2win+'3wAdKd'!p2sp2win*T_p3p224[[#This Row],[stack]])-T_fact29[[#This Row],[stack]]</f>
        <v>270.43559999999997</v>
      </c>
      <c r="AI18" s="75">
        <f>COUNTIF(T_fact29[stack],"&gt;0")</f>
        <v>4</v>
      </c>
      <c r="AJ18" s="26">
        <f>IF(T_init20[[#This Row],[p]]=1,mainpot+sidepot1+sidepot2+uncalled,IF(T_init20[[#This Row],[p]]&gt;1,0,T_init20[[#This Row],[stack]]))</f>
        <v>0</v>
      </c>
      <c r="AK18">
        <v>0</v>
      </c>
      <c r="AL18" s="2">
        <f>T_fact29[[#This Row],[EQ]]*prize</f>
        <v>0</v>
      </c>
      <c r="AM18" s="67">
        <f>IF(T_init20[[#This Row],[p]]=1,T_fact29[[#This Row],[players]]*T_fact29[[#This Row],[stack]]/chips+COUNTIF(T_fact29[stack],0),T_fact29[[#This Row],[players]]*T_fact29[[#This Row],[stack]]/chips)</f>
        <v>0</v>
      </c>
      <c r="AN18" s="16">
        <f>T_fact29[[#This Row],[ICM]]+bounty*T_fact29[[#This Row],[KO]]</f>
        <v>0</v>
      </c>
      <c r="AQ18" s="69">
        <f>'3wAdKd'!p3win* ('3wAdKd'!p1sp1win*T_p3p123[[#This Row],[ICM]] + '3wAdKd'!p2sp1win*T_p3p224[[#This Row],[ICM]])
+'3wAdKd'!p2win*T_p222[[#This Row],[ICM]]
+'3wAdKd'!p1win*T_p121[[#This Row],[ICM]]</f>
        <v>0</v>
      </c>
      <c r="AR18" s="69">
        <f>('3wAdKd'!p3win* ('3wAdKd'!p1sp1win*T_p3p123[[#This Row],[KO]] + '3wAdKd'!p2sp1win*T_p3p224[[#This Row],[KO]])
+'3wAdKd'!p2win*T_p222[[#This Row],[KO]]
+'3wAdKd'!p1win*T_p121[[#This Row],[KO]])*bounty</f>
        <v>0</v>
      </c>
      <c r="AS18" s="69">
        <f>'3wAdKd'!p3win* ('3wAdKd'!p1sp1win*T_p3p123[[#This Row],[$stack]] + '3wAdKd'!p2sp1win*T_p3p224[[#This Row],[$stack]])
+'3wAdKd'!p2win*T_p222[[#This Row],[$stack]]
+'3wAdKd'!p1win*T_p121[[#This Row],[$stack]]</f>
        <v>0</v>
      </c>
      <c r="AT18" s="69">
        <f>'3wAdKd'!p3win* ('3wAdKd'!p1sp1win*T_p3p123[[#This Row],[stack]] + '3wAdKd'!p2sp1win*T_p3p224[[#This Row],[stack]])
+'3wAdKd'!p2win*T_p222[[#This Row],[stack]]
+'3wAdKd'!p1win*T_p121[[#This Row],[stack]]</f>
        <v>303.07383359999994</v>
      </c>
      <c r="AU18" s="2">
        <f>T_EV33[[#This Row],[chipEV]]-T_fact29[[#This Row],[stack]]</f>
        <v>303.07383359999994</v>
      </c>
      <c r="AV18" s="2">
        <f>T_EV33[[#This Row],[EV]]-(T_fact29[[#This Row],[ICM]]+bounty*T_fact29[[#This Row],[KO]])</f>
        <v>0</v>
      </c>
    </row>
    <row r="19" spans="1:48" x14ac:dyDescent="0.25">
      <c r="A19" s="26">
        <v>1</v>
      </c>
      <c r="B19" s="26">
        <v>546</v>
      </c>
      <c r="C19" s="26" t="s">
        <v>165</v>
      </c>
      <c r="D19" s="26"/>
      <c r="F19" s="75">
        <f>COUNTIF(T_p121[stack],"&gt;0")</f>
        <v>4</v>
      </c>
      <c r="G19" s="26">
        <f>IF(T_init20[[#This Row],[p]]=1,mainpot+sidepot1+sidepot2+uncalled,IF(T_init20[[#This Row],[p]]&gt;1,0,T_init20[[#This Row],[stack]]))</f>
        <v>1568</v>
      </c>
      <c r="H19" s="26"/>
      <c r="I19" s="27">
        <f>T_p121[[#This Row],[EQ]]*prize</f>
        <v>0</v>
      </c>
      <c r="J19" s="72">
        <f>IF(T_init20[[#This Row],[p]]=1,T_p121[[#This Row],[players]]*T_p121[[#This Row],[stack]]/chips+COUNTIF(T_p121[stack],0),T_p121[[#This Row],[players]]*T_p121[[#This Row],[stack]]/chips)</f>
        <v>4.0906666666666665</v>
      </c>
      <c r="K19" s="72">
        <f>T_p121[[#This Row],[ICM]]+bounty*T_p121[[#This Row],[KO]]</f>
        <v>0</v>
      </c>
      <c r="M19" s="29">
        <f>COUNTIF(T_p222[stack],"&gt;0")</f>
        <v>5</v>
      </c>
      <c r="N19" s="26">
        <f>IF(T_init20[[#This Row],[p]]=1,uncalled,IF(T_init20[[#This Row],[p]]=2,mainpot+sidepot1+sidepot2,IF(T_init20[[#This Row],[p]]&gt;2,0,T_init20[[#This Row],[stack]])))</f>
        <v>20</v>
      </c>
      <c r="O19" s="26"/>
      <c r="P19" s="27">
        <f>T_p222[[#This Row],[EQ]]*prize</f>
        <v>0</v>
      </c>
      <c r="Q19" s="72">
        <f>IF(T_init20[[#This Row],[p]]=2,T_p222[[#This Row],[players]]*T_p222[[#This Row],[stack]]/chips+COUNTIF(T_p222[stack],0),T_p222[[#This Row],[players]]*T_p222[[#This Row],[stack]]/chips)</f>
        <v>3.3333333333333333E-2</v>
      </c>
      <c r="R19" s="72">
        <f>T_p222[[#This Row],[ICM]]+bounty*T_p222[[#This Row],[KO]]</f>
        <v>0</v>
      </c>
      <c r="T19" s="75">
        <f>COUNTIF(T_p3p123[stack],"&gt;0")</f>
        <v>5</v>
      </c>
      <c r="U19" s="26">
        <f>IF(T_init20[[#This Row],[p]]=1,sidepot1+uncalled,IF(T_init20[[#This Row],[p]]=3,mainpot,IF(ISBLANK(T_init20[[#This Row],[p]]),T_init20[[#This Row],[stack]],0)))</f>
        <v>164</v>
      </c>
      <c r="V19" s="26">
        <v>0.39350000000000002</v>
      </c>
      <c r="W19" s="27">
        <f>T_p3p123[[#This Row],[EQ]]*prize</f>
        <v>0</v>
      </c>
      <c r="X19" s="72">
        <f>IF(T_init20[[#This Row],[p]]=1,T_p3p123[[#This Row],[players]]*T_p3p123[[#This Row],[stack]]/chips+COUNTIF(T_p3p123[stack],0),T_p3p123[[#This Row],[players]]*T_p3p123[[#This Row],[stack]]/chips)</f>
        <v>1.2733333333333334</v>
      </c>
      <c r="Y19" s="72">
        <f>T_p3p123[[#This Row],[ICM]]+bounty*T_p3p123[[#This Row],[KO]]</f>
        <v>0</v>
      </c>
      <c r="AA19" s="75">
        <f>COUNTIF(T_p3p224[stack],"&gt;0")</f>
        <v>6</v>
      </c>
      <c r="AB19" s="26">
        <f>IF(T_init20[[#This Row],[p]]=1,uncalled,IF(T_init20[[#This Row],[p]]=2,sidepot1,IF(T_init20[[#This Row],[p]]=3,mainpot,IF(ISBLANK(T_init20[[#This Row],[p]]),T_init20[[#This Row],[stack]],0))))</f>
        <v>20</v>
      </c>
      <c r="AC19" s="26">
        <v>0.39190000000000003</v>
      </c>
      <c r="AD19" s="27">
        <f>T_p3p224[[#This Row],[EQ]]*prize</f>
        <v>0</v>
      </c>
      <c r="AE19" s="72">
        <f>IF(T_init20[[#This Row],[p]]=2,T_p3p224[[#This Row],[players]]*T_p3p224[[#This Row],[stack]]/chips+COUNTIF(T_p3p224[stack],0),T_p3p224[[#This Row],[players]]*T_p3p224[[#This Row],[stack]]/chips)</f>
        <v>0.04</v>
      </c>
      <c r="AF19" s="16">
        <f>T_p3p224[[#This Row],[ICM]]+bounty*T_p3p224[[#This Row],[KO]]</f>
        <v>0</v>
      </c>
      <c r="AG19">
        <f>'3wAdKd'!p1win*T_p121[[#This Row],[stack]]
+'3wAdKd'!p2win*T_p222[[#This Row],[stack]]
+'3wAdKd'!p3win*(T_p3p123[[#This Row],[stack]]*'3wAdKd'!p1sp2win+'3wAdKd'!p2sp2win*T_p3p224[[#This Row],[stack]])-T_fact29[[#This Row],[stack]]</f>
        <v>-1023.3892</v>
      </c>
      <c r="AI19" s="75">
        <f>COUNTIF(T_fact29[stack],"&gt;0")</f>
        <v>4</v>
      </c>
      <c r="AJ19" s="26">
        <f>IF(T_init20[[#This Row],[p]]=1,mainpot+sidepot1+sidepot2+uncalled,IF(T_init20[[#This Row],[p]]&gt;1,0,T_init20[[#This Row],[stack]]))</f>
        <v>1568</v>
      </c>
      <c r="AK19" s="26">
        <v>0.39350000000000002</v>
      </c>
      <c r="AL19" s="27">
        <f>T_fact29[[#This Row],[EQ]]*prize</f>
        <v>0</v>
      </c>
      <c r="AM19" s="72">
        <f>IF(T_init20[[#This Row],[p]]=1,T_fact29[[#This Row],[players]]*T_fact29[[#This Row],[stack]]/chips+COUNTIF(T_fact29[stack],0),T_fact29[[#This Row],[players]]*T_fact29[[#This Row],[stack]]/chips)</f>
        <v>4.0906666666666665</v>
      </c>
      <c r="AN19" s="16">
        <f>T_fact29[[#This Row],[ICM]]+bounty*T_fact29[[#This Row],[KO]]</f>
        <v>0</v>
      </c>
      <c r="AQ19" s="69">
        <f>'3wAdKd'!p3win* ('3wAdKd'!p1sp1win*T_p3p123[[#This Row],[ICM]] + '3wAdKd'!p2sp1win*T_p3p224[[#This Row],[ICM]])
+'3wAdKd'!p2win*T_p222[[#This Row],[ICM]]
+'3wAdKd'!p1win*T_p121[[#This Row],[ICM]]</f>
        <v>0</v>
      </c>
      <c r="AR19" s="73">
        <f>('3wAdKd'!p3win* ('3wAdKd'!p1sp1win*T_p3p123[[#This Row],[KO]] + '3wAdKd'!p2sp1win*T_p3p224[[#This Row],[KO]])
+'3wAdKd'!p2win*T_p222[[#This Row],[KO]]
+'3wAdKd'!p1win*T_p121[[#This Row],[KO]])*bounty</f>
        <v>0</v>
      </c>
      <c r="AS19" s="73">
        <f>'3wAdKd'!p3win* ('3wAdKd'!p1sp1win*T_p3p123[[#This Row],[$stack]] + '3wAdKd'!p2sp1win*T_p3p224[[#This Row],[$stack]])
+'3wAdKd'!p2win*T_p222[[#This Row],[$stack]]
+'3wAdKd'!p1win*T_p121[[#This Row],[$stack]]</f>
        <v>0</v>
      </c>
      <c r="AT19" s="73">
        <f>'3wAdKd'!p3win* ('3wAdKd'!p1sp1win*T_p3p123[[#This Row],[stack]] + '3wAdKd'!p2sp1win*T_p3p224[[#This Row],[stack]])
+'3wAdKd'!p2win*T_p222[[#This Row],[stack]]
+'3wAdKd'!p1win*T_p121[[#This Row],[stack]]</f>
        <v>590.72536639999998</v>
      </c>
      <c r="AU19" s="2">
        <f>T_EV33[[#This Row],[chipEV]]-T_fact29[[#This Row],[stack]]</f>
        <v>-977.27463360000002</v>
      </c>
      <c r="AV19" s="2">
        <f>T_EV33[[#This Row],[EV]]-(T_fact29[[#This Row],[ICM]]+bounty*T_fact29[[#This Row],[KO]])</f>
        <v>0</v>
      </c>
    </row>
    <row r="20" spans="1:48" x14ac:dyDescent="0.25">
      <c r="B20">
        <v>464</v>
      </c>
      <c r="F20" s="5">
        <f>COUNTIF(T_p121[stack],"&gt;0")</f>
        <v>4</v>
      </c>
      <c r="G20">
        <f>IF(T_init20[[#This Row],[p]]=1,mainpot+sidepot1+sidepot2+uncalled,IF(T_init20[[#This Row],[p]]&gt;1,0,T_init20[[#This Row],[stack]]))</f>
        <v>464</v>
      </c>
      <c r="H20">
        <v>0.25459999999999999</v>
      </c>
      <c r="I20" s="2">
        <f>T_p121[[#This Row],[EQ]]*prize</f>
        <v>0</v>
      </c>
      <c r="J20" s="67">
        <f>IF(T_init20[[#This Row],[p]]=1,T_p121[[#This Row],[players]]*T_p121[[#This Row],[stack]]/chips+COUNTIF(T_p121[stack],0),T_p121[[#This Row],[players]]*T_p121[[#This Row],[stack]]/chips)</f>
        <v>0.6186666666666667</v>
      </c>
      <c r="K20" s="67">
        <f>T_p121[[#This Row],[ICM]]+bounty*T_p121[[#This Row],[KO]]</f>
        <v>0</v>
      </c>
      <c r="M20" s="10">
        <f>COUNTIF(T_p222[stack],"&gt;0")</f>
        <v>5</v>
      </c>
      <c r="N20" s="26">
        <f>IF(T_init20[[#This Row],[p]]=1,uncalled,IF(T_init20[[#This Row],[p]]=2,mainpot+sidepot1+sidepot2,IF(T_init20[[#This Row],[p]]&gt;2,0,T_init20[[#This Row],[stack]])))</f>
        <v>464</v>
      </c>
      <c r="O20">
        <v>0.18659999999999999</v>
      </c>
      <c r="P20" s="2">
        <f>T_p222[[#This Row],[EQ]]*prize</f>
        <v>0</v>
      </c>
      <c r="Q20" s="67">
        <f>IF(T_init20[[#This Row],[p]]=2,T_p222[[#This Row],[players]]*T_p222[[#This Row],[stack]]/chips+COUNTIF(T_p222[stack],0),T_p222[[#This Row],[players]]*T_p222[[#This Row],[stack]]/chips)</f>
        <v>0.77333333333333332</v>
      </c>
      <c r="R20" s="67">
        <f>T_p222[[#This Row],[ICM]]+bounty*T_p222[[#This Row],[KO]]</f>
        <v>0</v>
      </c>
      <c r="T20" s="5">
        <f>COUNTIF(T_p3p123[stack],"&gt;0")</f>
        <v>5</v>
      </c>
      <c r="U20" s="26">
        <f>IF(T_init20[[#This Row],[p]]=1,sidepot1+uncalled,IF(T_init20[[#This Row],[p]]=3,mainpot,IF(ISBLANK(T_init20[[#This Row],[p]]),T_init20[[#This Row],[stack]],0)))</f>
        <v>464</v>
      </c>
      <c r="V20">
        <v>0.1842</v>
      </c>
      <c r="W20" s="2">
        <f>T_p3p123[[#This Row],[EQ]]*prize</f>
        <v>0</v>
      </c>
      <c r="X20" s="67">
        <f>IF(T_init20[[#This Row],[p]]=1,T_p3p123[[#This Row],[players]]*T_p3p123[[#This Row],[stack]]/chips+COUNTIF(T_p3p123[stack],0),T_p3p123[[#This Row],[players]]*T_p3p123[[#This Row],[stack]]/chips)</f>
        <v>0.77333333333333332</v>
      </c>
      <c r="Y20" s="67">
        <f>T_p3p123[[#This Row],[ICM]]+bounty*T_p3p123[[#This Row],[KO]]</f>
        <v>0</v>
      </c>
      <c r="AA20" s="5">
        <f>COUNTIF(T_p3p224[stack],"&gt;0")</f>
        <v>6</v>
      </c>
      <c r="AB20">
        <f>IF(T_init20[[#This Row],[p]]=1,uncalled,IF(T_init20[[#This Row],[p]]=2,sidepot1,IF(T_init20[[#This Row],[p]]=3,mainpot,IF(ISBLANK(T_init20[[#This Row],[p]]),T_init20[[#This Row],[stack]],0))))</f>
        <v>464</v>
      </c>
      <c r="AC20">
        <v>0.18360000000000001</v>
      </c>
      <c r="AD20" s="2">
        <f>T_p3p224[[#This Row],[EQ]]*prize</f>
        <v>0</v>
      </c>
      <c r="AE20" s="67">
        <f>IF(T_init20[[#This Row],[p]]=2,T_p3p224[[#This Row],[players]]*T_p3p224[[#This Row],[stack]]/chips+COUNTIF(T_p3p224[stack],0),T_p3p224[[#This Row],[players]]*T_p3p224[[#This Row],[stack]]/chips)</f>
        <v>0.92800000000000005</v>
      </c>
      <c r="AF20" s="16">
        <f>T_p3p224[[#This Row],[ICM]]+bounty*T_p3p224[[#This Row],[KO]]</f>
        <v>0</v>
      </c>
      <c r="AG20">
        <f>'3wAdKd'!p1win*T_p121[[#This Row],[stack]]
+'3wAdKd'!p2win*T_p222[[#This Row],[stack]]
+'3wAdKd'!p3win*(T_p3p123[[#This Row],[stack]]*'3wAdKd'!p1sp2win+'3wAdKd'!p2sp2win*T_p3p224[[#This Row],[stack]])-T_fact29[[#This Row],[stack]]</f>
        <v>-222.81279999999998</v>
      </c>
      <c r="AI20" s="75">
        <f>COUNTIF(T_fact29[stack],"&gt;0")</f>
        <v>4</v>
      </c>
      <c r="AJ20" s="26">
        <f>IF(T_init20[[#This Row],[p]]=1,mainpot+sidepot1+sidepot2+uncalled,IF(T_init20[[#This Row],[p]]&gt;1,0,T_init20[[#This Row],[stack]]))</f>
        <v>464</v>
      </c>
      <c r="AK20">
        <v>0.1842</v>
      </c>
      <c r="AL20" s="2">
        <f>T_fact29[[#This Row],[EQ]]*prize</f>
        <v>0</v>
      </c>
      <c r="AM20" s="67">
        <f>IF(T_init20[[#This Row],[p]]=1,T_fact29[[#This Row],[players]]*T_fact29[[#This Row],[stack]]/chips+COUNTIF(T_fact29[stack],0),T_fact29[[#This Row],[players]]*T_fact29[[#This Row],[stack]]/chips)</f>
        <v>0.6186666666666667</v>
      </c>
      <c r="AN20" s="16">
        <f>T_fact29[[#This Row],[ICM]]+bounty*T_fact29[[#This Row],[KO]]</f>
        <v>0</v>
      </c>
      <c r="AQ20" s="69">
        <f>'3wAdKd'!p3win* ('3wAdKd'!p1sp1win*T_p3p123[[#This Row],[ICM]] + '3wAdKd'!p2sp1win*T_p3p224[[#This Row],[ICM]])
+'3wAdKd'!p2win*T_p222[[#This Row],[ICM]]
+'3wAdKd'!p1win*T_p121[[#This Row],[ICM]]</f>
        <v>0</v>
      </c>
      <c r="AR20" s="69">
        <f>('3wAdKd'!p3win* ('3wAdKd'!p1sp1win*T_p3p123[[#This Row],[KO]] + '3wAdKd'!p2sp1win*T_p3p224[[#This Row],[KO]])
+'3wAdKd'!p2win*T_p222[[#This Row],[KO]]
+'3wAdKd'!p1win*T_p121[[#This Row],[KO]])*bounty</f>
        <v>0</v>
      </c>
      <c r="AS20" s="69">
        <f>'3wAdKd'!p3win* ('3wAdKd'!p1sp1win*T_p3p123[[#This Row],[$stack]] + '3wAdKd'!p2sp1win*T_p3p224[[#This Row],[$stack]])
+'3wAdKd'!p2win*T_p222[[#This Row],[$stack]]
+'3wAdKd'!p1win*T_p121[[#This Row],[$stack]]</f>
        <v>0</v>
      </c>
      <c r="AT20" s="69">
        <f>'3wAdKd'!p3win* ('3wAdKd'!p1sp1win*T_p3p123[[#This Row],[stack]] + '3wAdKd'!p2sp1win*T_p3p224[[#This Row],[stack]])
+'3wAdKd'!p2win*T_p222[[#This Row],[stack]]
+'3wAdKd'!p1win*T_p121[[#This Row],[stack]]</f>
        <v>464</v>
      </c>
      <c r="AU20" s="2">
        <f>T_EV33[[#This Row],[chipEV]]-T_fact29[[#This Row],[stack]]</f>
        <v>0</v>
      </c>
      <c r="AV20" s="2">
        <f>T_EV33[[#This Row],[EV]]-(T_fact29[[#This Row],[ICM]]+bounty*T_fact29[[#This Row],[KO]])</f>
        <v>0</v>
      </c>
    </row>
    <row r="21" spans="1:48" x14ac:dyDescent="0.25">
      <c r="B21">
        <v>474</v>
      </c>
      <c r="F21" s="5">
        <f>COUNTIF(T_p121[stack],"&gt;0")</f>
        <v>4</v>
      </c>
      <c r="G21">
        <f>IF(T_init20[[#This Row],[p]]=1,mainpot+sidepot1+sidepot2+uncalled,IF(T_init20[[#This Row],[p]]&gt;1,0,T_init20[[#This Row],[stack]]))</f>
        <v>474</v>
      </c>
      <c r="H21">
        <v>0.47010000000000002</v>
      </c>
      <c r="I21" s="2">
        <f>T_p121[[#This Row],[EQ]]*prize</f>
        <v>0</v>
      </c>
      <c r="J21" s="67">
        <f>IF(T_init20[[#This Row],[p]]=1,T_p121[[#This Row],[players]]*T_p121[[#This Row],[stack]]/chips+COUNTIF(T_p121[stack],0),T_p121[[#This Row],[players]]*T_p121[[#This Row],[stack]]/chips)</f>
        <v>0.63200000000000001</v>
      </c>
      <c r="K21" s="67">
        <f>T_p121[[#This Row],[ICM]]+bounty*T_p121[[#This Row],[KO]]</f>
        <v>0</v>
      </c>
      <c r="M21" s="10">
        <f>COUNTIF(T_p222[stack],"&gt;0")</f>
        <v>5</v>
      </c>
      <c r="N21" s="26">
        <f>IF(T_init20[[#This Row],[p]]=1,uncalled,IF(T_init20[[#This Row],[p]]=2,mainpot+sidepot1+sidepot2,IF(T_init20[[#This Row],[p]]&gt;2,0,T_init20[[#This Row],[stack]])))</f>
        <v>474</v>
      </c>
      <c r="O21">
        <v>0.2167</v>
      </c>
      <c r="P21" s="2">
        <f>T_p222[[#This Row],[EQ]]*prize</f>
        <v>0</v>
      </c>
      <c r="Q21" s="67">
        <f>IF(T_init20[[#This Row],[p]]=2,T_p222[[#This Row],[players]]*T_p222[[#This Row],[stack]]/chips+COUNTIF(T_p222[stack],0),T_p222[[#This Row],[players]]*T_p222[[#This Row],[stack]]/chips)</f>
        <v>0.79</v>
      </c>
      <c r="R21" s="67">
        <f>T_p222[[#This Row],[ICM]]+bounty*T_p222[[#This Row],[KO]]</f>
        <v>0</v>
      </c>
      <c r="T21" s="5">
        <f>COUNTIF(T_p3p123[stack],"&gt;0")</f>
        <v>5</v>
      </c>
      <c r="U21" s="26">
        <f>IF(T_init20[[#This Row],[p]]=1,sidepot1+uncalled,IF(T_init20[[#This Row],[p]]=3,mainpot,IF(ISBLANK(T_init20[[#This Row],[p]]),T_init20[[#This Row],[stack]],0)))</f>
        <v>474</v>
      </c>
      <c r="V21">
        <v>0.22739999999999999</v>
      </c>
      <c r="W21" s="2">
        <f>T_p3p123[[#This Row],[EQ]]*prize</f>
        <v>0</v>
      </c>
      <c r="X21" s="67">
        <f>IF(T_init20[[#This Row],[p]]=1,T_p3p123[[#This Row],[players]]*T_p3p123[[#This Row],[stack]]/chips+COUNTIF(T_p3p123[stack],0),T_p3p123[[#This Row],[players]]*T_p3p123[[#This Row],[stack]]/chips)</f>
        <v>0.79</v>
      </c>
      <c r="Y21" s="67">
        <f>T_p3p123[[#This Row],[ICM]]+bounty*T_p3p123[[#This Row],[KO]]</f>
        <v>0</v>
      </c>
      <c r="AA21" s="5">
        <f>COUNTIF(T_p3p224[stack],"&gt;0")</f>
        <v>6</v>
      </c>
      <c r="AB21">
        <f>IF(T_init20[[#This Row],[p]]=1,uncalled,IF(T_init20[[#This Row],[p]]=2,sidepot1,IF(T_init20[[#This Row],[p]]=3,mainpot,IF(ISBLANK(T_init20[[#This Row],[p]]),T_init20[[#This Row],[stack]],0))))</f>
        <v>474</v>
      </c>
      <c r="AC21">
        <v>0.2132</v>
      </c>
      <c r="AD21" s="2">
        <f>T_p3p224[[#This Row],[EQ]]*prize</f>
        <v>0</v>
      </c>
      <c r="AE21" s="67">
        <f>IF(T_init20[[#This Row],[p]]=2,T_p3p224[[#This Row],[players]]*T_p3p224[[#This Row],[stack]]/chips+COUNTIF(T_p3p224[stack],0),T_p3p224[[#This Row],[players]]*T_p3p224[[#This Row],[stack]]/chips)</f>
        <v>0.94799999999999995</v>
      </c>
      <c r="AF21" s="16">
        <f>T_p3p224[[#This Row],[ICM]]+bounty*T_p3p224[[#This Row],[KO]]</f>
        <v>0</v>
      </c>
      <c r="AG21">
        <f>'3wAdKd'!p1win*T_p121[[#This Row],[stack]]
+'3wAdKd'!p2win*T_p222[[#This Row],[stack]]
+'3wAdKd'!p3win*(T_p3p123[[#This Row],[stack]]*'3wAdKd'!p1sp2win+'3wAdKd'!p2sp2win*T_p3p224[[#This Row],[stack]])-T_fact29[[#This Row],[stack]]</f>
        <v>-227.6148</v>
      </c>
      <c r="AI21" s="75">
        <f>COUNTIF(T_fact29[stack],"&gt;0")</f>
        <v>4</v>
      </c>
      <c r="AJ21" s="26">
        <f>IF(T_init20[[#This Row],[p]]=1,mainpot+sidepot1+sidepot2+uncalled,IF(T_init20[[#This Row],[p]]&gt;1,0,T_init20[[#This Row],[stack]]))</f>
        <v>474</v>
      </c>
      <c r="AK21">
        <v>0.22739999999999999</v>
      </c>
      <c r="AL21" s="2">
        <f>T_fact29[[#This Row],[EQ]]*prize</f>
        <v>0</v>
      </c>
      <c r="AM21" s="67">
        <f>IF(T_init20[[#This Row],[p]]=1,T_fact29[[#This Row],[players]]*T_fact29[[#This Row],[stack]]/chips+COUNTIF(T_fact29[stack],0),T_fact29[[#This Row],[players]]*T_fact29[[#This Row],[stack]]/chips)</f>
        <v>0.63200000000000001</v>
      </c>
      <c r="AN21" s="16">
        <f>T_fact29[[#This Row],[ICM]]+bounty*T_fact29[[#This Row],[KO]]</f>
        <v>0</v>
      </c>
      <c r="AQ21" s="69">
        <f>'3wAdKd'!p3win* ('3wAdKd'!p1sp1win*T_p3p123[[#This Row],[ICM]] + '3wAdKd'!p2sp1win*T_p3p224[[#This Row],[ICM]])
+'3wAdKd'!p2win*T_p222[[#This Row],[ICM]]
+'3wAdKd'!p1win*T_p121[[#This Row],[ICM]]</f>
        <v>0</v>
      </c>
      <c r="AR21" s="69">
        <f>('3wAdKd'!p3win* ('3wAdKd'!p1sp1win*T_p3p123[[#This Row],[KO]] + '3wAdKd'!p2sp1win*T_p3p224[[#This Row],[KO]])
+'3wAdKd'!p2win*T_p222[[#This Row],[KO]]
+'3wAdKd'!p1win*T_p121[[#This Row],[KO]])*bounty</f>
        <v>0</v>
      </c>
      <c r="AS21" s="69">
        <f>'3wAdKd'!p3win* ('3wAdKd'!p1sp1win*T_p3p123[[#This Row],[$stack]] + '3wAdKd'!p2sp1win*T_p3p224[[#This Row],[$stack]])
+'3wAdKd'!p2win*T_p222[[#This Row],[$stack]]
+'3wAdKd'!p1win*T_p121[[#This Row],[$stack]]</f>
        <v>0</v>
      </c>
      <c r="AT21" s="69">
        <f>'3wAdKd'!p3win* ('3wAdKd'!p1sp1win*T_p3p123[[#This Row],[stack]] + '3wAdKd'!p2sp1win*T_p3p224[[#This Row],[stack]])
+'3wAdKd'!p2win*T_p222[[#This Row],[stack]]
+'3wAdKd'!p1win*T_p121[[#This Row],[stack]]</f>
        <v>474</v>
      </c>
      <c r="AU21" s="2">
        <f>T_EV33[[#This Row],[chipEV]]-T_fact29[[#This Row],[stack]]</f>
        <v>0</v>
      </c>
      <c r="AV21" s="2">
        <f>T_EV33[[#This Row],[EV]]-(T_fact29[[#This Row],[ICM]]+bounty*T_fact29[[#This Row],[KO]])</f>
        <v>0</v>
      </c>
    </row>
    <row r="22" spans="1:48" x14ac:dyDescent="0.25">
      <c r="A22" t="s">
        <v>140</v>
      </c>
      <c r="D22">
        <f>SUBTOTAL(109,T_init20[pWin])</f>
        <v>0</v>
      </c>
      <c r="F22" s="53"/>
      <c r="G22" s="50">
        <f>SUM(T_p121[stack])</f>
        <v>3000</v>
      </c>
      <c r="H22" s="50">
        <f>SUM(T_p121[EQ])</f>
        <v>1</v>
      </c>
      <c r="I22" s="50">
        <f>SUM(T_p121[ICM])</f>
        <v>0</v>
      </c>
      <c r="J22" s="50">
        <f>SUM(T_p121[KO])</f>
        <v>6</v>
      </c>
      <c r="K22" s="50">
        <f>SUM(T_p121[$stack])</f>
        <v>0</v>
      </c>
      <c r="M22" s="53"/>
      <c r="N22" s="55">
        <f>SUM(T_p222[stack])</f>
        <v>3000</v>
      </c>
      <c r="O22" s="50">
        <f>SUM(T_p222[EQ])</f>
        <v>1.0001</v>
      </c>
      <c r="P22" s="51">
        <f>SUM(T_p222[ICM])</f>
        <v>0</v>
      </c>
      <c r="Q22" s="52">
        <f>SUM(T_p222[KO])</f>
        <v>6</v>
      </c>
      <c r="R22" s="50">
        <f>SUM(T_p222[$stack])</f>
        <v>0</v>
      </c>
      <c r="T22" s="53"/>
      <c r="U22" s="55">
        <f>SUM(T_p3p123[stack])</f>
        <v>3000</v>
      </c>
      <c r="V22" s="50">
        <f>SUM(T_p3p123[EQ])</f>
        <v>1</v>
      </c>
      <c r="W22" s="51">
        <f>SUM(T_p3p123[ICM])</f>
        <v>0</v>
      </c>
      <c r="X22" s="52">
        <f>SUM(T_p3p123[KO])</f>
        <v>6</v>
      </c>
      <c r="Y22" s="50">
        <f>SUM(T_p3p123[$stack])</f>
        <v>0</v>
      </c>
      <c r="AA22" s="53"/>
      <c r="AB22" s="55">
        <f>SUM(T_p3p224[stack])</f>
        <v>3000</v>
      </c>
      <c r="AC22" s="50">
        <f>SUM(T_p3p224[EQ])</f>
        <v>1</v>
      </c>
      <c r="AD22" s="51">
        <f>SUM(T_p3p224[ICM])</f>
        <v>0</v>
      </c>
      <c r="AE22" s="52">
        <f>SUM(T_p3p224[KO])</f>
        <v>6</v>
      </c>
      <c r="AF22" s="50">
        <f>SUM(T_p3p123[$stack])</f>
        <v>0</v>
      </c>
      <c r="AI22" s="53"/>
      <c r="AJ22" s="55">
        <f>SUM(T_fact29[stack])</f>
        <v>3000</v>
      </c>
      <c r="AK22" s="50">
        <f>SUM(T_fact29[EQ])</f>
        <v>1</v>
      </c>
      <c r="AL22" s="51">
        <f>SUM(T_fact29[ICM])</f>
        <v>0</v>
      </c>
      <c r="AM22" s="52">
        <f>SUM(T_fact29[KO])</f>
        <v>6</v>
      </c>
      <c r="AN22" s="51">
        <f>SUM(T_fact29[$stack])</f>
        <v>0</v>
      </c>
      <c r="AQ22" s="52">
        <f>SUM(T_EV33[ICM])</f>
        <v>0</v>
      </c>
      <c r="AR22" s="52">
        <f>SUM(T_EV33[KO])</f>
        <v>0</v>
      </c>
      <c r="AS22" s="52">
        <f>SUM(T_EV33[EV])</f>
        <v>0</v>
      </c>
      <c r="AT22" s="50">
        <f>SUM(T_EV33[chipEV])</f>
        <v>3000</v>
      </c>
    </row>
    <row r="38" spans="2:4" x14ac:dyDescent="0.25">
      <c r="C38" t="s">
        <v>102</v>
      </c>
    </row>
    <row r="39" spans="2:4" x14ac:dyDescent="0.25">
      <c r="C39" t="s">
        <v>103</v>
      </c>
    </row>
    <row r="40" spans="2:4" x14ac:dyDescent="0.25">
      <c r="C40" t="s">
        <v>104</v>
      </c>
    </row>
    <row r="43" spans="2:4" x14ac:dyDescent="0.25">
      <c r="C43" t="s">
        <v>105</v>
      </c>
    </row>
    <row r="45" spans="2:4" x14ac:dyDescent="0.25">
      <c r="B45" t="s">
        <v>124</v>
      </c>
    </row>
    <row r="46" spans="2:4" x14ac:dyDescent="0.25">
      <c r="B46" t="s">
        <v>123</v>
      </c>
    </row>
    <row r="47" spans="2:4" x14ac:dyDescent="0.25">
      <c r="C47" t="s">
        <v>106</v>
      </c>
    </row>
    <row r="48" spans="2:4" x14ac:dyDescent="0.25">
      <c r="D48" t="s">
        <v>108</v>
      </c>
    </row>
    <row r="49" spans="3:6" x14ac:dyDescent="0.25">
      <c r="C49" t="s">
        <v>107</v>
      </c>
    </row>
    <row r="50" spans="3:6" x14ac:dyDescent="0.25">
      <c r="D50" t="s">
        <v>108</v>
      </c>
    </row>
    <row r="51" spans="3:6" x14ac:dyDescent="0.25">
      <c r="C51" t="s">
        <v>109</v>
      </c>
    </row>
    <row r="52" spans="3:6" x14ac:dyDescent="0.25">
      <c r="D52" t="s">
        <v>110</v>
      </c>
    </row>
    <row r="53" spans="3:6" x14ac:dyDescent="0.25">
      <c r="D53" t="s">
        <v>111</v>
      </c>
      <c r="E53" t="s">
        <v>112</v>
      </c>
    </row>
    <row r="54" spans="3:6" x14ac:dyDescent="0.25">
      <c r="F54" t="s">
        <v>113</v>
      </c>
    </row>
    <row r="55" spans="3:6" x14ac:dyDescent="0.25">
      <c r="E55" t="s">
        <v>114</v>
      </c>
    </row>
    <row r="56" spans="3:6" x14ac:dyDescent="0.25">
      <c r="F56" t="s">
        <v>115</v>
      </c>
    </row>
    <row r="58" spans="3:6" x14ac:dyDescent="0.25">
      <c r="C58" t="s">
        <v>116</v>
      </c>
    </row>
    <row r="59" spans="3:6" x14ac:dyDescent="0.25">
      <c r="D59" t="s">
        <v>117</v>
      </c>
    </row>
    <row r="60" spans="3:6" x14ac:dyDescent="0.25">
      <c r="D60" t="s">
        <v>118</v>
      </c>
      <c r="E60" t="s">
        <v>112</v>
      </c>
    </row>
    <row r="61" spans="3:6" x14ac:dyDescent="0.25">
      <c r="F61" t="s">
        <v>119</v>
      </c>
    </row>
    <row r="62" spans="3:6" x14ac:dyDescent="0.25">
      <c r="E62" t="s">
        <v>114</v>
      </c>
    </row>
    <row r="63" spans="3:6" x14ac:dyDescent="0.25">
      <c r="F63" t="s">
        <v>120</v>
      </c>
    </row>
    <row r="64" spans="3:6" x14ac:dyDescent="0.25">
      <c r="E64" t="s">
        <v>121</v>
      </c>
    </row>
    <row r="65" spans="6:8" x14ac:dyDescent="0.25">
      <c r="F65" t="s">
        <v>122</v>
      </c>
    </row>
    <row r="66" spans="6:8" x14ac:dyDescent="0.25">
      <c r="F66" t="s">
        <v>111</v>
      </c>
    </row>
    <row r="67" spans="6:8" x14ac:dyDescent="0.25">
      <c r="G67" t="s">
        <v>112</v>
      </c>
    </row>
    <row r="68" spans="6:8" x14ac:dyDescent="0.25">
      <c r="H68" t="s">
        <v>113</v>
      </c>
    </row>
    <row r="69" spans="6:8" x14ac:dyDescent="0.25">
      <c r="G69" t="s">
        <v>114</v>
      </c>
    </row>
    <row r="70" spans="6:8" x14ac:dyDescent="0.25">
      <c r="H70" t="s">
        <v>115</v>
      </c>
    </row>
  </sheetData>
  <mergeCells count="10">
    <mergeCell ref="F14:J14"/>
    <mergeCell ref="M14:Q14"/>
    <mergeCell ref="T14:X14"/>
    <mergeCell ref="AA14:AE14"/>
    <mergeCell ref="AQ12:AT12"/>
    <mergeCell ref="T13:AE13"/>
    <mergeCell ref="AQ13:AT13"/>
    <mergeCell ref="T12:AE12"/>
    <mergeCell ref="AQ14:AT14"/>
    <mergeCell ref="AI14:AM14"/>
  </mergeCells>
  <pageMargins left="0.7" right="0.7" top="0.75" bottom="0.75" header="0.3" footer="0.3"/>
  <pageSetup paperSize="9" orientation="portrait" horizontalDpi="4294967293" verticalDpi="0" r:id="rId1"/>
  <legacy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V67"/>
  <sheetViews>
    <sheetView topLeftCell="A31" workbookViewId="0">
      <selection activeCell="I26" sqref="I26"/>
    </sheetView>
  </sheetViews>
  <sheetFormatPr defaultRowHeight="15" x14ac:dyDescent="0.25"/>
  <cols>
    <col min="1" max="1" width="9.28515625" customWidth="1"/>
    <col min="6" max="6" width="10.28515625" customWidth="1"/>
    <col min="13" max="13" width="10.28515625" customWidth="1"/>
    <col min="20" max="20" width="9.5703125" bestFit="1" customWidth="1"/>
    <col min="27" max="27" width="7.7109375" customWidth="1"/>
    <col min="28" max="29" width="8.5703125" customWidth="1"/>
    <col min="30" max="30" width="9.85546875" customWidth="1"/>
    <col min="31" max="31" width="8.42578125" customWidth="1"/>
    <col min="35" max="35" width="10" customWidth="1"/>
    <col min="39" max="39" width="10.5703125" customWidth="1"/>
    <col min="46" max="46" width="9.85546875" customWidth="1"/>
  </cols>
  <sheetData>
    <row r="1" spans="1:48" x14ac:dyDescent="0.25">
      <c r="C1" t="s">
        <v>2</v>
      </c>
      <c r="D1">
        <f>bounty*6</f>
        <v>0</v>
      </c>
      <c r="F1" t="s">
        <v>85</v>
      </c>
      <c r="G1">
        <v>0.37340000000000001</v>
      </c>
      <c r="I1" t="s">
        <v>126</v>
      </c>
      <c r="J1">
        <v>0.71519999999999995</v>
      </c>
      <c r="O1" s="77"/>
      <c r="S1" t="s">
        <v>90</v>
      </c>
      <c r="T1">
        <v>1389</v>
      </c>
    </row>
    <row r="2" spans="1:48" x14ac:dyDescent="0.25">
      <c r="C2" t="s">
        <v>1</v>
      </c>
      <c r="D2">
        <f>bounty</f>
        <v>0</v>
      </c>
      <c r="F2" t="s">
        <v>86</v>
      </c>
      <c r="G2">
        <v>0.24429999999999999</v>
      </c>
      <c r="I2" t="s">
        <v>127</v>
      </c>
      <c r="J2">
        <v>0.2848</v>
      </c>
      <c r="S2" t="s">
        <v>131</v>
      </c>
      <c r="T2">
        <v>792</v>
      </c>
    </row>
    <row r="3" spans="1:48" x14ac:dyDescent="0.25">
      <c r="C3" t="s">
        <v>67</v>
      </c>
      <c r="D3">
        <v>3000</v>
      </c>
      <c r="F3" t="s">
        <v>87</v>
      </c>
      <c r="G3">
        <v>0.38229999999999997</v>
      </c>
      <c r="S3" t="s">
        <v>132</v>
      </c>
      <c r="T3">
        <v>0</v>
      </c>
    </row>
    <row r="4" spans="1:48" x14ac:dyDescent="0.25">
      <c r="F4" t="s">
        <v>125</v>
      </c>
      <c r="G4">
        <v>0</v>
      </c>
      <c r="S4" t="s">
        <v>137</v>
      </c>
      <c r="T4">
        <v>819</v>
      </c>
    </row>
    <row r="6" spans="1:48" x14ac:dyDescent="0.25">
      <c r="C6" t="s">
        <v>97</v>
      </c>
      <c r="D6" t="s">
        <v>98</v>
      </c>
    </row>
    <row r="7" spans="1:48" x14ac:dyDescent="0.25">
      <c r="C7" t="s">
        <v>95</v>
      </c>
      <c r="D7" t="s">
        <v>167</v>
      </c>
    </row>
    <row r="8" spans="1:48" x14ac:dyDescent="0.25">
      <c r="C8" t="s">
        <v>96</v>
      </c>
      <c r="D8" t="s">
        <v>99</v>
      </c>
    </row>
    <row r="10" spans="1:48" ht="18.75" x14ac:dyDescent="0.3">
      <c r="F10" s="74"/>
      <c r="G10" s="74"/>
      <c r="H10" s="74"/>
      <c r="I10" s="74"/>
      <c r="J10" s="74"/>
      <c r="K10" s="74"/>
    </row>
    <row r="11" spans="1:48" ht="19.5" thickBot="1" x14ac:dyDescent="0.35">
      <c r="F11" s="74"/>
      <c r="G11" s="74"/>
      <c r="H11" s="74"/>
      <c r="I11" s="74"/>
      <c r="J11" s="74"/>
      <c r="K11" s="74"/>
      <c r="V11" t="s">
        <v>152</v>
      </c>
      <c r="AC11" t="s">
        <v>154</v>
      </c>
    </row>
    <row r="12" spans="1:48" ht="20.25" thickTop="1" thickBot="1" x14ac:dyDescent="0.35">
      <c r="F12" s="74"/>
      <c r="G12" s="74"/>
      <c r="H12" s="74"/>
      <c r="I12" s="74"/>
      <c r="J12" s="74"/>
      <c r="K12" s="74"/>
      <c r="T12" s="87" t="s">
        <v>138</v>
      </c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92"/>
      <c r="AQ12" s="87" t="s">
        <v>140</v>
      </c>
      <c r="AR12" s="88"/>
      <c r="AS12" s="88"/>
      <c r="AT12" s="88"/>
    </row>
    <row r="13" spans="1:48" ht="20.25" thickTop="1" thickBot="1" x14ac:dyDescent="0.35">
      <c r="F13" s="74"/>
      <c r="G13" s="74"/>
      <c r="H13" s="74" t="s">
        <v>151</v>
      </c>
      <c r="I13" s="74"/>
      <c r="J13" s="74"/>
      <c r="K13" s="74"/>
      <c r="O13" t="s">
        <v>153</v>
      </c>
      <c r="T13" s="87" t="s">
        <v>166</v>
      </c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92"/>
      <c r="AK13" t="s">
        <v>159</v>
      </c>
      <c r="AQ13" s="87"/>
      <c r="AR13" s="88"/>
      <c r="AS13" s="88"/>
      <c r="AT13" s="88"/>
    </row>
    <row r="14" spans="1:48" ht="19.5" thickTop="1" x14ac:dyDescent="0.3">
      <c r="F14" s="81" t="s">
        <v>49</v>
      </c>
      <c r="G14" s="82"/>
      <c r="H14" s="82"/>
      <c r="I14" s="82"/>
      <c r="J14" s="83"/>
      <c r="K14" s="74"/>
      <c r="M14" s="81" t="s">
        <v>50</v>
      </c>
      <c r="N14" s="82"/>
      <c r="O14" s="82"/>
      <c r="P14" s="82"/>
      <c r="Q14" s="83"/>
      <c r="R14" s="74"/>
      <c r="T14" s="89" t="s">
        <v>68</v>
      </c>
      <c r="U14" s="90"/>
      <c r="V14" s="90"/>
      <c r="W14" s="90"/>
      <c r="X14" s="91"/>
      <c r="Y14" s="74"/>
      <c r="AA14" s="89" t="s">
        <v>69</v>
      </c>
      <c r="AB14" s="90"/>
      <c r="AC14" s="90"/>
      <c r="AD14" s="90"/>
      <c r="AE14" s="91"/>
      <c r="AI14" s="78" t="s">
        <v>7</v>
      </c>
      <c r="AJ14" s="79"/>
      <c r="AK14" s="79"/>
      <c r="AL14" s="79"/>
      <c r="AM14" s="80"/>
      <c r="AQ14" s="84" t="s">
        <v>146</v>
      </c>
      <c r="AR14" s="85"/>
      <c r="AS14" s="85"/>
      <c r="AT14" s="86"/>
    </row>
    <row r="15" spans="1:48" x14ac:dyDescent="0.25">
      <c r="A15" t="s">
        <v>141</v>
      </c>
      <c r="B15" t="s">
        <v>28</v>
      </c>
      <c r="C15" t="s">
        <v>0</v>
      </c>
      <c r="D15" t="s">
        <v>3</v>
      </c>
      <c r="F15" s="5" t="s">
        <v>66</v>
      </c>
      <c r="G15" t="s">
        <v>28</v>
      </c>
      <c r="H15" t="s">
        <v>142</v>
      </c>
      <c r="I15" t="s">
        <v>143</v>
      </c>
      <c r="J15" s="5" t="s">
        <v>1</v>
      </c>
      <c r="K15" s="5" t="s">
        <v>150</v>
      </c>
      <c r="M15" s="5" t="s">
        <v>66</v>
      </c>
      <c r="N15" s="5" t="s">
        <v>28</v>
      </c>
      <c r="O15" s="5" t="s">
        <v>142</v>
      </c>
      <c r="P15" s="5" t="s">
        <v>143</v>
      </c>
      <c r="Q15" s="5" t="s">
        <v>1</v>
      </c>
      <c r="R15" s="5" t="s">
        <v>150</v>
      </c>
      <c r="T15" s="5" t="s">
        <v>66</v>
      </c>
      <c r="U15" s="5" t="s">
        <v>28</v>
      </c>
      <c r="V15" s="5" t="s">
        <v>142</v>
      </c>
      <c r="W15" s="5" t="s">
        <v>143</v>
      </c>
      <c r="X15" s="5" t="s">
        <v>1</v>
      </c>
      <c r="Y15" s="5" t="s">
        <v>150</v>
      </c>
      <c r="AA15" s="5" t="s">
        <v>66</v>
      </c>
      <c r="AB15" s="5" t="s">
        <v>28</v>
      </c>
      <c r="AC15" s="5" t="s">
        <v>142</v>
      </c>
      <c r="AD15" s="5" t="s">
        <v>143</v>
      </c>
      <c r="AE15" s="5" t="s">
        <v>1</v>
      </c>
      <c r="AF15" t="s">
        <v>150</v>
      </c>
      <c r="AI15" s="5" t="s">
        <v>66</v>
      </c>
      <c r="AJ15" s="5" t="s">
        <v>28</v>
      </c>
      <c r="AK15" s="5" t="s">
        <v>142</v>
      </c>
      <c r="AL15" s="5" t="s">
        <v>143</v>
      </c>
      <c r="AM15" s="5" t="s">
        <v>1</v>
      </c>
      <c r="AN15" t="s">
        <v>150</v>
      </c>
      <c r="AQ15" s="5" t="s">
        <v>143</v>
      </c>
      <c r="AR15" s="5" t="s">
        <v>1</v>
      </c>
      <c r="AS15" s="5" t="s">
        <v>146</v>
      </c>
      <c r="AT15" s="5" t="s">
        <v>147</v>
      </c>
      <c r="AU15" t="s">
        <v>148</v>
      </c>
      <c r="AV15" t="s">
        <v>149</v>
      </c>
    </row>
    <row r="16" spans="1:48" x14ac:dyDescent="0.25">
      <c r="A16" s="26">
        <v>3</v>
      </c>
      <c r="B16" s="26">
        <f>463-4</f>
        <v>459</v>
      </c>
      <c r="C16" s="26" t="s">
        <v>175</v>
      </c>
      <c r="D16" s="26"/>
      <c r="F16" s="75">
        <f>COUNTIF(T_p12142[stack],"&gt;0")</f>
        <v>1</v>
      </c>
      <c r="G16" s="26">
        <f>IF(T_init2041[[#This Row],[p]]=1,mainpot+sidepot1+sidepot2+uncalled,IF(T_init2041[[#This Row],[p]]&gt;1,0,T_init2041[[#This Row],[stack]]))</f>
        <v>0</v>
      </c>
      <c r="H16" s="26">
        <v>0</v>
      </c>
      <c r="I16" s="27">
        <f>T_p12142[[#This Row],[EQ]]*prize</f>
        <v>0</v>
      </c>
      <c r="J16" s="72">
        <f>IF(T_init2041[[#This Row],[p]]=1,T_p12142[[#This Row],[players]]*T_p12142[[#This Row],[stack]]/chips+COUNTIF(T_p12142[stack],0),T_p12142[[#This Row],[players]]*T_p12142[[#This Row],[stack]]/chips)</f>
        <v>0</v>
      </c>
      <c r="K16" s="72">
        <f>T_p12142[[#This Row],[ICM]]+bounty*T_p12142[[#This Row],[KO]]</f>
        <v>0</v>
      </c>
      <c r="M16" s="29">
        <f>COUNTIF(T_p22243[stack],"&gt;0")</f>
        <v>2</v>
      </c>
      <c r="N16" s="26">
        <f>IF(T_init2041[[#This Row],[p]]=1,uncalled,IF(T_init2041[[#This Row],[p]]=2,mainpot+sidepot1+sidepot2,IF(T_init2041[[#This Row],[p]]&gt;2,0,T_init2041[[#This Row],[stack]])))</f>
        <v>0</v>
      </c>
      <c r="O16" s="26">
        <v>0</v>
      </c>
      <c r="P16" s="27">
        <f>T_p22243[[#This Row],[EQ]]*prize</f>
        <v>0</v>
      </c>
      <c r="Q16" s="72">
        <f>IF(T_init2041[[#This Row],[p]]=2,T_p22243[[#This Row],[players]]*T_p22243[[#This Row],[stack]]/chips+COUNTIF(T_p22243[stack],0),T_p22243[[#This Row],[players]]*T_p22243[[#This Row],[stack]]/chips)</f>
        <v>0</v>
      </c>
      <c r="R16" s="72">
        <f>T_p22243[[#This Row],[ICM]]+bounty*T_p22243[[#This Row],[KO]]</f>
        <v>0</v>
      </c>
      <c r="T16" s="75">
        <f>COUNTIF(T_p3p12344[stack],"&gt;0")</f>
        <v>2</v>
      </c>
      <c r="U16" s="26">
        <f>IF(T_init2041[[#This Row],[p]]=1,sidepot1+uncalled,IF(T_init2041[[#This Row],[p]]=3,mainpot,IF(ISBLANK(T_init2041[[#This Row],[p]]),T_init2041[[#This Row],[stack]],0)))</f>
        <v>1389</v>
      </c>
      <c r="V16" s="26">
        <v>0.5</v>
      </c>
      <c r="W16" s="27">
        <f>T_p3p12344[[#This Row],[EQ]]*prize</f>
        <v>0</v>
      </c>
      <c r="X16" s="72">
        <f>IF(T_init2041[[#This Row],[p]]=1,T_p3p12344[[#This Row],[players]]*T_p3p12344[[#This Row],[stack]]/chips+COUNTIF(T_p3p12344[stack],0),T_p3p12344[[#This Row],[players]]*T_p3p12344[[#This Row],[stack]]/chips)</f>
        <v>0.92600000000000005</v>
      </c>
      <c r="Y16" s="72">
        <f>T_p3p12344[[#This Row],[ICM]]+bounty*T_p3p12344[[#This Row],[KO]]</f>
        <v>0</v>
      </c>
      <c r="AA16" s="75">
        <f>COUNTIF(T_p3p22445[stack],"&gt;0")</f>
        <v>3</v>
      </c>
      <c r="AB16" s="26">
        <f>IF(T_init2041[[#This Row],[p]]=1,uncalled,IF(T_init2041[[#This Row],[p]]=2,sidepot1,IF(T_init2041[[#This Row],[p]]=3,mainpot,IF(ISBLANK(T_init2041[[#This Row],[p]]),T_init2041[[#This Row],[stack]],0))))</f>
        <v>1389</v>
      </c>
      <c r="AC16" s="26">
        <v>0.40150000000000002</v>
      </c>
      <c r="AD16" s="27">
        <f>T_p3p22445[[#This Row],[EQ]]*prize</f>
        <v>0</v>
      </c>
      <c r="AE16" s="72">
        <f>IF(T_init2041[[#This Row],[p]]=2,T_p3p22445[[#This Row],[players]]*T_p3p22445[[#This Row],[stack]]/chips+COUNTIF(T_p3p22445[stack],0),T_p3p22445[[#This Row],[players]]*T_p3p22445[[#This Row],[stack]]/chips)</f>
        <v>1.389</v>
      </c>
      <c r="AF16" s="72">
        <f>T_p3p22445[[#This Row],[ICM]]+bounty*T_p3p22445[[#This Row],[KO]]</f>
        <v>0</v>
      </c>
      <c r="AI16" s="75">
        <f>COUNTIF(T_fact2946[stack],"&gt;0")</f>
        <v>2</v>
      </c>
      <c r="AJ16" s="26">
        <f>IF(T_init2041[[#This Row],[p]]=1,sidepot1+uncalled,IF(T_init2041[[#This Row],[p]]=3,mainpot,IF(ISBLANK(T_init2041[[#This Row],[p]]),T_init2041[[#This Row],[stack]],0)))</f>
        <v>1389</v>
      </c>
      <c r="AK16" s="26">
        <v>0.5</v>
      </c>
      <c r="AL16" s="27">
        <f>T_fact2946[[#This Row],[EQ]]*prize</f>
        <v>0</v>
      </c>
      <c r="AM16" s="72">
        <f>IF(T_init2041[[#This Row],[p]]=1,T_fact2946[[#This Row],[players]]*T_fact2946[[#This Row],[stack]]/chips+COUNTIF(T_fact2946[stack],0),T_fact2946[[#This Row],[players]]*T_fact2946[[#This Row],[stack]]/chips)</f>
        <v>0.92600000000000005</v>
      </c>
      <c r="AN16" s="72">
        <f>T_fact2946[[#This Row],[ICM]]+bounty*T_fact2946[[#This Row],[KO]]</f>
        <v>0</v>
      </c>
      <c r="AQ16" s="73">
        <f>'3wAh9s'!p3win* ('3wAh9s'!p1sp1win*T_p3p12344[[#This Row],[ICM]] + '3wAh9s'!p2sp1win*T_p3p22445[[#This Row],[ICM]])
+'3wAh9s'!p2win*T_p22243[[#This Row],[ICM]]
+'3wAh9s'!p1win*T_p12142[[#This Row],[ICM]]</f>
        <v>0</v>
      </c>
      <c r="AR16" s="33">
        <f>('3wAh9s'!p3win* ('3wAh9s'!p1sp1win*T_p3p12344[[#This Row],[KO]] + '3wAh9s'!p2sp1win*T_p3p22445[[#This Row],[KO]])
+'3wAh9s'!p2win*T_p22243[[#This Row],[KO]]
+'3wAh9s'!p1win*T_p12142[[#This Row],[KO]])*bounty</f>
        <v>0</v>
      </c>
      <c r="AS16" s="73">
        <f>'3wAh9s'!p3win* ('3wAh9s'!p1sp1win*T_p3p12344[[#This Row],[$stack]] + '3wAh9s'!p2sp1win*T_p3p22445[[#This Row],[$stack]])
+'3wAh9s'!p2win*T_p22243[[#This Row],[$stack]]
+'3wAh9s'!p1win*T_p12142[[#This Row],[$stack]]</f>
        <v>0</v>
      </c>
      <c r="AT16" s="33">
        <f>'3wAh9s'!p3win* ('3wAh9s'!p1sp1win*T_p3p12344[[#This Row],[stack]] + '3wAh9s'!p2sp1win*T_p3p22445[[#This Row],[stack]])
+'3wAh9s'!p2win*T_p22243[[#This Row],[stack]]
+'3wAh9s'!p1win*T_p12142[[#This Row],[stack]]</f>
        <v>531.01469999999995</v>
      </c>
      <c r="AU16" s="2">
        <f>T_EV3347[[#This Row],[chipEV]]-T_fact2946[[#This Row],[stack]]</f>
        <v>-857.98530000000005</v>
      </c>
      <c r="AV16" s="2">
        <f>T_EV3347[[#This Row],[EV]]-(T_fact2946[[#This Row],[ICM]]+bounty*T_fact2946[[#This Row],[KO]])</f>
        <v>0</v>
      </c>
    </row>
    <row r="17" spans="1:48" x14ac:dyDescent="0.25">
      <c r="A17">
        <v>2</v>
      </c>
      <c r="B17">
        <f>859-4-20</f>
        <v>835</v>
      </c>
      <c r="C17" t="s">
        <v>176</v>
      </c>
      <c r="F17" s="5">
        <f>COUNTIF(T_p12142[stack],"&gt;0")</f>
        <v>1</v>
      </c>
      <c r="G17">
        <f>IF(T_init2041[[#This Row],[p]]=1,mainpot+sidepot1+sidepot2+uncalled,IF(T_init2041[[#This Row],[p]]&gt;1,0,T_init2041[[#This Row],[stack]]))</f>
        <v>0</v>
      </c>
      <c r="H17">
        <v>0.5</v>
      </c>
      <c r="I17" s="2">
        <f>T_p12142[[#This Row],[EQ]]*prize</f>
        <v>0</v>
      </c>
      <c r="J17" s="67">
        <f>IF(T_init2041[[#This Row],[p]]=1,T_p12142[[#This Row],[players]]*T_p12142[[#This Row],[stack]]/chips+COUNTIF(T_p12142[stack],0),T_p12142[[#This Row],[players]]*T_p12142[[#This Row],[stack]]/chips)</f>
        <v>0</v>
      </c>
      <c r="K17" s="67">
        <f>T_p12142[[#This Row],[ICM]]+bounty*T_p12142[[#This Row],[KO]]</f>
        <v>0</v>
      </c>
      <c r="M17" s="10">
        <f>COUNTIF(T_p22243[stack],"&gt;0")</f>
        <v>2</v>
      </c>
      <c r="N17" s="26">
        <f>IF(T_init2041[[#This Row],[p]]=1,uncalled,IF(T_init2041[[#This Row],[p]]=2,mainpot+sidepot1+sidepot2,IF(T_init2041[[#This Row],[p]]&gt;2,0,T_init2041[[#This Row],[stack]])))</f>
        <v>2181</v>
      </c>
      <c r="O17">
        <v>0.5</v>
      </c>
      <c r="P17" s="2">
        <f>T_p22243[[#This Row],[EQ]]*prize</f>
        <v>0</v>
      </c>
      <c r="Q17" s="67">
        <f>IF(T_init2041[[#This Row],[p]]=2,T_p22243[[#This Row],[players]]*T_p22243[[#This Row],[stack]]/chips+COUNTIF(T_p22243[stack],0),T_p22243[[#This Row],[players]]*T_p22243[[#This Row],[stack]]/chips)</f>
        <v>2.4539999999999997</v>
      </c>
      <c r="R17" s="67">
        <f>T_p22243[[#This Row],[ICM]]+bounty*T_p22243[[#This Row],[KO]]</f>
        <v>0</v>
      </c>
      <c r="T17" s="5">
        <f>COUNTIF(T_p3p12344[stack],"&gt;0")</f>
        <v>2</v>
      </c>
      <c r="U17" s="26">
        <f>IF(T_init2041[[#This Row],[p]]=1,sidepot1+uncalled,IF(T_init2041[[#This Row],[p]]=3,mainpot,IF(ISBLANK(T_init2041[[#This Row],[p]]),T_init2041[[#This Row],[stack]],0)))</f>
        <v>0</v>
      </c>
      <c r="V17">
        <v>0</v>
      </c>
      <c r="W17" s="2">
        <f>T_p3p12344[[#This Row],[EQ]]*prize</f>
        <v>0</v>
      </c>
      <c r="X17" s="67">
        <f>IF(T_init2041[[#This Row],[p]]=1,T_p3p12344[[#This Row],[players]]*T_p3p12344[[#This Row],[stack]]/chips+COUNTIF(T_p3p12344[stack],0),T_p3p12344[[#This Row],[players]]*T_p3p12344[[#This Row],[stack]]/chips)</f>
        <v>0</v>
      </c>
      <c r="Y17" s="67">
        <f>T_p3p12344[[#This Row],[ICM]]+bounty*T_p3p12344[[#This Row],[KO]]</f>
        <v>0</v>
      </c>
      <c r="AA17" s="5">
        <f>COUNTIF(T_p3p22445[stack],"&gt;0")</f>
        <v>3</v>
      </c>
      <c r="AB17">
        <f>IF(T_init2041[[#This Row],[p]]=1,uncalled,IF(T_init2041[[#This Row],[p]]=2,sidepot1,IF(T_init2041[[#This Row],[p]]=3,mainpot,IF(ISBLANK(T_init2041[[#This Row],[p]]),T_init2041[[#This Row],[stack]],0))))</f>
        <v>792</v>
      </c>
      <c r="AC17">
        <v>0.2954</v>
      </c>
      <c r="AD17" s="2">
        <f>T_p3p22445[[#This Row],[EQ]]*prize</f>
        <v>0</v>
      </c>
      <c r="AE17" s="67">
        <f>IF(T_init2041[[#This Row],[p]]=2,T_p3p22445[[#This Row],[players]]*T_p3p22445[[#This Row],[stack]]/chips+COUNTIF(T_p3p22445[stack],0),T_p3p22445[[#This Row],[players]]*T_p3p22445[[#This Row],[stack]]/chips)</f>
        <v>0.79200000000000004</v>
      </c>
      <c r="AF17" s="16">
        <f>T_p3p22445[[#This Row],[ICM]]+bounty*T_p3p22445[[#This Row],[KO]]</f>
        <v>0</v>
      </c>
      <c r="AI17" s="75">
        <f>COUNTIF(T_fact2946[stack],"&gt;0")</f>
        <v>2</v>
      </c>
      <c r="AJ17" s="26">
        <f>IF(T_init2041[[#This Row],[p]]=1,sidepot1+uncalled,IF(T_init2041[[#This Row],[p]]=3,mainpot,IF(ISBLANK(T_init2041[[#This Row],[p]]),T_init2041[[#This Row],[stack]],0)))</f>
        <v>0</v>
      </c>
      <c r="AK17">
        <v>0</v>
      </c>
      <c r="AL17" s="2">
        <f>T_fact2946[[#This Row],[EQ]]*prize</f>
        <v>0</v>
      </c>
      <c r="AM17" s="67">
        <f>IF(T_init2041[[#This Row],[p]]=1,T_fact2946[[#This Row],[players]]*T_fact2946[[#This Row],[stack]]/chips+COUNTIF(T_fact2946[stack],0),T_fact2946[[#This Row],[players]]*T_fact2946[[#This Row],[stack]]/chips)</f>
        <v>0</v>
      </c>
      <c r="AN17" s="16">
        <f>T_fact2946[[#This Row],[ICM]]+bounty*T_fact2946[[#This Row],[KO]]</f>
        <v>0</v>
      </c>
      <c r="AQ17" s="69">
        <f>'3wAh9s'!p3win* ('3wAh9s'!p1sp1win*T_p3p12344[[#This Row],[ICM]] + '3wAh9s'!p2sp1win*T_p3p22445[[#This Row],[ICM]])
+'3wAh9s'!p2win*T_p22243[[#This Row],[ICM]]
+'3wAh9s'!p1win*T_p12142[[#This Row],[ICM]]</f>
        <v>0</v>
      </c>
      <c r="AR17" s="69">
        <f>('3wAh9s'!p3win* ('3wAh9s'!p1sp1win*T_p3p12344[[#This Row],[KO]] + '3wAh9s'!p2sp1win*T_p3p22445[[#This Row],[KO]])
+'3wAh9s'!p2win*T_p22243[[#This Row],[KO]]
+'3wAh9s'!p1win*T_p12142[[#This Row],[KO]])*bounty</f>
        <v>0</v>
      </c>
      <c r="AS17" s="69">
        <f>'3wAh9s'!p3win* ('3wAh9s'!p1sp1win*T_p3p12344[[#This Row],[$stack]] + '3wAh9s'!p2sp1win*T_p3p22445[[#This Row],[$stack]])
+'3wAh9s'!p2win*T_p22243[[#This Row],[$stack]]
+'3wAh9s'!p1win*T_p12142[[#This Row],[$stack]]</f>
        <v>0</v>
      </c>
      <c r="AT17" s="69">
        <f>'3wAh9s'!p3win* ('3wAh9s'!p1sp1win*T_p3p12344[[#This Row],[stack]] + '3wAh9s'!p2sp1win*T_p3p22445[[#This Row],[stack]])
+'3wAh9s'!p2win*T_p22243[[#This Row],[stack]]
+'3wAh9s'!p1win*T_p12142[[#This Row],[stack]]</f>
        <v>619.05049968000003</v>
      </c>
      <c r="AU17" s="2">
        <f>T_EV3347[[#This Row],[chipEV]]-T_fact2946[[#This Row],[stack]]</f>
        <v>619.05049968000003</v>
      </c>
      <c r="AV17" s="2">
        <f>T_EV3347[[#This Row],[EV]]-(T_fact2946[[#This Row],[ICM]]+bounty*T_fact2946[[#This Row],[KO]])</f>
        <v>0</v>
      </c>
    </row>
    <row r="18" spans="1:48" x14ac:dyDescent="0.25">
      <c r="A18">
        <v>1</v>
      </c>
      <c r="B18">
        <f>1678-4-40</f>
        <v>1634</v>
      </c>
      <c r="C18" t="s">
        <v>177</v>
      </c>
      <c r="F18" s="5">
        <f>COUNTIF(T_p12142[stack],"&gt;0")</f>
        <v>1</v>
      </c>
      <c r="G18">
        <f>IF(T_init2041[[#This Row],[p]]=1,mainpot+sidepot1+sidepot2+uncalled,IF(T_init2041[[#This Row],[p]]&gt;1,0,T_init2041[[#This Row],[stack]]))</f>
        <v>3000</v>
      </c>
      <c r="H18">
        <v>0.5</v>
      </c>
      <c r="I18" s="2">
        <f>T_p12142[[#This Row],[EQ]]*prize</f>
        <v>0</v>
      </c>
      <c r="J18" s="67">
        <f>IF(T_init2041[[#This Row],[p]]=1,T_p12142[[#This Row],[players]]*T_p12142[[#This Row],[stack]]/chips+COUNTIF(T_p12142[stack],0),T_p12142[[#This Row],[players]]*T_p12142[[#This Row],[stack]]/chips)</f>
        <v>3</v>
      </c>
      <c r="K18" s="67">
        <f>T_p12142[[#This Row],[ICM]]+bounty*T_p12142[[#This Row],[KO]]</f>
        <v>0</v>
      </c>
      <c r="M18" s="10">
        <f>COUNTIF(T_p22243[stack],"&gt;0")</f>
        <v>2</v>
      </c>
      <c r="N18" s="26">
        <f>IF(T_init2041[[#This Row],[p]]=1,uncalled,IF(T_init2041[[#This Row],[p]]=2,mainpot+sidepot1+sidepot2,IF(T_init2041[[#This Row],[p]]&gt;2,0,T_init2041[[#This Row],[stack]])))</f>
        <v>819</v>
      </c>
      <c r="O18">
        <v>0.5</v>
      </c>
      <c r="P18" s="2">
        <f>T_p22243[[#This Row],[EQ]]*prize</f>
        <v>0</v>
      </c>
      <c r="Q18" s="67">
        <f>IF(T_init2041[[#This Row],[p]]=2,T_p22243[[#This Row],[players]]*T_p22243[[#This Row],[stack]]/chips+COUNTIF(T_p22243[stack],0),T_p22243[[#This Row],[players]]*T_p22243[[#This Row],[stack]]/chips)</f>
        <v>0.54600000000000004</v>
      </c>
      <c r="R18" s="67">
        <f>T_p22243[[#This Row],[ICM]]+bounty*T_p22243[[#This Row],[KO]]</f>
        <v>0</v>
      </c>
      <c r="T18" s="5">
        <f>COUNTIF(T_p3p12344[stack],"&gt;0")</f>
        <v>2</v>
      </c>
      <c r="U18" s="26">
        <f>IF(T_init2041[[#This Row],[p]]=1,sidepot1+uncalled,IF(T_init2041[[#This Row],[p]]=3,mainpot,IF(ISBLANK(T_init2041[[#This Row],[p]]),T_init2041[[#This Row],[stack]],0)))</f>
        <v>1611</v>
      </c>
      <c r="V18">
        <v>0.5</v>
      </c>
      <c r="W18" s="2">
        <f>T_p3p12344[[#This Row],[EQ]]*prize</f>
        <v>0</v>
      </c>
      <c r="X18" s="67">
        <f>IF(T_init2041[[#This Row],[p]]=1,T_p3p12344[[#This Row],[players]]*T_p3p12344[[#This Row],[stack]]/chips+COUNTIF(T_p3p12344[stack],0),T_p3p12344[[#This Row],[players]]*T_p3p12344[[#This Row],[stack]]/chips)</f>
        <v>2.0739999999999998</v>
      </c>
      <c r="Y18" s="67">
        <f>T_p3p12344[[#This Row],[ICM]]+bounty*T_p3p12344[[#This Row],[KO]]</f>
        <v>0</v>
      </c>
      <c r="AA18" s="5">
        <f>COUNTIF(T_p3p22445[stack],"&gt;0")</f>
        <v>3</v>
      </c>
      <c r="AB18">
        <f>IF(T_init2041[[#This Row],[p]]=1,uncalled,IF(T_init2041[[#This Row],[p]]=2,sidepot1,IF(T_init2041[[#This Row],[p]]=3,mainpot,IF(ISBLANK(T_init2041[[#This Row],[p]]),T_init2041[[#This Row],[stack]],0))))</f>
        <v>819</v>
      </c>
      <c r="AC18">
        <v>0.30320000000000003</v>
      </c>
      <c r="AD18" s="2">
        <f>T_p3p22445[[#This Row],[EQ]]*prize</f>
        <v>0</v>
      </c>
      <c r="AE18" s="67">
        <f>IF(T_init2041[[#This Row],[p]]=2,T_p3p22445[[#This Row],[players]]*T_p3p22445[[#This Row],[stack]]/chips+COUNTIF(T_p3p22445[stack],0),T_p3p22445[[#This Row],[players]]*T_p3p22445[[#This Row],[stack]]/chips)</f>
        <v>0.81899999999999995</v>
      </c>
      <c r="AF18" s="16">
        <f>T_p3p22445[[#This Row],[ICM]]+bounty*T_p3p22445[[#This Row],[KO]]</f>
        <v>0</v>
      </c>
      <c r="AI18" s="75">
        <f>COUNTIF(T_fact2946[stack],"&gt;0")</f>
        <v>2</v>
      </c>
      <c r="AJ18" s="26">
        <f>IF(T_init2041[[#This Row],[p]]=1,sidepot1+uncalled,IF(T_init2041[[#This Row],[p]]=3,mainpot,IF(ISBLANK(T_init2041[[#This Row],[p]]),T_init2041[[#This Row],[stack]],0)))</f>
        <v>1611</v>
      </c>
      <c r="AK18">
        <v>0.5</v>
      </c>
      <c r="AL18" s="2">
        <f>T_fact2946[[#This Row],[EQ]]*prize</f>
        <v>0</v>
      </c>
      <c r="AM18" s="67">
        <f>IF(T_init2041[[#This Row],[p]]=1,T_fact2946[[#This Row],[players]]*T_fact2946[[#This Row],[stack]]/chips+COUNTIF(T_fact2946[stack],0),T_fact2946[[#This Row],[players]]*T_fact2946[[#This Row],[stack]]/chips)</f>
        <v>2.0739999999999998</v>
      </c>
      <c r="AN18" s="16">
        <f>T_fact2946[[#This Row],[ICM]]+bounty*T_fact2946[[#This Row],[KO]]</f>
        <v>0</v>
      </c>
      <c r="AQ18" s="69">
        <f>'3wAh9s'!p3win* ('3wAh9s'!p1sp1win*T_p3p12344[[#This Row],[ICM]] + '3wAh9s'!p2sp1win*T_p3p22445[[#This Row],[ICM]])
+'3wAh9s'!p2win*T_p22243[[#This Row],[ICM]]
+'3wAh9s'!p1win*T_p12142[[#This Row],[ICM]]</f>
        <v>0</v>
      </c>
      <c r="AR18" s="69">
        <f>('3wAh9s'!p3win* ('3wAh9s'!p1sp1win*T_p3p12344[[#This Row],[KO]] + '3wAh9s'!p2sp1win*T_p3p22445[[#This Row],[KO]])
+'3wAh9s'!p2win*T_p22243[[#This Row],[KO]]
+'3wAh9s'!p1win*T_p12142[[#This Row],[KO]])*bounty</f>
        <v>0</v>
      </c>
      <c r="AS18" s="69">
        <f>'3wAh9s'!p3win* ('3wAh9s'!p1sp1win*T_p3p12344[[#This Row],[$stack]] + '3wAh9s'!p2sp1win*T_p3p22445[[#This Row],[$stack]])
+'3wAh9s'!p2win*T_p22243[[#This Row],[$stack]]
+'3wAh9s'!p1win*T_p12142[[#This Row],[$stack]]</f>
        <v>0</v>
      </c>
      <c r="AT18" s="69">
        <f>'3wAh9s'!p3win* ('3wAh9s'!p1sp1win*T_p3p12344[[#This Row],[stack]] + '3wAh9s'!p2sp1win*T_p3p22445[[#This Row],[stack]])
+'3wAh9s'!p2win*T_p22243[[#This Row],[stack]]
+'3wAh9s'!p1win*T_p12142[[#This Row],[stack]]</f>
        <v>1849.9348003199998</v>
      </c>
      <c r="AU18" s="2">
        <f>T_EV3347[[#This Row],[chipEV]]-T_fact2946[[#This Row],[stack]]</f>
        <v>238.93480031999979</v>
      </c>
      <c r="AV18" s="2">
        <f>T_EV3347[[#This Row],[EV]]-(T_fact2946[[#This Row],[ICM]]+bounty*T_fact2946[[#This Row],[KO]])</f>
        <v>0</v>
      </c>
    </row>
    <row r="19" spans="1:48" x14ac:dyDescent="0.25">
      <c r="A19" t="s">
        <v>140</v>
      </c>
      <c r="D19">
        <f>SUBTOTAL(109,T_init2041[pWin])</f>
        <v>0</v>
      </c>
      <c r="F19" s="53"/>
      <c r="G19" s="50">
        <f>SUM(T_p12142[stack])</f>
        <v>3000</v>
      </c>
      <c r="H19" s="50">
        <f>SUM(T_p12142[EQ])</f>
        <v>1</v>
      </c>
      <c r="I19" s="50">
        <f>SUM(T_p12142[ICM])</f>
        <v>0</v>
      </c>
      <c r="J19" s="50">
        <f>SUM(T_p12142[KO])</f>
        <v>3</v>
      </c>
      <c r="K19" s="50">
        <f>SUM(T_p12142[$stack])</f>
        <v>0</v>
      </c>
      <c r="M19" s="53"/>
      <c r="N19" s="55">
        <f>SUM(T_p22243[stack])</f>
        <v>3000</v>
      </c>
      <c r="O19" s="50">
        <f>SUM(T_p22243[EQ])</f>
        <v>1</v>
      </c>
      <c r="P19" s="51">
        <f>SUM(T_p22243[ICM])</f>
        <v>0</v>
      </c>
      <c r="Q19" s="52">
        <f>SUM(T_p22243[KO])</f>
        <v>3</v>
      </c>
      <c r="R19" s="50">
        <f>SUM(T_p22243[$stack])</f>
        <v>0</v>
      </c>
      <c r="T19" s="53"/>
      <c r="U19" s="55">
        <f>SUM(T_p3p12344[stack])</f>
        <v>3000</v>
      </c>
      <c r="V19" s="50">
        <f>SUM(T_p3p12344[EQ])</f>
        <v>1</v>
      </c>
      <c r="W19" s="51">
        <f>SUM(T_p3p12344[ICM])</f>
        <v>0</v>
      </c>
      <c r="X19" s="52">
        <f>SUM(T_p3p12344[KO])</f>
        <v>3</v>
      </c>
      <c r="Y19" s="50">
        <f>SUM(T_p3p12344[$stack])</f>
        <v>0</v>
      </c>
      <c r="AA19" s="53"/>
      <c r="AB19" s="55">
        <f>SUM(T_p3p22445[stack])</f>
        <v>3000</v>
      </c>
      <c r="AC19" s="50">
        <f>SUM(T_p3p22445[EQ])</f>
        <v>1.0001000000000002</v>
      </c>
      <c r="AD19" s="51">
        <f>SUM(T_p3p22445[ICM])</f>
        <v>0</v>
      </c>
      <c r="AE19" s="52">
        <f>SUM(T_p3p22445[KO])</f>
        <v>3</v>
      </c>
      <c r="AF19" s="50">
        <f>SUM(T_p3p12344[$stack])</f>
        <v>0</v>
      </c>
      <c r="AI19" s="53"/>
      <c r="AJ19" s="55">
        <f>SUM(T_fact2946[stack])</f>
        <v>3000</v>
      </c>
      <c r="AK19" s="50">
        <f>SUM(T_fact2946[EQ])</f>
        <v>1</v>
      </c>
      <c r="AL19" s="51">
        <f>SUM(T_fact2946[ICM])</f>
        <v>0</v>
      </c>
      <c r="AM19" s="52">
        <f>SUM(T_fact2946[KO])</f>
        <v>3</v>
      </c>
      <c r="AN19" s="51">
        <f>SUM(T_fact2946[$stack])</f>
        <v>0</v>
      </c>
      <c r="AQ19" s="52">
        <f>SUM(T_EV3347[ICM])</f>
        <v>0</v>
      </c>
      <c r="AR19" s="52">
        <f>SUM(T_EV3347[KO])</f>
        <v>0</v>
      </c>
      <c r="AS19" s="52">
        <f>SUM(T_EV3347[EV])</f>
        <v>0</v>
      </c>
      <c r="AT19" s="50">
        <f>SUM(T_EV3347[chipEV])</f>
        <v>3000</v>
      </c>
    </row>
    <row r="35" spans="2:4" x14ac:dyDescent="0.25">
      <c r="C35" t="s">
        <v>102</v>
      </c>
    </row>
    <row r="36" spans="2:4" x14ac:dyDescent="0.25">
      <c r="C36" t="s">
        <v>103</v>
      </c>
    </row>
    <row r="37" spans="2:4" x14ac:dyDescent="0.25">
      <c r="C37" t="s">
        <v>104</v>
      </c>
    </row>
    <row r="40" spans="2:4" x14ac:dyDescent="0.25">
      <c r="C40" t="s">
        <v>105</v>
      </c>
    </row>
    <row r="42" spans="2:4" x14ac:dyDescent="0.25">
      <c r="B42" t="s">
        <v>124</v>
      </c>
    </row>
    <row r="43" spans="2:4" x14ac:dyDescent="0.25">
      <c r="B43" t="s">
        <v>123</v>
      </c>
    </row>
    <row r="44" spans="2:4" x14ac:dyDescent="0.25">
      <c r="C44" t="s">
        <v>106</v>
      </c>
    </row>
    <row r="45" spans="2:4" x14ac:dyDescent="0.25">
      <c r="D45" t="s">
        <v>108</v>
      </c>
    </row>
    <row r="46" spans="2:4" x14ac:dyDescent="0.25">
      <c r="C46" t="s">
        <v>107</v>
      </c>
    </row>
    <row r="47" spans="2:4" x14ac:dyDescent="0.25">
      <c r="D47" t="s">
        <v>108</v>
      </c>
    </row>
    <row r="48" spans="2:4" x14ac:dyDescent="0.25">
      <c r="C48" t="s">
        <v>109</v>
      </c>
    </row>
    <row r="49" spans="3:7" x14ac:dyDescent="0.25">
      <c r="D49" t="s">
        <v>110</v>
      </c>
    </row>
    <row r="50" spans="3:7" x14ac:dyDescent="0.25">
      <c r="D50" t="s">
        <v>111</v>
      </c>
    </row>
    <row r="51" spans="3:7" x14ac:dyDescent="0.25">
      <c r="F51" t="s">
        <v>113</v>
      </c>
    </row>
    <row r="53" spans="3:7" x14ac:dyDescent="0.25">
      <c r="E53" t="s">
        <v>112</v>
      </c>
      <c r="F53" t="s">
        <v>115</v>
      </c>
    </row>
    <row r="55" spans="3:7" x14ac:dyDescent="0.25">
      <c r="C55" t="s">
        <v>116</v>
      </c>
      <c r="E55" t="s">
        <v>114</v>
      </c>
    </row>
    <row r="56" spans="3:7" x14ac:dyDescent="0.25">
      <c r="D56" t="s">
        <v>117</v>
      </c>
    </row>
    <row r="57" spans="3:7" x14ac:dyDescent="0.25">
      <c r="D57" t="s">
        <v>118</v>
      </c>
    </row>
    <row r="58" spans="3:7" x14ac:dyDescent="0.25">
      <c r="F58" t="s">
        <v>119</v>
      </c>
    </row>
    <row r="60" spans="3:7" x14ac:dyDescent="0.25">
      <c r="E60" t="s">
        <v>112</v>
      </c>
      <c r="F60" t="s">
        <v>120</v>
      </c>
    </row>
    <row r="62" spans="3:7" x14ac:dyDescent="0.25">
      <c r="E62" t="s">
        <v>114</v>
      </c>
      <c r="F62" t="s">
        <v>122</v>
      </c>
    </row>
    <row r="63" spans="3:7" x14ac:dyDescent="0.25">
      <c r="F63" t="s">
        <v>111</v>
      </c>
    </row>
    <row r="64" spans="3:7" x14ac:dyDescent="0.25">
      <c r="E64" t="s">
        <v>121</v>
      </c>
      <c r="G64" t="s">
        <v>112</v>
      </c>
    </row>
    <row r="65" spans="7:8" x14ac:dyDescent="0.25">
      <c r="H65" t="s">
        <v>113</v>
      </c>
    </row>
    <row r="66" spans="7:8" x14ac:dyDescent="0.25">
      <c r="G66" t="s">
        <v>114</v>
      </c>
    </row>
    <row r="67" spans="7:8" x14ac:dyDescent="0.25">
      <c r="H67" t="s">
        <v>115</v>
      </c>
    </row>
  </sheetData>
  <mergeCells count="10">
    <mergeCell ref="T12:AE12"/>
    <mergeCell ref="AQ12:AT12"/>
    <mergeCell ref="T13:AE13"/>
    <mergeCell ref="AQ13:AT13"/>
    <mergeCell ref="F14:J14"/>
    <mergeCell ref="M14:Q14"/>
    <mergeCell ref="T14:X14"/>
    <mergeCell ref="AA14:AE14"/>
    <mergeCell ref="AI14:AM14"/>
    <mergeCell ref="AQ14:AT14"/>
  </mergeCells>
  <pageMargins left="0.7" right="0.7" top="0.75" bottom="0.75" header="0.3" footer="0.3"/>
  <pageSetup paperSize="9" orientation="portrait" horizontalDpi="4294967293" verticalDpi="0" r:id="rId1"/>
  <legacy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M2:N10"/>
  <sheetViews>
    <sheetView topLeftCell="L1" workbookViewId="0">
      <selection activeCell="N11" sqref="N11"/>
    </sheetView>
  </sheetViews>
  <sheetFormatPr defaultRowHeight="15" x14ac:dyDescent="0.25"/>
  <sheetData>
    <row r="2" spans="13:14" x14ac:dyDescent="0.25">
      <c r="M2" t="s">
        <v>38</v>
      </c>
    </row>
    <row r="3" spans="13:14" x14ac:dyDescent="0.25">
      <c r="N3" t="s">
        <v>39</v>
      </c>
    </row>
    <row r="4" spans="13:14" x14ac:dyDescent="0.25">
      <c r="N4" t="s">
        <v>40</v>
      </c>
    </row>
    <row r="5" spans="13:14" x14ac:dyDescent="0.25">
      <c r="N5" t="s">
        <v>41</v>
      </c>
    </row>
    <row r="6" spans="13:14" x14ac:dyDescent="0.25">
      <c r="N6" t="s">
        <v>42</v>
      </c>
    </row>
    <row r="7" spans="13:14" x14ac:dyDescent="0.25">
      <c r="N7" t="s">
        <v>43</v>
      </c>
    </row>
    <row r="8" spans="13:14" x14ac:dyDescent="0.25">
      <c r="N8" t="s">
        <v>44</v>
      </c>
    </row>
    <row r="9" spans="13:14" x14ac:dyDescent="0.25">
      <c r="N9" t="s">
        <v>45</v>
      </c>
    </row>
    <row r="10" spans="13:14" x14ac:dyDescent="0.25">
      <c r="N10" t="s">
        <v>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X I q j T v H / x O + m A A A A + Q A A A B I A H A B D b 2 5 m a W c v U G F j a 2 F n Z S 5 4 b W w g o h g A K K A U A A A A A A A A A A A A A A A A A A A A A A A A A A A A h Y + 9 D o I w G E V f h X S n P 4 j G k I 8 y u E p i N B p X U i o 0 Q j F t s b y b g 4 / k K 0 i i G D b H e 3 K G c 1 + P J 2 R D 2 w R 3 a a z q d I o Y p i i Q W n S l 0 l W K e n c J 1 y j j s C v E t a h k M M r a J o M t U 1 Q 7 d 0 s I 8 d 5 j v 8 C d q U h E K S P n f H s Q t W w L 9 J P V f z l U 2 r p C C 4 k 4 n D 4 x P M J R j G O 6 W m I W U w Z k 4 p A r P X P G Z E y B z C B s + s b 1 R n L T h / s j k G k C + d 7 g b 1 B L A w Q U A A I A C A B c i q N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I q j T i i K R 7 g O A A A A E Q A A A B M A H A B G b 3 J t d W x h c y 9 T Z W N 0 a W 9 u M S 5 t I K I Y A C i g F A A A A A A A A A A A A A A A A A A A A A A A A A A A A C t O T S 7 J z M 9 T C I b Q h t Y A U E s B A i 0 A F A A C A A g A X I q j T v H / x O + m A A A A + Q A A A B I A A A A A A A A A A A A A A A A A A A A A A E N v b m Z p Z y 9 Q Y W N r Y W d l L n h t b F B L A Q I t A B Q A A g A I A F y K o 0 4 P y u m r p A A A A O k A A A A T A A A A A A A A A A A A A A A A A P I A A A B b Q 2 9 u d G V u d F 9 U e X B l c 1 0 u e G 1 s U E s B A i 0 A F A A C A A g A X I q j T i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z 5 g 7 T Y U g A Q 4 F o X i j 0 x G 6 D A A A A A A I A A A A A A B B m A A A A A Q A A I A A A A O z e 8 G C V 8 o Y + a D B e w F P i F b K + s o m / o R 8 C + x 0 v C / w s W R u Z A A A A A A 6 A A A A A A g A A I A A A A A A Y G 1 X d O p X 5 h G L + 9 x f d + s O W M Y L y d v B 5 K B p v x 8 L 1 w v y r U A A A A O 9 M p 3 I Q D s 3 l t y z Q A l J z K 7 Q M j U L W 2 H o L w n 1 o 1 R x / x + E W X Q F R x l Y k A 1 z c C 4 U k 0 / h k 1 K 5 L m l J 6 9 F Q Q w + z 7 g d a m n N d v R R r 5 H e z t R r g u k e J j o i V I Q A A A A K H w S F 1 D + j G j e j a h g Y X F z b / L G u U 4 s P 8 E k 7 V x y n E 6 v q 7 L h + I x 1 C t A o b 6 0 Y 3 u v T X O N I o b g S y j R w A x Q 7 d n D H a g f 2 1 g = < / D a t a M a s h u p > 
</file>

<file path=customXml/itemProps1.xml><?xml version="1.0" encoding="utf-8"?>
<ds:datastoreItem xmlns:ds="http://schemas.openxmlformats.org/officeDocument/2006/customXml" ds:itemID="{7730965F-3E55-48C9-A4F9-04BC255DDD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78</vt:i4>
      </vt:variant>
    </vt:vector>
  </HeadingPairs>
  <TitlesOfParts>
    <vt:vector size="85" baseType="lpstr">
      <vt:lpstr>2way</vt:lpstr>
      <vt:lpstr>3way</vt:lpstr>
      <vt:lpstr>4way</vt:lpstr>
      <vt:lpstr>3wKhQs</vt:lpstr>
      <vt:lpstr>3wAdKd</vt:lpstr>
      <vt:lpstr>3wAh9s</vt:lpstr>
      <vt:lpstr>Sheet2</vt:lpstr>
      <vt:lpstr>bounty</vt:lpstr>
      <vt:lpstr>'3wAdKd'!chips</vt:lpstr>
      <vt:lpstr>'3wAh9s'!chips</vt:lpstr>
      <vt:lpstr>'3wKhQs'!chips</vt:lpstr>
      <vt:lpstr>'4way'!chips</vt:lpstr>
      <vt:lpstr>chips</vt:lpstr>
      <vt:lpstr>KO</vt:lpstr>
      <vt:lpstr>'3wAdKd'!mainpot</vt:lpstr>
      <vt:lpstr>'3wAh9s'!mainpot</vt:lpstr>
      <vt:lpstr>'3wKhQs'!mainpot</vt:lpstr>
      <vt:lpstr>mainpot</vt:lpstr>
      <vt:lpstr>'3wAdKd'!p1sp1win</vt:lpstr>
      <vt:lpstr>'3wAh9s'!p1sp1win</vt:lpstr>
      <vt:lpstr>'3wKhQs'!p1sp1win</vt:lpstr>
      <vt:lpstr>p1sp1win</vt:lpstr>
      <vt:lpstr>'3wAdKd'!p1sp2win</vt:lpstr>
      <vt:lpstr>'3wAh9s'!p1sp2win</vt:lpstr>
      <vt:lpstr>'3wKhQs'!p1sp2win</vt:lpstr>
      <vt:lpstr>p1sp2win</vt:lpstr>
      <vt:lpstr>'3wAdKd'!p1spwin</vt:lpstr>
      <vt:lpstr>'3wAh9s'!p1spwin</vt:lpstr>
      <vt:lpstr>'3wKhQs'!p1spwin</vt:lpstr>
      <vt:lpstr>'4way'!p1spwin</vt:lpstr>
      <vt:lpstr>p1spwin</vt:lpstr>
      <vt:lpstr>'3wAdKd'!p1win</vt:lpstr>
      <vt:lpstr>'3wAh9s'!p1win</vt:lpstr>
      <vt:lpstr>'3wKhQs'!p1win</vt:lpstr>
      <vt:lpstr>'4way'!p1win</vt:lpstr>
      <vt:lpstr>p1win</vt:lpstr>
      <vt:lpstr>'3wAdKd'!p2sp1win</vt:lpstr>
      <vt:lpstr>'3wAh9s'!p2sp1win</vt:lpstr>
      <vt:lpstr>'3wKhQs'!p2sp1win</vt:lpstr>
      <vt:lpstr>p2sp1win</vt:lpstr>
      <vt:lpstr>'3wAdKd'!p2sp2win</vt:lpstr>
      <vt:lpstr>'3wAh9s'!p2sp2win</vt:lpstr>
      <vt:lpstr>'3wKhQs'!p2sp2win</vt:lpstr>
      <vt:lpstr>p2sp2win</vt:lpstr>
      <vt:lpstr>'3wAdKd'!p2spwin</vt:lpstr>
      <vt:lpstr>'3wAh9s'!p2spwin</vt:lpstr>
      <vt:lpstr>'3wKhQs'!p2spwin</vt:lpstr>
      <vt:lpstr>'4way'!p2spwin</vt:lpstr>
      <vt:lpstr>p2spwin</vt:lpstr>
      <vt:lpstr>'3wAdKd'!p2win</vt:lpstr>
      <vt:lpstr>'3wAh9s'!p2win</vt:lpstr>
      <vt:lpstr>'3wKhQs'!p2win</vt:lpstr>
      <vt:lpstr>'4way'!p2win</vt:lpstr>
      <vt:lpstr>p2win</vt:lpstr>
      <vt:lpstr>'3wAdKd'!p3sp1win</vt:lpstr>
      <vt:lpstr>'3wAh9s'!p3sp1win</vt:lpstr>
      <vt:lpstr>'3wKhQs'!p3sp1win</vt:lpstr>
      <vt:lpstr>p3sp1win</vt:lpstr>
      <vt:lpstr>'3wAdKd'!p3win</vt:lpstr>
      <vt:lpstr>'3wAh9s'!p3win</vt:lpstr>
      <vt:lpstr>'3wKhQs'!p3win</vt:lpstr>
      <vt:lpstr>'4way'!p3win</vt:lpstr>
      <vt:lpstr>p3win</vt:lpstr>
      <vt:lpstr>'3wAdKd'!p4win</vt:lpstr>
      <vt:lpstr>'3wAh9s'!p4win</vt:lpstr>
      <vt:lpstr>'3wKhQs'!p4win</vt:lpstr>
      <vt:lpstr>p4win</vt:lpstr>
      <vt:lpstr>'3wAdKd'!prize</vt:lpstr>
      <vt:lpstr>'3wAh9s'!prize</vt:lpstr>
      <vt:lpstr>'3wKhQs'!prize</vt:lpstr>
      <vt:lpstr>'4way'!prize</vt:lpstr>
      <vt:lpstr>prize</vt:lpstr>
      <vt:lpstr>'3wAdKd'!sidepot1</vt:lpstr>
      <vt:lpstr>'3wAh9s'!sidepot1</vt:lpstr>
      <vt:lpstr>'3wKhQs'!sidepot1</vt:lpstr>
      <vt:lpstr>sidepot1</vt:lpstr>
      <vt:lpstr>'3wAdKd'!sidepot2</vt:lpstr>
      <vt:lpstr>'3wAh9s'!sidepot2</vt:lpstr>
      <vt:lpstr>'3wKhQs'!sidepot2</vt:lpstr>
      <vt:lpstr>sidepot2</vt:lpstr>
      <vt:lpstr>T4pwinsp1</vt:lpstr>
      <vt:lpstr>'3wAdKd'!uncalled</vt:lpstr>
      <vt:lpstr>'3wAh9s'!uncalled</vt:lpstr>
      <vt:lpstr>'3wKhQs'!uncalled</vt:lpstr>
      <vt:lpstr>uncalled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Anton Andryukhov</cp:lastModifiedBy>
  <dcterms:created xsi:type="dcterms:W3CDTF">2018-02-19T11:11:03Z</dcterms:created>
  <dcterms:modified xsi:type="dcterms:W3CDTF">2020-10-31T22:25:43Z</dcterms:modified>
</cp:coreProperties>
</file>