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omments2.xml" ContentType="application/vnd.openxmlformats-officedocument.spreadsheetml.comments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comments3.xml" ContentType="application/vnd.openxmlformats-officedocument.spreadsheetml.comments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comments4.xml" ContentType="application/vnd.openxmlformats-officedocument.spreadsheetml.comments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comments5.xml" ContentType="application/vnd.openxmlformats-officedocument.spreadsheetml.comments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comments6.xml" ContentType="application/vnd.openxmlformats-officedocument.spreadsheetml.comments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comments7.xml" ContentType="application/vnd.openxmlformats-officedocument.spreadsheetml.comments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comments8.xml" ContentType="application/vnd.openxmlformats-officedocument.spreadsheetml.comments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comments9.xml" ContentType="application/vnd.openxmlformats-officedocument.spreadsheetml.comments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comments10.xml" ContentType="application/vnd.openxmlformats-officedocument.spreadsheetml.comments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tables/table67.xml" ContentType="application/vnd.openxmlformats-officedocument.spreadsheetml.table+xml"/>
  <Override PartName="/xl/tables/table68.xml" ContentType="application/vnd.openxmlformats-officedocument.spreadsheetml.table+xml"/>
  <Override PartName="/xl/tables/table69.xml" ContentType="application/vnd.openxmlformats-officedocument.spreadsheetml.table+xml"/>
  <Override PartName="/xl/tables/table70.xml" ContentType="application/vnd.openxmlformats-officedocument.spreadsheetml.table+xml"/>
  <Override PartName="/xl/tables/table71.xml" ContentType="application/vnd.openxmlformats-officedocument.spreadsheetml.table+xml"/>
  <Override PartName="/xl/comments11.xml" ContentType="application/vnd.openxmlformats-officedocument.spreadsheetml.comments+xml"/>
  <Override PartName="/xl/tables/table72.xml" ContentType="application/vnd.openxmlformats-officedocument.spreadsheetml.table+xml"/>
  <Override PartName="/xl/tables/table73.xml" ContentType="application/vnd.openxmlformats-officedocument.spreadsheetml.table+xml"/>
  <Override PartName="/xl/tables/table74.xml" ContentType="application/vnd.openxmlformats-officedocument.spreadsheetml.table+xml"/>
  <Override PartName="/xl/tables/table75.xml" ContentType="application/vnd.openxmlformats-officedocument.spreadsheetml.table+xml"/>
  <Override PartName="/xl/tables/table76.xml" ContentType="application/vnd.openxmlformats-officedocument.spreadsheetml.table+xml"/>
  <Override PartName="/xl/tables/table77.xml" ContentType="application/vnd.openxmlformats-officedocument.spreadsheetml.table+xml"/>
  <Override PartName="/xl/tables/table78.xml" ContentType="application/vnd.openxmlformats-officedocument.spreadsheetml.table+xml"/>
  <Override PartName="/xl/comments12.xml" ContentType="application/vnd.openxmlformats-officedocument.spreadsheetml.comments+xml"/>
  <Override PartName="/xl/tables/table79.xml" ContentType="application/vnd.openxmlformats-officedocument.spreadsheetml.table+xml"/>
  <Override PartName="/xl/tables/table80.xml" ContentType="application/vnd.openxmlformats-officedocument.spreadsheetml.table+xml"/>
  <Override PartName="/xl/tables/table81.xml" ContentType="application/vnd.openxmlformats-officedocument.spreadsheetml.table+xml"/>
  <Override PartName="/xl/tables/table82.xml" ContentType="application/vnd.openxmlformats-officedocument.spreadsheetml.table+xml"/>
  <Override PartName="/xl/tables/table83.xml" ContentType="application/vnd.openxmlformats-officedocument.spreadsheetml.table+xml"/>
  <Override PartName="/xl/tables/table84.xml" ContentType="application/vnd.openxmlformats-officedocument.spreadsheetml.table+xml"/>
  <Override PartName="/xl/tables/table85.xml" ContentType="application/vnd.openxmlformats-officedocument.spreadsheetml.table+xml"/>
  <Override PartName="/xl/comments13.xml" ContentType="application/vnd.openxmlformats-officedocument.spreadsheetml.comments+xml"/>
  <Override PartName="/xl/tables/table86.xml" ContentType="application/vnd.openxmlformats-officedocument.spreadsheetml.table+xml"/>
  <Override PartName="/xl/tables/table87.xml" ContentType="application/vnd.openxmlformats-officedocument.spreadsheetml.table+xml"/>
  <Override PartName="/xl/tables/table88.xml" ContentType="application/vnd.openxmlformats-officedocument.spreadsheetml.table+xml"/>
  <Override PartName="/xl/tables/table89.xml" ContentType="application/vnd.openxmlformats-officedocument.spreadsheetml.table+xml"/>
  <Override PartName="/xl/tables/table90.xml" ContentType="application/vnd.openxmlformats-officedocument.spreadsheetml.table+xml"/>
  <Override PartName="/xl/tables/table91.xml" ContentType="application/vnd.openxmlformats-officedocument.spreadsheetml.table+xml"/>
  <Override PartName="/xl/tables/table92.xml" ContentType="application/vnd.openxmlformats-officedocument.spreadsheetml.table+xml"/>
  <Override PartName="/xl/comments14.xml" ContentType="application/vnd.openxmlformats-officedocument.spreadsheetml.comments+xml"/>
  <Override PartName="/xl/tables/table93.xml" ContentType="application/vnd.openxmlformats-officedocument.spreadsheetml.table+xml"/>
  <Override PartName="/xl/comments15.xml" ContentType="application/vnd.openxmlformats-officedocument.spreadsheetml.comments+xml"/>
  <Override PartName="/xl/tables/table94.xml" ContentType="application/vnd.openxmlformats-officedocument.spreadsheetml.table+xml"/>
  <Override PartName="/xl/tables/table95.xml" ContentType="application/vnd.openxmlformats-officedocument.spreadsheetml.table+xml"/>
  <Override PartName="/xl/tables/table96.xml" ContentType="application/vnd.openxmlformats-officedocument.spreadsheetml.table+xml"/>
  <Override PartName="/xl/tables/table97.xml" ContentType="application/vnd.openxmlformats-officedocument.spreadsheetml.table+xml"/>
  <Override PartName="/xl/tables/table98.xml" ContentType="application/vnd.openxmlformats-officedocument.spreadsheetml.table+xml"/>
  <Override PartName="/xl/tables/table99.xml" ContentType="application/vnd.openxmlformats-officedocument.spreadsheetml.table+xml"/>
  <Override PartName="/xl/tables/table100.xml" ContentType="application/vnd.openxmlformats-officedocument.spreadsheetml.table+xml"/>
  <Override PartName="/xl/tables/table101.xml" ContentType="application/vnd.openxmlformats-officedocument.spreadsheetml.table+xml"/>
  <Override PartName="/xl/tables/table102.xml" ContentType="application/vnd.openxmlformats-officedocument.spreadsheetml.table+xml"/>
  <Override PartName="/xl/tables/table103.xml" ContentType="application/vnd.openxmlformats-officedocument.spreadsheetml.table+xml"/>
  <Override PartName="/xl/tables/table104.xml" ContentType="application/vnd.openxmlformats-officedocument.spreadsheetml.table+xml"/>
  <Override PartName="/xl/tables/table105.xml" ContentType="application/vnd.openxmlformats-officedocument.spreadsheetml.table+xml"/>
  <Override PartName="/xl/tables/table106.xml" ContentType="application/vnd.openxmlformats-officedocument.spreadsheetml.table+xml"/>
  <Override PartName="/xl/tables/table107.xml" ContentType="application/vnd.openxmlformats-officedocument.spreadsheetml.table+xml"/>
  <Override PartName="/xl/comments16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https://d.docs.live.net/a89796590138a2f1/python-projects/pypokertools/test/"/>
    </mc:Choice>
  </mc:AlternateContent>
  <xr:revisionPtr revIDLastSave="1124" documentId="8_{EE9AF03F-5CA0-4879-86AE-4AA64A52EA03}" xr6:coauthVersionLast="45" xr6:coauthVersionMax="46" xr10:uidLastSave="{E3B6A96C-CE0F-4D2F-916E-75AE99E2661F}"/>
  <bookViews>
    <workbookView xWindow="30" yWindow="30" windowWidth="23115" windowHeight="16755" firstSheet="1" activeTab="3" xr2:uid="{00000000-000D-0000-FFFF-FFFF00000000}"/>
  </bookViews>
  <sheets>
    <sheet name="2way" sheetId="1" r:id="rId1"/>
    <sheet name="3w9h9s шалблон копия" sheetId="14" r:id="rId2"/>
    <sheet name="3w9h9s шалблон" sheetId="9" r:id="rId3"/>
    <sheet name="3wKs2s Ден v2" sheetId="16" r:id="rId4"/>
    <sheet name="3w Ac5c Ден" sheetId="22" r:id="rId5"/>
    <sheet name="3w 98s v2" sheetId="15" r:id="rId6"/>
    <sheet name="3w KsJs Ден v2 " sheetId="17" r:id="rId7"/>
    <sheet name="3w 8h8c Ден" sheetId="20" r:id="rId8"/>
    <sheet name="3w 5h5c Ден" sheetId="21" r:id="rId9"/>
    <sheet name="3w Kc5c Ден" sheetId="23" r:id="rId10"/>
    <sheet name="3w postflop 9c7s Ден v2" sheetId="18" r:id="rId11"/>
    <sheet name="3wKhQs" sheetId="7" r:id="rId12"/>
    <sheet name="3wAdKd" sheetId="6" r:id="rId13"/>
    <sheet name="3wAh9s" sheetId="8" r:id="rId14"/>
    <sheet name="3way" sheetId="3" r:id="rId15"/>
    <sheet name="4way" sheetId="4" r:id="rId16"/>
    <sheet name="Sheet2" sheetId="2" r:id="rId17"/>
  </sheets>
  <definedNames>
    <definedName name="asdasd">'4way'!$T$2</definedName>
    <definedName name="bounty">'2way'!$E$2</definedName>
    <definedName name="chips" localSheetId="8">'3w 5h5c Ден'!$D$3</definedName>
    <definedName name="chips" localSheetId="7">'3w 8h8c Ден'!$D$3</definedName>
    <definedName name="chips" localSheetId="5">'3w 98s v2'!$D$3</definedName>
    <definedName name="chips" localSheetId="4">'3w Ac5c Ден'!$D$3</definedName>
    <definedName name="chips" localSheetId="9">'3w Kc5c Ден'!$D$3</definedName>
    <definedName name="chips" localSheetId="6">'3w KsJs Ден v2 '!$D$3</definedName>
    <definedName name="chips" localSheetId="10">'3w postflop 9c7s Ден v2'!$D$3</definedName>
    <definedName name="chips" localSheetId="2">'3w9h9s шалблон'!$D$3</definedName>
    <definedName name="chips" localSheetId="1">'3w9h9s шалблон копия'!$D$3</definedName>
    <definedName name="chips" localSheetId="12">'3wAdKd'!$D$3</definedName>
    <definedName name="chips" localSheetId="13">'3wAh9s'!$D$3</definedName>
    <definedName name="chips" localSheetId="11">'3wKhQs'!$D$3</definedName>
    <definedName name="chips" localSheetId="3">'3wKs2s Ден v2'!$D$3</definedName>
    <definedName name="chips" localSheetId="15">'4way'!$D$3</definedName>
    <definedName name="chips">'3way'!$D$3</definedName>
    <definedName name="KO">'2way'!$E$2</definedName>
    <definedName name="mainpot" localSheetId="8">'3w 5h5c Ден'!$N$1</definedName>
    <definedName name="mainpot" localSheetId="7">'3w 8h8c Ден'!$N$1</definedName>
    <definedName name="mainpot" localSheetId="5">'3w 98s v2'!$N$1</definedName>
    <definedName name="mainpot" localSheetId="4">'3w Ac5c Ден'!$N$1</definedName>
    <definedName name="mainpot" localSheetId="9">'3w Kc5c Ден'!$N$1</definedName>
    <definedName name="mainpot" localSheetId="6">'3w KsJs Ден v2 '!$N$1</definedName>
    <definedName name="mainpot" localSheetId="10">'3w postflop 9c7s Ден v2'!$N$1</definedName>
    <definedName name="mainpot" localSheetId="2">'3w9h9s шалблон'!$N$1</definedName>
    <definedName name="mainpot" localSheetId="1">'3w9h9s шалблон копия'!$N$1</definedName>
    <definedName name="mainpot" localSheetId="12">'3wAdKd'!$T$1</definedName>
    <definedName name="mainpot" localSheetId="13">'3wAh9s'!$T$1</definedName>
    <definedName name="mainpot" localSheetId="11">'3wKhQs'!$T$1</definedName>
    <definedName name="mainpot" localSheetId="3">'3wKs2s Ден v2'!$N$1</definedName>
    <definedName name="mainpot">'4way'!$T$1</definedName>
    <definedName name="p1sp1win" localSheetId="8">'3w 5h5c Ден'!$J$1</definedName>
    <definedName name="p1sp1win" localSheetId="7">'3w 8h8c Ден'!$J$1</definedName>
    <definedName name="p1sp1win" localSheetId="5">'3w 98s v2'!$J$1</definedName>
    <definedName name="p1sp1win" localSheetId="4">'3w Ac5c Ден'!$J$1</definedName>
    <definedName name="p1sp1win" localSheetId="9">'3w Kc5c Ден'!$J$1</definedName>
    <definedName name="p1sp1win" localSheetId="6">'3w KsJs Ден v2 '!$J$1</definedName>
    <definedName name="p1sp1win" localSheetId="10">'3w postflop 9c7s Ден v2'!$J$1</definedName>
    <definedName name="p1sp1win" localSheetId="2">'3w9h9s шалблон'!$J$1</definedName>
    <definedName name="p1sp1win" localSheetId="1">'3w9h9s шалблон копия'!$J$1</definedName>
    <definedName name="p1sp1win" localSheetId="12">'3wAdKd'!$J$1</definedName>
    <definedName name="p1sp1win" localSheetId="13">'3wAh9s'!$J$1</definedName>
    <definedName name="p1sp1win" localSheetId="11">'3wKhQs'!$J$1</definedName>
    <definedName name="p1sp1win" localSheetId="3">'3wKs2s Ден v2'!$J$1</definedName>
    <definedName name="p1sp1win">'4way'!$J$1</definedName>
    <definedName name="p1sp2win" localSheetId="8">'3w 5h5c Ден'!#REF!</definedName>
    <definedName name="p1sp2win" localSheetId="7">'3w 8h8c Ден'!#REF!</definedName>
    <definedName name="p1sp2win" localSheetId="5">'3w 98s v2'!#REF!</definedName>
    <definedName name="p1sp2win" localSheetId="4">'3w Ac5c Ден'!#REF!</definedName>
    <definedName name="p1sp2win" localSheetId="9">'3w Kc5c Ден'!#REF!</definedName>
    <definedName name="p1sp2win" localSheetId="6">'3w KsJs Ден v2 '!#REF!</definedName>
    <definedName name="p1sp2win" localSheetId="10">'3w postflop 9c7s Ден v2'!#REF!</definedName>
    <definedName name="p1sp2win" localSheetId="2">'3w9h9s шалблон'!#REF!</definedName>
    <definedName name="p1sp2win" localSheetId="1">'3w9h9s шалблон копия'!#REF!</definedName>
    <definedName name="p1sp2win" localSheetId="12">'3wAdKd'!$O$1</definedName>
    <definedName name="p1sp2win" localSheetId="13">'3wAh9s'!$O$1</definedName>
    <definedName name="p1sp2win" localSheetId="11">'3wKhQs'!$O$1</definedName>
    <definedName name="p1sp2win" localSheetId="3">'3wKs2s Ден v2'!#REF!</definedName>
    <definedName name="p1sp2win">'4way'!$O$1</definedName>
    <definedName name="p1spwin" localSheetId="8">'3w 5h5c Ден'!$J$1</definedName>
    <definedName name="p1spwin" localSheetId="7">'3w 8h8c Ден'!$J$1</definedName>
    <definedName name="p1spwin" localSheetId="5">'3w 98s v2'!$J$1</definedName>
    <definedName name="p1spwin" localSheetId="4">'3w Ac5c Ден'!$J$1</definedName>
    <definedName name="p1spwin" localSheetId="9">'3w Kc5c Ден'!$J$1</definedName>
    <definedName name="p1spwin" localSheetId="6">'3w KsJs Ден v2 '!$J$1</definedName>
    <definedName name="p1spwin" localSheetId="10">'3w postflop 9c7s Ден v2'!$J$1</definedName>
    <definedName name="p1spwin" localSheetId="2">'3w9h9s шалблон'!$J$1</definedName>
    <definedName name="p1spwin" localSheetId="1">'3w9h9s шалблон копия'!$J$1</definedName>
    <definedName name="p1spwin" localSheetId="12">'3wAdKd'!$J$1</definedName>
    <definedName name="p1spwin" localSheetId="13">'3wAh9s'!$J$1</definedName>
    <definedName name="p1spwin" localSheetId="11">'3wKhQs'!$J$1</definedName>
    <definedName name="p1spwin" localSheetId="3">'3wKs2s Ден v2'!$J$1</definedName>
    <definedName name="p1spwin" localSheetId="15">'4way'!$J$1</definedName>
    <definedName name="p1spwin">'3way'!$J$1</definedName>
    <definedName name="p1win" localSheetId="8">'3w 5h5c Ден'!$G$1</definedName>
    <definedName name="p1win" localSheetId="7">'3w 8h8c Ден'!$G$1</definedName>
    <definedName name="p1win" localSheetId="5">'3w 98s v2'!$G$1</definedName>
    <definedName name="p1win" localSheetId="4">'3w Ac5c Ден'!$G$1</definedName>
    <definedName name="p1win" localSheetId="9">'3w Kc5c Ден'!$G$1</definedName>
    <definedName name="p1win" localSheetId="6">'3w KsJs Ден v2 '!$G$1</definedName>
    <definedName name="p1win" localSheetId="10">'3w postflop 9c7s Ден v2'!$G$1</definedName>
    <definedName name="p1win" localSheetId="2">'3w9h9s шалблон'!$G$1</definedName>
    <definedName name="p1win" localSheetId="1">'3w9h9s шалблон копия'!$G$1</definedName>
    <definedName name="p1win" localSheetId="12">'3wAdKd'!$G$1</definedName>
    <definedName name="p1win" localSheetId="13">'3wAh9s'!$G$1</definedName>
    <definedName name="p1win" localSheetId="11">'3wKhQs'!$G$1</definedName>
    <definedName name="p1win" localSheetId="3">'3wKs2s Ден v2'!$G$1</definedName>
    <definedName name="p1win" localSheetId="15">'4way'!$G$1</definedName>
    <definedName name="p1win">'3way'!$G$1</definedName>
    <definedName name="p2sp1win" localSheetId="8">'3w 5h5c Ден'!$J$2</definedName>
    <definedName name="p2sp1win" localSheetId="7">'3w 8h8c Ден'!$J$2</definedName>
    <definedName name="p2sp1win" localSheetId="5">'3w 98s v2'!$J$2</definedName>
    <definedName name="p2sp1win" localSheetId="4">'3w Ac5c Ден'!$J$2</definedName>
    <definedName name="p2sp1win" localSheetId="9">'3w Kc5c Ден'!$J$2</definedName>
    <definedName name="p2sp1win" localSheetId="6">'3w KsJs Ден v2 '!$J$2</definedName>
    <definedName name="p2sp1win" localSheetId="10">'3w postflop 9c7s Ден v2'!$J$2</definedName>
    <definedName name="p2sp1win" localSheetId="2">'3w9h9s шалблон'!$J$2</definedName>
    <definedName name="p2sp1win" localSheetId="1">'3w9h9s шалблон копия'!$J$2</definedName>
    <definedName name="p2sp1win" localSheetId="12">'3wAdKd'!$J$2</definedName>
    <definedName name="p2sp1win" localSheetId="13">'3wAh9s'!$J$2</definedName>
    <definedName name="p2sp1win" localSheetId="11">'3wKhQs'!$J$2</definedName>
    <definedName name="p2sp1win" localSheetId="3">'3wKs2s Ден v2'!$J$2</definedName>
    <definedName name="p2sp1win">'4way'!$J$2</definedName>
    <definedName name="p2sp2win" localSheetId="8">'3w 5h5c Ден'!#REF!</definedName>
    <definedName name="p2sp2win" localSheetId="7">'3w 8h8c Ден'!#REF!</definedName>
    <definedName name="p2sp2win" localSheetId="5">'3w 98s v2'!#REF!</definedName>
    <definedName name="p2sp2win" localSheetId="4">'3w Ac5c Ден'!#REF!</definedName>
    <definedName name="p2sp2win" localSheetId="9">'3w Kc5c Ден'!#REF!</definedName>
    <definedName name="p2sp2win" localSheetId="6">'3w KsJs Ден v2 '!#REF!</definedName>
    <definedName name="p2sp2win" localSheetId="10">'3w postflop 9c7s Ден v2'!#REF!</definedName>
    <definedName name="p2sp2win" localSheetId="2">'3w9h9s шалблон'!#REF!</definedName>
    <definedName name="p2sp2win" localSheetId="1">'3w9h9s шалблон копия'!#REF!</definedName>
    <definedName name="p2sp2win" localSheetId="12">'3wAdKd'!$O$2</definedName>
    <definedName name="p2sp2win" localSheetId="13">'3wAh9s'!$O$2</definedName>
    <definedName name="p2sp2win" localSheetId="11">'3wKhQs'!$O$2</definedName>
    <definedName name="p2sp2win" localSheetId="3">'3wKs2s Ден v2'!#REF!</definedName>
    <definedName name="p2sp2win">'4way'!$O$2</definedName>
    <definedName name="p2spwin" localSheetId="8">'3w 5h5c Ден'!$J$2</definedName>
    <definedName name="p2spwin" localSheetId="7">'3w 8h8c Ден'!$J$2</definedName>
    <definedName name="p2spwin" localSheetId="5">'3w 98s v2'!$J$2</definedName>
    <definedName name="p2spwin" localSheetId="4">'3w Ac5c Ден'!$J$2</definedName>
    <definedName name="p2spwin" localSheetId="9">'3w Kc5c Ден'!$J$2</definedName>
    <definedName name="p2spwin" localSheetId="6">'3w KsJs Ден v2 '!$J$2</definedName>
    <definedName name="p2spwin" localSheetId="10">'3w postflop 9c7s Ден v2'!$J$2</definedName>
    <definedName name="p2spwin" localSheetId="2">'3w9h9s шалблон'!$J$2</definedName>
    <definedName name="p2spwin" localSheetId="1">'3w9h9s шалблон копия'!$J$2</definedName>
    <definedName name="p2spwin" localSheetId="12">'3wAdKd'!$J$2</definedName>
    <definedName name="p2spwin" localSheetId="13">'3wAh9s'!$J$2</definedName>
    <definedName name="p2spwin" localSheetId="11">'3wKhQs'!$J$2</definedName>
    <definedName name="p2spwin" localSheetId="3">'3wKs2s Ден v2'!$J$2</definedName>
    <definedName name="p2spwin" localSheetId="15">'4way'!$J$2</definedName>
    <definedName name="p2spwin">'3way'!$J$2</definedName>
    <definedName name="p2win" localSheetId="8">'3w 5h5c Ден'!$G$2</definedName>
    <definedName name="p2win" localSheetId="7">'3w 8h8c Ден'!$G$2</definedName>
    <definedName name="p2win" localSheetId="5">'3w 98s v2'!$G$2</definedName>
    <definedName name="p2win" localSheetId="4">'3w Ac5c Ден'!$G$2</definedName>
    <definedName name="p2win" localSheetId="9">'3w Kc5c Ден'!$G$2</definedName>
    <definedName name="p2win" localSheetId="6">'3w KsJs Ден v2 '!$G$2</definedName>
    <definedName name="p2win" localSheetId="10">'3w postflop 9c7s Ден v2'!$G$2</definedName>
    <definedName name="p2win" localSheetId="2">'3w9h9s шалблон'!$G$2</definedName>
    <definedName name="p2win" localSheetId="1">'3w9h9s шалблон копия'!$G$2</definedName>
    <definedName name="p2win" localSheetId="12">'3wAdKd'!$G$2</definedName>
    <definedName name="p2win" localSheetId="13">'3wAh9s'!$G$2</definedName>
    <definedName name="p2win" localSheetId="11">'3wKhQs'!$G$2</definedName>
    <definedName name="p2win" localSheetId="3">'3wKs2s Ден v2'!$G$2</definedName>
    <definedName name="p2win" localSheetId="15">'4way'!$G$2</definedName>
    <definedName name="p2win">'3way'!$G$2</definedName>
    <definedName name="p3sp1win" localSheetId="8">'3w 5h5c Ден'!$J$3</definedName>
    <definedName name="p3sp1win" localSheetId="7">'3w 8h8c Ден'!$J$3</definedName>
    <definedName name="p3sp1win" localSheetId="5">'3w 98s v2'!$J$3</definedName>
    <definedName name="p3sp1win" localSheetId="4">'3w Ac5c Ден'!$J$3</definedName>
    <definedName name="p3sp1win" localSheetId="9">'3w Kc5c Ден'!$J$3</definedName>
    <definedName name="p3sp1win" localSheetId="6">'3w KsJs Ден v2 '!$J$3</definedName>
    <definedName name="p3sp1win" localSheetId="10">'3w postflop 9c7s Ден v2'!$J$3</definedName>
    <definedName name="p3sp1win" localSheetId="2">'3w9h9s шалблон'!$J$3</definedName>
    <definedName name="p3sp1win" localSheetId="1">'3w9h9s шалблон копия'!$J$3</definedName>
    <definedName name="p3sp1win" localSheetId="12">'3wAdKd'!$J$3</definedName>
    <definedName name="p3sp1win" localSheetId="13">'3wAh9s'!$J$3</definedName>
    <definedName name="p3sp1win" localSheetId="11">'3wKhQs'!$J$3</definedName>
    <definedName name="p3sp1win" localSheetId="3">'3wKs2s Ден v2'!$J$3</definedName>
    <definedName name="p3sp1win">'4way'!$J$3</definedName>
    <definedName name="p3win" localSheetId="8">'3w 5h5c Ден'!$G$3</definedName>
    <definedName name="p3win" localSheetId="7">'3w 8h8c Ден'!$G$3</definedName>
    <definedName name="p3win" localSheetId="5">'3w 98s v2'!$G$3</definedName>
    <definedName name="p3win" localSheetId="4">'3w Ac5c Ден'!$G$3</definedName>
    <definedName name="p3win" localSheetId="9">'3w Kc5c Ден'!$G$3</definedName>
    <definedName name="p3win" localSheetId="6">'3w KsJs Ден v2 '!$G$3</definedName>
    <definedName name="p3win" localSheetId="10">'3w postflop 9c7s Ден v2'!$G$3</definedName>
    <definedName name="p3win" localSheetId="2">'3w9h9s шалблон'!$G$3</definedName>
    <definedName name="p3win" localSheetId="1">'3w9h9s шалблон копия'!$G$3</definedName>
    <definedName name="p3win" localSheetId="12">'3wAdKd'!$G$3</definedName>
    <definedName name="p3win" localSheetId="13">'3wAh9s'!$G$3</definedName>
    <definedName name="p3win" localSheetId="11">'3wKhQs'!$G$3</definedName>
    <definedName name="p3win" localSheetId="3">'3wKs2s Ден v2'!$G$3</definedName>
    <definedName name="p3win" localSheetId="15">'4way'!$G$3</definedName>
    <definedName name="p3win">'3way'!$G$3</definedName>
    <definedName name="p4win" localSheetId="8">'3w 5h5c Ден'!$G$4</definedName>
    <definedName name="p4win" localSheetId="7">'3w 8h8c Ден'!$G$4</definedName>
    <definedName name="p4win" localSheetId="5">'3w 98s v2'!$G$4</definedName>
    <definedName name="p4win" localSheetId="4">'3w Ac5c Ден'!$G$4</definedName>
    <definedName name="p4win" localSheetId="9">'3w Kc5c Ден'!$G$4</definedName>
    <definedName name="p4win" localSheetId="6">'3w KsJs Ден v2 '!$G$4</definedName>
    <definedName name="p4win" localSheetId="10">'3w postflop 9c7s Ден v2'!$G$4</definedName>
    <definedName name="p4win" localSheetId="2">'3w9h9s шалблон'!$G$4</definedName>
    <definedName name="p4win" localSheetId="1">'3w9h9s шалблон копия'!$G$4</definedName>
    <definedName name="p4win" localSheetId="12">'3wAdKd'!$G$4</definedName>
    <definedName name="p4win" localSheetId="13">'3wAh9s'!$G$4</definedName>
    <definedName name="p4win" localSheetId="11">'3wKhQs'!$G$4</definedName>
    <definedName name="p4win" localSheetId="3">'3wKs2s Ден v2'!$G$4</definedName>
    <definedName name="p4win">'4way'!$G$4</definedName>
    <definedName name="prize" localSheetId="8">'3w 5h5c Ден'!$D$1</definedName>
    <definedName name="prize" localSheetId="7">'3w 8h8c Ден'!$D$1</definedName>
    <definedName name="prize" localSheetId="5">'3w 98s v2'!$D$1</definedName>
    <definedName name="prize" localSheetId="4">'3w Ac5c Ден'!$D$1</definedName>
    <definedName name="prize" localSheetId="9">'3w Kc5c Ден'!$D$1</definedName>
    <definedName name="prize" localSheetId="6">'3w KsJs Ден v2 '!$D$1</definedName>
    <definedName name="prize" localSheetId="10">'3w postflop 9c7s Ден v2'!$D$1</definedName>
    <definedName name="prize" localSheetId="2">'3w9h9s шалблон'!$D$1</definedName>
    <definedName name="prize" localSheetId="1">'3w9h9s шалблон копия'!$D$1</definedName>
    <definedName name="prize" localSheetId="12">'3wAdKd'!$D$1</definedName>
    <definedName name="prize" localSheetId="13">'3wAh9s'!$D$1</definedName>
    <definedName name="prize" localSheetId="11">'3wKhQs'!$D$1</definedName>
    <definedName name="prize" localSheetId="3">'3wKs2s Ден v2'!$D$1</definedName>
    <definedName name="prize" localSheetId="15">'4way'!$D$1</definedName>
    <definedName name="prize">'3way'!$D$1</definedName>
    <definedName name="qweqwe">'4way'!$T$1</definedName>
    <definedName name="sidepot1" localSheetId="8">'3w 5h5c Ден'!$N$2</definedName>
    <definedName name="sidepot1" localSheetId="7">'3w 8h8c Ден'!$N$2</definedName>
    <definedName name="sidepot1" localSheetId="5">'3w 98s v2'!$N$2</definedName>
    <definedName name="sidepot1" localSheetId="4">'3w Ac5c Ден'!$N$2</definedName>
    <definedName name="sidepot1" localSheetId="9">'3w Kc5c Ден'!$N$2</definedName>
    <definedName name="sidepot1" localSheetId="6">'3w KsJs Ден v2 '!$N$2</definedName>
    <definedName name="sidepot1" localSheetId="10">'3w postflop 9c7s Ден v2'!$N$2</definedName>
    <definedName name="sidepot1" localSheetId="2">'3w9h9s шалблон'!$N$2</definedName>
    <definedName name="sidepot1" localSheetId="1">'3w9h9s шалблон копия'!$N$2</definedName>
    <definedName name="sidepot1" localSheetId="12">'3wAdKd'!$T$2</definedName>
    <definedName name="sidepot1" localSheetId="13">'3wAh9s'!$T$2</definedName>
    <definedName name="sidepot1" localSheetId="11">'3wKhQs'!$T$2</definedName>
    <definedName name="sidepot1" localSheetId="3">'3wKs2s Ден v2'!$N$2</definedName>
    <definedName name="sidepot1">'4way'!$T$2</definedName>
    <definedName name="sidepot2" localSheetId="8">'3w 5h5c Ден'!$N$3</definedName>
    <definedName name="sidepot2" localSheetId="7">'3w 8h8c Ден'!$N$3</definedName>
    <definedName name="sidepot2" localSheetId="5">'3w 98s v2'!$N$3</definedName>
    <definedName name="sidepot2" localSheetId="4">'3w Ac5c Ден'!$N$3</definedName>
    <definedName name="sidepot2" localSheetId="9">'3w Kc5c Ден'!$N$3</definedName>
    <definedName name="sidepot2" localSheetId="6">'3w KsJs Ден v2 '!$N$3</definedName>
    <definedName name="sidepot2" localSheetId="10">'3w postflop 9c7s Ден v2'!$N$3</definedName>
    <definedName name="sidepot2" localSheetId="2">'3w9h9s шалблон'!$N$3</definedName>
    <definedName name="sidepot2" localSheetId="1">'3w9h9s шалблон копия'!$N$3</definedName>
    <definedName name="sidepot2" localSheetId="12">'3wAdKd'!$T$3</definedName>
    <definedName name="sidepot2" localSheetId="13">'3wAh9s'!$T$3</definedName>
    <definedName name="sidepot2" localSheetId="11">'3wKhQs'!$T$3</definedName>
    <definedName name="sidepot2" localSheetId="3">'3wKs2s Ден v2'!$N$3</definedName>
    <definedName name="sidepot2">'4way'!$T$3</definedName>
    <definedName name="sss">'4way'!$T$2</definedName>
    <definedName name="T4pwinsp1" localSheetId="8">'3w 5h5c Ден'!#REF!</definedName>
    <definedName name="T4pwinsp1" localSheetId="7">'3w 8h8c Ден'!#REF!</definedName>
    <definedName name="T4pwinsp1" localSheetId="5">'3w 98s v2'!#REF!</definedName>
    <definedName name="T4pwinsp1" localSheetId="4">'3w Ac5c Ден'!#REF!</definedName>
    <definedName name="T4pwinsp1" localSheetId="9">'3w Kc5c Ден'!#REF!</definedName>
    <definedName name="T4pwinsp1" localSheetId="6">'3w KsJs Ден v2 '!#REF!</definedName>
    <definedName name="T4pwinsp1" localSheetId="10">'3w postflop 9c7s Ден v2'!#REF!</definedName>
    <definedName name="T4pwinsp1" localSheetId="2">'3w9h9s шалблон'!#REF!</definedName>
    <definedName name="T4pwinsp1" localSheetId="1">'3w9h9s шалблон копия'!#REF!</definedName>
    <definedName name="T4pwinsp1" localSheetId="12">'3wAdKd'!#REF!</definedName>
    <definedName name="T4pwinsp1" localSheetId="13">'3wAh9s'!#REF!</definedName>
    <definedName name="T4pwinsp1" localSheetId="11">'3wKhQs'!#REF!</definedName>
    <definedName name="T4pwinsp1" localSheetId="3">'3wKs2s Ден v2'!#REF!</definedName>
    <definedName name="T4pwinsp1">'4way'!$AJ$18</definedName>
    <definedName name="uncalled" localSheetId="8">'3w 5h5c Ден'!$N$4</definedName>
    <definedName name="uncalled" localSheetId="7">'3w 8h8c Ден'!$N$4</definedName>
    <definedName name="uncalled" localSheetId="5">'3w 98s v2'!$N$4</definedName>
    <definedName name="uncalled" localSheetId="4">'3w Ac5c Ден'!$N$4</definedName>
    <definedName name="uncalled" localSheetId="9">'3w Kc5c Ден'!$N$4</definedName>
    <definedName name="uncalled" localSheetId="6">'3w KsJs Ден v2 '!$N$4</definedName>
    <definedName name="uncalled" localSheetId="10">'3w postflop 9c7s Ден v2'!$N$4</definedName>
    <definedName name="uncalled" localSheetId="2">'3w9h9s шалблон'!$N$4</definedName>
    <definedName name="uncalled" localSheetId="1">'3w9h9s шалблон копия'!$N$4</definedName>
    <definedName name="uncalled" localSheetId="12">'3wAdKd'!$T$4</definedName>
    <definedName name="uncalled" localSheetId="13">'3wAh9s'!$T$4</definedName>
    <definedName name="uncalled" localSheetId="11">'3wKhQs'!$T$4</definedName>
    <definedName name="uncalled" localSheetId="3">'3wKs2s Ден v2'!$N$4</definedName>
    <definedName name="uncalled">'4way'!$T$4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" i="18" l="1"/>
  <c r="D1" i="17"/>
  <c r="D1" i="21"/>
  <c r="D1" i="20"/>
  <c r="D1" i="16"/>
  <c r="AJ20" i="23" l="1"/>
  <c r="AJ19" i="23"/>
  <c r="AJ18" i="23"/>
  <c r="AJ17" i="23"/>
  <c r="AM17" i="23" s="1"/>
  <c r="AK23" i="23"/>
  <c r="AC23" i="23"/>
  <c r="V23" i="23"/>
  <c r="O23" i="23"/>
  <c r="H23" i="23"/>
  <c r="D23" i="23"/>
  <c r="AM22" i="23"/>
  <c r="AB22" i="23"/>
  <c r="U22" i="23"/>
  <c r="N22" i="23"/>
  <c r="G22" i="23"/>
  <c r="AM21" i="23"/>
  <c r="AB21" i="23"/>
  <c r="U21" i="23"/>
  <c r="N21" i="23"/>
  <c r="G21" i="23"/>
  <c r="AB20" i="23"/>
  <c r="U20" i="23"/>
  <c r="N20" i="23"/>
  <c r="G20" i="23"/>
  <c r="AL19" i="23"/>
  <c r="AB19" i="23"/>
  <c r="U19" i="23"/>
  <c r="N19" i="23"/>
  <c r="G19" i="23"/>
  <c r="AM20" i="23"/>
  <c r="AD18" i="23"/>
  <c r="AB18" i="23"/>
  <c r="U18" i="23"/>
  <c r="T19" i="23" s="1"/>
  <c r="X19" i="23" s="1"/>
  <c r="N18" i="23"/>
  <c r="G18" i="23"/>
  <c r="AD17" i="23"/>
  <c r="AB17" i="23"/>
  <c r="U17" i="23"/>
  <c r="N17" i="23"/>
  <c r="I17" i="23"/>
  <c r="G17" i="23"/>
  <c r="D2" i="23"/>
  <c r="D1" i="23"/>
  <c r="AL20" i="23" s="1"/>
  <c r="AJ19" i="22"/>
  <c r="AJ18" i="22"/>
  <c r="AK23" i="22"/>
  <c r="AC23" i="22"/>
  <c r="V23" i="22"/>
  <c r="O23" i="22"/>
  <c r="H23" i="22"/>
  <c r="D23" i="22"/>
  <c r="AM22" i="22"/>
  <c r="AB22" i="22"/>
  <c r="U22" i="22"/>
  <c r="N22" i="22"/>
  <c r="G22" i="22"/>
  <c r="AM21" i="22"/>
  <c r="AB21" i="22"/>
  <c r="W21" i="22"/>
  <c r="U21" i="22"/>
  <c r="N21" i="22"/>
  <c r="G21" i="22"/>
  <c r="AM20" i="22"/>
  <c r="AB20" i="22"/>
  <c r="U20" i="22"/>
  <c r="N20" i="22"/>
  <c r="G20" i="22"/>
  <c r="AL19" i="22"/>
  <c r="AB19" i="22"/>
  <c r="U19" i="22"/>
  <c r="N19" i="22"/>
  <c r="G19" i="22"/>
  <c r="AL18" i="22"/>
  <c r="AB18" i="22"/>
  <c r="U18" i="22"/>
  <c r="T19" i="22" s="1"/>
  <c r="X19" i="22" s="1"/>
  <c r="N18" i="22"/>
  <c r="I18" i="22"/>
  <c r="G18" i="22"/>
  <c r="AM17" i="22"/>
  <c r="AL17" i="22"/>
  <c r="AD17" i="22"/>
  <c r="AB17" i="22"/>
  <c r="U17" i="22"/>
  <c r="N17" i="22"/>
  <c r="I17" i="22"/>
  <c r="G17" i="22"/>
  <c r="D2" i="22"/>
  <c r="D1" i="22"/>
  <c r="AL20" i="22" s="1"/>
  <c r="AJ20" i="21"/>
  <c r="AJ19" i="21"/>
  <c r="AM19" i="21" s="1"/>
  <c r="AJ18" i="21"/>
  <c r="AK23" i="21"/>
  <c r="AC23" i="21"/>
  <c r="V23" i="21"/>
  <c r="O23" i="21"/>
  <c r="H23" i="21"/>
  <c r="D23" i="21"/>
  <c r="AM22" i="21"/>
  <c r="AB22" i="21"/>
  <c r="U22" i="21"/>
  <c r="N22" i="21"/>
  <c r="G22" i="21"/>
  <c r="AM21" i="21"/>
  <c r="AB21" i="21"/>
  <c r="W21" i="21"/>
  <c r="U21" i="21"/>
  <c r="N21" i="21"/>
  <c r="G21" i="21"/>
  <c r="AM20" i="21"/>
  <c r="AB20" i="21"/>
  <c r="U20" i="21"/>
  <c r="AT20" i="21" s="1"/>
  <c r="AU20" i="21" s="1"/>
  <c r="N20" i="21"/>
  <c r="G20" i="21"/>
  <c r="AL19" i="21"/>
  <c r="AB19" i="21"/>
  <c r="U19" i="21"/>
  <c r="P19" i="21"/>
  <c r="N19" i="21"/>
  <c r="G19" i="21"/>
  <c r="AL18" i="21"/>
  <c r="AB18" i="21"/>
  <c r="U18" i="21"/>
  <c r="P18" i="21"/>
  <c r="N18" i="21"/>
  <c r="I18" i="21"/>
  <c r="G18" i="21"/>
  <c r="AL17" i="21"/>
  <c r="AD17" i="21"/>
  <c r="AB17" i="21"/>
  <c r="U17" i="21"/>
  <c r="P17" i="21"/>
  <c r="N17" i="21"/>
  <c r="I17" i="21"/>
  <c r="G17" i="21"/>
  <c r="D2" i="21"/>
  <c r="AL20" i="21"/>
  <c r="AJ20" i="20"/>
  <c r="AM20" i="20" s="1"/>
  <c r="AJ19" i="20"/>
  <c r="AM19" i="20" s="1"/>
  <c r="AJ18" i="20"/>
  <c r="AJ17" i="20"/>
  <c r="AK23" i="20"/>
  <c r="AC23" i="20"/>
  <c r="V23" i="20"/>
  <c r="O23" i="20"/>
  <c r="H23" i="20"/>
  <c r="D23" i="20"/>
  <c r="AM22" i="20"/>
  <c r="AL22" i="20"/>
  <c r="AB22" i="20"/>
  <c r="W22" i="20"/>
  <c r="U22" i="20"/>
  <c r="P22" i="20"/>
  <c r="N22" i="20"/>
  <c r="G22" i="20"/>
  <c r="AM21" i="20"/>
  <c r="AD21" i="20"/>
  <c r="AB21" i="20"/>
  <c r="U21" i="20"/>
  <c r="P21" i="20"/>
  <c r="N21" i="20"/>
  <c r="G21" i="20"/>
  <c r="AL20" i="20"/>
  <c r="AB20" i="20"/>
  <c r="U20" i="20"/>
  <c r="N20" i="20"/>
  <c r="I20" i="20"/>
  <c r="G20" i="20"/>
  <c r="AD19" i="20"/>
  <c r="AB19" i="20"/>
  <c r="U19" i="20"/>
  <c r="N19" i="20"/>
  <c r="I19" i="20"/>
  <c r="G19" i="20"/>
  <c r="AL18" i="20"/>
  <c r="AB18" i="20"/>
  <c r="W18" i="20"/>
  <c r="U18" i="20"/>
  <c r="N18" i="20"/>
  <c r="G18" i="20"/>
  <c r="AD17" i="20"/>
  <c r="AB17" i="20"/>
  <c r="W17" i="20"/>
  <c r="U17" i="20"/>
  <c r="N17" i="20"/>
  <c r="G17" i="20"/>
  <c r="D2" i="20"/>
  <c r="AL21" i="20"/>
  <c r="AJ20" i="18"/>
  <c r="AJ19" i="18"/>
  <c r="AJ18" i="18"/>
  <c r="AM18" i="18" s="1"/>
  <c r="AJ17" i="18"/>
  <c r="AK23" i="18"/>
  <c r="AC23" i="18"/>
  <c r="V23" i="18"/>
  <c r="O23" i="18"/>
  <c r="H23" i="18"/>
  <c r="D23" i="18"/>
  <c r="AM22" i="18"/>
  <c r="AB22" i="18"/>
  <c r="U22" i="18"/>
  <c r="N22" i="18"/>
  <c r="G22" i="18"/>
  <c r="AM21" i="18"/>
  <c r="AB21" i="18"/>
  <c r="W21" i="18"/>
  <c r="U21" i="18"/>
  <c r="N21" i="18"/>
  <c r="G21" i="18"/>
  <c r="AB20" i="18"/>
  <c r="U20" i="18"/>
  <c r="N20" i="18"/>
  <c r="G20" i="18"/>
  <c r="AL19" i="18"/>
  <c r="AB19" i="18"/>
  <c r="U19" i="18"/>
  <c r="P19" i="18"/>
  <c r="N19" i="18"/>
  <c r="I19" i="18"/>
  <c r="G19" i="18"/>
  <c r="AL18" i="18"/>
  <c r="AD18" i="18"/>
  <c r="AB18" i="18"/>
  <c r="U18" i="18"/>
  <c r="N18" i="18"/>
  <c r="I18" i="18"/>
  <c r="G18" i="18"/>
  <c r="AL17" i="18"/>
  <c r="AD17" i="18"/>
  <c r="AB17" i="18"/>
  <c r="W17" i="18"/>
  <c r="U17" i="18"/>
  <c r="N17" i="18"/>
  <c r="I17" i="18"/>
  <c r="G17" i="18"/>
  <c r="D2" i="18"/>
  <c r="AL20" i="18"/>
  <c r="AK23" i="17"/>
  <c r="AC23" i="17"/>
  <c r="V23" i="17"/>
  <c r="O23" i="17"/>
  <c r="H23" i="17"/>
  <c r="D23" i="17"/>
  <c r="AM22" i="17"/>
  <c r="AB22" i="17"/>
  <c r="U22" i="17"/>
  <c r="N22" i="17"/>
  <c r="G22" i="17"/>
  <c r="AM21" i="17"/>
  <c r="AB21" i="17"/>
  <c r="U21" i="17"/>
  <c r="N21" i="17"/>
  <c r="G21" i="17"/>
  <c r="AM20" i="17"/>
  <c r="AB20" i="17"/>
  <c r="U20" i="17"/>
  <c r="N20" i="17"/>
  <c r="G20" i="17"/>
  <c r="AM19" i="17"/>
  <c r="AL19" i="17"/>
  <c r="AB19" i="17"/>
  <c r="U19" i="17"/>
  <c r="N19" i="17"/>
  <c r="G19" i="17"/>
  <c r="AL18" i="17"/>
  <c r="AM18" i="17"/>
  <c r="AD18" i="17"/>
  <c r="AB18" i="17"/>
  <c r="U18" i="17"/>
  <c r="N18" i="17"/>
  <c r="G18" i="17"/>
  <c r="AD17" i="17"/>
  <c r="AB17" i="17"/>
  <c r="U17" i="17"/>
  <c r="N17" i="17"/>
  <c r="G17" i="17"/>
  <c r="D2" i="17"/>
  <c r="AL20" i="17"/>
  <c r="AJ18" i="16"/>
  <c r="AM18" i="16" s="1"/>
  <c r="AJ17" i="16"/>
  <c r="AK23" i="16"/>
  <c r="AC23" i="16"/>
  <c r="V23" i="16"/>
  <c r="O23" i="16"/>
  <c r="H23" i="16"/>
  <c r="D23" i="16"/>
  <c r="AM22" i="16"/>
  <c r="AB22" i="16"/>
  <c r="U22" i="16"/>
  <c r="N22" i="16"/>
  <c r="G22" i="16"/>
  <c r="AM21" i="16"/>
  <c r="AB21" i="16"/>
  <c r="U21" i="16"/>
  <c r="N21" i="16"/>
  <c r="G21" i="16"/>
  <c r="AM20" i="16"/>
  <c r="AB20" i="16"/>
  <c r="U20" i="16"/>
  <c r="N20" i="16"/>
  <c r="G20" i="16"/>
  <c r="AM19" i="16"/>
  <c r="AL19" i="16"/>
  <c r="AB19" i="16"/>
  <c r="U19" i="16"/>
  <c r="N19" i="16"/>
  <c r="I19" i="16"/>
  <c r="G19" i="16"/>
  <c r="AL18" i="16"/>
  <c r="AD18" i="16"/>
  <c r="AB18" i="16"/>
  <c r="U18" i="16"/>
  <c r="N18" i="16"/>
  <c r="G18" i="16"/>
  <c r="AL17" i="16"/>
  <c r="AD17" i="16"/>
  <c r="AB17" i="16"/>
  <c r="W17" i="16"/>
  <c r="U17" i="16"/>
  <c r="N17" i="16"/>
  <c r="G17" i="16"/>
  <c r="D2" i="16"/>
  <c r="AL20" i="16"/>
  <c r="AM18" i="15"/>
  <c r="AK23" i="15"/>
  <c r="AC23" i="15"/>
  <c r="V23" i="15"/>
  <c r="O23" i="15"/>
  <c r="H23" i="15"/>
  <c r="D23" i="15"/>
  <c r="AM22" i="15"/>
  <c r="AB22" i="15"/>
  <c r="U22" i="15"/>
  <c r="P22" i="15"/>
  <c r="N22" i="15"/>
  <c r="G22" i="15"/>
  <c r="AM21" i="15"/>
  <c r="AB21" i="15"/>
  <c r="U21" i="15"/>
  <c r="P21" i="15"/>
  <c r="N21" i="15"/>
  <c r="I21" i="15"/>
  <c r="G21" i="15"/>
  <c r="AM20" i="15"/>
  <c r="AB20" i="15"/>
  <c r="U20" i="15"/>
  <c r="N20" i="15"/>
  <c r="I20" i="15"/>
  <c r="G20" i="15"/>
  <c r="AM19" i="15"/>
  <c r="AB19" i="15"/>
  <c r="U19" i="15"/>
  <c r="N19" i="15"/>
  <c r="I19" i="15"/>
  <c r="G19" i="15"/>
  <c r="AL18" i="15"/>
  <c r="AB18" i="15"/>
  <c r="U18" i="15"/>
  <c r="N18" i="15"/>
  <c r="G18" i="15"/>
  <c r="AM17" i="15"/>
  <c r="AL17" i="15"/>
  <c r="AD17" i="15"/>
  <c r="AB17" i="15"/>
  <c r="U17" i="15"/>
  <c r="N17" i="15"/>
  <c r="G17" i="15"/>
  <c r="D2" i="15"/>
  <c r="D1" i="15"/>
  <c r="W18" i="15" s="1"/>
  <c r="AM18" i="20" l="1"/>
  <c r="AT20" i="23"/>
  <c r="AU20" i="23" s="1"/>
  <c r="AT21" i="23"/>
  <c r="AU21" i="23" s="1"/>
  <c r="AT22" i="23"/>
  <c r="AU22" i="23" s="1"/>
  <c r="F17" i="23"/>
  <c r="J17" i="23" s="1"/>
  <c r="T20" i="23"/>
  <c r="X20" i="23" s="1"/>
  <c r="AA17" i="23"/>
  <c r="AE17" i="23" s="1"/>
  <c r="AF17" i="23" s="1"/>
  <c r="AN20" i="23"/>
  <c r="AM19" i="23"/>
  <c r="AT19" i="23"/>
  <c r="AU19" i="23" s="1"/>
  <c r="T18" i="23"/>
  <c r="X18" i="23" s="1"/>
  <c r="AJ23" i="20"/>
  <c r="AT20" i="20"/>
  <c r="AU20" i="20" s="1"/>
  <c r="AA21" i="23"/>
  <c r="AE21" i="23" s="1"/>
  <c r="M19" i="23"/>
  <c r="Q19" i="23" s="1"/>
  <c r="T18" i="22"/>
  <c r="X18" i="22" s="1"/>
  <c r="T17" i="23"/>
  <c r="X17" i="23" s="1"/>
  <c r="AT22" i="21"/>
  <c r="AU22" i="21" s="1"/>
  <c r="AA18" i="23"/>
  <c r="AE18" i="23" s="1"/>
  <c r="AF18" i="23" s="1"/>
  <c r="M17" i="23"/>
  <c r="Q17" i="23" s="1"/>
  <c r="AN21" i="20"/>
  <c r="AJ23" i="23"/>
  <c r="AM18" i="23"/>
  <c r="AM17" i="16"/>
  <c r="AN19" i="23"/>
  <c r="K17" i="23"/>
  <c r="G23" i="23"/>
  <c r="AL18" i="23"/>
  <c r="AN18" i="23" s="1"/>
  <c r="F22" i="23"/>
  <c r="J22" i="23" s="1"/>
  <c r="AL17" i="23"/>
  <c r="I22" i="23"/>
  <c r="F21" i="23"/>
  <c r="J21" i="23" s="1"/>
  <c r="N23" i="23"/>
  <c r="AT18" i="23"/>
  <c r="AU18" i="23" s="1"/>
  <c r="I21" i="23"/>
  <c r="M22" i="23"/>
  <c r="Q22" i="23" s="1"/>
  <c r="F20" i="23"/>
  <c r="J20" i="23" s="1"/>
  <c r="AT17" i="23"/>
  <c r="P22" i="23"/>
  <c r="F19" i="23"/>
  <c r="J19" i="23" s="1"/>
  <c r="I20" i="23"/>
  <c r="M21" i="23"/>
  <c r="Q21" i="23" s="1"/>
  <c r="U23" i="23"/>
  <c r="F18" i="23"/>
  <c r="J18" i="23" s="1"/>
  <c r="I19" i="23"/>
  <c r="P21" i="23"/>
  <c r="T22" i="23"/>
  <c r="X22" i="23" s="1"/>
  <c r="M20" i="23"/>
  <c r="Q20" i="23" s="1"/>
  <c r="I18" i="23"/>
  <c r="W22" i="23"/>
  <c r="P20" i="23"/>
  <c r="T21" i="23"/>
  <c r="X21" i="23" s="1"/>
  <c r="AB23" i="23"/>
  <c r="M18" i="23"/>
  <c r="Q18" i="23" s="1"/>
  <c r="P19" i="23"/>
  <c r="W21" i="23"/>
  <c r="AA22" i="23"/>
  <c r="AE22" i="23" s="1"/>
  <c r="P18" i="23"/>
  <c r="AD22" i="23"/>
  <c r="P17" i="23"/>
  <c r="W19" i="23"/>
  <c r="AD21" i="23"/>
  <c r="AL22" i="23"/>
  <c r="AN22" i="23" s="1"/>
  <c r="AA20" i="23"/>
  <c r="AE20" i="23" s="1"/>
  <c r="W18" i="23"/>
  <c r="AA19" i="23"/>
  <c r="AE19" i="23" s="1"/>
  <c r="AD20" i="23"/>
  <c r="AL21" i="23"/>
  <c r="AN21" i="23" s="1"/>
  <c r="W20" i="23"/>
  <c r="W17" i="23"/>
  <c r="AD19" i="23"/>
  <c r="AT21" i="22"/>
  <c r="AU21" i="22" s="1"/>
  <c r="AT22" i="22"/>
  <c r="AU22" i="22" s="1"/>
  <c r="AM19" i="22"/>
  <c r="AN19" i="22" s="1"/>
  <c r="AA17" i="22"/>
  <c r="AE17" i="22" s="1"/>
  <c r="AF17" i="22" s="1"/>
  <c r="F18" i="22"/>
  <c r="J18" i="22" s="1"/>
  <c r="K18" i="22" s="1"/>
  <c r="AT19" i="22"/>
  <c r="AU19" i="22" s="1"/>
  <c r="T20" i="22"/>
  <c r="X20" i="22" s="1"/>
  <c r="T17" i="22"/>
  <c r="X17" i="22" s="1"/>
  <c r="AN20" i="22"/>
  <c r="AT20" i="18"/>
  <c r="AU20" i="18" s="1"/>
  <c r="M17" i="21"/>
  <c r="Q17" i="21" s="1"/>
  <c r="F17" i="22"/>
  <c r="J17" i="22" s="1"/>
  <c r="K17" i="22" s="1"/>
  <c r="T18" i="21"/>
  <c r="X18" i="21" s="1"/>
  <c r="M20" i="22"/>
  <c r="Q20" i="22" s="1"/>
  <c r="U23" i="22"/>
  <c r="F17" i="21"/>
  <c r="J17" i="21" s="1"/>
  <c r="AA18" i="22"/>
  <c r="AE18" i="22" s="1"/>
  <c r="AA18" i="20"/>
  <c r="AE18" i="20" s="1"/>
  <c r="M17" i="22"/>
  <c r="Q17" i="22" s="1"/>
  <c r="AJ23" i="22"/>
  <c r="G23" i="22"/>
  <c r="AT20" i="22"/>
  <c r="AU20" i="22" s="1"/>
  <c r="F22" i="22"/>
  <c r="J22" i="22" s="1"/>
  <c r="I22" i="22"/>
  <c r="F21" i="22"/>
  <c r="J21" i="22" s="1"/>
  <c r="N23" i="22"/>
  <c r="AN17" i="22"/>
  <c r="AT18" i="22"/>
  <c r="AU18" i="22" s="1"/>
  <c r="F20" i="22"/>
  <c r="J20" i="22" s="1"/>
  <c r="I21" i="22"/>
  <c r="M22" i="22"/>
  <c r="Q22" i="22" s="1"/>
  <c r="AT17" i="22"/>
  <c r="F19" i="22"/>
  <c r="J19" i="22" s="1"/>
  <c r="I20" i="22"/>
  <c r="P22" i="22"/>
  <c r="M21" i="22"/>
  <c r="Q21" i="22" s="1"/>
  <c r="AM18" i="22"/>
  <c r="I19" i="22"/>
  <c r="P21" i="22"/>
  <c r="T22" i="22"/>
  <c r="X22" i="22" s="1"/>
  <c r="M19" i="22"/>
  <c r="Q19" i="22" s="1"/>
  <c r="P20" i="22"/>
  <c r="W22" i="22"/>
  <c r="T21" i="22"/>
  <c r="X21" i="22" s="1"/>
  <c r="Y21" i="22" s="1"/>
  <c r="AB23" i="22"/>
  <c r="M18" i="22"/>
  <c r="Q18" i="22" s="1"/>
  <c r="P19" i="22"/>
  <c r="AA22" i="22"/>
  <c r="AE22" i="22" s="1"/>
  <c r="W20" i="22"/>
  <c r="AD22" i="22"/>
  <c r="AA21" i="22"/>
  <c r="AE21" i="22" s="1"/>
  <c r="W19" i="22"/>
  <c r="AA20" i="22"/>
  <c r="AE20" i="22" s="1"/>
  <c r="AD21" i="22"/>
  <c r="AL22" i="22"/>
  <c r="AN22" i="22" s="1"/>
  <c r="P17" i="22"/>
  <c r="W18" i="22"/>
  <c r="AA19" i="22"/>
  <c r="AE19" i="22" s="1"/>
  <c r="AD20" i="22"/>
  <c r="AL21" i="22"/>
  <c r="AN21" i="22" s="1"/>
  <c r="P18" i="22"/>
  <c r="W17" i="22"/>
  <c r="AD19" i="22"/>
  <c r="AD18" i="22"/>
  <c r="AT21" i="21"/>
  <c r="AU21" i="21" s="1"/>
  <c r="F18" i="21"/>
  <c r="J18" i="21" s="1"/>
  <c r="M19" i="21"/>
  <c r="Q19" i="21" s="1"/>
  <c r="R19" i="21" s="1"/>
  <c r="AT18" i="21"/>
  <c r="AU18" i="21" s="1"/>
  <c r="AT19" i="21"/>
  <c r="AU19" i="21" s="1"/>
  <c r="AN20" i="21"/>
  <c r="T20" i="21"/>
  <c r="X20" i="21" s="1"/>
  <c r="M20" i="18"/>
  <c r="Q20" i="18" s="1"/>
  <c r="T17" i="21"/>
  <c r="X17" i="21" s="1"/>
  <c r="AM20" i="18"/>
  <c r="AA17" i="21"/>
  <c r="AE17" i="21" s="1"/>
  <c r="AJ23" i="21"/>
  <c r="F22" i="21"/>
  <c r="J22" i="21" s="1"/>
  <c r="M18" i="21"/>
  <c r="Q18" i="21" s="1"/>
  <c r="R18" i="21" s="1"/>
  <c r="AM18" i="21"/>
  <c r="AN18" i="21" s="1"/>
  <c r="AT21" i="18"/>
  <c r="AU21" i="18" s="1"/>
  <c r="T19" i="21"/>
  <c r="X19" i="21" s="1"/>
  <c r="R17" i="21"/>
  <c r="K17" i="21"/>
  <c r="AN19" i="21"/>
  <c r="K18" i="21"/>
  <c r="G23" i="21"/>
  <c r="I22" i="21"/>
  <c r="F21" i="21"/>
  <c r="J21" i="21" s="1"/>
  <c r="N23" i="21"/>
  <c r="F20" i="21"/>
  <c r="J20" i="21" s="1"/>
  <c r="I21" i="21"/>
  <c r="M22" i="21"/>
  <c r="Q22" i="21" s="1"/>
  <c r="AT17" i="21"/>
  <c r="AM17" i="21"/>
  <c r="F19" i="21"/>
  <c r="J19" i="21" s="1"/>
  <c r="I20" i="21"/>
  <c r="P22" i="21"/>
  <c r="M21" i="21"/>
  <c r="Q21" i="21" s="1"/>
  <c r="U23" i="21"/>
  <c r="I19" i="21"/>
  <c r="M20" i="21"/>
  <c r="Q20" i="21" s="1"/>
  <c r="P21" i="21"/>
  <c r="T22" i="21"/>
  <c r="X22" i="21" s="1"/>
  <c r="P20" i="21"/>
  <c r="W22" i="21"/>
  <c r="T21" i="21"/>
  <c r="X21" i="21" s="1"/>
  <c r="Y21" i="21" s="1"/>
  <c r="AB23" i="21"/>
  <c r="AA22" i="21"/>
  <c r="AE22" i="21" s="1"/>
  <c r="W20" i="21"/>
  <c r="AD22" i="21"/>
  <c r="AA21" i="21"/>
  <c r="AE21" i="21" s="1"/>
  <c r="W19" i="21"/>
  <c r="AA20" i="21"/>
  <c r="AE20" i="21" s="1"/>
  <c r="AD21" i="21"/>
  <c r="AL22" i="21"/>
  <c r="AN22" i="21" s="1"/>
  <c r="W18" i="21"/>
  <c r="AA19" i="21"/>
  <c r="AE19" i="21" s="1"/>
  <c r="AD20" i="21"/>
  <c r="W17" i="21"/>
  <c r="AL21" i="21"/>
  <c r="AN21" i="21" s="1"/>
  <c r="AA18" i="21"/>
  <c r="AE18" i="21" s="1"/>
  <c r="AR18" i="21" s="1"/>
  <c r="AD19" i="21"/>
  <c r="AD18" i="21"/>
  <c r="AN22" i="20"/>
  <c r="AN20" i="20"/>
  <c r="AM17" i="20"/>
  <c r="AM23" i="20" s="1"/>
  <c r="M18" i="20"/>
  <c r="Q18" i="20" s="1"/>
  <c r="AT18" i="20"/>
  <c r="AU18" i="20" s="1"/>
  <c r="AN18" i="20"/>
  <c r="T22" i="20"/>
  <c r="X22" i="20" s="1"/>
  <c r="Y22" i="20" s="1"/>
  <c r="M17" i="20"/>
  <c r="Q17" i="20" s="1"/>
  <c r="T17" i="20"/>
  <c r="X17" i="20" s="1"/>
  <c r="Y17" i="20" s="1"/>
  <c r="AA21" i="20"/>
  <c r="AE21" i="20" s="1"/>
  <c r="AF21" i="20" s="1"/>
  <c r="AT19" i="20"/>
  <c r="AU19" i="20" s="1"/>
  <c r="F17" i="20"/>
  <c r="J17" i="20" s="1"/>
  <c r="AA19" i="20"/>
  <c r="AE19" i="20" s="1"/>
  <c r="AF19" i="20" s="1"/>
  <c r="F20" i="20"/>
  <c r="J20" i="20" s="1"/>
  <c r="K20" i="20" s="1"/>
  <c r="AA21" i="16"/>
  <c r="AE21" i="16" s="1"/>
  <c r="AJ23" i="16"/>
  <c r="F21" i="20"/>
  <c r="J21" i="20" s="1"/>
  <c r="AT21" i="20"/>
  <c r="AU21" i="20" s="1"/>
  <c r="M20" i="16"/>
  <c r="Q20" i="16" s="1"/>
  <c r="M18" i="18"/>
  <c r="Q18" i="18" s="1"/>
  <c r="T20" i="16"/>
  <c r="X20" i="16" s="1"/>
  <c r="AA20" i="20"/>
  <c r="AE20" i="20" s="1"/>
  <c r="F18" i="20"/>
  <c r="J18" i="20" s="1"/>
  <c r="F17" i="16"/>
  <c r="J17" i="16" s="1"/>
  <c r="AD18" i="20"/>
  <c r="AF18" i="20" s="1"/>
  <c r="AL19" i="20"/>
  <c r="AN19" i="20" s="1"/>
  <c r="AA17" i="20"/>
  <c r="AE17" i="20" s="1"/>
  <c r="G23" i="20"/>
  <c r="AT22" i="20"/>
  <c r="AU22" i="20" s="1"/>
  <c r="I22" i="20"/>
  <c r="F22" i="20"/>
  <c r="J22" i="20" s="1"/>
  <c r="AL17" i="20"/>
  <c r="N23" i="20"/>
  <c r="I21" i="20"/>
  <c r="M22" i="20"/>
  <c r="Q22" i="20" s="1"/>
  <c r="R22" i="20" s="1"/>
  <c r="U23" i="20"/>
  <c r="AT17" i="20"/>
  <c r="F19" i="20"/>
  <c r="J19" i="20" s="1"/>
  <c r="K19" i="20" s="1"/>
  <c r="P20" i="20"/>
  <c r="I18" i="20"/>
  <c r="M19" i="20"/>
  <c r="Q19" i="20" s="1"/>
  <c r="M20" i="20"/>
  <c r="Q20" i="20" s="1"/>
  <c r="W21" i="20"/>
  <c r="AA22" i="20"/>
  <c r="AE22" i="20" s="1"/>
  <c r="M21" i="20"/>
  <c r="Q21" i="20" s="1"/>
  <c r="R21" i="20" s="1"/>
  <c r="P19" i="20"/>
  <c r="T20" i="20"/>
  <c r="X20" i="20" s="1"/>
  <c r="AD22" i="20"/>
  <c r="W20" i="20"/>
  <c r="T21" i="20"/>
  <c r="X21" i="20" s="1"/>
  <c r="AB23" i="20"/>
  <c r="I17" i="20"/>
  <c r="P18" i="20"/>
  <c r="T19" i="20"/>
  <c r="X19" i="20" s="1"/>
  <c r="T18" i="20"/>
  <c r="X18" i="20" s="1"/>
  <c r="W19" i="20"/>
  <c r="P17" i="20"/>
  <c r="AD20" i="20"/>
  <c r="AJ23" i="18"/>
  <c r="AT22" i="17"/>
  <c r="AU22" i="17" s="1"/>
  <c r="AA18" i="18"/>
  <c r="AE18" i="18" s="1"/>
  <c r="AF18" i="18" s="1"/>
  <c r="AM19" i="18"/>
  <c r="AN19" i="18" s="1"/>
  <c r="AA18" i="17"/>
  <c r="AE18" i="17" s="1"/>
  <c r="AF18" i="17" s="1"/>
  <c r="AT22" i="15"/>
  <c r="AU22" i="15" s="1"/>
  <c r="M17" i="18"/>
  <c r="Q17" i="18" s="1"/>
  <c r="M20" i="17"/>
  <c r="Q20" i="17" s="1"/>
  <c r="AT22" i="18"/>
  <c r="AU22" i="18" s="1"/>
  <c r="AM17" i="18"/>
  <c r="AN17" i="18" s="1"/>
  <c r="AN18" i="18"/>
  <c r="F17" i="18"/>
  <c r="J17" i="18" s="1"/>
  <c r="K17" i="18" s="1"/>
  <c r="T20" i="18"/>
  <c r="X20" i="18" s="1"/>
  <c r="AN20" i="18"/>
  <c r="M19" i="18"/>
  <c r="Q19" i="18" s="1"/>
  <c r="R19" i="18" s="1"/>
  <c r="AT19" i="18"/>
  <c r="AU19" i="18" s="1"/>
  <c r="F19" i="18"/>
  <c r="J19" i="18" s="1"/>
  <c r="K19" i="18" s="1"/>
  <c r="T17" i="18"/>
  <c r="X17" i="18" s="1"/>
  <c r="Y17" i="18" s="1"/>
  <c r="AT18" i="15"/>
  <c r="AU18" i="15" s="1"/>
  <c r="AA19" i="18"/>
  <c r="AE19" i="18" s="1"/>
  <c r="AT22" i="16"/>
  <c r="AU22" i="16" s="1"/>
  <c r="F18" i="18"/>
  <c r="J18" i="18" s="1"/>
  <c r="K18" i="18" s="1"/>
  <c r="F22" i="18"/>
  <c r="J22" i="18" s="1"/>
  <c r="F18" i="16"/>
  <c r="J18" i="16" s="1"/>
  <c r="AA17" i="18"/>
  <c r="AE17" i="18" s="1"/>
  <c r="T17" i="15"/>
  <c r="X17" i="15" s="1"/>
  <c r="F17" i="17"/>
  <c r="J17" i="17" s="1"/>
  <c r="U23" i="18"/>
  <c r="G23" i="18"/>
  <c r="I22" i="18"/>
  <c r="F21" i="18"/>
  <c r="J21" i="18" s="1"/>
  <c r="N23" i="18"/>
  <c r="I21" i="18"/>
  <c r="M22" i="18"/>
  <c r="Q22" i="18" s="1"/>
  <c r="F20" i="18"/>
  <c r="J20" i="18" s="1"/>
  <c r="AT18" i="18"/>
  <c r="AU18" i="18" s="1"/>
  <c r="P22" i="18"/>
  <c r="I20" i="18"/>
  <c r="M21" i="18"/>
  <c r="Q21" i="18" s="1"/>
  <c r="AT17" i="18"/>
  <c r="P21" i="18"/>
  <c r="T22" i="18"/>
  <c r="X22" i="18" s="1"/>
  <c r="W22" i="18"/>
  <c r="P20" i="18"/>
  <c r="R20" i="18" s="1"/>
  <c r="T21" i="18"/>
  <c r="X21" i="18" s="1"/>
  <c r="Y21" i="18" s="1"/>
  <c r="AB23" i="18"/>
  <c r="AA22" i="18"/>
  <c r="AE22" i="18" s="1"/>
  <c r="AD22" i="18"/>
  <c r="W20" i="18"/>
  <c r="AA21" i="18"/>
  <c r="AE21" i="18" s="1"/>
  <c r="T19" i="18"/>
  <c r="X19" i="18" s="1"/>
  <c r="AD21" i="18"/>
  <c r="AL22" i="18"/>
  <c r="AN22" i="18" s="1"/>
  <c r="W19" i="18"/>
  <c r="AA20" i="18"/>
  <c r="AE20" i="18" s="1"/>
  <c r="T18" i="18"/>
  <c r="X18" i="18" s="1"/>
  <c r="P17" i="18"/>
  <c r="AQ17" i="18" s="1"/>
  <c r="AD20" i="18"/>
  <c r="AL21" i="18"/>
  <c r="AN21" i="18" s="1"/>
  <c r="P18" i="18"/>
  <c r="R18" i="18" s="1"/>
  <c r="W18" i="18"/>
  <c r="AD19" i="18"/>
  <c r="T20" i="17"/>
  <c r="X20" i="17" s="1"/>
  <c r="AN19" i="17"/>
  <c r="AN20" i="17"/>
  <c r="AT21" i="17"/>
  <c r="AU21" i="17" s="1"/>
  <c r="M21" i="17"/>
  <c r="Q21" i="17" s="1"/>
  <c r="AJ23" i="17"/>
  <c r="AT19" i="17"/>
  <c r="AU19" i="17" s="1"/>
  <c r="T18" i="17"/>
  <c r="X18" i="17" s="1"/>
  <c r="AT20" i="17"/>
  <c r="AU20" i="17" s="1"/>
  <c r="U23" i="17"/>
  <c r="F22" i="17"/>
  <c r="J22" i="17" s="1"/>
  <c r="F18" i="17"/>
  <c r="J18" i="17" s="1"/>
  <c r="M17" i="17"/>
  <c r="Q17" i="17" s="1"/>
  <c r="AA17" i="17"/>
  <c r="AE17" i="17" s="1"/>
  <c r="AF17" i="17" s="1"/>
  <c r="N23" i="17"/>
  <c r="T17" i="16"/>
  <c r="X17" i="16" s="1"/>
  <c r="Y17" i="16" s="1"/>
  <c r="AN18" i="17"/>
  <c r="M19" i="17"/>
  <c r="Q19" i="17" s="1"/>
  <c r="M18" i="17"/>
  <c r="Q18" i="17" s="1"/>
  <c r="G23" i="17"/>
  <c r="I22" i="17"/>
  <c r="AM17" i="17"/>
  <c r="AM23" i="17" s="1"/>
  <c r="I21" i="17"/>
  <c r="M22" i="17"/>
  <c r="Q22" i="17" s="1"/>
  <c r="F20" i="17"/>
  <c r="J20" i="17" s="1"/>
  <c r="AT18" i="17"/>
  <c r="AU18" i="17" s="1"/>
  <c r="P22" i="17"/>
  <c r="F21" i="17"/>
  <c r="J21" i="17" s="1"/>
  <c r="I20" i="17"/>
  <c r="AL17" i="17"/>
  <c r="AT17" i="17"/>
  <c r="F19" i="17"/>
  <c r="J19" i="17" s="1"/>
  <c r="P21" i="17"/>
  <c r="T22" i="17"/>
  <c r="X22" i="17" s="1"/>
  <c r="W22" i="17"/>
  <c r="I18" i="17"/>
  <c r="P20" i="17"/>
  <c r="T21" i="17"/>
  <c r="X21" i="17" s="1"/>
  <c r="AB23" i="17"/>
  <c r="AA22" i="17"/>
  <c r="AE22" i="17" s="1"/>
  <c r="AD22" i="17"/>
  <c r="AA21" i="17"/>
  <c r="AE21" i="17" s="1"/>
  <c r="P17" i="17"/>
  <c r="AD21" i="17"/>
  <c r="AL22" i="17"/>
  <c r="AN22" i="17" s="1"/>
  <c r="P18" i="17"/>
  <c r="AA20" i="17"/>
  <c r="AE20" i="17" s="1"/>
  <c r="I19" i="17"/>
  <c r="I17" i="17"/>
  <c r="P19" i="17"/>
  <c r="T17" i="17"/>
  <c r="X17" i="17" s="1"/>
  <c r="W18" i="17"/>
  <c r="AD20" i="17"/>
  <c r="AL21" i="17"/>
  <c r="AN21" i="17" s="1"/>
  <c r="T19" i="17"/>
  <c r="X19" i="17" s="1"/>
  <c r="AA19" i="17"/>
  <c r="AE19" i="17" s="1"/>
  <c r="W21" i="17"/>
  <c r="W19" i="17"/>
  <c r="W17" i="17"/>
  <c r="W20" i="17"/>
  <c r="AD19" i="17"/>
  <c r="AN20" i="16"/>
  <c r="AT20" i="16"/>
  <c r="AU20" i="16" s="1"/>
  <c r="M19" i="16"/>
  <c r="Q19" i="16" s="1"/>
  <c r="AA18" i="16"/>
  <c r="AE18" i="16" s="1"/>
  <c r="AF18" i="16" s="1"/>
  <c r="AT19" i="16"/>
  <c r="AU19" i="16" s="1"/>
  <c r="AT21" i="16"/>
  <c r="AU21" i="16" s="1"/>
  <c r="F19" i="16"/>
  <c r="J19" i="16" s="1"/>
  <c r="K19" i="16" s="1"/>
  <c r="F21" i="16"/>
  <c r="J21" i="16" s="1"/>
  <c r="U23" i="16"/>
  <c r="F22" i="16"/>
  <c r="J22" i="16" s="1"/>
  <c r="AN18" i="16"/>
  <c r="AM23" i="16"/>
  <c r="G23" i="16"/>
  <c r="N23" i="16"/>
  <c r="M19" i="15"/>
  <c r="Q19" i="15" s="1"/>
  <c r="U23" i="15"/>
  <c r="M17" i="16"/>
  <c r="Q17" i="16" s="1"/>
  <c r="AA20" i="15"/>
  <c r="AE20" i="15" s="1"/>
  <c r="AN19" i="16"/>
  <c r="I22" i="16"/>
  <c r="AA17" i="16"/>
  <c r="AE17" i="16" s="1"/>
  <c r="AN17" i="16"/>
  <c r="I21" i="16"/>
  <c r="M22" i="16"/>
  <c r="Q22" i="16" s="1"/>
  <c r="F20" i="16"/>
  <c r="J20" i="16" s="1"/>
  <c r="AT18" i="16"/>
  <c r="AU18" i="16" s="1"/>
  <c r="P22" i="16"/>
  <c r="I20" i="16"/>
  <c r="M21" i="16"/>
  <c r="Q21" i="16" s="1"/>
  <c r="AT17" i="16"/>
  <c r="P21" i="16"/>
  <c r="T22" i="16"/>
  <c r="X22" i="16" s="1"/>
  <c r="W22" i="16"/>
  <c r="P20" i="16"/>
  <c r="R20" i="16" s="1"/>
  <c r="T21" i="16"/>
  <c r="X21" i="16" s="1"/>
  <c r="AB23" i="16"/>
  <c r="AA22" i="16"/>
  <c r="AE22" i="16" s="1"/>
  <c r="I17" i="16"/>
  <c r="M18" i="16"/>
  <c r="Q18" i="16" s="1"/>
  <c r="AD22" i="16"/>
  <c r="T19" i="16"/>
  <c r="X19" i="16" s="1"/>
  <c r="AD21" i="16"/>
  <c r="AF21" i="16" s="1"/>
  <c r="AL22" i="16"/>
  <c r="AN22" i="16" s="1"/>
  <c r="W21" i="16"/>
  <c r="AA20" i="16"/>
  <c r="AE20" i="16" s="1"/>
  <c r="P19" i="16"/>
  <c r="T18" i="16"/>
  <c r="X18" i="16" s="1"/>
  <c r="W20" i="16"/>
  <c r="AD20" i="16"/>
  <c r="AL21" i="16"/>
  <c r="AN21" i="16" s="1"/>
  <c r="AA19" i="16"/>
  <c r="AE19" i="16" s="1"/>
  <c r="I18" i="16"/>
  <c r="K18" i="16" s="1"/>
  <c r="P18" i="16"/>
  <c r="W19" i="16"/>
  <c r="P17" i="16"/>
  <c r="W18" i="16"/>
  <c r="AD19" i="16"/>
  <c r="AF19" i="16" s="1"/>
  <c r="AM23" i="15"/>
  <c r="AJ23" i="15"/>
  <c r="AT19" i="15"/>
  <c r="AU19" i="15" s="1"/>
  <c r="F20" i="15"/>
  <c r="J20" i="15" s="1"/>
  <c r="K20" i="15" s="1"/>
  <c r="G23" i="15"/>
  <c r="T20" i="15"/>
  <c r="X20" i="15" s="1"/>
  <c r="T21" i="15"/>
  <c r="X21" i="15" s="1"/>
  <c r="T18" i="15"/>
  <c r="X18" i="15" s="1"/>
  <c r="AA18" i="15"/>
  <c r="AE18" i="15" s="1"/>
  <c r="AT21" i="15"/>
  <c r="AU21" i="15" s="1"/>
  <c r="AA21" i="15"/>
  <c r="AE21" i="15" s="1"/>
  <c r="F22" i="15"/>
  <c r="J22" i="15" s="1"/>
  <c r="AN18" i="15"/>
  <c r="M17" i="15"/>
  <c r="Q17" i="15" s="1"/>
  <c r="T22" i="15"/>
  <c r="X22" i="15" s="1"/>
  <c r="F18" i="15"/>
  <c r="J18" i="15" s="1"/>
  <c r="AT20" i="15"/>
  <c r="AU20" i="15" s="1"/>
  <c r="N23" i="15"/>
  <c r="M18" i="15"/>
  <c r="Q18" i="15" s="1"/>
  <c r="F17" i="15"/>
  <c r="J17" i="15" s="1"/>
  <c r="F21" i="15"/>
  <c r="J21" i="15" s="1"/>
  <c r="K21" i="15" s="1"/>
  <c r="T19" i="15"/>
  <c r="X19" i="15" s="1"/>
  <c r="M22" i="15"/>
  <c r="Q22" i="15" s="1"/>
  <c r="M20" i="15"/>
  <c r="Q20" i="15" s="1"/>
  <c r="AD19" i="15"/>
  <c r="AL20" i="15"/>
  <c r="AN20" i="15" s="1"/>
  <c r="W17" i="15"/>
  <c r="AD18" i="15"/>
  <c r="AL19" i="15"/>
  <c r="AN19" i="15" s="1"/>
  <c r="AT17" i="15"/>
  <c r="AA17" i="15"/>
  <c r="AE17" i="15" s="1"/>
  <c r="I22" i="15"/>
  <c r="W22" i="15"/>
  <c r="AB23" i="15"/>
  <c r="AN17" i="15"/>
  <c r="M21" i="15"/>
  <c r="Q21" i="15" s="1"/>
  <c r="F19" i="15"/>
  <c r="J19" i="15" s="1"/>
  <c r="K19" i="15" s="1"/>
  <c r="P20" i="15"/>
  <c r="I18" i="15"/>
  <c r="AA22" i="15"/>
  <c r="AE22" i="15" s="1"/>
  <c r="P19" i="15"/>
  <c r="I17" i="15"/>
  <c r="AD22" i="15"/>
  <c r="W21" i="15"/>
  <c r="AD21" i="15"/>
  <c r="AL22" i="15"/>
  <c r="AN22" i="15" s="1"/>
  <c r="W19" i="15"/>
  <c r="W20" i="15"/>
  <c r="P18" i="15"/>
  <c r="AA19" i="15"/>
  <c r="AE19" i="15" s="1"/>
  <c r="P17" i="15"/>
  <c r="AD20" i="15"/>
  <c r="AL21" i="15"/>
  <c r="AN21" i="15" s="1"/>
  <c r="D1" i="14"/>
  <c r="AM23" i="23" l="1"/>
  <c r="AR19" i="23"/>
  <c r="AF21" i="23"/>
  <c r="R19" i="23"/>
  <c r="AF20" i="23"/>
  <c r="AR17" i="23"/>
  <c r="K22" i="23"/>
  <c r="AR18" i="23"/>
  <c r="AR20" i="23"/>
  <c r="AF22" i="23"/>
  <c r="R18" i="23"/>
  <c r="J23" i="23"/>
  <c r="AF19" i="23"/>
  <c r="K20" i="23"/>
  <c r="Y17" i="23"/>
  <c r="W23" i="23"/>
  <c r="AQ17" i="23"/>
  <c r="R22" i="23"/>
  <c r="Y20" i="23"/>
  <c r="AQ20" i="23"/>
  <c r="AT23" i="23"/>
  <c r="AU17" i="23"/>
  <c r="K21" i="23"/>
  <c r="Y18" i="23"/>
  <c r="AQ18" i="23"/>
  <c r="Y19" i="23"/>
  <c r="AS19" i="23" s="1"/>
  <c r="AV19" i="23" s="1"/>
  <c r="AQ19" i="23"/>
  <c r="AL23" i="23"/>
  <c r="AN17" i="23"/>
  <c r="AN23" i="23" s="1"/>
  <c r="R17" i="23"/>
  <c r="P23" i="23"/>
  <c r="I23" i="23"/>
  <c r="AQ21" i="23"/>
  <c r="Y21" i="23"/>
  <c r="Q23" i="23"/>
  <c r="AD23" i="23"/>
  <c r="AR21" i="23"/>
  <c r="AE23" i="23"/>
  <c r="R20" i="23"/>
  <c r="AQ22" i="23"/>
  <c r="Y22" i="23"/>
  <c r="K18" i="23"/>
  <c r="X23" i="23"/>
  <c r="AR22" i="23"/>
  <c r="R21" i="23"/>
  <c r="K19" i="23"/>
  <c r="R18" i="22"/>
  <c r="AM23" i="22"/>
  <c r="AE23" i="22"/>
  <c r="R21" i="22"/>
  <c r="AN18" i="22"/>
  <c r="AR18" i="22"/>
  <c r="R20" i="22"/>
  <c r="AR17" i="22"/>
  <c r="R19" i="22"/>
  <c r="AF20" i="22"/>
  <c r="AR20" i="22"/>
  <c r="R20" i="17"/>
  <c r="K20" i="22"/>
  <c r="J23" i="22"/>
  <c r="AF18" i="22"/>
  <c r="J23" i="21"/>
  <c r="AF19" i="22"/>
  <c r="K21" i="22"/>
  <c r="AN23" i="22"/>
  <c r="Y18" i="22"/>
  <c r="AQ18" i="22"/>
  <c r="Y17" i="22"/>
  <c r="W23" i="22"/>
  <c r="AQ17" i="22"/>
  <c r="K22" i="22"/>
  <c r="AF21" i="22"/>
  <c r="AT23" i="22"/>
  <c r="AU17" i="22"/>
  <c r="I23" i="22"/>
  <c r="AF22" i="22"/>
  <c r="Y20" i="22"/>
  <c r="AQ20" i="22"/>
  <c r="Q23" i="22"/>
  <c r="AL23" i="22"/>
  <c r="AR21" i="22"/>
  <c r="AD23" i="22"/>
  <c r="AQ22" i="22"/>
  <c r="Y22" i="22"/>
  <c r="AR19" i="22"/>
  <c r="R17" i="22"/>
  <c r="P23" i="22"/>
  <c r="AQ21" i="22"/>
  <c r="AR22" i="22"/>
  <c r="Y19" i="22"/>
  <c r="AQ19" i="22"/>
  <c r="K19" i="22"/>
  <c r="X23" i="22"/>
  <c r="R22" i="22"/>
  <c r="AM23" i="21"/>
  <c r="AR17" i="21"/>
  <c r="AF17" i="21"/>
  <c r="K21" i="21"/>
  <c r="K22" i="21"/>
  <c r="AR20" i="21"/>
  <c r="AF20" i="21"/>
  <c r="R21" i="21"/>
  <c r="K20" i="21"/>
  <c r="AR19" i="21"/>
  <c r="R18" i="20"/>
  <c r="AF22" i="21"/>
  <c r="Q23" i="21"/>
  <c r="R22" i="21"/>
  <c r="AT23" i="21"/>
  <c r="AU17" i="21"/>
  <c r="AF18" i="21"/>
  <c r="P23" i="21"/>
  <c r="Y17" i="21"/>
  <c r="W23" i="21"/>
  <c r="AQ17" i="21"/>
  <c r="AN17" i="21"/>
  <c r="AN23" i="21" s="1"/>
  <c r="AF19" i="21"/>
  <c r="AF21" i="21"/>
  <c r="AQ21" i="21"/>
  <c r="AQ20" i="21"/>
  <c r="Y20" i="21"/>
  <c r="AL23" i="21"/>
  <c r="Y18" i="21"/>
  <c r="AQ18" i="21"/>
  <c r="AR21" i="21"/>
  <c r="AE23" i="21"/>
  <c r="AQ22" i="21"/>
  <c r="Y22" i="21"/>
  <c r="R20" i="21"/>
  <c r="AD23" i="21"/>
  <c r="AR22" i="21"/>
  <c r="K19" i="21"/>
  <c r="I23" i="21"/>
  <c r="X23" i="21"/>
  <c r="Y19" i="21"/>
  <c r="AQ19" i="21"/>
  <c r="K21" i="20"/>
  <c r="AR18" i="20"/>
  <c r="K18" i="20"/>
  <c r="AE23" i="20"/>
  <c r="AR20" i="20"/>
  <c r="Y18" i="20"/>
  <c r="AS18" i="20" s="1"/>
  <c r="AV18" i="20" s="1"/>
  <c r="AF20" i="20"/>
  <c r="AR21" i="20"/>
  <c r="AF22" i="20"/>
  <c r="R19" i="20"/>
  <c r="R20" i="20"/>
  <c r="AN23" i="18"/>
  <c r="AM23" i="18"/>
  <c r="K22" i="16"/>
  <c r="AR22" i="20"/>
  <c r="Q23" i="20"/>
  <c r="AL23" i="20"/>
  <c r="AN17" i="20"/>
  <c r="AN23" i="20" s="1"/>
  <c r="K22" i="20"/>
  <c r="AF17" i="20"/>
  <c r="AT23" i="20"/>
  <c r="AU17" i="20"/>
  <c r="AQ17" i="20"/>
  <c r="R17" i="20"/>
  <c r="P23" i="20"/>
  <c r="J23" i="20"/>
  <c r="Y19" i="20"/>
  <c r="AQ19" i="20"/>
  <c r="AQ18" i="20"/>
  <c r="K17" i="20"/>
  <c r="I23" i="20"/>
  <c r="AQ22" i="20"/>
  <c r="AR19" i="20"/>
  <c r="AD23" i="20"/>
  <c r="Y20" i="20"/>
  <c r="AQ20" i="20"/>
  <c r="W23" i="20"/>
  <c r="Y21" i="20"/>
  <c r="AS21" i="20" s="1"/>
  <c r="AV21" i="20" s="1"/>
  <c r="AQ21" i="20"/>
  <c r="X23" i="20"/>
  <c r="AR17" i="20"/>
  <c r="R19" i="15"/>
  <c r="AR18" i="15"/>
  <c r="W23" i="18"/>
  <c r="AF19" i="18"/>
  <c r="AR17" i="18"/>
  <c r="AR19" i="18"/>
  <c r="AF17" i="18"/>
  <c r="J23" i="18"/>
  <c r="AR18" i="18"/>
  <c r="K21" i="18"/>
  <c r="K22" i="18"/>
  <c r="R22" i="18"/>
  <c r="AR20" i="18"/>
  <c r="K21" i="16"/>
  <c r="AF21" i="18"/>
  <c r="R18" i="16"/>
  <c r="AR22" i="18"/>
  <c r="Q23" i="18"/>
  <c r="R21" i="18"/>
  <c r="AT23" i="18"/>
  <c r="AU17" i="18"/>
  <c r="K20" i="18"/>
  <c r="I23" i="18"/>
  <c r="AE23" i="18"/>
  <c r="AL23" i="18"/>
  <c r="Y18" i="18"/>
  <c r="AS18" i="18" s="1"/>
  <c r="AV18" i="18" s="1"/>
  <c r="AQ18" i="18"/>
  <c r="R17" i="18"/>
  <c r="P23" i="18"/>
  <c r="Y20" i="18"/>
  <c r="AQ20" i="18"/>
  <c r="AQ21" i="18"/>
  <c r="AR21" i="18"/>
  <c r="AD23" i="18"/>
  <c r="Y19" i="18"/>
  <c r="AQ19" i="18"/>
  <c r="AF20" i="18"/>
  <c r="AF22" i="18"/>
  <c r="AQ22" i="18"/>
  <c r="Y22" i="18"/>
  <c r="X23" i="18"/>
  <c r="K22" i="17"/>
  <c r="AF19" i="17"/>
  <c r="R21" i="17"/>
  <c r="J23" i="17"/>
  <c r="R18" i="17"/>
  <c r="Q23" i="17"/>
  <c r="K18" i="17"/>
  <c r="AE23" i="17"/>
  <c r="R19" i="17"/>
  <c r="AF21" i="17"/>
  <c r="J23" i="16"/>
  <c r="AQ18" i="15"/>
  <c r="AR18" i="16"/>
  <c r="AR20" i="17"/>
  <c r="AF20" i="15"/>
  <c r="AR19" i="15"/>
  <c r="R19" i="16"/>
  <c r="AR21" i="17"/>
  <c r="AR18" i="17"/>
  <c r="R17" i="17"/>
  <c r="P23" i="17"/>
  <c r="AF22" i="17"/>
  <c r="K21" i="17"/>
  <c r="AR22" i="17"/>
  <c r="AT23" i="17"/>
  <c r="AU17" i="17"/>
  <c r="W23" i="17"/>
  <c r="AQ17" i="17"/>
  <c r="Y17" i="17"/>
  <c r="R22" i="17"/>
  <c r="Y19" i="17"/>
  <c r="AQ19" i="17"/>
  <c r="K20" i="17"/>
  <c r="Y18" i="17"/>
  <c r="AQ18" i="17"/>
  <c r="K17" i="17"/>
  <c r="I23" i="17"/>
  <c r="AQ22" i="17"/>
  <c r="Y22" i="17"/>
  <c r="AQ21" i="17"/>
  <c r="Y21" i="17"/>
  <c r="AF20" i="17"/>
  <c r="K19" i="17"/>
  <c r="AD23" i="17"/>
  <c r="AR19" i="17"/>
  <c r="AL23" i="17"/>
  <c r="AN17" i="17"/>
  <c r="AN23" i="17" s="1"/>
  <c r="Y20" i="17"/>
  <c r="AQ20" i="17"/>
  <c r="X23" i="17"/>
  <c r="AR17" i="17"/>
  <c r="Q23" i="16"/>
  <c r="AR22" i="16"/>
  <c r="K20" i="16"/>
  <c r="AF20" i="16"/>
  <c r="AR17" i="16"/>
  <c r="AR21" i="16"/>
  <c r="R22" i="16"/>
  <c r="AR20" i="16"/>
  <c r="X23" i="15"/>
  <c r="Y18" i="15"/>
  <c r="AR20" i="15"/>
  <c r="AD23" i="16"/>
  <c r="AQ22" i="16"/>
  <c r="Y22" i="16"/>
  <c r="Y19" i="16"/>
  <c r="AQ19" i="16"/>
  <c r="R17" i="16"/>
  <c r="P23" i="16"/>
  <c r="W23" i="16"/>
  <c r="AQ17" i="16"/>
  <c r="AF17" i="16"/>
  <c r="R21" i="16"/>
  <c r="Y18" i="16"/>
  <c r="AQ18" i="16"/>
  <c r="AN23" i="16"/>
  <c r="AQ20" i="16"/>
  <c r="Y20" i="16"/>
  <c r="K17" i="16"/>
  <c r="I23" i="16"/>
  <c r="AE23" i="16"/>
  <c r="X23" i="16"/>
  <c r="AT23" i="16"/>
  <c r="AU17" i="16"/>
  <c r="AR19" i="16"/>
  <c r="AL23" i="16"/>
  <c r="AQ21" i="16"/>
  <c r="Y21" i="16"/>
  <c r="AF22" i="16"/>
  <c r="AE23" i="15"/>
  <c r="R18" i="15"/>
  <c r="AF22" i="15"/>
  <c r="AR22" i="15"/>
  <c r="AF21" i="15"/>
  <c r="K22" i="15"/>
  <c r="AF19" i="15"/>
  <c r="R22" i="15"/>
  <c r="R20" i="15"/>
  <c r="AR21" i="15"/>
  <c r="K18" i="15"/>
  <c r="AN23" i="15"/>
  <c r="R17" i="15"/>
  <c r="P23" i="15"/>
  <c r="AT23" i="15"/>
  <c r="AU17" i="15"/>
  <c r="J23" i="15"/>
  <c r="Y20" i="15"/>
  <c r="AQ20" i="15"/>
  <c r="K17" i="15"/>
  <c r="I23" i="15"/>
  <c r="Q23" i="15"/>
  <c r="AD23" i="15"/>
  <c r="AF18" i="15"/>
  <c r="AR17" i="15"/>
  <c r="AF17" i="15"/>
  <c r="Y21" i="15"/>
  <c r="AQ21" i="15"/>
  <c r="AQ22" i="15"/>
  <c r="Y22" i="15"/>
  <c r="AQ17" i="15"/>
  <c r="W23" i="15"/>
  <c r="Y17" i="15"/>
  <c r="AL23" i="15"/>
  <c r="Y19" i="15"/>
  <c r="AQ19" i="15"/>
  <c r="R21" i="15"/>
  <c r="AK23" i="14"/>
  <c r="AJ23" i="14"/>
  <c r="AC23" i="14"/>
  <c r="V23" i="14"/>
  <c r="O23" i="14"/>
  <c r="H23" i="14"/>
  <c r="D23" i="14"/>
  <c r="AM22" i="14"/>
  <c r="AB22" i="14"/>
  <c r="U22" i="14"/>
  <c r="N22" i="14"/>
  <c r="G22" i="14"/>
  <c r="AM21" i="14"/>
  <c r="AB21" i="14"/>
  <c r="U21" i="14"/>
  <c r="N21" i="14"/>
  <c r="G21" i="14"/>
  <c r="AM20" i="14"/>
  <c r="AB20" i="14"/>
  <c r="U20" i="14"/>
  <c r="N20" i="14"/>
  <c r="G20" i="14"/>
  <c r="AM19" i="14"/>
  <c r="AB19" i="14"/>
  <c r="U19" i="14"/>
  <c r="P19" i="14"/>
  <c r="N19" i="14"/>
  <c r="G19" i="14"/>
  <c r="AM18" i="14"/>
  <c r="AL18" i="14"/>
  <c r="AB18" i="14"/>
  <c r="U18" i="14"/>
  <c r="P18" i="14"/>
  <c r="N18" i="14"/>
  <c r="G18" i="14"/>
  <c r="AM17" i="14"/>
  <c r="AL17" i="14"/>
  <c r="AD17" i="14"/>
  <c r="AB17" i="14"/>
  <c r="U17" i="14"/>
  <c r="N17" i="14"/>
  <c r="I17" i="14"/>
  <c r="G17" i="14"/>
  <c r="D2" i="14"/>
  <c r="P21" i="14"/>
  <c r="AS21" i="18" l="1"/>
  <c r="AV21" i="18" s="1"/>
  <c r="AS21" i="23"/>
  <c r="AV21" i="23" s="1"/>
  <c r="AR23" i="23"/>
  <c r="AS21" i="21"/>
  <c r="AV21" i="21" s="1"/>
  <c r="AS20" i="22"/>
  <c r="AV20" i="22" s="1"/>
  <c r="K23" i="23"/>
  <c r="AS22" i="23"/>
  <c r="AV22" i="23" s="1"/>
  <c r="AS21" i="22"/>
  <c r="AV21" i="22" s="1"/>
  <c r="R23" i="23"/>
  <c r="AS18" i="23"/>
  <c r="AV18" i="23" s="1"/>
  <c r="AS20" i="23"/>
  <c r="AV20" i="23" s="1"/>
  <c r="AQ23" i="23"/>
  <c r="AF23" i="23"/>
  <c r="Y23" i="23"/>
  <c r="AS17" i="23"/>
  <c r="AS18" i="22"/>
  <c r="AV18" i="22" s="1"/>
  <c r="R23" i="22"/>
  <c r="AS22" i="22"/>
  <c r="AV22" i="22" s="1"/>
  <c r="AS19" i="18"/>
  <c r="AV19" i="18" s="1"/>
  <c r="AS19" i="20"/>
  <c r="AV19" i="20" s="1"/>
  <c r="K23" i="18"/>
  <c r="AS22" i="20"/>
  <c r="AV22" i="20" s="1"/>
  <c r="K23" i="22"/>
  <c r="AS18" i="21"/>
  <c r="AV18" i="21" s="1"/>
  <c r="AS19" i="22"/>
  <c r="AV19" i="22" s="1"/>
  <c r="AR23" i="22"/>
  <c r="AQ23" i="22"/>
  <c r="AF23" i="22"/>
  <c r="Y23" i="22"/>
  <c r="AS17" i="22"/>
  <c r="K23" i="21"/>
  <c r="AS22" i="21"/>
  <c r="AV22" i="21" s="1"/>
  <c r="AR23" i="21"/>
  <c r="R23" i="21"/>
  <c r="R23" i="18"/>
  <c r="K23" i="20"/>
  <c r="AS19" i="21"/>
  <c r="AV19" i="21" s="1"/>
  <c r="AS18" i="16"/>
  <c r="AV18" i="16" s="1"/>
  <c r="AS20" i="21"/>
  <c r="AV20" i="21" s="1"/>
  <c r="AQ23" i="21"/>
  <c r="AF23" i="21"/>
  <c r="Y23" i="21"/>
  <c r="AS17" i="21"/>
  <c r="R23" i="20"/>
  <c r="AS20" i="20"/>
  <c r="AV20" i="20" s="1"/>
  <c r="AR23" i="20"/>
  <c r="AR23" i="18"/>
  <c r="AQ23" i="20"/>
  <c r="AF23" i="20"/>
  <c r="AS17" i="20"/>
  <c r="Y23" i="20"/>
  <c r="AS22" i="18"/>
  <c r="AV22" i="18" s="1"/>
  <c r="AQ23" i="18"/>
  <c r="AT21" i="14"/>
  <c r="AU21" i="14" s="1"/>
  <c r="AS19" i="16"/>
  <c r="AV19" i="16" s="1"/>
  <c r="AS20" i="18"/>
  <c r="AV20" i="18" s="1"/>
  <c r="Y23" i="18"/>
  <c r="AS17" i="18"/>
  <c r="AF23" i="18"/>
  <c r="AS18" i="17"/>
  <c r="AV18" i="17" s="1"/>
  <c r="AS22" i="17"/>
  <c r="AV22" i="17" s="1"/>
  <c r="AS21" i="17"/>
  <c r="AV21" i="17" s="1"/>
  <c r="AR23" i="17"/>
  <c r="AR23" i="15"/>
  <c r="AS22" i="15"/>
  <c r="AV22" i="15" s="1"/>
  <c r="AS20" i="17"/>
  <c r="AV20" i="17" s="1"/>
  <c r="AT20" i="14"/>
  <c r="AU20" i="14" s="1"/>
  <c r="K23" i="16"/>
  <c r="AS20" i="16"/>
  <c r="AV20" i="16" s="1"/>
  <c r="AS18" i="15"/>
  <c r="AV18" i="15" s="1"/>
  <c r="AS20" i="15"/>
  <c r="AV20" i="15" s="1"/>
  <c r="K23" i="17"/>
  <c r="AS19" i="17"/>
  <c r="AV19" i="17" s="1"/>
  <c r="AQ23" i="17"/>
  <c r="AF23" i="17"/>
  <c r="Y23" i="17"/>
  <c r="AS17" i="17"/>
  <c r="R23" i="17"/>
  <c r="AR23" i="16"/>
  <c r="AS21" i="16"/>
  <c r="AV21" i="16" s="1"/>
  <c r="AF23" i="16"/>
  <c r="AQ23" i="16"/>
  <c r="AS22" i="16"/>
  <c r="AV22" i="16" s="1"/>
  <c r="AS17" i="16"/>
  <c r="R23" i="16"/>
  <c r="Y23" i="16"/>
  <c r="K23" i="15"/>
  <c r="AS19" i="15"/>
  <c r="AV19" i="15" s="1"/>
  <c r="F19" i="14"/>
  <c r="J19" i="14" s="1"/>
  <c r="M21" i="14"/>
  <c r="Q21" i="14" s="1"/>
  <c r="R21" i="14" s="1"/>
  <c r="AT22" i="14"/>
  <c r="AU22" i="14" s="1"/>
  <c r="M17" i="14"/>
  <c r="Q17" i="14" s="1"/>
  <c r="AF23" i="15"/>
  <c r="AS17" i="15"/>
  <c r="Y23" i="15"/>
  <c r="AS21" i="15"/>
  <c r="AV21" i="15" s="1"/>
  <c r="AQ23" i="15"/>
  <c r="R23" i="15"/>
  <c r="AT19" i="14"/>
  <c r="AU19" i="14" s="1"/>
  <c r="T22" i="14"/>
  <c r="X22" i="14" s="1"/>
  <c r="T20" i="14"/>
  <c r="X20" i="14" s="1"/>
  <c r="AM23" i="14"/>
  <c r="AT18" i="14"/>
  <c r="AU18" i="14" s="1"/>
  <c r="AN18" i="14"/>
  <c r="AA19" i="14"/>
  <c r="AE19" i="14" s="1"/>
  <c r="AN17" i="14"/>
  <c r="F17" i="14"/>
  <c r="J17" i="14" s="1"/>
  <c r="K17" i="14" s="1"/>
  <c r="AD19" i="14"/>
  <c r="W17" i="14"/>
  <c r="AA18" i="14"/>
  <c r="AE18" i="14" s="1"/>
  <c r="I19" i="14"/>
  <c r="M20" i="14"/>
  <c r="Q20" i="14" s="1"/>
  <c r="F18" i="14"/>
  <c r="J18" i="14" s="1"/>
  <c r="W22" i="14"/>
  <c r="AD18" i="14"/>
  <c r="AL19" i="14"/>
  <c r="AN19" i="14" s="1"/>
  <c r="P20" i="14"/>
  <c r="T21" i="14"/>
  <c r="X21" i="14" s="1"/>
  <c r="AB23" i="14"/>
  <c r="AA17" i="14"/>
  <c r="AE17" i="14" s="1"/>
  <c r="I18" i="14"/>
  <c r="M19" i="14"/>
  <c r="Q19" i="14" s="1"/>
  <c r="R19" i="14" s="1"/>
  <c r="G23" i="14"/>
  <c r="W21" i="14"/>
  <c r="AA22" i="14"/>
  <c r="AE22" i="14" s="1"/>
  <c r="F22" i="14"/>
  <c r="J22" i="14" s="1"/>
  <c r="M18" i="14"/>
  <c r="Q18" i="14" s="1"/>
  <c r="AD22" i="14"/>
  <c r="W20" i="14"/>
  <c r="AA21" i="14"/>
  <c r="AE21" i="14" s="1"/>
  <c r="I22" i="14"/>
  <c r="T19" i="14"/>
  <c r="X19" i="14" s="1"/>
  <c r="F21" i="14"/>
  <c r="J21" i="14" s="1"/>
  <c r="N23" i="14"/>
  <c r="AD21" i="14"/>
  <c r="AL22" i="14"/>
  <c r="AN22" i="14" s="1"/>
  <c r="I21" i="14"/>
  <c r="M22" i="14"/>
  <c r="Q22" i="14" s="1"/>
  <c r="W19" i="14"/>
  <c r="P17" i="14"/>
  <c r="F20" i="14"/>
  <c r="J20" i="14" s="1"/>
  <c r="AA20" i="14"/>
  <c r="AE20" i="14" s="1"/>
  <c r="T18" i="14"/>
  <c r="X18" i="14" s="1"/>
  <c r="AD20" i="14"/>
  <c r="AL21" i="14"/>
  <c r="AN21" i="14" s="1"/>
  <c r="P22" i="14"/>
  <c r="W18" i="14"/>
  <c r="I20" i="14"/>
  <c r="U23" i="14"/>
  <c r="T17" i="14"/>
  <c r="X17" i="14" s="1"/>
  <c r="AT17" i="14"/>
  <c r="AL20" i="14"/>
  <c r="AN20" i="14" s="1"/>
  <c r="D1" i="9"/>
  <c r="AB17" i="9"/>
  <c r="AB18" i="9"/>
  <c r="AB19" i="9"/>
  <c r="AB20" i="9"/>
  <c r="AB21" i="9"/>
  <c r="AB22" i="9"/>
  <c r="U17" i="9"/>
  <c r="U18" i="9"/>
  <c r="U19" i="9"/>
  <c r="U20" i="9"/>
  <c r="U21" i="9"/>
  <c r="U22" i="9"/>
  <c r="N17" i="9"/>
  <c r="N18" i="9"/>
  <c r="N19" i="9"/>
  <c r="N20" i="9"/>
  <c r="N21" i="9"/>
  <c r="N22" i="9"/>
  <c r="G17" i="9"/>
  <c r="G18" i="9"/>
  <c r="G19" i="9"/>
  <c r="G20" i="9"/>
  <c r="G21" i="9"/>
  <c r="G22" i="9"/>
  <c r="AK23" i="9"/>
  <c r="AJ23" i="9"/>
  <c r="AC23" i="9"/>
  <c r="V23" i="9"/>
  <c r="O23" i="9"/>
  <c r="H23" i="9"/>
  <c r="D23" i="9"/>
  <c r="AM22" i="9"/>
  <c r="AM21" i="9"/>
  <c r="AM20" i="9"/>
  <c r="AM19" i="9"/>
  <c r="AM18" i="9"/>
  <c r="AM17" i="9"/>
  <c r="W17" i="9"/>
  <c r="D2" i="9"/>
  <c r="P20" i="9"/>
  <c r="AS23" i="23" l="1"/>
  <c r="AV17" i="23"/>
  <c r="AS23" i="22"/>
  <c r="AV17" i="22"/>
  <c r="AS23" i="21"/>
  <c r="AV17" i="21"/>
  <c r="AS23" i="20"/>
  <c r="AV17" i="20"/>
  <c r="AS23" i="18"/>
  <c r="AV17" i="18"/>
  <c r="K19" i="14"/>
  <c r="AS23" i="17"/>
  <c r="AV17" i="17"/>
  <c r="AQ19" i="14"/>
  <c r="AQ18" i="14"/>
  <c r="AS23" i="16"/>
  <c r="AV17" i="16"/>
  <c r="AQ20" i="14"/>
  <c r="AQ21" i="14"/>
  <c r="AS23" i="15"/>
  <c r="AV17" i="15"/>
  <c r="AQ17" i="14"/>
  <c r="AD23" i="14"/>
  <c r="AQ22" i="14"/>
  <c r="I23" i="14"/>
  <c r="AR20" i="14"/>
  <c r="AN23" i="14"/>
  <c r="Q23" i="14"/>
  <c r="AR19" i="14"/>
  <c r="J23" i="14"/>
  <c r="AR22" i="14"/>
  <c r="AF19" i="14"/>
  <c r="R17" i="14"/>
  <c r="P23" i="14"/>
  <c r="Y19" i="14"/>
  <c r="W23" i="14"/>
  <c r="Y17" i="14"/>
  <c r="K21" i="14"/>
  <c r="Y21" i="14"/>
  <c r="AL23" i="14"/>
  <c r="AT23" i="14"/>
  <c r="AU17" i="14"/>
  <c r="AR17" i="14"/>
  <c r="X23" i="14"/>
  <c r="AF21" i="14"/>
  <c r="K18" i="14"/>
  <c r="AE23" i="14"/>
  <c r="K20" i="14"/>
  <c r="R18" i="14"/>
  <c r="Y18" i="14"/>
  <c r="AR21" i="14"/>
  <c r="R22" i="14"/>
  <c r="K22" i="14"/>
  <c r="R20" i="14"/>
  <c r="AF20" i="14"/>
  <c r="Y20" i="14"/>
  <c r="AF18" i="14"/>
  <c r="AF17" i="14"/>
  <c r="AR18" i="14"/>
  <c r="AF22" i="14"/>
  <c r="Y22" i="14"/>
  <c r="AT22" i="9"/>
  <c r="AU22" i="9" s="1"/>
  <c r="AA17" i="9"/>
  <c r="AE17" i="9" s="1"/>
  <c r="T17" i="9"/>
  <c r="X17" i="9" s="1"/>
  <c r="Y17" i="9" s="1"/>
  <c r="F18" i="9"/>
  <c r="J18" i="9" s="1"/>
  <c r="F21" i="9"/>
  <c r="J21" i="9" s="1"/>
  <c r="F19" i="9"/>
  <c r="J19" i="9" s="1"/>
  <c r="F20" i="9"/>
  <c r="J20" i="9" s="1"/>
  <c r="F17" i="9"/>
  <c r="J17" i="9" s="1"/>
  <c r="T19" i="9"/>
  <c r="X19" i="9" s="1"/>
  <c r="T22" i="9"/>
  <c r="X22" i="9" s="1"/>
  <c r="AA18" i="9"/>
  <c r="AE18" i="9" s="1"/>
  <c r="M19" i="9"/>
  <c r="Q19" i="9" s="1"/>
  <c r="AT19" i="9"/>
  <c r="AU19" i="9" s="1"/>
  <c r="AM23" i="9"/>
  <c r="AT20" i="9"/>
  <c r="AU20" i="9" s="1"/>
  <c r="AT21" i="9"/>
  <c r="AU21" i="9" s="1"/>
  <c r="AT18" i="9"/>
  <c r="AU18" i="9" s="1"/>
  <c r="W18" i="9"/>
  <c r="I21" i="9"/>
  <c r="I19" i="9"/>
  <c r="I17" i="9"/>
  <c r="T21" i="9"/>
  <c r="X21" i="9" s="1"/>
  <c r="W22" i="9"/>
  <c r="M18" i="9"/>
  <c r="Q18" i="9" s="1"/>
  <c r="AL18" i="9"/>
  <c r="AN18" i="9" s="1"/>
  <c r="P19" i="9"/>
  <c r="T20" i="9"/>
  <c r="X20" i="9" s="1"/>
  <c r="W21" i="9"/>
  <c r="AB23" i="9"/>
  <c r="M17" i="9"/>
  <c r="Q17" i="9" s="1"/>
  <c r="AL17" i="9"/>
  <c r="P18" i="9"/>
  <c r="AA22" i="9"/>
  <c r="AE22" i="9" s="1"/>
  <c r="G23" i="9"/>
  <c r="W20" i="9"/>
  <c r="F22" i="9"/>
  <c r="J22" i="9" s="1"/>
  <c r="AA21" i="9"/>
  <c r="AE21" i="9" s="1"/>
  <c r="AD22" i="9"/>
  <c r="P17" i="9"/>
  <c r="I22" i="9"/>
  <c r="T18" i="9"/>
  <c r="X18" i="9" s="1"/>
  <c r="W19" i="9"/>
  <c r="AA20" i="9"/>
  <c r="AE20" i="9" s="1"/>
  <c r="AD21" i="9"/>
  <c r="N23" i="9"/>
  <c r="AT17" i="9"/>
  <c r="AA19" i="9"/>
  <c r="AE19" i="9" s="1"/>
  <c r="AD20" i="9"/>
  <c r="M22" i="9"/>
  <c r="Q22" i="9" s="1"/>
  <c r="AL22" i="9"/>
  <c r="AN22" i="9" s="1"/>
  <c r="I20" i="9"/>
  <c r="AD19" i="9"/>
  <c r="M21" i="9"/>
  <c r="Q21" i="9" s="1"/>
  <c r="AL21" i="9"/>
  <c r="AN21" i="9" s="1"/>
  <c r="P22" i="9"/>
  <c r="AD18" i="9"/>
  <c r="M20" i="9"/>
  <c r="Q20" i="9" s="1"/>
  <c r="R20" i="9" s="1"/>
  <c r="AL20" i="9"/>
  <c r="AN20" i="9" s="1"/>
  <c r="P21" i="9"/>
  <c r="U23" i="9"/>
  <c r="I18" i="9"/>
  <c r="AD17" i="9"/>
  <c r="AL19" i="9"/>
  <c r="AN19" i="9" s="1"/>
  <c r="E1" i="1"/>
  <c r="O74" i="1" s="1"/>
  <c r="D72" i="1"/>
  <c r="V74" i="1"/>
  <c r="T74" i="1"/>
  <c r="S74" i="1"/>
  <c r="Q74" i="1"/>
  <c r="P74" i="1"/>
  <c r="K74" i="1"/>
  <c r="G74" i="1"/>
  <c r="F74" i="1"/>
  <c r="AS19" i="14" l="1"/>
  <c r="AV19" i="14" s="1"/>
  <c r="AS20" i="14"/>
  <c r="AV20" i="14" s="1"/>
  <c r="AR23" i="14"/>
  <c r="AS21" i="14"/>
  <c r="AV21" i="14" s="1"/>
  <c r="AS17" i="14"/>
  <c r="AV17" i="14" s="1"/>
  <c r="AF23" i="14"/>
  <c r="Y23" i="14"/>
  <c r="AS18" i="14"/>
  <c r="AV18" i="14" s="1"/>
  <c r="AQ23" i="14"/>
  <c r="AS22" i="14"/>
  <c r="AV22" i="14" s="1"/>
  <c r="K23" i="14"/>
  <c r="R23" i="14"/>
  <c r="AQ17" i="9"/>
  <c r="K21" i="9"/>
  <c r="Y18" i="9"/>
  <c r="K18" i="9"/>
  <c r="K20" i="9"/>
  <c r="J23" i="9"/>
  <c r="K19" i="9"/>
  <c r="AE23" i="9"/>
  <c r="AF22" i="9"/>
  <c r="AF18" i="9"/>
  <c r="R19" i="9"/>
  <c r="K22" i="9"/>
  <c r="AF19" i="9"/>
  <c r="AR22" i="9"/>
  <c r="P23" i="9"/>
  <c r="R17" i="9"/>
  <c r="AQ22" i="9"/>
  <c r="Y22" i="9"/>
  <c r="AR21" i="9"/>
  <c r="I23" i="9"/>
  <c r="K17" i="9"/>
  <c r="AF20" i="9"/>
  <c r="Y20" i="9"/>
  <c r="AQ20" i="9"/>
  <c r="AT23" i="9"/>
  <c r="AU17" i="9"/>
  <c r="R18" i="9"/>
  <c r="AR19" i="9"/>
  <c r="AF21" i="9"/>
  <c r="AL23" i="9"/>
  <c r="AN17" i="9"/>
  <c r="AN23" i="9" s="1"/>
  <c r="Q23" i="9"/>
  <c r="AD23" i="9"/>
  <c r="AF17" i="9"/>
  <c r="R21" i="9"/>
  <c r="Y19" i="9"/>
  <c r="AQ19" i="9"/>
  <c r="W23" i="9"/>
  <c r="AR18" i="9"/>
  <c r="AQ21" i="9"/>
  <c r="Y21" i="9"/>
  <c r="AQ18" i="9"/>
  <c r="AR20" i="9"/>
  <c r="X23" i="9"/>
  <c r="R22" i="9"/>
  <c r="AR17" i="9"/>
  <c r="J74" i="1"/>
  <c r="R74" i="1"/>
  <c r="U74" i="1" s="1"/>
  <c r="V69" i="1"/>
  <c r="Q69" i="1"/>
  <c r="P69" i="1"/>
  <c r="O69" i="1"/>
  <c r="K69" i="1"/>
  <c r="J69" i="1"/>
  <c r="G69" i="1"/>
  <c r="S69" i="1" s="1"/>
  <c r="T69" i="1" s="1"/>
  <c r="F69" i="1"/>
  <c r="R69" i="1" s="1"/>
  <c r="AS23" i="14" l="1"/>
  <c r="AS20" i="9"/>
  <c r="AV20" i="9" s="1"/>
  <c r="AS17" i="9"/>
  <c r="AV17" i="9" s="1"/>
  <c r="AS22" i="9"/>
  <c r="AV22" i="9" s="1"/>
  <c r="AQ23" i="9"/>
  <c r="AS18" i="9"/>
  <c r="AV18" i="9" s="1"/>
  <c r="AS19" i="9"/>
  <c r="AV19" i="9" s="1"/>
  <c r="K23" i="9"/>
  <c r="AS21" i="9"/>
  <c r="AV21" i="9" s="1"/>
  <c r="AR23" i="9"/>
  <c r="R23" i="9"/>
  <c r="Y23" i="9"/>
  <c r="AF23" i="9"/>
  <c r="U69" i="1"/>
  <c r="N63" i="1"/>
  <c r="N62" i="1"/>
  <c r="O62" i="1" s="1"/>
  <c r="N61" i="1"/>
  <c r="M61" i="1"/>
  <c r="I61" i="1"/>
  <c r="J61" i="1" s="1"/>
  <c r="I63" i="1"/>
  <c r="I62" i="1"/>
  <c r="I60" i="1"/>
  <c r="Q60" i="1" s="1"/>
  <c r="H60" i="1"/>
  <c r="H61" i="1"/>
  <c r="E63" i="1"/>
  <c r="E62" i="1"/>
  <c r="E61" i="1"/>
  <c r="D61" i="1"/>
  <c r="I58" i="1"/>
  <c r="I57" i="1"/>
  <c r="H58" i="1"/>
  <c r="H57" i="1"/>
  <c r="F56" i="1"/>
  <c r="G56" i="1"/>
  <c r="S56" i="1" s="1"/>
  <c r="T56" i="1" s="1"/>
  <c r="J56" i="1"/>
  <c r="K56" i="1"/>
  <c r="O56" i="1"/>
  <c r="P56" i="1"/>
  <c r="Q56" i="1"/>
  <c r="V56" i="1"/>
  <c r="F57" i="1"/>
  <c r="G57" i="1"/>
  <c r="J57" i="1"/>
  <c r="K57" i="1"/>
  <c r="O57" i="1"/>
  <c r="P57" i="1"/>
  <c r="Q57" i="1"/>
  <c r="V57" i="1"/>
  <c r="F58" i="1"/>
  <c r="G58" i="1"/>
  <c r="J58" i="1"/>
  <c r="K58" i="1"/>
  <c r="O58" i="1"/>
  <c r="P58" i="1"/>
  <c r="Q58" i="1"/>
  <c r="V58" i="1"/>
  <c r="F59" i="1"/>
  <c r="G59" i="1"/>
  <c r="J59" i="1"/>
  <c r="K59" i="1"/>
  <c r="O59" i="1"/>
  <c r="P59" i="1"/>
  <c r="Q59" i="1"/>
  <c r="V59" i="1"/>
  <c r="F60" i="1"/>
  <c r="G60" i="1"/>
  <c r="J60" i="1"/>
  <c r="K60" i="1"/>
  <c r="O60" i="1"/>
  <c r="P60" i="1"/>
  <c r="V60" i="1"/>
  <c r="F61" i="1"/>
  <c r="G61" i="1"/>
  <c r="K61" i="1"/>
  <c r="O61" i="1"/>
  <c r="P61" i="1"/>
  <c r="Q61" i="1"/>
  <c r="V61" i="1"/>
  <c r="F62" i="1"/>
  <c r="G62" i="1"/>
  <c r="J62" i="1"/>
  <c r="K62" i="1"/>
  <c r="P62" i="1"/>
  <c r="V62" i="1"/>
  <c r="F63" i="1"/>
  <c r="G63" i="1"/>
  <c r="J63" i="1"/>
  <c r="K63" i="1"/>
  <c r="O63" i="1"/>
  <c r="P63" i="1"/>
  <c r="Q63" i="1"/>
  <c r="V63" i="1"/>
  <c r="F64" i="1"/>
  <c r="G64" i="1"/>
  <c r="J64" i="1"/>
  <c r="K64" i="1"/>
  <c r="O64" i="1"/>
  <c r="P64" i="1"/>
  <c r="Q64" i="1"/>
  <c r="V64" i="1"/>
  <c r="F65" i="1"/>
  <c r="G65" i="1"/>
  <c r="J65" i="1"/>
  <c r="K65" i="1"/>
  <c r="O65" i="1"/>
  <c r="P65" i="1"/>
  <c r="Q65" i="1"/>
  <c r="V65" i="1"/>
  <c r="F66" i="1"/>
  <c r="R66" i="1" s="1"/>
  <c r="G66" i="1"/>
  <c r="J66" i="1"/>
  <c r="K66" i="1"/>
  <c r="O66" i="1"/>
  <c r="P66" i="1"/>
  <c r="Q66" i="1"/>
  <c r="V66" i="1"/>
  <c r="F67" i="1"/>
  <c r="G67" i="1"/>
  <c r="J67" i="1"/>
  <c r="K67" i="1"/>
  <c r="O67" i="1"/>
  <c r="P67" i="1"/>
  <c r="Q67" i="1"/>
  <c r="V67" i="1"/>
  <c r="F68" i="1"/>
  <c r="G68" i="1"/>
  <c r="J68" i="1"/>
  <c r="K68" i="1"/>
  <c r="O68" i="1"/>
  <c r="P68" i="1"/>
  <c r="Q68" i="1"/>
  <c r="V68" i="1"/>
  <c r="F70" i="1"/>
  <c r="G70" i="1"/>
  <c r="J70" i="1"/>
  <c r="K70" i="1"/>
  <c r="O70" i="1"/>
  <c r="P70" i="1"/>
  <c r="Q70" i="1"/>
  <c r="V70" i="1"/>
  <c r="F71" i="1"/>
  <c r="G71" i="1"/>
  <c r="J71" i="1"/>
  <c r="K71" i="1"/>
  <c r="O71" i="1"/>
  <c r="P71" i="1"/>
  <c r="Q71" i="1"/>
  <c r="V71" i="1"/>
  <c r="F72" i="1"/>
  <c r="G72" i="1"/>
  <c r="J72" i="1"/>
  <c r="K72" i="1"/>
  <c r="O72" i="1"/>
  <c r="P72" i="1"/>
  <c r="Q72" i="1"/>
  <c r="V72" i="1"/>
  <c r="F73" i="1"/>
  <c r="G73" i="1"/>
  <c r="J73" i="1"/>
  <c r="K73" i="1"/>
  <c r="O73" i="1"/>
  <c r="P73" i="1"/>
  <c r="Q73" i="1"/>
  <c r="V73" i="1"/>
  <c r="F75" i="1"/>
  <c r="G75" i="1"/>
  <c r="J75" i="1"/>
  <c r="K75" i="1"/>
  <c r="O75" i="1"/>
  <c r="P75" i="1"/>
  <c r="Q75" i="1"/>
  <c r="V75" i="1"/>
  <c r="F76" i="1"/>
  <c r="R76" i="1" s="1"/>
  <c r="G76" i="1"/>
  <c r="J76" i="1"/>
  <c r="K76" i="1"/>
  <c r="O76" i="1"/>
  <c r="P76" i="1"/>
  <c r="Q76" i="1"/>
  <c r="V76" i="1"/>
  <c r="F77" i="1"/>
  <c r="G77" i="1"/>
  <c r="J77" i="1"/>
  <c r="K77" i="1"/>
  <c r="O77" i="1"/>
  <c r="P77" i="1"/>
  <c r="Q77" i="1"/>
  <c r="V77" i="1"/>
  <c r="F78" i="1"/>
  <c r="G78" i="1"/>
  <c r="J78" i="1"/>
  <c r="K78" i="1"/>
  <c r="O78" i="1"/>
  <c r="P78" i="1"/>
  <c r="Q78" i="1"/>
  <c r="V78" i="1"/>
  <c r="F79" i="1"/>
  <c r="G79" i="1"/>
  <c r="J79" i="1"/>
  <c r="K79" i="1"/>
  <c r="O79" i="1"/>
  <c r="P79" i="1"/>
  <c r="Q79" i="1"/>
  <c r="V79" i="1"/>
  <c r="F80" i="1"/>
  <c r="G80" i="1"/>
  <c r="J80" i="1"/>
  <c r="K80" i="1"/>
  <c r="O80" i="1"/>
  <c r="P80" i="1"/>
  <c r="Q80" i="1"/>
  <c r="V80" i="1"/>
  <c r="F81" i="1"/>
  <c r="G81" i="1"/>
  <c r="J81" i="1"/>
  <c r="K81" i="1"/>
  <c r="O81" i="1"/>
  <c r="P81" i="1"/>
  <c r="Q81" i="1"/>
  <c r="V81" i="1"/>
  <c r="F82" i="1"/>
  <c r="G82" i="1"/>
  <c r="J82" i="1"/>
  <c r="K82" i="1"/>
  <c r="O82" i="1"/>
  <c r="P82" i="1"/>
  <c r="Q82" i="1"/>
  <c r="V82" i="1"/>
  <c r="F83" i="1"/>
  <c r="R83" i="1" s="1"/>
  <c r="G83" i="1"/>
  <c r="J83" i="1"/>
  <c r="K83" i="1"/>
  <c r="O83" i="1"/>
  <c r="P83" i="1"/>
  <c r="Q83" i="1"/>
  <c r="V83" i="1"/>
  <c r="F84" i="1"/>
  <c r="R84" i="1" s="1"/>
  <c r="G84" i="1"/>
  <c r="J84" i="1"/>
  <c r="K84" i="1"/>
  <c r="O84" i="1"/>
  <c r="P84" i="1"/>
  <c r="Q84" i="1"/>
  <c r="V84" i="1"/>
  <c r="F85" i="1"/>
  <c r="G85" i="1"/>
  <c r="J85" i="1"/>
  <c r="K85" i="1"/>
  <c r="O85" i="1"/>
  <c r="P85" i="1"/>
  <c r="Q85" i="1"/>
  <c r="V85" i="1"/>
  <c r="F86" i="1"/>
  <c r="R86" i="1" s="1"/>
  <c r="G86" i="1"/>
  <c r="J86" i="1"/>
  <c r="K86" i="1"/>
  <c r="O86" i="1"/>
  <c r="P86" i="1"/>
  <c r="Q86" i="1"/>
  <c r="V86" i="1"/>
  <c r="AS23" i="9" l="1"/>
  <c r="R59" i="1"/>
  <c r="R72" i="1"/>
  <c r="Q62" i="1"/>
  <c r="R61" i="1"/>
  <c r="R57" i="1"/>
  <c r="S57" i="1"/>
  <c r="T57" i="1" s="1"/>
  <c r="R56" i="1"/>
  <c r="U56" i="1" s="1"/>
  <c r="S58" i="1"/>
  <c r="T58" i="1" s="1"/>
  <c r="S59" i="1"/>
  <c r="T59" i="1" s="1"/>
  <c r="U59" i="1" s="1"/>
  <c r="R62" i="1"/>
  <c r="R58" i="1"/>
  <c r="S60" i="1"/>
  <c r="T60" i="1" s="1"/>
  <c r="S61" i="1"/>
  <c r="T61" i="1" s="1"/>
  <c r="U61" i="1" s="1"/>
  <c r="R60" i="1"/>
  <c r="S62" i="1"/>
  <c r="T62" i="1" s="1"/>
  <c r="U62" i="1" s="1"/>
  <c r="S63" i="1"/>
  <c r="T63" i="1" s="1"/>
  <c r="S64" i="1"/>
  <c r="T64" i="1" s="1"/>
  <c r="R63" i="1"/>
  <c r="S65" i="1"/>
  <c r="T65" i="1" s="1"/>
  <c r="R64" i="1"/>
  <c r="S66" i="1"/>
  <c r="T66" i="1" s="1"/>
  <c r="U66" i="1" s="1"/>
  <c r="R65" i="1"/>
  <c r="S67" i="1"/>
  <c r="T67" i="1" s="1"/>
  <c r="S68" i="1"/>
  <c r="T68" i="1" s="1"/>
  <c r="R67" i="1"/>
  <c r="S73" i="1"/>
  <c r="T73" i="1" s="1"/>
  <c r="R68" i="1"/>
  <c r="S70" i="1"/>
  <c r="T70" i="1" s="1"/>
  <c r="S71" i="1"/>
  <c r="T71" i="1" s="1"/>
  <c r="R70" i="1"/>
  <c r="R71" i="1"/>
  <c r="S72" i="1"/>
  <c r="T72" i="1" s="1"/>
  <c r="R73" i="1"/>
  <c r="S75" i="1"/>
  <c r="T75" i="1" s="1"/>
  <c r="S76" i="1"/>
  <c r="T76" i="1" s="1"/>
  <c r="U76" i="1" s="1"/>
  <c r="R75" i="1"/>
  <c r="S77" i="1"/>
  <c r="T77" i="1" s="1"/>
  <c r="S78" i="1"/>
  <c r="T78" i="1" s="1"/>
  <c r="R77" i="1"/>
  <c r="S79" i="1"/>
  <c r="T79" i="1" s="1"/>
  <c r="R78" i="1"/>
  <c r="S80" i="1"/>
  <c r="T80" i="1" s="1"/>
  <c r="R79" i="1"/>
  <c r="S81" i="1"/>
  <c r="T81" i="1" s="1"/>
  <c r="R80" i="1"/>
  <c r="R82" i="1"/>
  <c r="S82" i="1"/>
  <c r="T82" i="1" s="1"/>
  <c r="R81" i="1"/>
  <c r="S83" i="1"/>
  <c r="T83" i="1" s="1"/>
  <c r="U83" i="1" s="1"/>
  <c r="S84" i="1"/>
  <c r="T84" i="1" s="1"/>
  <c r="U84" i="1" s="1"/>
  <c r="S85" i="1"/>
  <c r="T85" i="1" s="1"/>
  <c r="R85" i="1"/>
  <c r="S86" i="1"/>
  <c r="T86" i="1" s="1"/>
  <c r="U86" i="1" s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F49" i="1"/>
  <c r="G49" i="1"/>
  <c r="J49" i="1"/>
  <c r="K49" i="1"/>
  <c r="O49" i="1"/>
  <c r="P49" i="1"/>
  <c r="Q49" i="1"/>
  <c r="F50" i="1"/>
  <c r="G50" i="1"/>
  <c r="J50" i="1"/>
  <c r="K50" i="1"/>
  <c r="O50" i="1"/>
  <c r="P50" i="1"/>
  <c r="Q50" i="1"/>
  <c r="F51" i="1"/>
  <c r="G51" i="1"/>
  <c r="J51" i="1"/>
  <c r="K51" i="1"/>
  <c r="O51" i="1"/>
  <c r="P51" i="1"/>
  <c r="Q51" i="1"/>
  <c r="H52" i="1"/>
  <c r="K52" i="1" s="1"/>
  <c r="D52" i="1"/>
  <c r="G52" i="1" s="1"/>
  <c r="D53" i="1"/>
  <c r="G53" i="1" s="1"/>
  <c r="F52" i="1"/>
  <c r="J52" i="1"/>
  <c r="O52" i="1"/>
  <c r="P52" i="1"/>
  <c r="Q52" i="1"/>
  <c r="F53" i="1"/>
  <c r="J53" i="1"/>
  <c r="K53" i="1"/>
  <c r="O53" i="1"/>
  <c r="P53" i="1"/>
  <c r="Q53" i="1"/>
  <c r="F54" i="1"/>
  <c r="G54" i="1"/>
  <c r="J54" i="1"/>
  <c r="K54" i="1"/>
  <c r="O54" i="1"/>
  <c r="P54" i="1"/>
  <c r="Q54" i="1"/>
  <c r="U57" i="1" l="1"/>
  <c r="R51" i="1"/>
  <c r="U72" i="1"/>
  <c r="U71" i="1"/>
  <c r="U63" i="1"/>
  <c r="U60" i="1"/>
  <c r="U58" i="1"/>
  <c r="U64" i="1"/>
  <c r="U65" i="1"/>
  <c r="U70" i="1"/>
  <c r="U68" i="1"/>
  <c r="U67" i="1"/>
  <c r="U73" i="1"/>
  <c r="U77" i="1"/>
  <c r="U75" i="1"/>
  <c r="U80" i="1"/>
  <c r="U78" i="1"/>
  <c r="U79" i="1"/>
  <c r="U81" i="1"/>
  <c r="U82" i="1"/>
  <c r="U85" i="1"/>
  <c r="S50" i="1"/>
  <c r="T50" i="1" s="1"/>
  <c r="R50" i="1"/>
  <c r="S49" i="1"/>
  <c r="T49" i="1" s="1"/>
  <c r="R54" i="1"/>
  <c r="R49" i="1"/>
  <c r="S51" i="1"/>
  <c r="T51" i="1" s="1"/>
  <c r="U51" i="1" s="1"/>
  <c r="S54" i="1"/>
  <c r="T54" i="1" s="1"/>
  <c r="R53" i="1"/>
  <c r="R52" i="1"/>
  <c r="S52" i="1"/>
  <c r="T52" i="1" s="1"/>
  <c r="S53" i="1"/>
  <c r="T53" i="1" s="1"/>
  <c r="K47" i="1"/>
  <c r="G43" i="1"/>
  <c r="K43" i="1"/>
  <c r="P43" i="1"/>
  <c r="Q43" i="1"/>
  <c r="G44" i="1"/>
  <c r="K44" i="1"/>
  <c r="P44" i="1"/>
  <c r="Q44" i="1"/>
  <c r="G45" i="1"/>
  <c r="K45" i="1"/>
  <c r="P45" i="1"/>
  <c r="Q45" i="1"/>
  <c r="P38" i="1"/>
  <c r="K38" i="1"/>
  <c r="P42" i="1"/>
  <c r="P41" i="1"/>
  <c r="P40" i="1"/>
  <c r="K40" i="1"/>
  <c r="K41" i="1"/>
  <c r="H42" i="1"/>
  <c r="K42" i="1" s="1"/>
  <c r="G41" i="1"/>
  <c r="D42" i="1"/>
  <c r="D40" i="1"/>
  <c r="A42" i="1"/>
  <c r="A41" i="1"/>
  <c r="A40" i="1"/>
  <c r="P36" i="1"/>
  <c r="M37" i="1"/>
  <c r="H37" i="1"/>
  <c r="K37" i="1" s="1"/>
  <c r="G36" i="1"/>
  <c r="G38" i="1"/>
  <c r="D37" i="1"/>
  <c r="A38" i="1"/>
  <c r="A37" i="1"/>
  <c r="A36" i="1"/>
  <c r="K36" i="1"/>
  <c r="Q36" i="1"/>
  <c r="Q37" i="1"/>
  <c r="Q38" i="1"/>
  <c r="G39" i="1"/>
  <c r="K39" i="1"/>
  <c r="P39" i="1"/>
  <c r="Q39" i="1"/>
  <c r="Q40" i="1"/>
  <c r="Q41" i="1"/>
  <c r="Q42" i="1"/>
  <c r="Q34" i="1"/>
  <c r="P34" i="1"/>
  <c r="H34" i="1"/>
  <c r="G34" i="1"/>
  <c r="G35" i="1"/>
  <c r="K35" i="1"/>
  <c r="P35" i="1"/>
  <c r="Q35" i="1"/>
  <c r="G46" i="1"/>
  <c r="K46" i="1"/>
  <c r="P46" i="1"/>
  <c r="Q46" i="1"/>
  <c r="G31" i="1"/>
  <c r="G32" i="1"/>
  <c r="G33" i="1"/>
  <c r="G47" i="1"/>
  <c r="K32" i="1"/>
  <c r="K31" i="1"/>
  <c r="K33" i="1"/>
  <c r="P47" i="1"/>
  <c r="P33" i="1"/>
  <c r="P32" i="1"/>
  <c r="P31" i="1"/>
  <c r="P28" i="1"/>
  <c r="P29" i="1"/>
  <c r="K29" i="1"/>
  <c r="K28" i="1"/>
  <c r="A29" i="1"/>
  <c r="A28" i="1"/>
  <c r="Q32" i="1"/>
  <c r="Q33" i="1"/>
  <c r="Q47" i="1"/>
  <c r="G48" i="1"/>
  <c r="K48" i="1"/>
  <c r="P48" i="1"/>
  <c r="Q48" i="1"/>
  <c r="AJ16" i="8"/>
  <c r="AJ17" i="8"/>
  <c r="AJ18" i="8"/>
  <c r="B18" i="8"/>
  <c r="B17" i="8"/>
  <c r="B16" i="8"/>
  <c r="AK19" i="8"/>
  <c r="AC19" i="8"/>
  <c r="V19" i="8"/>
  <c r="O19" i="8"/>
  <c r="H19" i="8"/>
  <c r="D19" i="8"/>
  <c r="AB18" i="8"/>
  <c r="U18" i="8"/>
  <c r="N18" i="8"/>
  <c r="G18" i="8"/>
  <c r="AB17" i="8"/>
  <c r="U17" i="8"/>
  <c r="N17" i="8"/>
  <c r="G17" i="8"/>
  <c r="AB16" i="8"/>
  <c r="U16" i="8"/>
  <c r="N16" i="8"/>
  <c r="G16" i="8"/>
  <c r="D2" i="8"/>
  <c r="D1" i="8"/>
  <c r="P26" i="1"/>
  <c r="P25" i="1"/>
  <c r="K26" i="1"/>
  <c r="K25" i="1"/>
  <c r="G25" i="1"/>
  <c r="D26" i="1"/>
  <c r="A26" i="1"/>
  <c r="A25" i="1"/>
  <c r="P23" i="1"/>
  <c r="P22" i="1"/>
  <c r="K22" i="1"/>
  <c r="K23" i="1"/>
  <c r="G22" i="1"/>
  <c r="D23" i="1"/>
  <c r="A23" i="1"/>
  <c r="A22" i="1"/>
  <c r="AK22" i="7"/>
  <c r="AC22" i="7"/>
  <c r="V22" i="7"/>
  <c r="O22" i="7"/>
  <c r="H22" i="7"/>
  <c r="D22" i="7"/>
  <c r="AB21" i="7"/>
  <c r="U21" i="7"/>
  <c r="N21" i="7"/>
  <c r="G21" i="7"/>
  <c r="AB20" i="7"/>
  <c r="U20" i="7"/>
  <c r="N20" i="7"/>
  <c r="G20" i="7"/>
  <c r="AB19" i="7"/>
  <c r="U19" i="7"/>
  <c r="N19" i="7"/>
  <c r="G19" i="7"/>
  <c r="AB18" i="7"/>
  <c r="U18" i="7"/>
  <c r="N18" i="7"/>
  <c r="G18" i="7"/>
  <c r="AB17" i="7"/>
  <c r="U17" i="7"/>
  <c r="N17" i="7"/>
  <c r="G17" i="7"/>
  <c r="AB16" i="7"/>
  <c r="U16" i="7"/>
  <c r="N16" i="7"/>
  <c r="G16" i="7"/>
  <c r="D2" i="7"/>
  <c r="D1" i="7"/>
  <c r="AD21" i="7" s="1"/>
  <c r="AJ16" i="6"/>
  <c r="AJ17" i="6"/>
  <c r="AJ18" i="6"/>
  <c r="AJ19" i="6"/>
  <c r="AJ20" i="6"/>
  <c r="AJ21" i="6"/>
  <c r="AB16" i="6"/>
  <c r="AB17" i="6"/>
  <c r="AB18" i="6"/>
  <c r="AB19" i="6"/>
  <c r="AB20" i="6"/>
  <c r="AB21" i="6"/>
  <c r="U16" i="6"/>
  <c r="U17" i="6"/>
  <c r="U18" i="6"/>
  <c r="U19" i="6"/>
  <c r="U20" i="6"/>
  <c r="U21" i="6"/>
  <c r="N21" i="6"/>
  <c r="N20" i="6"/>
  <c r="N19" i="6"/>
  <c r="N18" i="6"/>
  <c r="N17" i="6"/>
  <c r="N16" i="6"/>
  <c r="G16" i="6"/>
  <c r="G17" i="6"/>
  <c r="G18" i="6"/>
  <c r="G19" i="6"/>
  <c r="G20" i="6"/>
  <c r="G21" i="6"/>
  <c r="G16" i="4"/>
  <c r="G17" i="4"/>
  <c r="G18" i="4"/>
  <c r="G19" i="4"/>
  <c r="G20" i="4"/>
  <c r="G21" i="4"/>
  <c r="AG14" i="6"/>
  <c r="AK22" i="6"/>
  <c r="AC22" i="6"/>
  <c r="V22" i="6"/>
  <c r="O22" i="6"/>
  <c r="H22" i="6"/>
  <c r="D22" i="6"/>
  <c r="D2" i="6"/>
  <c r="D1" i="6"/>
  <c r="AM9" i="3"/>
  <c r="AK9" i="3"/>
  <c r="AK10" i="3"/>
  <c r="AK11" i="3"/>
  <c r="AK12" i="3"/>
  <c r="AK13" i="3"/>
  <c r="AK14" i="3"/>
  <c r="AI16" i="4"/>
  <c r="AI17" i="4"/>
  <c r="AI18" i="4"/>
  <c r="AI19" i="4"/>
  <c r="AI20" i="4"/>
  <c r="AI21" i="4"/>
  <c r="BL22" i="4"/>
  <c r="BE22" i="4"/>
  <c r="BD16" i="4"/>
  <c r="BD17" i="4"/>
  <c r="BD18" i="4"/>
  <c r="BD19" i="4"/>
  <c r="BD20" i="4"/>
  <c r="BD21" i="4"/>
  <c r="AX22" i="4"/>
  <c r="AW16" i="4"/>
  <c r="AW17" i="4"/>
  <c r="AW18" i="4"/>
  <c r="AW19" i="4"/>
  <c r="AW20" i="4"/>
  <c r="AW21" i="4"/>
  <c r="AQ22" i="4"/>
  <c r="AP16" i="4"/>
  <c r="AP17" i="4"/>
  <c r="AP18" i="4"/>
  <c r="AP19" i="4"/>
  <c r="AP20" i="4"/>
  <c r="AP21" i="4"/>
  <c r="AJ22" i="4"/>
  <c r="AC22" i="4"/>
  <c r="AB16" i="4"/>
  <c r="AB17" i="4"/>
  <c r="AB18" i="4"/>
  <c r="AB19" i="4"/>
  <c r="AB20" i="4"/>
  <c r="AB21" i="4"/>
  <c r="O22" i="4"/>
  <c r="N16" i="4"/>
  <c r="N17" i="4"/>
  <c r="N18" i="4"/>
  <c r="N19" i="4"/>
  <c r="N20" i="4"/>
  <c r="N21" i="4"/>
  <c r="V22" i="4"/>
  <c r="H22" i="4"/>
  <c r="BK21" i="4"/>
  <c r="CP21" i="4" s="1"/>
  <c r="BK20" i="4"/>
  <c r="BK19" i="4"/>
  <c r="BK18" i="4"/>
  <c r="BK17" i="4"/>
  <c r="BK16" i="4"/>
  <c r="BZ17" i="4" l="1"/>
  <c r="BZ19" i="4"/>
  <c r="U50" i="1"/>
  <c r="U49" i="1"/>
  <c r="U53" i="1"/>
  <c r="U54" i="1"/>
  <c r="G42" i="1"/>
  <c r="G26" i="1"/>
  <c r="G37" i="1"/>
  <c r="G40" i="1"/>
  <c r="S40" i="1" s="1"/>
  <c r="T40" i="1" s="1"/>
  <c r="P37" i="1"/>
  <c r="U52" i="1"/>
  <c r="AG19" i="6"/>
  <c r="AT18" i="6"/>
  <c r="AU18" i="6" s="1"/>
  <c r="BZ21" i="4"/>
  <c r="S43" i="1"/>
  <c r="T43" i="1" s="1"/>
  <c r="S44" i="1"/>
  <c r="T44" i="1" s="1"/>
  <c r="S45" i="1"/>
  <c r="T45" i="1" s="1"/>
  <c r="S36" i="1"/>
  <c r="T36" i="1" s="1"/>
  <c r="S39" i="1"/>
  <c r="T39" i="1" s="1"/>
  <c r="S38" i="1"/>
  <c r="T38" i="1" s="1"/>
  <c r="S41" i="1"/>
  <c r="T41" i="1" s="1"/>
  <c r="S42" i="1"/>
  <c r="T42" i="1" s="1"/>
  <c r="S35" i="1"/>
  <c r="T35" i="1" s="1"/>
  <c r="K34" i="1"/>
  <c r="S34" i="1" s="1"/>
  <c r="T34" i="1" s="1"/>
  <c r="S46" i="1"/>
  <c r="T46" i="1" s="1"/>
  <c r="G23" i="1"/>
  <c r="S32" i="1"/>
  <c r="T32" i="1" s="1"/>
  <c r="S48" i="1"/>
  <c r="T48" i="1" s="1"/>
  <c r="S33" i="1"/>
  <c r="T33" i="1" s="1"/>
  <c r="S47" i="1"/>
  <c r="T47" i="1" s="1"/>
  <c r="U19" i="8"/>
  <c r="I17" i="8"/>
  <c r="G19" i="8"/>
  <c r="AT18" i="8"/>
  <c r="AU18" i="8" s="1"/>
  <c r="AT19" i="6"/>
  <c r="T16" i="8"/>
  <c r="X16" i="8" s="1"/>
  <c r="I18" i="8"/>
  <c r="AT21" i="6"/>
  <c r="AT17" i="6"/>
  <c r="I16" i="8"/>
  <c r="AB19" i="8"/>
  <c r="AT17" i="8"/>
  <c r="AU17" i="8" s="1"/>
  <c r="T18" i="8"/>
  <c r="X18" i="8" s="1"/>
  <c r="AT20" i="6"/>
  <c r="AT16" i="6"/>
  <c r="AJ19" i="8"/>
  <c r="T17" i="8"/>
  <c r="X17" i="8" s="1"/>
  <c r="N19" i="8"/>
  <c r="P16" i="8"/>
  <c r="AA16" i="8"/>
  <c r="AE16" i="8" s="1"/>
  <c r="AL16" i="8"/>
  <c r="P17" i="8"/>
  <c r="AA17" i="8"/>
  <c r="AE17" i="8" s="1"/>
  <c r="AL17" i="8"/>
  <c r="P18" i="8"/>
  <c r="AA18" i="8"/>
  <c r="AE18" i="8" s="1"/>
  <c r="AL18" i="8"/>
  <c r="F16" i="8"/>
  <c r="J16" i="8" s="1"/>
  <c r="W16" i="8"/>
  <c r="F17" i="8"/>
  <c r="J17" i="8" s="1"/>
  <c r="W17" i="8"/>
  <c r="F18" i="8"/>
  <c r="J18" i="8" s="1"/>
  <c r="W18" i="8"/>
  <c r="M16" i="8"/>
  <c r="Q16" i="8" s="1"/>
  <c r="AD16" i="8"/>
  <c r="AI16" i="8"/>
  <c r="AM16" i="8" s="1"/>
  <c r="AT16" i="8"/>
  <c r="M17" i="8"/>
  <c r="Q17" i="8" s="1"/>
  <c r="AD17" i="8"/>
  <c r="AI17" i="8"/>
  <c r="AM17" i="8" s="1"/>
  <c r="M18" i="8"/>
  <c r="Q18" i="8" s="1"/>
  <c r="AD18" i="8"/>
  <c r="AI18" i="8"/>
  <c r="AM18" i="8" s="1"/>
  <c r="AI16" i="7"/>
  <c r="AM16" i="7" s="1"/>
  <c r="M21" i="7"/>
  <c r="Q21" i="7" s="1"/>
  <c r="AT17" i="7"/>
  <c r="AU17" i="7" s="1"/>
  <c r="AB22" i="7"/>
  <c r="P16" i="7"/>
  <c r="M17" i="7"/>
  <c r="Q17" i="7" s="1"/>
  <c r="AA17" i="7"/>
  <c r="AE17" i="7" s="1"/>
  <c r="AL17" i="7"/>
  <c r="P18" i="7"/>
  <c r="P19" i="7"/>
  <c r="P20" i="7"/>
  <c r="P21" i="7"/>
  <c r="G22" i="7"/>
  <c r="AT16" i="7"/>
  <c r="AU16" i="7" s="1"/>
  <c r="AJ22" i="7"/>
  <c r="AT18" i="7"/>
  <c r="AU18" i="7" s="1"/>
  <c r="AL18" i="7"/>
  <c r="AT19" i="7"/>
  <c r="AU19" i="7" s="1"/>
  <c r="AL19" i="7"/>
  <c r="AT20" i="7"/>
  <c r="AU20" i="7" s="1"/>
  <c r="AL20" i="7"/>
  <c r="AT21" i="7"/>
  <c r="AU21" i="7" s="1"/>
  <c r="AL21" i="7"/>
  <c r="M16" i="7"/>
  <c r="Q16" i="7" s="1"/>
  <c r="AA16" i="7"/>
  <c r="AE16" i="7" s="1"/>
  <c r="AL16" i="7"/>
  <c r="P17" i="7"/>
  <c r="AI17" i="7"/>
  <c r="AM17" i="7" s="1"/>
  <c r="M18" i="7"/>
  <c r="Q18" i="7" s="1"/>
  <c r="AA18" i="7"/>
  <c r="AE18" i="7" s="1"/>
  <c r="AA19" i="7"/>
  <c r="AE19" i="7" s="1"/>
  <c r="AA20" i="7"/>
  <c r="AE20" i="7" s="1"/>
  <c r="AA21" i="7"/>
  <c r="AE21" i="7" s="1"/>
  <c r="AF21" i="7" s="1"/>
  <c r="AD16" i="7"/>
  <c r="I16" i="7"/>
  <c r="T16" i="7"/>
  <c r="X16" i="7" s="1"/>
  <c r="I17" i="7"/>
  <c r="T17" i="7"/>
  <c r="X17" i="7" s="1"/>
  <c r="I18" i="7"/>
  <c r="T18" i="7"/>
  <c r="X18" i="7" s="1"/>
  <c r="I19" i="7"/>
  <c r="T19" i="7"/>
  <c r="X19" i="7" s="1"/>
  <c r="I20" i="7"/>
  <c r="T20" i="7"/>
  <c r="X20" i="7" s="1"/>
  <c r="I21" i="7"/>
  <c r="T21" i="7"/>
  <c r="X21" i="7" s="1"/>
  <c r="N22" i="7"/>
  <c r="U22" i="7"/>
  <c r="F16" i="7"/>
  <c r="J16" i="7" s="1"/>
  <c r="W16" i="7"/>
  <c r="F17" i="7"/>
  <c r="J17" i="7" s="1"/>
  <c r="W17" i="7"/>
  <c r="F18" i="7"/>
  <c r="J18" i="7" s="1"/>
  <c r="W18" i="7"/>
  <c r="F19" i="7"/>
  <c r="J19" i="7" s="1"/>
  <c r="W19" i="7"/>
  <c r="F20" i="7"/>
  <c r="J20" i="7" s="1"/>
  <c r="W20" i="7"/>
  <c r="F21" i="7"/>
  <c r="J21" i="7" s="1"/>
  <c r="W21" i="7"/>
  <c r="AD17" i="7"/>
  <c r="AD18" i="7"/>
  <c r="AI18" i="7"/>
  <c r="AM18" i="7" s="1"/>
  <c r="M19" i="7"/>
  <c r="Q19" i="7" s="1"/>
  <c r="AD19" i="7"/>
  <c r="AI19" i="7"/>
  <c r="AM19" i="7" s="1"/>
  <c r="M20" i="7"/>
  <c r="Q20" i="7" s="1"/>
  <c r="AD20" i="7"/>
  <c r="AI20" i="7"/>
  <c r="AM20" i="7" s="1"/>
  <c r="AI21" i="7"/>
  <c r="AM21" i="7" s="1"/>
  <c r="AG17" i="6"/>
  <c r="AG20" i="6"/>
  <c r="AG18" i="6"/>
  <c r="AG16" i="6"/>
  <c r="AD16" i="6"/>
  <c r="AG21" i="6"/>
  <c r="P16" i="6"/>
  <c r="P17" i="6"/>
  <c r="F16" i="6"/>
  <c r="J16" i="6" s="1"/>
  <c r="AA16" i="6"/>
  <c r="AE16" i="6" s="1"/>
  <c r="AI16" i="6"/>
  <c r="AM16" i="6" s="1"/>
  <c r="M16" i="6"/>
  <c r="Q16" i="6" s="1"/>
  <c r="AU21" i="6"/>
  <c r="AU17" i="6"/>
  <c r="AA17" i="6"/>
  <c r="AE17" i="6" s="1"/>
  <c r="AU20" i="6"/>
  <c r="BZ18" i="4"/>
  <c r="BZ20" i="4"/>
  <c r="BZ16" i="4"/>
  <c r="AU19" i="6"/>
  <c r="T18" i="6"/>
  <c r="X18" i="6" s="1"/>
  <c r="T19" i="6"/>
  <c r="X19" i="6" s="1"/>
  <c r="T21" i="6"/>
  <c r="X21" i="6" s="1"/>
  <c r="T17" i="6"/>
  <c r="X17" i="6" s="1"/>
  <c r="W16" i="6"/>
  <c r="AA19" i="6"/>
  <c r="AE19" i="6" s="1"/>
  <c r="AB22" i="6"/>
  <c r="AA20" i="6"/>
  <c r="AE20" i="6" s="1"/>
  <c r="AA18" i="6"/>
  <c r="AE18" i="6" s="1"/>
  <c r="W18" i="6"/>
  <c r="AD19" i="6"/>
  <c r="I20" i="6"/>
  <c r="AL20" i="6"/>
  <c r="AJ22" i="6"/>
  <c r="AI20" i="6"/>
  <c r="AM20" i="6" s="1"/>
  <c r="AI21" i="6"/>
  <c r="AM21" i="6" s="1"/>
  <c r="AI17" i="6"/>
  <c r="AM17" i="6" s="1"/>
  <c r="AI19" i="6"/>
  <c r="AM19" i="6" s="1"/>
  <c r="P21" i="6"/>
  <c r="U22" i="6"/>
  <c r="G22" i="6"/>
  <c r="F20" i="6"/>
  <c r="J20" i="6" s="1"/>
  <c r="F21" i="6"/>
  <c r="J21" i="6" s="1"/>
  <c r="F17" i="6"/>
  <c r="J17" i="6" s="1"/>
  <c r="F19" i="6"/>
  <c r="J19" i="6" s="1"/>
  <c r="AD21" i="6"/>
  <c r="W20" i="6"/>
  <c r="P19" i="6"/>
  <c r="AL18" i="6"/>
  <c r="I18" i="6"/>
  <c r="AD17" i="6"/>
  <c r="W21" i="6"/>
  <c r="P20" i="6"/>
  <c r="AL19" i="6"/>
  <c r="I19" i="6"/>
  <c r="AD18" i="6"/>
  <c r="W17" i="6"/>
  <c r="AL21" i="6"/>
  <c r="I21" i="6"/>
  <c r="AD20" i="6"/>
  <c r="W19" i="6"/>
  <c r="P18" i="6"/>
  <c r="AL17" i="6"/>
  <c r="I17" i="6"/>
  <c r="I16" i="6"/>
  <c r="M21" i="6"/>
  <c r="Q21" i="6" s="1"/>
  <c r="M17" i="6"/>
  <c r="Q17" i="6" s="1"/>
  <c r="M18" i="6"/>
  <c r="Q18" i="6" s="1"/>
  <c r="N22" i="6"/>
  <c r="M20" i="6"/>
  <c r="Q20" i="6" s="1"/>
  <c r="T16" i="6"/>
  <c r="X16" i="6" s="1"/>
  <c r="AL16" i="6"/>
  <c r="F18" i="6"/>
  <c r="J18" i="6" s="1"/>
  <c r="AI18" i="6"/>
  <c r="AM18" i="6" s="1"/>
  <c r="M19" i="6"/>
  <c r="Q19" i="6" s="1"/>
  <c r="T20" i="6"/>
  <c r="X20" i="6" s="1"/>
  <c r="AR20" i="6" s="1"/>
  <c r="AA21" i="6"/>
  <c r="AE21" i="6" s="1"/>
  <c r="BD22" i="4"/>
  <c r="BK22" i="4"/>
  <c r="N22" i="4"/>
  <c r="AW22" i="4"/>
  <c r="AP22" i="4"/>
  <c r="AI22" i="4"/>
  <c r="AB22" i="4"/>
  <c r="BJ18" i="4"/>
  <c r="BN18" i="4" s="1"/>
  <c r="BJ20" i="4"/>
  <c r="BN20" i="4" s="1"/>
  <c r="BJ19" i="4"/>
  <c r="BN19" i="4" s="1"/>
  <c r="BJ17" i="4"/>
  <c r="BN17" i="4" s="1"/>
  <c r="BJ21" i="4"/>
  <c r="BN21" i="4" s="1"/>
  <c r="BJ16" i="4"/>
  <c r="BN16" i="4" s="1"/>
  <c r="AV21" i="4"/>
  <c r="AZ21" i="4" s="1"/>
  <c r="U16" i="4"/>
  <c r="U17" i="4"/>
  <c r="U18" i="4"/>
  <c r="CL18" i="4" s="1"/>
  <c r="U19" i="4"/>
  <c r="CL19" i="4" s="1"/>
  <c r="U20" i="4"/>
  <c r="U21" i="4"/>
  <c r="D22" i="4"/>
  <c r="S37" i="1" l="1"/>
  <c r="T37" i="1" s="1"/>
  <c r="AN17" i="7"/>
  <c r="AN20" i="7"/>
  <c r="R17" i="6"/>
  <c r="R20" i="7"/>
  <c r="AF20" i="7"/>
  <c r="R18" i="7"/>
  <c r="AQ21" i="6"/>
  <c r="AQ16" i="6"/>
  <c r="K17" i="8"/>
  <c r="J19" i="8"/>
  <c r="K18" i="8"/>
  <c r="R17" i="8"/>
  <c r="X19" i="8"/>
  <c r="AR18" i="8"/>
  <c r="R21" i="7"/>
  <c r="AN18" i="8"/>
  <c r="AR17" i="8"/>
  <c r="R16" i="8"/>
  <c r="P19" i="8"/>
  <c r="AM19" i="8"/>
  <c r="AF17" i="8"/>
  <c r="AN16" i="8"/>
  <c r="AL19" i="8"/>
  <c r="AF18" i="8"/>
  <c r="Q19" i="8"/>
  <c r="W19" i="8"/>
  <c r="Y16" i="8"/>
  <c r="AQ16" i="8"/>
  <c r="AN17" i="8"/>
  <c r="AE19" i="8"/>
  <c r="AT19" i="8"/>
  <c r="AU16" i="8"/>
  <c r="AQ17" i="8"/>
  <c r="Y17" i="8"/>
  <c r="AD19" i="8"/>
  <c r="AF16" i="8"/>
  <c r="AQ18" i="8"/>
  <c r="Y18" i="8"/>
  <c r="I19" i="8"/>
  <c r="R18" i="8"/>
  <c r="K16" i="8"/>
  <c r="AR16" i="8"/>
  <c r="AN19" i="7"/>
  <c r="AN16" i="7"/>
  <c r="R16" i="7"/>
  <c r="AN21" i="7"/>
  <c r="AN18" i="7"/>
  <c r="R19" i="7"/>
  <c r="P22" i="7"/>
  <c r="J22" i="7"/>
  <c r="R17" i="7"/>
  <c r="AF19" i="7"/>
  <c r="AF18" i="7"/>
  <c r="AE22" i="7"/>
  <c r="K21" i="7"/>
  <c r="K19" i="7"/>
  <c r="K17" i="7"/>
  <c r="AQ19" i="6"/>
  <c r="AQ17" i="6"/>
  <c r="AQ18" i="6"/>
  <c r="AR19" i="6"/>
  <c r="Q22" i="7"/>
  <c r="AL22" i="7"/>
  <c r="AR16" i="6"/>
  <c r="AQ20" i="6"/>
  <c r="AR17" i="6"/>
  <c r="AR18" i="7"/>
  <c r="AR18" i="6"/>
  <c r="AR21" i="6"/>
  <c r="AF17" i="7"/>
  <c r="AT22" i="7"/>
  <c r="AQ21" i="7"/>
  <c r="Y21" i="7"/>
  <c r="AQ19" i="7"/>
  <c r="Y19" i="7"/>
  <c r="AQ17" i="7"/>
  <c r="Y17" i="7"/>
  <c r="AM22" i="7"/>
  <c r="W22" i="7"/>
  <c r="AQ16" i="7"/>
  <c r="Y16" i="7"/>
  <c r="AR21" i="7"/>
  <c r="AR19" i="7"/>
  <c r="AR17" i="7"/>
  <c r="AD22" i="7"/>
  <c r="AF16" i="7"/>
  <c r="AR20" i="7"/>
  <c r="AR16" i="7"/>
  <c r="X22" i="7"/>
  <c r="AQ20" i="7"/>
  <c r="Y20" i="7"/>
  <c r="AQ18" i="7"/>
  <c r="Y18" i="7"/>
  <c r="K20" i="7"/>
  <c r="K18" i="7"/>
  <c r="K16" i="7"/>
  <c r="I22" i="7"/>
  <c r="R16" i="6"/>
  <c r="AF17" i="6"/>
  <c r="AF16" i="6"/>
  <c r="AF18" i="6"/>
  <c r="AF19" i="6"/>
  <c r="AN21" i="6"/>
  <c r="K21" i="6"/>
  <c r="AN17" i="6"/>
  <c r="R18" i="6"/>
  <c r="AF20" i="6"/>
  <c r="AN19" i="6"/>
  <c r="J22" i="6"/>
  <c r="AE22" i="6"/>
  <c r="P22" i="6"/>
  <c r="K17" i="6"/>
  <c r="AM22" i="6"/>
  <c r="Q22" i="6"/>
  <c r="Y17" i="6"/>
  <c r="K19" i="6"/>
  <c r="R19" i="6"/>
  <c r="AF21" i="6"/>
  <c r="AD22" i="6"/>
  <c r="Y18" i="6"/>
  <c r="AL22" i="6"/>
  <c r="AN16" i="6"/>
  <c r="X22" i="6"/>
  <c r="Y19" i="6"/>
  <c r="Y21" i="6"/>
  <c r="K18" i="6"/>
  <c r="AT22" i="6"/>
  <c r="AU16" i="6"/>
  <c r="AN20" i="6"/>
  <c r="Y20" i="6"/>
  <c r="R21" i="6"/>
  <c r="W22" i="6"/>
  <c r="Y16" i="6"/>
  <c r="I22" i="6"/>
  <c r="K16" i="6"/>
  <c r="R20" i="6"/>
  <c r="AN18" i="6"/>
  <c r="K20" i="6"/>
  <c r="CL21" i="4"/>
  <c r="CL20" i="4"/>
  <c r="CL16" i="4"/>
  <c r="CL17" i="4"/>
  <c r="CF19" i="4"/>
  <c r="BT19" i="4"/>
  <c r="BT18" i="4"/>
  <c r="CF18" i="4"/>
  <c r="CF21" i="4"/>
  <c r="BT21" i="4"/>
  <c r="CF17" i="4"/>
  <c r="BT17" i="4"/>
  <c r="CF20" i="4"/>
  <c r="BT20" i="4"/>
  <c r="BT16" i="4"/>
  <c r="BN22" i="4"/>
  <c r="G22" i="4"/>
  <c r="U22" i="4"/>
  <c r="AO21" i="4"/>
  <c r="AS21" i="4" s="1"/>
  <c r="AH17" i="4"/>
  <c r="AL17" i="4" s="1"/>
  <c r="AA16" i="4"/>
  <c r="AE16" i="4" s="1"/>
  <c r="T16" i="4"/>
  <c r="X16" i="4" s="1"/>
  <c r="AV19" i="4"/>
  <c r="AZ19" i="4" s="1"/>
  <c r="BC21" i="4"/>
  <c r="BG21" i="4" s="1"/>
  <c r="BX21" i="4" s="1"/>
  <c r="AV17" i="4"/>
  <c r="AZ17" i="4" s="1"/>
  <c r="T18" i="4"/>
  <c r="X18" i="4" s="1"/>
  <c r="AA18" i="4"/>
  <c r="AE18" i="4" s="1"/>
  <c r="T19" i="4"/>
  <c r="X19" i="4" s="1"/>
  <c r="AA19" i="4"/>
  <c r="AE19" i="4" s="1"/>
  <c r="AH19" i="4"/>
  <c r="AL19" i="4" s="1"/>
  <c r="AH18" i="4"/>
  <c r="AL18" i="4" s="1"/>
  <c r="AV18" i="4"/>
  <c r="AZ18" i="4" s="1"/>
  <c r="BC16" i="4"/>
  <c r="BG16" i="4" s="1"/>
  <c r="T21" i="4"/>
  <c r="X21" i="4" s="1"/>
  <c r="T17" i="4"/>
  <c r="X17" i="4" s="1"/>
  <c r="AA21" i="4"/>
  <c r="AE21" i="4" s="1"/>
  <c r="AA17" i="4"/>
  <c r="AE17" i="4" s="1"/>
  <c r="AV16" i="4"/>
  <c r="AZ16" i="4" s="1"/>
  <c r="AV20" i="4"/>
  <c r="AZ20" i="4" s="1"/>
  <c r="T20" i="4"/>
  <c r="X20" i="4" s="1"/>
  <c r="AA20" i="4"/>
  <c r="AE20" i="4" s="1"/>
  <c r="BC17" i="4"/>
  <c r="BG17" i="4" s="1"/>
  <c r="BC18" i="4"/>
  <c r="BG18" i="4" s="1"/>
  <c r="BC19" i="4"/>
  <c r="BG19" i="4" s="1"/>
  <c r="BC20" i="4"/>
  <c r="BG20" i="4" s="1"/>
  <c r="AO16" i="4"/>
  <c r="AS16" i="4" s="1"/>
  <c r="AO17" i="4"/>
  <c r="AS17" i="4" s="1"/>
  <c r="AO18" i="4"/>
  <c r="AS18" i="4" s="1"/>
  <c r="AO19" i="4"/>
  <c r="AS19" i="4" s="1"/>
  <c r="AO20" i="4"/>
  <c r="AS20" i="4" s="1"/>
  <c r="AH21" i="4"/>
  <c r="AL21" i="4" s="1"/>
  <c r="AH16" i="4"/>
  <c r="AL16" i="4" s="1"/>
  <c r="AH20" i="4"/>
  <c r="AL20" i="4" s="1"/>
  <c r="F16" i="4"/>
  <c r="J16" i="4" s="1"/>
  <c r="F20" i="4"/>
  <c r="J20" i="4" s="1"/>
  <c r="F19" i="4"/>
  <c r="J19" i="4" s="1"/>
  <c r="F18" i="4"/>
  <c r="J18" i="4" s="1"/>
  <c r="F21" i="4"/>
  <c r="J21" i="4" s="1"/>
  <c r="F17" i="4"/>
  <c r="J17" i="4" s="1"/>
  <c r="D2" i="4"/>
  <c r="D1" i="4"/>
  <c r="AF9" i="3"/>
  <c r="AF10" i="3"/>
  <c r="AF11" i="3"/>
  <c r="AF12" i="3"/>
  <c r="AF13" i="3"/>
  <c r="AF14" i="3"/>
  <c r="T9" i="3"/>
  <c r="T10" i="3"/>
  <c r="T11" i="3"/>
  <c r="T12" i="3"/>
  <c r="T13" i="3"/>
  <c r="T14" i="3"/>
  <c r="Z9" i="3"/>
  <c r="Z10" i="3"/>
  <c r="Z11" i="3"/>
  <c r="Z12" i="3"/>
  <c r="Z13" i="3"/>
  <c r="Z14" i="3"/>
  <c r="AD15" i="3"/>
  <c r="AC15" i="3"/>
  <c r="X15" i="3"/>
  <c r="W15" i="3"/>
  <c r="R15" i="3"/>
  <c r="Q15" i="3"/>
  <c r="L15" i="3"/>
  <c r="K15" i="3"/>
  <c r="G15" i="3"/>
  <c r="N14" i="3"/>
  <c r="N13" i="3"/>
  <c r="N11" i="3"/>
  <c r="N10" i="3"/>
  <c r="N9" i="3"/>
  <c r="N12" i="3"/>
  <c r="I9" i="3"/>
  <c r="I14" i="3"/>
  <c r="I13" i="3"/>
  <c r="I12" i="3"/>
  <c r="I11" i="3"/>
  <c r="I10" i="3"/>
  <c r="D1" i="3"/>
  <c r="D2" i="3"/>
  <c r="AG15" i="3"/>
  <c r="AG14" i="3"/>
  <c r="AG13" i="3"/>
  <c r="AG12" i="3"/>
  <c r="AG11" i="3"/>
  <c r="AG10" i="3"/>
  <c r="AG9" i="3"/>
  <c r="G12" i="1"/>
  <c r="P11" i="1"/>
  <c r="K11" i="1"/>
  <c r="Q26" i="1"/>
  <c r="Q25" i="1"/>
  <c r="Q23" i="1"/>
  <c r="Q22" i="1"/>
  <c r="G24" i="1"/>
  <c r="G27" i="1"/>
  <c r="G28" i="1"/>
  <c r="G29" i="1"/>
  <c r="G30" i="1"/>
  <c r="G55" i="1"/>
  <c r="K24" i="1"/>
  <c r="K27" i="1"/>
  <c r="K30" i="1"/>
  <c r="K55" i="1"/>
  <c r="P24" i="1"/>
  <c r="P27" i="1"/>
  <c r="P30" i="1"/>
  <c r="P55" i="1"/>
  <c r="Q24" i="1"/>
  <c r="Q27" i="1"/>
  <c r="Q28" i="1"/>
  <c r="Q29" i="1"/>
  <c r="Q30" i="1"/>
  <c r="Q31" i="1"/>
  <c r="Q55" i="1"/>
  <c r="P15" i="1"/>
  <c r="K15" i="1"/>
  <c r="G20" i="1"/>
  <c r="G19" i="1"/>
  <c r="G18" i="1"/>
  <c r="G17" i="1"/>
  <c r="G16" i="1"/>
  <c r="G15" i="1"/>
  <c r="P8" i="1"/>
  <c r="P9" i="1"/>
  <c r="P10" i="1"/>
  <c r="P12" i="1"/>
  <c r="P13" i="1"/>
  <c r="P14" i="1"/>
  <c r="P16" i="1"/>
  <c r="P17" i="1"/>
  <c r="P18" i="1"/>
  <c r="P19" i="1"/>
  <c r="P20" i="1"/>
  <c r="P21" i="1"/>
  <c r="G13" i="1"/>
  <c r="G11" i="1"/>
  <c r="G10" i="1"/>
  <c r="G9" i="1"/>
  <c r="G8" i="1"/>
  <c r="K8" i="1"/>
  <c r="K9" i="1"/>
  <c r="K10" i="1"/>
  <c r="K12" i="1"/>
  <c r="K13" i="1"/>
  <c r="K14" i="1"/>
  <c r="K16" i="1"/>
  <c r="K17" i="1"/>
  <c r="K18" i="1"/>
  <c r="K19" i="1"/>
  <c r="K20" i="1"/>
  <c r="K21" i="1"/>
  <c r="G21" i="1"/>
  <c r="Q20" i="1"/>
  <c r="Q21" i="1"/>
  <c r="G14" i="1"/>
  <c r="Q8" i="1"/>
  <c r="Q9" i="1"/>
  <c r="Q10" i="1"/>
  <c r="Q11" i="1"/>
  <c r="Q12" i="1"/>
  <c r="Q13" i="1"/>
  <c r="Q14" i="1"/>
  <c r="Q15" i="1"/>
  <c r="Q16" i="1"/>
  <c r="Q17" i="1"/>
  <c r="Q18" i="1"/>
  <c r="Q19" i="1"/>
  <c r="H12" i="3" l="1"/>
  <c r="K19" i="8"/>
  <c r="AR19" i="8"/>
  <c r="AN19" i="8"/>
  <c r="AS18" i="8"/>
  <c r="AV18" i="8" s="1"/>
  <c r="AS17" i="8"/>
  <c r="AV17" i="8" s="1"/>
  <c r="AQ19" i="8"/>
  <c r="AF19" i="8"/>
  <c r="AS16" i="8"/>
  <c r="Y19" i="8"/>
  <c r="R19" i="8"/>
  <c r="Y13" i="3"/>
  <c r="AS20" i="6"/>
  <c r="R22" i="7"/>
  <c r="S21" i="1"/>
  <c r="T21" i="1" s="1"/>
  <c r="S17" i="1"/>
  <c r="T17" i="1" s="1"/>
  <c r="S22" i="1"/>
  <c r="T22" i="1" s="1"/>
  <c r="S26" i="1"/>
  <c r="T26" i="1" s="1"/>
  <c r="S12" i="1"/>
  <c r="T12" i="1" s="1"/>
  <c r="AN22" i="7"/>
  <c r="AS21" i="7"/>
  <c r="AV21" i="7" s="1"/>
  <c r="AS19" i="7"/>
  <c r="AV19" i="7" s="1"/>
  <c r="AS17" i="6"/>
  <c r="AS20" i="7"/>
  <c r="AV20" i="7" s="1"/>
  <c r="AS17" i="7"/>
  <c r="AV17" i="7" s="1"/>
  <c r="AS16" i="6"/>
  <c r="AS21" i="6"/>
  <c r="AS19" i="6"/>
  <c r="AS18" i="6"/>
  <c r="K22" i="7"/>
  <c r="AR22" i="7"/>
  <c r="AQ22" i="7"/>
  <c r="AS18" i="7"/>
  <c r="AV18" i="7" s="1"/>
  <c r="AF22" i="7"/>
  <c r="AS16" i="7"/>
  <c r="Y22" i="7"/>
  <c r="R22" i="6"/>
  <c r="M11" i="3"/>
  <c r="K22" i="6"/>
  <c r="AN22" i="6"/>
  <c r="AF22" i="6"/>
  <c r="Y22" i="6"/>
  <c r="AI9" i="3"/>
  <c r="BX18" i="4"/>
  <c r="CD18" i="4" s="1"/>
  <c r="BX17" i="4"/>
  <c r="CD17" i="4" s="1"/>
  <c r="BR20" i="4"/>
  <c r="CD21" i="4"/>
  <c r="BR17" i="4"/>
  <c r="BX16" i="4"/>
  <c r="CD16" i="4" s="1"/>
  <c r="BR21" i="4"/>
  <c r="BR18" i="4"/>
  <c r="BR16" i="4"/>
  <c r="BR19" i="4"/>
  <c r="BX20" i="4"/>
  <c r="CD20" i="4" s="1"/>
  <c r="BX19" i="4"/>
  <c r="CD19" i="4" s="1"/>
  <c r="CM17" i="4"/>
  <c r="CM19" i="4"/>
  <c r="BZ22" i="4"/>
  <c r="CF16" i="4"/>
  <c r="CM20" i="4"/>
  <c r="CM21" i="4"/>
  <c r="BT22" i="4"/>
  <c r="CM18" i="4"/>
  <c r="BM18" i="4"/>
  <c r="BO18" i="4" s="1"/>
  <c r="BF17" i="4"/>
  <c r="BH17" i="4" s="1"/>
  <c r="BF21" i="4"/>
  <c r="BH21" i="4" s="1"/>
  <c r="AY16" i="4"/>
  <c r="BA16" i="4" s="1"/>
  <c r="AY20" i="4"/>
  <c r="BA20" i="4" s="1"/>
  <c r="AR19" i="4"/>
  <c r="AT19" i="4" s="1"/>
  <c r="AK16" i="4"/>
  <c r="AM16" i="4" s="1"/>
  <c r="AK20" i="4"/>
  <c r="AM20" i="4" s="1"/>
  <c r="BM19" i="4"/>
  <c r="BO19" i="4" s="1"/>
  <c r="BF18" i="4"/>
  <c r="BH18" i="4" s="1"/>
  <c r="AY17" i="4"/>
  <c r="BA17" i="4" s="1"/>
  <c r="AY21" i="4"/>
  <c r="BA21" i="4" s="1"/>
  <c r="AR16" i="4"/>
  <c r="AT16" i="4" s="1"/>
  <c r="AR20" i="4"/>
  <c r="AT20" i="4" s="1"/>
  <c r="AK17" i="4"/>
  <c r="AM17" i="4" s="1"/>
  <c r="AK21" i="4"/>
  <c r="AM21" i="4" s="1"/>
  <c r="BF16" i="4"/>
  <c r="BH16" i="4" s="1"/>
  <c r="AK19" i="4"/>
  <c r="AM19" i="4" s="1"/>
  <c r="AY19" i="4"/>
  <c r="BA19" i="4" s="1"/>
  <c r="AR18" i="4"/>
  <c r="AT18" i="4" s="1"/>
  <c r="BM16" i="4"/>
  <c r="BO16" i="4" s="1"/>
  <c r="BM20" i="4"/>
  <c r="BO20" i="4" s="1"/>
  <c r="BF19" i="4"/>
  <c r="BH19" i="4" s="1"/>
  <c r="AY18" i="4"/>
  <c r="BA18" i="4" s="1"/>
  <c r="AR17" i="4"/>
  <c r="AT17" i="4" s="1"/>
  <c r="AR21" i="4"/>
  <c r="AT21" i="4" s="1"/>
  <c r="AK18" i="4"/>
  <c r="AM18" i="4" s="1"/>
  <c r="BM17" i="4"/>
  <c r="BO17" i="4" s="1"/>
  <c r="BM21" i="4"/>
  <c r="BO21" i="4" s="1"/>
  <c r="BF20" i="4"/>
  <c r="BH20" i="4" s="1"/>
  <c r="AS22" i="4"/>
  <c r="AZ22" i="4"/>
  <c r="BG22" i="4"/>
  <c r="AL22" i="4"/>
  <c r="AD18" i="4"/>
  <c r="AF18" i="4" s="1"/>
  <c r="P18" i="4"/>
  <c r="AD20" i="4"/>
  <c r="AF20" i="4" s="1"/>
  <c r="AD19" i="4"/>
  <c r="AF19" i="4" s="1"/>
  <c r="P19" i="4"/>
  <c r="AD16" i="4"/>
  <c r="AF16" i="4" s="1"/>
  <c r="P16" i="4"/>
  <c r="AD17" i="4"/>
  <c r="AF17" i="4" s="1"/>
  <c r="AD21" i="4"/>
  <c r="AF21" i="4" s="1"/>
  <c r="P17" i="4"/>
  <c r="P21" i="4"/>
  <c r="P20" i="4"/>
  <c r="AE22" i="4"/>
  <c r="X22" i="4"/>
  <c r="J22" i="4"/>
  <c r="W16" i="4"/>
  <c r="Y16" i="4" s="1"/>
  <c r="W20" i="4"/>
  <c r="Y20" i="4" s="1"/>
  <c r="W17" i="4"/>
  <c r="Y17" i="4" s="1"/>
  <c r="W21" i="4"/>
  <c r="Y21" i="4" s="1"/>
  <c r="W18" i="4"/>
  <c r="Y18" i="4" s="1"/>
  <c r="W19" i="4"/>
  <c r="Y19" i="4" s="1"/>
  <c r="I16" i="4"/>
  <c r="K16" i="4" s="1"/>
  <c r="I20" i="4"/>
  <c r="K20" i="4" s="1"/>
  <c r="I21" i="4"/>
  <c r="K21" i="4" s="1"/>
  <c r="I19" i="4"/>
  <c r="K19" i="4" s="1"/>
  <c r="I17" i="4"/>
  <c r="K17" i="4" s="1"/>
  <c r="I18" i="4"/>
  <c r="K18" i="4" s="1"/>
  <c r="S9" i="1"/>
  <c r="T9" i="1" s="1"/>
  <c r="S23" i="1"/>
  <c r="T23" i="1" s="1"/>
  <c r="S16" i="1"/>
  <c r="T16" i="1" s="1"/>
  <c r="S20" i="1"/>
  <c r="T20" i="1" s="1"/>
  <c r="S29" i="1"/>
  <c r="T29" i="1" s="1"/>
  <c r="S11" i="1"/>
  <c r="T11" i="1" s="1"/>
  <c r="S18" i="1"/>
  <c r="T18" i="1" s="1"/>
  <c r="S55" i="1"/>
  <c r="T55" i="1" s="1"/>
  <c r="S28" i="1"/>
  <c r="T28" i="1" s="1"/>
  <c r="S25" i="1"/>
  <c r="T25" i="1" s="1"/>
  <c r="S14" i="1"/>
  <c r="T14" i="1" s="1"/>
  <c r="S8" i="1"/>
  <c r="T8" i="1" s="1"/>
  <c r="S13" i="1"/>
  <c r="T13" i="1" s="1"/>
  <c r="S15" i="1"/>
  <c r="T15" i="1" s="1"/>
  <c r="S19" i="1"/>
  <c r="T19" i="1" s="1"/>
  <c r="S31" i="1"/>
  <c r="T31" i="1" s="1"/>
  <c r="S27" i="1"/>
  <c r="T27" i="1" s="1"/>
  <c r="S30" i="1"/>
  <c r="T30" i="1" s="1"/>
  <c r="S10" i="1"/>
  <c r="T10" i="1" s="1"/>
  <c r="N15" i="3"/>
  <c r="S12" i="3"/>
  <c r="Y10" i="3"/>
  <c r="AE12" i="3"/>
  <c r="AI12" i="3"/>
  <c r="S11" i="3"/>
  <c r="Y9" i="3"/>
  <c r="AE11" i="3"/>
  <c r="AI11" i="3"/>
  <c r="AI13" i="3"/>
  <c r="M12" i="3"/>
  <c r="Y14" i="3"/>
  <c r="AI14" i="3"/>
  <c r="AI10" i="3"/>
  <c r="M13" i="3"/>
  <c r="M9" i="3"/>
  <c r="S13" i="3"/>
  <c r="S9" i="3"/>
  <c r="Y11" i="3"/>
  <c r="AE13" i="3"/>
  <c r="AE9" i="3"/>
  <c r="M14" i="3"/>
  <c r="M10" i="3"/>
  <c r="S14" i="3"/>
  <c r="S10" i="3"/>
  <c r="Y12" i="3"/>
  <c r="AE14" i="3"/>
  <c r="AE10" i="3"/>
  <c r="Z15" i="3"/>
  <c r="T15" i="3"/>
  <c r="AF15" i="3"/>
  <c r="I15" i="3"/>
  <c r="H11" i="3"/>
  <c r="H14" i="3"/>
  <c r="H10" i="3"/>
  <c r="H13" i="3"/>
  <c r="H9" i="3"/>
  <c r="S24" i="1"/>
  <c r="T24" i="1" s="1"/>
  <c r="AS19" i="8" l="1"/>
  <c r="AV16" i="8"/>
  <c r="Y15" i="3"/>
  <c r="AS22" i="7"/>
  <c r="AV16" i="7"/>
  <c r="AV21" i="6"/>
  <c r="AV19" i="6"/>
  <c r="AV18" i="6"/>
  <c r="AR22" i="6"/>
  <c r="AV20" i="6"/>
  <c r="AV17" i="6"/>
  <c r="BO22" i="4"/>
  <c r="BH22" i="4"/>
  <c r="CM16" i="4"/>
  <c r="BA22" i="4"/>
  <c r="AT22" i="4"/>
  <c r="AM22" i="4"/>
  <c r="AF22" i="4"/>
  <c r="Y22" i="4"/>
  <c r="K22" i="4"/>
  <c r="BQ19" i="4"/>
  <c r="BS19" i="4" s="1"/>
  <c r="BQ20" i="4"/>
  <c r="BS20" i="4" s="1"/>
  <c r="CF22" i="4"/>
  <c r="BQ17" i="4"/>
  <c r="BS17" i="4" s="1"/>
  <c r="BW18" i="4"/>
  <c r="CC18" i="4" s="1"/>
  <c r="BW21" i="4"/>
  <c r="BY21" i="4" s="1"/>
  <c r="BW16" i="4"/>
  <c r="BY16" i="4" s="1"/>
  <c r="BX22" i="4"/>
  <c r="BQ18" i="4"/>
  <c r="BS18" i="4" s="1"/>
  <c r="BR22" i="4"/>
  <c r="BQ16" i="4"/>
  <c r="BQ21" i="4"/>
  <c r="BS21" i="4" s="1"/>
  <c r="BW20" i="4"/>
  <c r="BY20" i="4" s="1"/>
  <c r="CD22" i="4"/>
  <c r="BW19" i="4"/>
  <c r="BY19" i="4" s="1"/>
  <c r="BW17" i="4"/>
  <c r="BY17" i="4" s="1"/>
  <c r="AK22" i="4"/>
  <c r="BM22" i="4"/>
  <c r="BF22" i="4"/>
  <c r="AR22" i="4"/>
  <c r="AY22" i="4"/>
  <c r="AD22" i="4"/>
  <c r="P22" i="4"/>
  <c r="W22" i="4"/>
  <c r="I22" i="4"/>
  <c r="AH12" i="3"/>
  <c r="AJ12" i="3" s="1"/>
  <c r="AH9" i="3"/>
  <c r="AJ9" i="3" s="1"/>
  <c r="AH11" i="3"/>
  <c r="AJ11" i="3" s="1"/>
  <c r="S15" i="3"/>
  <c r="AH10" i="3"/>
  <c r="AJ10" i="3" s="1"/>
  <c r="M15" i="3"/>
  <c r="H15" i="3"/>
  <c r="AH13" i="3"/>
  <c r="AJ13" i="3" s="1"/>
  <c r="AH14" i="3"/>
  <c r="AJ14" i="3" s="1"/>
  <c r="AI15" i="3"/>
  <c r="F43" i="1" l="1"/>
  <c r="O43" i="1"/>
  <c r="J43" i="1"/>
  <c r="F44" i="1"/>
  <c r="O44" i="1"/>
  <c r="J44" i="1"/>
  <c r="F45" i="1"/>
  <c r="O45" i="1"/>
  <c r="J45" i="1"/>
  <c r="F36" i="1"/>
  <c r="O36" i="1"/>
  <c r="J36" i="1"/>
  <c r="F37" i="1"/>
  <c r="O37" i="1"/>
  <c r="J37" i="1"/>
  <c r="F38" i="1"/>
  <c r="O38" i="1"/>
  <c r="J38" i="1"/>
  <c r="F39" i="1"/>
  <c r="O39" i="1"/>
  <c r="J39" i="1"/>
  <c r="F40" i="1"/>
  <c r="O40" i="1"/>
  <c r="J40" i="1"/>
  <c r="F41" i="1"/>
  <c r="O41" i="1"/>
  <c r="J41" i="1"/>
  <c r="F42" i="1"/>
  <c r="O42" i="1"/>
  <c r="J34" i="1"/>
  <c r="J42" i="1"/>
  <c r="O34" i="1"/>
  <c r="F34" i="1"/>
  <c r="J35" i="1"/>
  <c r="F35" i="1"/>
  <c r="O35" i="1"/>
  <c r="F46" i="1"/>
  <c r="O46" i="1"/>
  <c r="J46" i="1"/>
  <c r="F32" i="1"/>
  <c r="O32" i="1"/>
  <c r="J32" i="1"/>
  <c r="F33" i="1"/>
  <c r="O33" i="1"/>
  <c r="J33" i="1"/>
  <c r="F47" i="1"/>
  <c r="O47" i="1"/>
  <c r="J47" i="1"/>
  <c r="F48" i="1"/>
  <c r="O48" i="1"/>
  <c r="J48" i="1"/>
  <c r="AQ22" i="6"/>
  <c r="CL22" i="4"/>
  <c r="CC16" i="4"/>
  <c r="CI16" i="4" s="1"/>
  <c r="BY18" i="4"/>
  <c r="BY22" i="4" s="1"/>
  <c r="CC21" i="4"/>
  <c r="CE21" i="4" s="1"/>
  <c r="CE18" i="4"/>
  <c r="CI18" i="4"/>
  <c r="BS16" i="4"/>
  <c r="BS22" i="4" s="1"/>
  <c r="BQ22" i="4"/>
  <c r="CC20" i="4"/>
  <c r="CC17" i="4"/>
  <c r="CI17" i="4" s="1"/>
  <c r="BW22" i="4"/>
  <c r="CC19" i="4"/>
  <c r="AH15" i="3"/>
  <c r="AJ15" i="3"/>
  <c r="O26" i="1"/>
  <c r="F26" i="1"/>
  <c r="O25" i="1"/>
  <c r="F25" i="1"/>
  <c r="J23" i="1"/>
  <c r="J22" i="1"/>
  <c r="J26" i="1"/>
  <c r="J25" i="1"/>
  <c r="O23" i="1"/>
  <c r="F23" i="1"/>
  <c r="O22" i="1"/>
  <c r="F22" i="1"/>
  <c r="F30" i="1"/>
  <c r="J30" i="1"/>
  <c r="O30" i="1"/>
  <c r="J24" i="1"/>
  <c r="J55" i="1"/>
  <c r="O24" i="1"/>
  <c r="O55" i="1"/>
  <c r="F27" i="1"/>
  <c r="F31" i="1"/>
  <c r="J27" i="1"/>
  <c r="J31" i="1"/>
  <c r="O27" i="1"/>
  <c r="O31" i="1"/>
  <c r="F24" i="1"/>
  <c r="F55" i="1"/>
  <c r="J28" i="1"/>
  <c r="F29" i="1"/>
  <c r="J29" i="1"/>
  <c r="O29" i="1"/>
  <c r="F28" i="1"/>
  <c r="O28" i="1"/>
  <c r="F20" i="1"/>
  <c r="J20" i="1"/>
  <c r="F21" i="1"/>
  <c r="J21" i="1"/>
  <c r="O20" i="1"/>
  <c r="O21" i="1"/>
  <c r="F9" i="1"/>
  <c r="F13" i="1"/>
  <c r="F16" i="1"/>
  <c r="J9" i="1"/>
  <c r="J16" i="1"/>
  <c r="O13" i="1"/>
  <c r="F10" i="1"/>
  <c r="F17" i="1"/>
  <c r="J10" i="1"/>
  <c r="J17" i="1"/>
  <c r="O10" i="1"/>
  <c r="O17" i="1"/>
  <c r="F11" i="1"/>
  <c r="F14" i="1"/>
  <c r="F18" i="1"/>
  <c r="J11" i="1"/>
  <c r="J14" i="1"/>
  <c r="J18" i="1"/>
  <c r="O11" i="1"/>
  <c r="O14" i="1"/>
  <c r="O18" i="1"/>
  <c r="F8" i="1"/>
  <c r="F12" i="1"/>
  <c r="F15" i="1"/>
  <c r="F19" i="1"/>
  <c r="J8" i="1"/>
  <c r="J12" i="1"/>
  <c r="J15" i="1"/>
  <c r="J19" i="1"/>
  <c r="O8" i="1"/>
  <c r="O12" i="1"/>
  <c r="O15" i="1"/>
  <c r="O19" i="1"/>
  <c r="J13" i="1"/>
  <c r="O9" i="1"/>
  <c r="O16" i="1"/>
  <c r="R43" i="1" l="1"/>
  <c r="U43" i="1" s="1"/>
  <c r="R44" i="1"/>
  <c r="U44" i="1" s="1"/>
  <c r="R45" i="1"/>
  <c r="U45" i="1" s="1"/>
  <c r="R36" i="1"/>
  <c r="U36" i="1" s="1"/>
  <c r="R37" i="1"/>
  <c r="U37" i="1" s="1"/>
  <c r="R38" i="1"/>
  <c r="U38" i="1" s="1"/>
  <c r="R39" i="1"/>
  <c r="U39" i="1" s="1"/>
  <c r="R41" i="1"/>
  <c r="U41" i="1" s="1"/>
  <c r="R40" i="1"/>
  <c r="U40" i="1" s="1"/>
  <c r="R34" i="1"/>
  <c r="U34" i="1" s="1"/>
  <c r="R42" i="1"/>
  <c r="U42" i="1" s="1"/>
  <c r="R46" i="1"/>
  <c r="U46" i="1" s="1"/>
  <c r="R35" i="1"/>
  <c r="U35" i="1" s="1"/>
  <c r="R32" i="1"/>
  <c r="U32" i="1" s="1"/>
  <c r="R33" i="1"/>
  <c r="U33" i="1" s="1"/>
  <c r="R47" i="1"/>
  <c r="U47" i="1" s="1"/>
  <c r="R48" i="1"/>
  <c r="U48" i="1" s="1"/>
  <c r="AS22" i="6"/>
  <c r="AV16" i="6"/>
  <c r="CE16" i="4"/>
  <c r="CI21" i="4"/>
  <c r="CE17" i="4"/>
  <c r="CI20" i="4"/>
  <c r="CE20" i="4"/>
  <c r="CE19" i="4"/>
  <c r="CI19" i="4"/>
  <c r="CC22" i="4"/>
  <c r="R8" i="1"/>
  <c r="U8" i="1" s="1"/>
  <c r="R55" i="1"/>
  <c r="U55" i="1" s="1"/>
  <c r="R18" i="1"/>
  <c r="U18" i="1" s="1"/>
  <c r="R10" i="1"/>
  <c r="U10" i="1" s="1"/>
  <c r="R12" i="1"/>
  <c r="U12" i="1" s="1"/>
  <c r="R17" i="1"/>
  <c r="U17" i="1" s="1"/>
  <c r="R9" i="1"/>
  <c r="U9" i="1" s="1"/>
  <c r="R20" i="1"/>
  <c r="U20" i="1" s="1"/>
  <c r="R24" i="1"/>
  <c r="U24" i="1" s="1"/>
  <c r="R30" i="1"/>
  <c r="U30" i="1" s="1"/>
  <c r="R23" i="1"/>
  <c r="U23" i="1" s="1"/>
  <c r="R25" i="1"/>
  <c r="U25" i="1" s="1"/>
  <c r="R19" i="1"/>
  <c r="U19" i="1" s="1"/>
  <c r="R14" i="1"/>
  <c r="U14" i="1" s="1"/>
  <c r="R16" i="1"/>
  <c r="U16" i="1" s="1"/>
  <c r="R29" i="1"/>
  <c r="U29" i="1" s="1"/>
  <c r="R31" i="1"/>
  <c r="U31" i="1" s="1"/>
  <c r="R22" i="1"/>
  <c r="U22" i="1" s="1"/>
  <c r="R15" i="1"/>
  <c r="U15" i="1" s="1"/>
  <c r="R11" i="1"/>
  <c r="U11" i="1" s="1"/>
  <c r="R13" i="1"/>
  <c r="U13" i="1" s="1"/>
  <c r="R21" i="1"/>
  <c r="U21" i="1" s="1"/>
  <c r="R28" i="1"/>
  <c r="U28" i="1" s="1"/>
  <c r="R27" i="1"/>
  <c r="U27" i="1" s="1"/>
  <c r="R26" i="1"/>
  <c r="U26" i="1" s="1"/>
  <c r="CE22" i="4" l="1"/>
  <c r="CI22" i="4"/>
  <c r="Q1048505" i="1"/>
  <c r="F15" i="3"/>
  <c r="M18" i="4"/>
  <c r="Q18" i="4" s="1"/>
  <c r="R18" i="4" s="1"/>
  <c r="M19" i="4"/>
  <c r="Q19" i="4" s="1"/>
  <c r="R19" i="4" s="1"/>
  <c r="M21" i="4"/>
  <c r="Q21" i="4" s="1"/>
  <c r="R21" i="4" s="1"/>
  <c r="M20" i="4"/>
  <c r="Q20" i="4" s="1"/>
  <c r="R20" i="4" s="1"/>
  <c r="M17" i="4"/>
  <c r="Q17" i="4" s="1"/>
  <c r="R17" i="4" s="1"/>
  <c r="M16" i="4"/>
  <c r="Q16" i="4" s="1"/>
  <c r="CJ16" i="4" l="1"/>
  <c r="CK16" i="4" s="1"/>
  <c r="CN16" i="4" s="1"/>
  <c r="R16" i="4"/>
  <c r="R22" i="4" s="1"/>
  <c r="CJ21" i="4"/>
  <c r="CK21" i="4" s="1"/>
  <c r="CN21" i="4" s="1"/>
  <c r="CJ18" i="4"/>
  <c r="CK18" i="4" s="1"/>
  <c r="CN18" i="4" s="1"/>
  <c r="CJ20" i="4"/>
  <c r="CK20" i="4" s="1"/>
  <c r="CN20" i="4" s="1"/>
  <c r="CJ19" i="4"/>
  <c r="CK19" i="4" s="1"/>
  <c r="CN19" i="4" s="1"/>
  <c r="CJ17" i="4"/>
  <c r="CK17" i="4" s="1"/>
  <c r="CN17" i="4" s="1"/>
  <c r="Q22" i="4"/>
  <c r="CJ22" i="4" l="1"/>
  <c r="CK22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R7" authorId="0" shapeId="0" xr:uid="{00000000-0006-0000-0000-000001000000}">
      <text>
        <r>
          <rPr>
            <b/>
            <sz val="8"/>
            <color indexed="81"/>
            <rFont val="Tahoma"/>
            <family val="2"/>
            <charset val="204"/>
          </rPr>
          <t>user:</t>
        </r>
        <r>
          <rPr>
            <sz val="8"/>
            <color indexed="81"/>
            <rFont val="Tahoma"/>
            <family val="2"/>
            <charset val="204"/>
          </rPr>
          <t xml:space="preserve">
ожидание - факт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F1" authorId="0" shapeId="0" xr:uid="{45EE7453-A758-41A7-8256-CDA1200E38FD}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Вероятности выигрыша в main pot</t>
        </r>
      </text>
    </comment>
    <comment ref="I1" authorId="0" shapeId="0" xr:uid="{3F3517A3-8E43-4DCA-A354-02A5806EBCEB}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вероятности в сайд поте</t>
        </r>
      </text>
    </comment>
    <comment ref="M1" authorId="0" shapeId="0" xr:uid="{4FC32D80-51D6-4BBB-92EF-FCA2A0002189}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заполнить значениями из раздачи</t>
        </r>
      </text>
    </comment>
    <comment ref="M4" authorId="0" shapeId="0" xr:uid="{9F2699BF-AC64-4A3F-8A12-621BAE8347C5}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uncalled из раздачи или сколько у чипа осталось в стэке после оллина</t>
        </r>
      </text>
    </comment>
    <comment ref="A16" authorId="0" shapeId="0" xr:uid="{AED78B15-F7B6-4503-866F-309ADA55D958}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1 = чиплидер</t>
        </r>
      </text>
    </comment>
    <comment ref="B16" authorId="0" shapeId="0" xr:uid="{782F41A3-BBCC-407B-ABE4-13445726FE0F}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стартовые стэки</t>
        </r>
      </text>
    </comment>
    <comment ref="C16" authorId="0" shapeId="0" xr:uid="{B96A2E07-7138-4C53-80EF-F8381F7025B2}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рука чисто для справки) ни на что не влияет</t>
        </r>
      </text>
    </comment>
    <comment ref="F16" authorId="0" shapeId="0" xr:uid="{021F8127-0F33-4864-B9EE-97CE01CF6678}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Сколько игроков остается в раздаче</t>
        </r>
      </text>
    </comment>
    <comment ref="H16" authorId="0" shapeId="0" xr:uid="{D07B91CC-4706-4B48-B2B0-9E96AE85E1FD}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ICM Equity считаю обычно тут 
https://www.holdemresources.net/icmcalculator</t>
        </r>
      </text>
    </comment>
    <comment ref="M16" authorId="0" shapeId="0" xr:uid="{F23BE1F2-A069-49D5-B492-59A554CDE89A}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сколько игроков остается в раздаче</t>
        </r>
      </text>
    </comment>
    <comment ref="T16" authorId="0" shapeId="0" xr:uid="{F861966A-E7AF-42DB-980F-8EFF8EAB2F19}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сколько игроков остается в раздаче</t>
        </r>
      </text>
    </comment>
    <comment ref="AA16" authorId="0" shapeId="0" xr:uid="{BC7C54E0-A0AD-4220-97BB-A1B1C6E2B59C}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сколько игроков остается в раздаче</t>
        </r>
      </text>
    </comment>
    <comment ref="AJ16" authorId="0" shapeId="0" xr:uid="{1204A357-C63F-4A4E-B511-73E628AF1504}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Заполняется вручную</t>
        </r>
      </text>
    </comment>
    <comment ref="AQ16" authorId="0" shapeId="0" xr:uid="{FEE1654A-C1D6-418F-822A-955EBABDEA30}">
      <text>
        <r>
          <rPr>
            <b/>
            <sz val="8"/>
            <color indexed="81"/>
            <rFont val="Tahoma"/>
            <family val="2"/>
            <charset val="204"/>
          </rPr>
          <t>user:</t>
        </r>
        <r>
          <rPr>
            <sz val="8"/>
            <color indexed="81"/>
            <rFont val="Tahoma"/>
            <family val="2"/>
            <charset val="204"/>
          </rPr>
          <t xml:space="preserve">
ожидание - факт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F1" authorId="0" shapeId="0" xr:uid="{D1C8413F-E4F3-4E03-9C5F-2F651A0D958B}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Вероятности выигрыша в main pot</t>
        </r>
      </text>
    </comment>
    <comment ref="I1" authorId="0" shapeId="0" xr:uid="{0ADE6F3C-5828-4CB6-A0B9-C02E1E8AAC68}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вероятности в сайд поте</t>
        </r>
      </text>
    </comment>
    <comment ref="M1" authorId="0" shapeId="0" xr:uid="{366AA88B-ACCD-4452-964A-3C27A0BB435B}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заполнить значениями из раздачи</t>
        </r>
      </text>
    </comment>
    <comment ref="M4" authorId="0" shapeId="0" xr:uid="{13C6315E-FDA4-4292-A6B5-F9B6B037DD66}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uncalled из раздачи или сколько у чипа осталось в стэке после оллина</t>
        </r>
      </text>
    </comment>
    <comment ref="A16" authorId="0" shapeId="0" xr:uid="{5122D599-DDAA-4ECA-BEA8-A590B3D34250}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1 = чиплидер</t>
        </r>
      </text>
    </comment>
    <comment ref="B16" authorId="0" shapeId="0" xr:uid="{C0840B3E-4A09-4CA6-AFED-0B00C49EC426}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стартовые стэки</t>
        </r>
      </text>
    </comment>
    <comment ref="C16" authorId="0" shapeId="0" xr:uid="{869080A8-8167-4485-8A7D-50432FA9DEC7}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рука чисто для справки) ни на что не влияет</t>
        </r>
      </text>
    </comment>
    <comment ref="F16" authorId="0" shapeId="0" xr:uid="{70E77830-3E36-465A-9C41-26F215B15E9A}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Сколько игроков остается в раздаче</t>
        </r>
      </text>
    </comment>
    <comment ref="H16" authorId="0" shapeId="0" xr:uid="{A16A8944-1538-4E8C-A4A6-DE8231B6A161}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ICM Equity считаю обычно тут 
https://www.holdemresources.net/icmcalculator</t>
        </r>
      </text>
    </comment>
    <comment ref="M16" authorId="0" shapeId="0" xr:uid="{BDCF14DE-86F2-4E4D-8744-529D1D57D620}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сколько игроков остается в раздаче</t>
        </r>
      </text>
    </comment>
    <comment ref="T16" authorId="0" shapeId="0" xr:uid="{BA932E09-1017-495F-ADAC-F71D258F398E}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сколько игроков остается в раздаче</t>
        </r>
      </text>
    </comment>
    <comment ref="AA16" authorId="0" shapeId="0" xr:uid="{E0C04140-702C-4D8A-B533-9D734BAF0E00}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сколько игроков остается в раздаче</t>
        </r>
      </text>
    </comment>
    <comment ref="AJ16" authorId="0" shapeId="0" xr:uid="{2A3414A5-D8F5-4B58-9C8F-30867E2CCF60}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Заполняется вручную</t>
        </r>
      </text>
    </comment>
    <comment ref="AQ16" authorId="0" shapeId="0" xr:uid="{EB52DE6D-42A2-4637-8395-47896205F1A0}">
      <text>
        <r>
          <rPr>
            <b/>
            <sz val="8"/>
            <color indexed="81"/>
            <rFont val="Tahoma"/>
            <family val="2"/>
            <charset val="204"/>
          </rPr>
          <t>user:</t>
        </r>
        <r>
          <rPr>
            <sz val="8"/>
            <color indexed="81"/>
            <rFont val="Tahoma"/>
            <family val="2"/>
            <charset val="204"/>
          </rPr>
          <t xml:space="preserve">
ожидание - факт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F1" authorId="0" shapeId="0" xr:uid="{702DBDBB-FC90-44A9-B728-D91DA259627E}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Вероятности выигрыша в main pot</t>
        </r>
      </text>
    </comment>
    <comment ref="I1" authorId="0" shapeId="0" xr:uid="{8C091246-AE59-4C72-84A4-44F721DD6D2F}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вероятности в сайд поте</t>
        </r>
      </text>
    </comment>
    <comment ref="M1" authorId="0" shapeId="0" xr:uid="{193D9DB8-263B-4C15-99CB-6B2B3923B6BC}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заполнить значениями из раздачи</t>
        </r>
      </text>
    </comment>
    <comment ref="M4" authorId="0" shapeId="0" xr:uid="{6A0B1238-0EA4-464D-992E-4733A7125902}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uncalled из раздачи или сколько у чипа осталось в стэке после оллина</t>
        </r>
      </text>
    </comment>
    <comment ref="A16" authorId="0" shapeId="0" xr:uid="{EE6350DC-3D55-4A6D-8F19-AB1BAEC3A605}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1 = чиплидер</t>
        </r>
      </text>
    </comment>
    <comment ref="B16" authorId="0" shapeId="0" xr:uid="{66CCD726-BFD0-49F4-93CB-871D638C026C}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стартовые стэки</t>
        </r>
      </text>
    </comment>
    <comment ref="C16" authorId="0" shapeId="0" xr:uid="{52330223-8803-406B-A5C2-B71B5D323451}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рука чисто для справки) ни на что не влияет</t>
        </r>
      </text>
    </comment>
    <comment ref="F16" authorId="0" shapeId="0" xr:uid="{E46C6F8C-BCFA-46EA-A13F-425DC32FEBE1}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Сколько игроков остается в раздаче</t>
        </r>
      </text>
    </comment>
    <comment ref="H16" authorId="0" shapeId="0" xr:uid="{6D47EB04-1F89-4564-8EB1-415FB9D34B88}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ICM Equity считаю обычно тут 
https://www.holdemresources.net/icmcalculator</t>
        </r>
      </text>
    </comment>
    <comment ref="M16" authorId="0" shapeId="0" xr:uid="{3536A0FB-0EAF-4DD7-808F-BC51F53682A7}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сколько игроков остается в раздаче</t>
        </r>
      </text>
    </comment>
    <comment ref="T16" authorId="0" shapeId="0" xr:uid="{30251E8B-CD07-4803-A47A-A1D982D01A9E}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сколько игроков остается в раздаче</t>
        </r>
      </text>
    </comment>
    <comment ref="AA16" authorId="0" shapeId="0" xr:uid="{4235978D-5578-44B5-9CA9-A1B96D3DA5F3}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сколько игроков остается в раздаче</t>
        </r>
      </text>
    </comment>
    <comment ref="AJ16" authorId="0" shapeId="0" xr:uid="{14AD69B7-C8B7-4079-AB9C-1D7FF65E0ADA}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Заполняется вручную</t>
        </r>
      </text>
    </comment>
    <comment ref="AQ16" authorId="0" shapeId="0" xr:uid="{77222E47-E63C-4C67-B808-5F353B13950D}">
      <text>
        <r>
          <rPr>
            <b/>
            <sz val="8"/>
            <color indexed="81"/>
            <rFont val="Tahoma"/>
            <family val="2"/>
            <charset val="204"/>
          </rPr>
          <t>user:</t>
        </r>
        <r>
          <rPr>
            <sz val="8"/>
            <color indexed="81"/>
            <rFont val="Tahoma"/>
            <family val="2"/>
            <charset val="204"/>
          </rPr>
          <t xml:space="preserve">
ожидание - факт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F1" authorId="0" shapeId="0" xr:uid="{97BDF1EA-C43B-47D4-9563-7B4037A3114E}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Вероятности выигрыша в main pot</t>
        </r>
      </text>
    </comment>
    <comment ref="I1" authorId="0" shapeId="0" xr:uid="{34F106DB-2F74-4C8D-9A38-58BE46EDB4FC}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вероятности в сайд поте</t>
        </r>
      </text>
    </comment>
    <comment ref="M1" authorId="0" shapeId="0" xr:uid="{6418ED86-4EB8-4435-9E89-A2B9658CB74D}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заполнить значениями из раздачи</t>
        </r>
      </text>
    </comment>
    <comment ref="M4" authorId="0" shapeId="0" xr:uid="{D4345360-9615-4E50-A303-D92CBA702D40}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uncalled из раздачи или сколько у чипа осталось в стэке после оллина</t>
        </r>
      </text>
    </comment>
    <comment ref="A16" authorId="0" shapeId="0" xr:uid="{F4772DDD-CC3A-4270-9E83-02C35B109D7B}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1 = чиплидер</t>
        </r>
      </text>
    </comment>
    <comment ref="B16" authorId="0" shapeId="0" xr:uid="{CB977998-E518-430F-BABC-DEAEC60FB046}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стартовые стэки</t>
        </r>
      </text>
    </comment>
    <comment ref="C16" authorId="0" shapeId="0" xr:uid="{02B7ED9E-11CB-4682-BBAC-68D326BCADF3}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рука чисто для справки) ни на что не влияет</t>
        </r>
      </text>
    </comment>
    <comment ref="F16" authorId="0" shapeId="0" xr:uid="{CFCB5552-EEBB-4DE2-A4FA-CFFA841381DE}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Сколько игроков остается в раздаче</t>
        </r>
      </text>
    </comment>
    <comment ref="H16" authorId="0" shapeId="0" xr:uid="{2F0954C7-CDB0-42FF-B6D9-CC61EC1F5DD1}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ICM Equity считаю обычно тут 
https://www.holdemresources.net/icmcalculator</t>
        </r>
      </text>
    </comment>
    <comment ref="M16" authorId="0" shapeId="0" xr:uid="{F91AD707-3F08-401B-84D4-84865CC2CE83}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сколько игроков остается в раздаче</t>
        </r>
      </text>
    </comment>
    <comment ref="T16" authorId="0" shapeId="0" xr:uid="{DFE2F6DF-6CA8-4A5E-BEF0-95DB791977E7}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сколько игроков остается в раздаче</t>
        </r>
      </text>
    </comment>
    <comment ref="AA16" authorId="0" shapeId="0" xr:uid="{D99770D5-0D88-42C7-8CAF-CFE9BF83216A}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сколько игроков остается в раздаче</t>
        </r>
      </text>
    </comment>
    <comment ref="AJ16" authorId="0" shapeId="0" xr:uid="{7A2AA4BD-DD42-4798-B99B-D268AAE94C5A}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Заполняется вручную</t>
        </r>
      </text>
    </comment>
    <comment ref="AQ16" authorId="0" shapeId="0" xr:uid="{3BDE28E8-B3B9-420A-A7F4-92A370926003}">
      <text>
        <r>
          <rPr>
            <b/>
            <sz val="8"/>
            <color indexed="81"/>
            <rFont val="Tahoma"/>
            <family val="2"/>
            <charset val="204"/>
          </rPr>
          <t>user:</t>
        </r>
        <r>
          <rPr>
            <sz val="8"/>
            <color indexed="81"/>
            <rFont val="Tahoma"/>
            <family val="2"/>
            <charset val="204"/>
          </rPr>
          <t xml:space="preserve">
ожидание - факт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F1" authorId="0" shapeId="0" xr:uid="{721D4E93-4E59-4B32-A9C4-897F9CD8C91B}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Вероятности выигрыша в main pot</t>
        </r>
      </text>
    </comment>
    <comment ref="I1" authorId="0" shapeId="0" xr:uid="{B10A53DE-7276-41DD-B947-3858B4986303}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вероятности в сайд поте</t>
        </r>
      </text>
    </comment>
    <comment ref="M1" authorId="0" shapeId="0" xr:uid="{2E9479D1-7944-4518-B87E-50F1E108FD8A}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заполнить значениями из раздачи</t>
        </r>
      </text>
    </comment>
    <comment ref="M4" authorId="0" shapeId="0" xr:uid="{42AE8638-F76A-441D-B5C6-9A0E9E5C5C52}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uncalled из раздачи или сколько у чипа осталось в стэке после оллина</t>
        </r>
      </text>
    </comment>
    <comment ref="A16" authorId="0" shapeId="0" xr:uid="{C3A68BC1-43C4-458C-A50D-9F8DB636861F}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1 = чиплидер</t>
        </r>
      </text>
    </comment>
    <comment ref="B16" authorId="0" shapeId="0" xr:uid="{3B11796C-7E4D-4118-8248-DDD3DF980C62}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стартовые стэки</t>
        </r>
      </text>
    </comment>
    <comment ref="C16" authorId="0" shapeId="0" xr:uid="{234F0E77-2E50-426B-8BD5-7C908A74F356}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рука чисто для справки) ни на что не влияет</t>
        </r>
      </text>
    </comment>
    <comment ref="F16" authorId="0" shapeId="0" xr:uid="{F4F2ECE8-E23F-4883-A168-E52704F58A34}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Сколько игроков остается в раздаче</t>
        </r>
      </text>
    </comment>
    <comment ref="H16" authorId="0" shapeId="0" xr:uid="{D0DB5AE1-4E78-4DD9-965B-398051F059B0}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ICM Equity считаю обычно тут 
https://www.holdemresources.net/icmcalculator</t>
        </r>
      </text>
    </comment>
    <comment ref="M16" authorId="0" shapeId="0" xr:uid="{3FD03381-CDC4-47F9-818C-DC51BF3B17FD}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сколько игроков остается в раздаче</t>
        </r>
      </text>
    </comment>
    <comment ref="T16" authorId="0" shapeId="0" xr:uid="{E636DE8F-21AF-4656-9EB7-AFA5BE97A742}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сколько игроков остается в раздаче</t>
        </r>
      </text>
    </comment>
    <comment ref="AA16" authorId="0" shapeId="0" xr:uid="{77B1A3CC-40AC-4380-A17D-C4C08632EBF5}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сколько игроков остается в раздаче</t>
        </r>
      </text>
    </comment>
    <comment ref="AJ16" authorId="0" shapeId="0" xr:uid="{F3656279-A319-4C68-AF55-5D0FC1B768FA}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Заполняется вручную</t>
        </r>
      </text>
    </comment>
    <comment ref="AQ16" authorId="0" shapeId="0" xr:uid="{53454038-0FE1-48F4-924E-A1FF0E9AE408}">
      <text>
        <r>
          <rPr>
            <b/>
            <sz val="8"/>
            <color indexed="81"/>
            <rFont val="Tahoma"/>
            <family val="2"/>
            <charset val="204"/>
          </rPr>
          <t>user:</t>
        </r>
        <r>
          <rPr>
            <sz val="8"/>
            <color indexed="81"/>
            <rFont val="Tahoma"/>
            <family val="2"/>
            <charset val="204"/>
          </rPr>
          <t xml:space="preserve">
ожидание - факт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F1" authorId="0" shapeId="0" xr:uid="{B4517C01-D6C9-4E61-B294-7499415CE652}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Вероятности выигрыша в main pot</t>
        </r>
      </text>
    </comment>
    <comment ref="I1" authorId="0" shapeId="0" xr:uid="{F517DC64-ACC6-4920-9F0F-5B4CEFC72601}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вероятности в сайд поте</t>
        </r>
      </text>
    </comment>
    <comment ref="M1" authorId="0" shapeId="0" xr:uid="{FD9A721C-827F-4B47-8F3F-47A25B679DCC}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заполнить значениями из раздачи</t>
        </r>
      </text>
    </comment>
    <comment ref="M4" authorId="0" shapeId="0" xr:uid="{5C553DFE-9EAB-41B9-8EE8-DE18F856E358}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uncalled из раздачи или сколько у чипа осталось в стэке после оллина</t>
        </r>
      </text>
    </comment>
    <comment ref="A16" authorId="0" shapeId="0" xr:uid="{504D108A-B57D-4B8D-9F14-85D2B07E2354}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1 = чиплидер</t>
        </r>
      </text>
    </comment>
    <comment ref="B16" authorId="0" shapeId="0" xr:uid="{F60253CE-EDA8-4605-9178-3FAB542C6C5A}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стартовые стэки</t>
        </r>
      </text>
    </comment>
    <comment ref="C16" authorId="0" shapeId="0" xr:uid="{40D6A43F-16FA-45B5-B1AC-5B6D2B1BA843}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рука чисто для справки) ни на что не влияет</t>
        </r>
      </text>
    </comment>
    <comment ref="F16" authorId="0" shapeId="0" xr:uid="{9902CAC7-BB87-4F3B-B256-46ABE9E210E8}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Сколько игроков остается в раздаче</t>
        </r>
      </text>
    </comment>
    <comment ref="H16" authorId="0" shapeId="0" xr:uid="{69C42682-356A-46C3-A7D2-E563087315BF}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ICM Equity считаю обычно тут 
https://www.holdemresources.net/icmcalculator</t>
        </r>
      </text>
    </comment>
    <comment ref="M16" authorId="0" shapeId="0" xr:uid="{71D0DEED-5185-4746-B274-99A564EF750C}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сколько игроков остается в раздаче</t>
        </r>
      </text>
    </comment>
    <comment ref="T16" authorId="0" shapeId="0" xr:uid="{23D19F8F-B59D-42F4-A422-9F6F71AD32DC}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сколько игроков остается в раздаче</t>
        </r>
      </text>
    </comment>
    <comment ref="AA16" authorId="0" shapeId="0" xr:uid="{1139B84D-AD23-4A83-B582-8676935353ED}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сколько игроков остается в раздаче</t>
        </r>
      </text>
    </comment>
    <comment ref="AJ16" authorId="0" shapeId="0" xr:uid="{065D18BC-FF7F-419D-A4AA-FEC2D586F049}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Заполняется вручную</t>
        </r>
      </text>
    </comment>
    <comment ref="AQ16" authorId="0" shapeId="0" xr:uid="{5D3E71EC-0601-4508-86DC-05534E643ABF}">
      <text>
        <r>
          <rPr>
            <b/>
            <sz val="8"/>
            <color indexed="81"/>
            <rFont val="Tahoma"/>
            <family val="2"/>
            <charset val="204"/>
          </rPr>
          <t>user:</t>
        </r>
        <r>
          <rPr>
            <sz val="8"/>
            <color indexed="81"/>
            <rFont val="Tahoma"/>
            <family val="2"/>
            <charset val="204"/>
          </rPr>
          <t xml:space="preserve">
ожидание - факт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F1" authorId="0" shapeId="0" xr:uid="{8EA0CDB9-0C25-4434-A35D-CDC0688BB26C}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Вероятности выигрыша в main pot</t>
        </r>
      </text>
    </comment>
    <comment ref="I1" authorId="0" shapeId="0" xr:uid="{6E3F038E-AE72-44CC-9966-C2AF4731CE05}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вероятности в сайд поте</t>
        </r>
      </text>
    </comment>
    <comment ref="M1" authorId="0" shapeId="0" xr:uid="{FF472BF7-A27B-4ECD-8F9D-1C5747A191E9}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заполнить значениями из раздачи</t>
        </r>
      </text>
    </comment>
    <comment ref="M4" authorId="0" shapeId="0" xr:uid="{BB4AD576-69BE-41F3-88F9-ADCD594970BE}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uncalled из раздачи или сколько у чипа осталось в стэке после оллина</t>
        </r>
      </text>
    </comment>
    <comment ref="A16" authorId="0" shapeId="0" xr:uid="{C617877E-04E3-4FBC-8F82-6BB7830405C9}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1 = чиплидер</t>
        </r>
      </text>
    </comment>
    <comment ref="B16" authorId="0" shapeId="0" xr:uid="{51090100-CC59-4D4B-8E66-E2677543C576}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стартовые стэки</t>
        </r>
      </text>
    </comment>
    <comment ref="C16" authorId="0" shapeId="0" xr:uid="{C8CA628B-42C2-4A22-A6A0-036406BA2FDB}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рука чисто для справки) ни на что не влияет</t>
        </r>
      </text>
    </comment>
    <comment ref="F16" authorId="0" shapeId="0" xr:uid="{A6800FB9-F0A1-422B-9EDB-310C13260A20}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Сколько игроков остается в раздаче</t>
        </r>
      </text>
    </comment>
    <comment ref="H16" authorId="0" shapeId="0" xr:uid="{C5D7D3A3-C85A-4D97-BF83-4E45226F031F}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ICM Equity считаю обычно тут 
https://www.holdemresources.net/icmcalculator</t>
        </r>
      </text>
    </comment>
    <comment ref="M16" authorId="0" shapeId="0" xr:uid="{2A3ED25C-25F5-4FBD-B217-0CFC2EFCE178}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сколько игроков остается в раздаче</t>
        </r>
      </text>
    </comment>
    <comment ref="T16" authorId="0" shapeId="0" xr:uid="{1E5EA7BE-092A-45B6-8DF2-1865E551A918}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сколько игроков остается в раздаче</t>
        </r>
      </text>
    </comment>
    <comment ref="AA16" authorId="0" shapeId="0" xr:uid="{DC029D37-531A-465E-8F0F-92F6E9F36D12}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сколько игроков остается в раздаче</t>
        </r>
      </text>
    </comment>
    <comment ref="AJ16" authorId="0" shapeId="0" xr:uid="{45987496-4B8B-49E7-A36B-9190B2390EED}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Заполняется вручную</t>
        </r>
      </text>
    </comment>
    <comment ref="AQ16" authorId="0" shapeId="0" xr:uid="{B0A02F36-8A18-4316-899B-98F35F9C2C3D}">
      <text>
        <r>
          <rPr>
            <b/>
            <sz val="8"/>
            <color indexed="81"/>
            <rFont val="Tahoma"/>
            <family val="2"/>
            <charset val="204"/>
          </rPr>
          <t>user:</t>
        </r>
        <r>
          <rPr>
            <sz val="8"/>
            <color indexed="81"/>
            <rFont val="Tahoma"/>
            <family val="2"/>
            <charset val="204"/>
          </rPr>
          <t xml:space="preserve">
ожидание - факт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F1" authorId="0" shapeId="0" xr:uid="{2CBB0744-4296-40BD-868F-5A74EE4B5895}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Вероятности выигрыша в main pot</t>
        </r>
      </text>
    </comment>
    <comment ref="I1" authorId="0" shapeId="0" xr:uid="{4EFD568F-17D3-4F20-8000-616F389B6210}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вероятности в сайд поте</t>
        </r>
      </text>
    </comment>
    <comment ref="M1" authorId="0" shapeId="0" xr:uid="{8015D2D5-FAA3-4F33-A651-D8D859DE08B4}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заполнить значениями из раздачи</t>
        </r>
      </text>
    </comment>
    <comment ref="M4" authorId="0" shapeId="0" xr:uid="{27357A21-CB86-4647-B4C0-12982B2E9EEE}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uncalled из раздачи или сколько у чипа осталось в стэке после оллина</t>
        </r>
      </text>
    </comment>
    <comment ref="A16" authorId="0" shapeId="0" xr:uid="{C7E7D741-AE08-45DB-ADC7-B4E7FDA882A4}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1 = чиплидер</t>
        </r>
      </text>
    </comment>
    <comment ref="B16" authorId="0" shapeId="0" xr:uid="{7FF4BA7B-4DA1-4888-8F8F-43221E57809B}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стартовые стэки</t>
        </r>
      </text>
    </comment>
    <comment ref="C16" authorId="0" shapeId="0" xr:uid="{00859BA1-DD1D-4C2E-8C71-9A056976B050}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рука чисто для справки) ни на что не влияет</t>
        </r>
      </text>
    </comment>
    <comment ref="F16" authorId="0" shapeId="0" xr:uid="{00584BF3-AFEF-4B69-A1D7-BE2A4E94382A}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Сколько игроков остается в раздаче</t>
        </r>
      </text>
    </comment>
    <comment ref="H16" authorId="0" shapeId="0" xr:uid="{8766547C-B3CF-490D-80D5-1780A59CB228}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ICM Equity считаю обычно тут 
https://www.holdemresources.net/icmcalculator</t>
        </r>
      </text>
    </comment>
    <comment ref="M16" authorId="0" shapeId="0" xr:uid="{66C12B6C-F1CC-4F59-9366-1AC477F859E5}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сколько игроков остается в раздаче</t>
        </r>
      </text>
    </comment>
    <comment ref="T16" authorId="0" shapeId="0" xr:uid="{0ECBCB07-2992-4A27-B028-CBC316CD123F}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сколько игроков остается в раздаче</t>
        </r>
      </text>
    </comment>
    <comment ref="AA16" authorId="0" shapeId="0" xr:uid="{97212EA6-C2FB-4E60-8BC3-44B56AE14942}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сколько игроков остается в раздаче</t>
        </r>
      </text>
    </comment>
    <comment ref="AJ16" authorId="0" shapeId="0" xr:uid="{A6F85917-26EF-4B61-ADE0-946E6B506786}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Заполняется вручную</t>
        </r>
      </text>
    </comment>
    <comment ref="AQ16" authorId="0" shapeId="0" xr:uid="{0619DF94-79AC-4A9F-B1F1-E0B02AA9526A}">
      <text>
        <r>
          <rPr>
            <b/>
            <sz val="8"/>
            <color indexed="81"/>
            <rFont val="Tahoma"/>
            <family val="2"/>
            <charset val="204"/>
          </rPr>
          <t>user:</t>
        </r>
        <r>
          <rPr>
            <sz val="8"/>
            <color indexed="81"/>
            <rFont val="Tahoma"/>
            <family val="2"/>
            <charset val="204"/>
          </rPr>
          <t xml:space="preserve">
ожидание - факт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F1" authorId="0" shapeId="0" xr:uid="{8951CF26-5974-4B09-B301-72AFAB786161}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Вероятности выигрыша в main pot</t>
        </r>
      </text>
    </comment>
    <comment ref="I1" authorId="0" shapeId="0" xr:uid="{16EF643C-C937-4376-997A-4ACDEF3F7FEB}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вероятности в сайд поте</t>
        </r>
      </text>
    </comment>
    <comment ref="M1" authorId="0" shapeId="0" xr:uid="{EB73F0D3-DD2C-4763-9625-7349DB759DE5}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заполнить значениями из раздачи</t>
        </r>
      </text>
    </comment>
    <comment ref="M4" authorId="0" shapeId="0" xr:uid="{DF30FDD5-4DA9-47B6-A58A-A2BCCB23C125}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uncalled из раздачи или сколько у чипа осталось в стэке после оллина</t>
        </r>
      </text>
    </comment>
    <comment ref="A16" authorId="0" shapeId="0" xr:uid="{E0711B68-4DC9-45D5-BDD5-55DD26007D74}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1 = чиплидер</t>
        </r>
      </text>
    </comment>
    <comment ref="B16" authorId="0" shapeId="0" xr:uid="{1DF5E751-751B-4B26-B17D-9CBA76A1C0A8}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стартовые стэки</t>
        </r>
      </text>
    </comment>
    <comment ref="C16" authorId="0" shapeId="0" xr:uid="{91CA00F8-E35C-4477-9A56-EF1CF145722B}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рука чисто для справки) ни на что не влияет</t>
        </r>
      </text>
    </comment>
    <comment ref="F16" authorId="0" shapeId="0" xr:uid="{69AC457D-8048-4882-9789-C68A2A273216}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Сколько игроков остается в раздаче</t>
        </r>
      </text>
    </comment>
    <comment ref="H16" authorId="0" shapeId="0" xr:uid="{C63FAA5E-3C22-475F-8C0D-0EA02856D329}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ICM Equity считаю обычно тут 
https://www.holdemresources.net/icmcalculator</t>
        </r>
      </text>
    </comment>
    <comment ref="M16" authorId="0" shapeId="0" xr:uid="{B2A1D834-CA60-4B0D-8B88-0BE28F2DD683}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сколько игроков остается в раздаче</t>
        </r>
      </text>
    </comment>
    <comment ref="T16" authorId="0" shapeId="0" xr:uid="{6E88BCB2-D35F-43DD-BBB9-C3C9AAE5ABB5}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сколько игроков остается в раздаче</t>
        </r>
      </text>
    </comment>
    <comment ref="AA16" authorId="0" shapeId="0" xr:uid="{AD62AE91-71B5-4964-AA71-54F21C40938C}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сколько игроков остается в раздаче</t>
        </r>
      </text>
    </comment>
    <comment ref="AJ16" authorId="0" shapeId="0" xr:uid="{41F79ABE-A0BE-4221-8AE5-7EB852123057}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Заполняется вручную</t>
        </r>
      </text>
    </comment>
    <comment ref="AQ16" authorId="0" shapeId="0" xr:uid="{5955F527-E24E-4F32-9C62-A95A943AED56}">
      <text>
        <r>
          <rPr>
            <b/>
            <sz val="8"/>
            <color indexed="81"/>
            <rFont val="Tahoma"/>
            <family val="2"/>
            <charset val="204"/>
          </rPr>
          <t>user:</t>
        </r>
        <r>
          <rPr>
            <sz val="8"/>
            <color indexed="81"/>
            <rFont val="Tahoma"/>
            <family val="2"/>
            <charset val="204"/>
          </rPr>
          <t xml:space="preserve">
ожидание - факт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F1" authorId="0" shapeId="0" xr:uid="{D0C618C9-3E38-49FD-ACB5-A61A3451368B}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Вероятности выигрыша в main pot</t>
        </r>
      </text>
    </comment>
    <comment ref="I1" authorId="0" shapeId="0" xr:uid="{9A48F484-16FD-44D0-B9D7-44099A594607}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вероятности в сайд поте</t>
        </r>
      </text>
    </comment>
    <comment ref="M1" authorId="0" shapeId="0" xr:uid="{3BD0153A-E7B5-4DDF-AB28-5B32514387CE}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заполнить значениями из раздачи</t>
        </r>
      </text>
    </comment>
    <comment ref="M4" authorId="0" shapeId="0" xr:uid="{BBD6723D-4D90-484E-86B7-03EC5D8442D1}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uncalled из раздачи или сколько у чипа осталось в стэке после оллина</t>
        </r>
      </text>
    </comment>
    <comment ref="A16" authorId="0" shapeId="0" xr:uid="{80F82A92-1D02-4CA7-97A1-A14A18B0E06B}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1 = чиплидер</t>
        </r>
      </text>
    </comment>
    <comment ref="B16" authorId="0" shapeId="0" xr:uid="{9A623078-DCC8-470C-AE05-B812ED2D92EC}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стартовые стэки</t>
        </r>
      </text>
    </comment>
    <comment ref="C16" authorId="0" shapeId="0" xr:uid="{49D223BC-2706-49B9-9957-91CA80F0337E}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рука чисто для справки) ни на что не влияет</t>
        </r>
      </text>
    </comment>
    <comment ref="F16" authorId="0" shapeId="0" xr:uid="{AF377EBF-833E-4274-A904-E7AFDDDA4D3B}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Сколько игроков остается в раздаче</t>
        </r>
      </text>
    </comment>
    <comment ref="H16" authorId="0" shapeId="0" xr:uid="{010F65C3-2C1C-4981-8CB6-E3E97A00FBE4}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ICM Equity считаю обычно тут 
https://www.holdemresources.net/icmcalculator</t>
        </r>
      </text>
    </comment>
    <comment ref="M16" authorId="0" shapeId="0" xr:uid="{85F1C0D0-5519-4FDB-A703-76A82836A4B4}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сколько игроков остается в раздаче</t>
        </r>
      </text>
    </comment>
    <comment ref="T16" authorId="0" shapeId="0" xr:uid="{52BC99EB-369C-42DE-A126-3F24E1D85E6C}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сколько игроков остается в раздаче</t>
        </r>
      </text>
    </comment>
    <comment ref="AA16" authorId="0" shapeId="0" xr:uid="{E8E8E17A-A7C9-4FBA-9420-5E1347684C63}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сколько игроков остается в раздаче</t>
        </r>
      </text>
    </comment>
    <comment ref="AJ16" authorId="0" shapeId="0" xr:uid="{418B7BFF-E611-462D-B141-0EAC45FA0B78}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Заполняется вручную</t>
        </r>
      </text>
    </comment>
    <comment ref="AQ16" authorId="0" shapeId="0" xr:uid="{2D83D31D-2AAA-41FF-8C7C-5BD325856A50}">
      <text>
        <r>
          <rPr>
            <b/>
            <sz val="8"/>
            <color indexed="81"/>
            <rFont val="Tahoma"/>
            <family val="2"/>
            <charset val="204"/>
          </rPr>
          <t>user:</t>
        </r>
        <r>
          <rPr>
            <sz val="8"/>
            <color indexed="81"/>
            <rFont val="Tahoma"/>
            <family val="2"/>
            <charset val="204"/>
          </rPr>
          <t xml:space="preserve">
ожидание - факт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AQ15" authorId="0" shapeId="0" xr:uid="{00000000-0006-0000-0300-000001000000}">
      <text>
        <r>
          <rPr>
            <b/>
            <sz val="8"/>
            <color indexed="81"/>
            <rFont val="Tahoma"/>
            <family val="2"/>
            <charset val="204"/>
          </rPr>
          <t>user:</t>
        </r>
        <r>
          <rPr>
            <sz val="8"/>
            <color indexed="81"/>
            <rFont val="Tahoma"/>
            <family val="2"/>
            <charset val="204"/>
          </rPr>
          <t xml:space="preserve">
ожидание - факт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AQ15" authorId="0" shapeId="0" xr:uid="{00000000-0006-0000-0400-000001000000}">
      <text>
        <r>
          <rPr>
            <b/>
            <sz val="8"/>
            <color indexed="81"/>
            <rFont val="Tahoma"/>
            <family val="2"/>
            <charset val="204"/>
          </rPr>
          <t>user:</t>
        </r>
        <r>
          <rPr>
            <sz val="8"/>
            <color indexed="81"/>
            <rFont val="Tahoma"/>
            <family val="2"/>
            <charset val="204"/>
          </rPr>
          <t xml:space="preserve">
ожидание - факт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AQ15" authorId="0" shapeId="0" xr:uid="{00000000-0006-0000-0500-000001000000}">
      <text>
        <r>
          <rPr>
            <b/>
            <sz val="8"/>
            <color indexed="81"/>
            <rFont val="Tahoma"/>
            <family val="2"/>
            <charset val="204"/>
          </rPr>
          <t>user:</t>
        </r>
        <r>
          <rPr>
            <sz val="8"/>
            <color indexed="81"/>
            <rFont val="Tahoma"/>
            <family val="2"/>
            <charset val="204"/>
          </rPr>
          <t xml:space="preserve">
ожидание - факт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AH8" authorId="0" shapeId="0" xr:uid="{00000000-0006-0000-0100-000001000000}">
      <text>
        <r>
          <rPr>
            <b/>
            <sz val="8"/>
            <color indexed="81"/>
            <rFont val="Tahoma"/>
            <family val="2"/>
            <charset val="204"/>
          </rPr>
          <t>user:</t>
        </r>
        <r>
          <rPr>
            <sz val="8"/>
            <color indexed="81"/>
            <rFont val="Tahoma"/>
            <family val="2"/>
            <charset val="204"/>
          </rPr>
          <t xml:space="preserve">
ожидание - факт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F1" authorId="0" shapeId="0" xr:uid="{00000000-0006-0000-0200-000001000000}">
      <text>
        <r>
          <rPr>
            <b/>
            <sz val="8"/>
            <color indexed="81"/>
            <rFont val="Tahoma"/>
            <charset val="1"/>
          </rPr>
          <t>user:</t>
        </r>
        <r>
          <rPr>
            <sz val="8"/>
            <color indexed="81"/>
            <rFont val="Tahoma"/>
            <charset val="1"/>
          </rPr>
          <t xml:space="preserve">
probabilities of winning in main pot</t>
        </r>
      </text>
    </comment>
    <comment ref="I1" authorId="0" shapeId="0" xr:uid="{00000000-0006-0000-0200-000002000000}">
      <text>
        <r>
          <rPr>
            <b/>
            <sz val="8"/>
            <color indexed="81"/>
            <rFont val="Tahoma"/>
            <charset val="1"/>
          </rPr>
          <t>user:</t>
        </r>
        <r>
          <rPr>
            <sz val="8"/>
            <color indexed="81"/>
            <rFont val="Tahoma"/>
            <charset val="1"/>
          </rPr>
          <t xml:space="preserve">
probabilities of winnings in side pot 1</t>
        </r>
      </text>
    </comment>
    <comment ref="N1" authorId="0" shapeId="0" xr:uid="{00000000-0006-0000-0200-000003000000}">
      <text>
        <r>
          <rPr>
            <b/>
            <sz val="8"/>
            <color indexed="81"/>
            <rFont val="Tahoma"/>
            <charset val="1"/>
          </rPr>
          <t>user:</t>
        </r>
        <r>
          <rPr>
            <sz val="8"/>
            <color indexed="81"/>
            <rFont val="Tahoma"/>
            <charset val="1"/>
          </rPr>
          <t xml:space="preserve">
probabilties of winnings if side pot 2</t>
        </r>
      </text>
    </comment>
    <comment ref="S1" authorId="0" shapeId="0" xr:uid="{00000000-0006-0000-0200-000004000000}">
      <text>
        <r>
          <rPr>
            <b/>
            <sz val="8"/>
            <color indexed="81"/>
            <rFont val="Tahoma"/>
            <charset val="1"/>
          </rPr>
          <t>user:</t>
        </r>
        <r>
          <rPr>
            <sz val="8"/>
            <color indexed="81"/>
            <rFont val="Tahoma"/>
            <charset val="1"/>
          </rPr>
          <t xml:space="preserve">
chips amount of all pots</t>
        </r>
      </text>
    </comment>
    <comment ref="C6" authorId="0" shapeId="0" xr:uid="{00000000-0006-0000-0200-000005000000}">
      <text>
        <r>
          <rPr>
            <b/>
            <sz val="8"/>
            <color indexed="81"/>
            <rFont val="Tahoma"/>
            <charset val="1"/>
          </rPr>
          <t>user:</t>
        </r>
        <r>
          <rPr>
            <sz val="8"/>
            <color indexed="81"/>
            <rFont val="Tahoma"/>
            <charset val="1"/>
          </rPr>
          <t xml:space="preserve">
2 players in hand case
p1win, p2win - probabilities of winnings
ICM1, ICM2 chip amount after player win or lose hand</t>
        </r>
      </text>
    </comment>
    <comment ref="F14" authorId="0" shapeId="0" xr:uid="{00000000-0006-0000-0200-000006000000}">
      <text>
        <r>
          <rPr>
            <b/>
            <sz val="8"/>
            <color indexed="81"/>
            <rFont val="Tahoma"/>
            <charset val="1"/>
          </rPr>
          <t>user:</t>
        </r>
        <r>
          <rPr>
            <sz val="8"/>
            <color indexed="81"/>
            <rFont val="Tahoma"/>
            <charset val="1"/>
          </rPr>
          <t xml:space="preserve">
outome 1 where 1st player wins main pot and all side pots. Also gets 3 bounties for knocking out 3 other opponents</t>
        </r>
      </text>
    </comment>
    <comment ref="M14" authorId="0" shapeId="0" xr:uid="{00000000-0006-0000-0200-000007000000}">
      <text>
        <r>
          <rPr>
            <b/>
            <sz val="8"/>
            <color indexed="81"/>
            <rFont val="Tahoma"/>
            <charset val="1"/>
          </rPr>
          <t>user:</t>
        </r>
        <r>
          <rPr>
            <sz val="8"/>
            <color indexed="81"/>
            <rFont val="Tahoma"/>
            <charset val="1"/>
          </rPr>
          <t xml:space="preserve">
outome 2 
2nd player wins main pot and all side pots. Also gets 2 bounties for knocking out 2 other opponents</t>
        </r>
      </text>
    </comment>
    <comment ref="A15" authorId="0" shapeId="0" xr:uid="{00000000-0006-0000-0200-000008000000}">
      <text>
        <r>
          <rPr>
            <b/>
            <sz val="8"/>
            <color indexed="81"/>
            <rFont val="Tahoma"/>
            <charset val="1"/>
          </rPr>
          <t>user:</t>
        </r>
        <r>
          <rPr>
            <sz val="8"/>
            <color indexed="81"/>
            <rFont val="Tahoma"/>
            <charset val="1"/>
          </rPr>
          <t xml:space="preserve">
source hand for calculation
number of player corresponds to the chip count</t>
        </r>
      </text>
    </comment>
    <comment ref="BQ15" authorId="0" shapeId="0" xr:uid="{00000000-0006-0000-0200-000009000000}">
      <text>
        <r>
          <rPr>
            <b/>
            <sz val="8"/>
            <color indexed="81"/>
            <rFont val="Tahoma"/>
            <family val="2"/>
            <charset val="204"/>
          </rPr>
          <t>user:</t>
        </r>
        <r>
          <rPr>
            <sz val="8"/>
            <color indexed="81"/>
            <rFont val="Tahoma"/>
            <family val="2"/>
            <charset val="204"/>
          </rPr>
          <t xml:space="preserve">
ожидание - факт</t>
        </r>
      </text>
    </comment>
    <comment ref="BW15" authorId="0" shapeId="0" xr:uid="{00000000-0006-0000-0200-00000A000000}">
      <text>
        <r>
          <rPr>
            <b/>
            <sz val="8"/>
            <color indexed="81"/>
            <rFont val="Tahoma"/>
            <family val="2"/>
            <charset val="204"/>
          </rPr>
          <t>user:</t>
        </r>
        <r>
          <rPr>
            <sz val="8"/>
            <color indexed="81"/>
            <rFont val="Tahoma"/>
            <family val="2"/>
            <charset val="204"/>
          </rPr>
          <t xml:space="preserve">
ожидание - факт</t>
        </r>
      </text>
    </comment>
    <comment ref="CC15" authorId="0" shapeId="0" xr:uid="{00000000-0006-0000-0200-00000B000000}">
      <text>
        <r>
          <rPr>
            <b/>
            <sz val="8"/>
            <color indexed="81"/>
            <rFont val="Tahoma"/>
            <family val="2"/>
            <charset val="204"/>
          </rPr>
          <t>user:</t>
        </r>
        <r>
          <rPr>
            <sz val="8"/>
            <color indexed="81"/>
            <rFont val="Tahoma"/>
            <family val="2"/>
            <charset val="204"/>
          </rPr>
          <t xml:space="preserve">
ожидание - факт</t>
        </r>
      </text>
    </comment>
    <comment ref="CI15" authorId="0" shapeId="0" xr:uid="{00000000-0006-0000-0200-00000C000000}">
      <text>
        <r>
          <rPr>
            <b/>
            <sz val="8"/>
            <color indexed="81"/>
            <rFont val="Tahoma"/>
            <family val="2"/>
            <charset val="204"/>
          </rPr>
          <t>user:</t>
        </r>
        <r>
          <rPr>
            <sz val="8"/>
            <color indexed="81"/>
            <rFont val="Tahoma"/>
            <family val="2"/>
            <charset val="204"/>
          </rPr>
          <t xml:space="preserve">
ожидание - факт</t>
        </r>
      </text>
    </comment>
  </commentList>
</comments>
</file>

<file path=xl/sharedStrings.xml><?xml version="1.0" encoding="utf-8"?>
<sst xmlns="http://schemas.openxmlformats.org/spreadsheetml/2006/main" count="2203" uniqueCount="567">
  <si>
    <t>prize</t>
  </si>
  <si>
    <t>KO</t>
  </si>
  <si>
    <t>EV diff =</t>
  </si>
  <si>
    <t>[pWin] * [ICMwin] + ( 1 - [pWin]) * [ICMlose] - [ICMFact]</t>
  </si>
  <si>
    <t xml:space="preserve">KO diff = </t>
  </si>
  <si>
    <t>[pWin] * [KOwin] + (1 - [pWin]) * [KOlose] - [KOFact]</t>
  </si>
  <si>
    <t>if player get bounty add 1 to KO</t>
  </si>
  <si>
    <t>lose</t>
  </si>
  <si>
    <t>Win</t>
  </si>
  <si>
    <t>Lose</t>
  </si>
  <si>
    <t>Fact</t>
  </si>
  <si>
    <t>Diff</t>
  </si>
  <si>
    <t>stack</t>
  </si>
  <si>
    <t>hand</t>
  </si>
  <si>
    <t>pWin</t>
  </si>
  <si>
    <t>stackwin</t>
  </si>
  <si>
    <t>EQwin</t>
  </si>
  <si>
    <t>ICMwin</t>
  </si>
  <si>
    <t>Kowin</t>
  </si>
  <si>
    <t>stacklose</t>
  </si>
  <si>
    <t>EQlose</t>
  </si>
  <si>
    <t>ICMlose</t>
  </si>
  <si>
    <t>Kolose</t>
  </si>
  <si>
    <t xml:space="preserve"> 2</t>
  </si>
  <si>
    <t>stackfact</t>
  </si>
  <si>
    <t>Eqfact</t>
  </si>
  <si>
    <t>ICMFact</t>
  </si>
  <si>
    <t>KOFact</t>
  </si>
  <si>
    <t>eqdiff</t>
  </si>
  <si>
    <t>ICMdiff</t>
  </si>
  <si>
    <t>KODiff</t>
  </si>
  <si>
    <t>KOmoneyDiff</t>
  </si>
  <si>
    <t>totalDiff</t>
  </si>
  <si>
    <t>cEVDiff</t>
  </si>
  <si>
    <t>Ako</t>
  </si>
  <si>
    <t>Kqo</t>
  </si>
  <si>
    <t>JTs</t>
  </si>
  <si>
    <t>AA</t>
  </si>
  <si>
    <t>Kd8h</t>
  </si>
  <si>
    <t>AcAs</t>
  </si>
  <si>
    <t>Ah4s</t>
  </si>
  <si>
    <t>Qh9h</t>
  </si>
  <si>
    <t>As3h</t>
  </si>
  <si>
    <t>Ad7d</t>
  </si>
  <si>
    <t>Kd9h</t>
  </si>
  <si>
    <t>Jc6c</t>
  </si>
  <si>
    <t>As9c</t>
  </si>
  <si>
    <t>KhJh</t>
  </si>
  <si>
    <t>AcQh</t>
  </si>
  <si>
    <t>AhTs</t>
  </si>
  <si>
    <t>T7o</t>
  </si>
  <si>
    <t>65o</t>
  </si>
  <si>
    <t>A3s</t>
  </si>
  <si>
    <t>Aqd</t>
  </si>
  <si>
    <t>76h</t>
  </si>
  <si>
    <t>sat16\round1\2way\hero-push-sb-call.txt</t>
  </si>
  <si>
    <t>J9s</t>
  </si>
  <si>
    <t>A3o</t>
  </si>
  <si>
    <t>sat16\round1\2way\sb-push-hero-call.txt</t>
  </si>
  <si>
    <t>J6h</t>
  </si>
  <si>
    <t>QhQd</t>
  </si>
  <si>
    <t>sat16\round1\2way\hero-call-bvb.txt</t>
  </si>
  <si>
    <t>8d9d</t>
  </si>
  <si>
    <t>6d8s</t>
  </si>
  <si>
    <t>sat16\round1\auto-ai.txt</t>
  </si>
  <si>
    <t>8h2h</t>
  </si>
  <si>
    <t>220042971340.txt</t>
  </si>
  <si>
    <t>Ah 3h</t>
  </si>
  <si>
    <t>KsAd</t>
  </si>
  <si>
    <t>220043268274.txt</t>
  </si>
  <si>
    <t>4h4s</t>
  </si>
  <si>
    <t>p1win</t>
  </si>
  <si>
    <t>p1sp1win</t>
  </si>
  <si>
    <t>mainpot</t>
  </si>
  <si>
    <t>p2win</t>
  </si>
  <si>
    <t>p2sp1win</t>
  </si>
  <si>
    <t>sidepot1</t>
  </si>
  <si>
    <t>chips</t>
  </si>
  <si>
    <t>p3win</t>
  </si>
  <si>
    <t>sidepot2</t>
  </si>
  <si>
    <t>p4win</t>
  </si>
  <si>
    <t>uncalled</t>
  </si>
  <si>
    <t>EV2=</t>
  </si>
  <si>
    <t>p1win*[ICM1]+(1-p1win)*[ICM2]</t>
  </si>
  <si>
    <t>EV3=</t>
  </si>
  <si>
    <t>p3win*(p1sp1win*T_p3p1[@ICM]+(1-p1sp1win)*T_p3p1[@ICM])+p2win*T_p2[@ICM]+p1win*T_p1[@ICM]</t>
  </si>
  <si>
    <t>EV4=</t>
  </si>
  <si>
    <t>p4win*(EV3sp1)+p3win(EV2sp2)+p2win[@ICM2]+p1win*[@ICM1]</t>
  </si>
  <si>
    <t>выплаты:</t>
  </si>
  <si>
    <t>1е</t>
  </si>
  <si>
    <t>2е</t>
  </si>
  <si>
    <t>3е</t>
  </si>
  <si>
    <t>T_p3p1</t>
  </si>
  <si>
    <t>T_p3p2</t>
  </si>
  <si>
    <t>3rd player Win</t>
  </si>
  <si>
    <t>Total</t>
  </si>
  <si>
    <t>T_p1</t>
  </si>
  <si>
    <t>T_p2</t>
  </si>
  <si>
    <t>side pot</t>
  </si>
  <si>
    <t>T_fact</t>
  </si>
  <si>
    <t>1st player Win</t>
  </si>
  <si>
    <t>2nd player Win</t>
  </si>
  <si>
    <t>side pot 1st player Win</t>
  </si>
  <si>
    <t>side pot 2nd player Win</t>
  </si>
  <si>
    <t>EV</t>
  </si>
  <si>
    <t>p</t>
  </si>
  <si>
    <t>anteblinds</t>
  </si>
  <si>
    <t>players</t>
  </si>
  <si>
    <t>EQ</t>
  </si>
  <si>
    <t>ICM</t>
  </si>
  <si>
    <t>$stack</t>
  </si>
  <si>
    <t>chipEV</t>
  </si>
  <si>
    <t>cEVdiff</t>
  </si>
  <si>
    <t>Evdiff</t>
  </si>
  <si>
    <t>QdTh</t>
  </si>
  <si>
    <t>Js8d</t>
  </si>
  <si>
    <t>9c7s</t>
  </si>
  <si>
    <t>Исходная раздача</t>
  </si>
  <si>
    <t>main pot</t>
  </si>
  <si>
    <t>PokerStars Hand #201458116362: Tournament #2631484900, $2.79+$0.06 USD Hold'em No Limit - Match Round I, Level I (25/50) - 2019/06/16 16:41:41 ET</t>
  </si>
  <si>
    <t>банк где учавствуют все игроки</t>
  </si>
  <si>
    <t>Table '2631484900 2' 4-max Seat #1 is the button</t>
  </si>
  <si>
    <t>side pot образуется если больше 2 человек в АИ</t>
  </si>
  <si>
    <t>Seat 1: jffj13 (385 in chips)</t>
  </si>
  <si>
    <t>Seat 2: UnstablePoke (385 in chips)</t>
  </si>
  <si>
    <t>Seat 3: NL_Classic (570 in chips)</t>
  </si>
  <si>
    <t>если есть side pot 2 в нем учавствуют топ 2, а в сайд пот 1 учавствуют топ 3</t>
  </si>
  <si>
    <t>Seat 4: MATECO (660 in chips)</t>
  </si>
  <si>
    <t>jffj13: posts the ante 10</t>
  </si>
  <si>
    <t xml:space="preserve">Алгоритм расчета </t>
  </si>
  <si>
    <t>UnstablePoke: posts the ante 10</t>
  </si>
  <si>
    <t>считаем эквити между топ1 топ2 топ3 топ4</t>
  </si>
  <si>
    <t>NL_Classic: posts the ante 10</t>
  </si>
  <si>
    <t>1 случай топ1 выиграл</t>
  </si>
  <si>
    <t>MATECO: posts the ante 10</t>
  </si>
  <si>
    <t>получает все фишки со всех банков, + ноки, отсальные обнуляются</t>
  </si>
  <si>
    <t>UnstablePoke: posts small blind 25</t>
  </si>
  <si>
    <t>2 случай топ2 выиграл</t>
  </si>
  <si>
    <t>NL_Classic: posts big blind 50</t>
  </si>
  <si>
    <t>*** HOLE CARDS ***</t>
  </si>
  <si>
    <t>3 случай топ3 выиглал</t>
  </si>
  <si>
    <t>Dealt to NL_Classic [7s 9c]</t>
  </si>
  <si>
    <t>получает сайд1 и мэйн + нок за 1 игрока</t>
  </si>
  <si>
    <t>MATECO: folds</t>
  </si>
  <si>
    <t>считаем эквити между топ1 и топ2</t>
  </si>
  <si>
    <t xml:space="preserve">выиграл топ1 </t>
  </si>
  <si>
    <t>jffj13: calls 50</t>
  </si>
  <si>
    <t>получает сайд2 и нок за топ2</t>
  </si>
  <si>
    <t>UnstablePoke: calls 25</t>
  </si>
  <si>
    <t>выиграл топ2</t>
  </si>
  <si>
    <t>NL_Classic: checks</t>
  </si>
  <si>
    <t>получает сайд2</t>
  </si>
  <si>
    <t>*** FLOP *** [Qh 8s 9s]</t>
  </si>
  <si>
    <t>UnstablePoke: checks</t>
  </si>
  <si>
    <t>4 случай топ4 выиграл</t>
  </si>
  <si>
    <t>NL_Classic: bets 510 and is all-in</t>
  </si>
  <si>
    <t>получает мэйн</t>
  </si>
  <si>
    <t>jffj13: calls 325 and is all-in</t>
  </si>
  <si>
    <t>считаем эквити между топ1 топ2 топ3</t>
  </si>
  <si>
    <t>UnstablePoke: calls 325 and is all-in</t>
  </si>
  <si>
    <t>получает сайд1 и сайд2 + 2 нока за топ2 и топ3</t>
  </si>
  <si>
    <t>Uncalled bet (185) returned to NL_Classic</t>
  </si>
  <si>
    <t>*** TURN *** [Qh 8s 9s] [Ac]</t>
  </si>
  <si>
    <t>получает сайд1 и сайд2 + 1 нок за топ3</t>
  </si>
  <si>
    <t>*** RIVER *** [Qh 8s 9s Ac] [5h]</t>
  </si>
  <si>
    <t>выйграл топ3</t>
  </si>
  <si>
    <t>*** SHOW DOWN ***</t>
  </si>
  <si>
    <t>получает сайд1</t>
  </si>
  <si>
    <t>UnstablePoke: shows [8d Js] (a pair of Eights)</t>
  </si>
  <si>
    <t>NL_Classic: shows [7s 9c] (a pair of Nines)</t>
  </si>
  <si>
    <t>jffj13: shows [Th Qd] (a pair of Queens)</t>
  </si>
  <si>
    <t>jffj13 collected 1165 from pot</t>
  </si>
  <si>
    <t>UnstablePoke finished the tournament in 9th place</t>
  </si>
  <si>
    <t>*** SUMMARY ***</t>
  </si>
  <si>
    <t>Total pot 1165 | Rake 0</t>
  </si>
  <si>
    <t>Board [Qh 8s 9s Ac 5h]</t>
  </si>
  <si>
    <t>Seat 1: jffj13 (button) showed [Th Qd] and won (1165) with a pair of Queens</t>
  </si>
  <si>
    <t>Seat 2: UnstablePoke (small blind) showed [8d Js] and lost with a pair of Eights</t>
  </si>
  <si>
    <t>Seat 3: NL_Classic (big blind) showed [7s 9c] and lost with a pair of Nines</t>
  </si>
  <si>
    <t>Seat 4: MATECO folded before Flop (didn't bet)</t>
  </si>
  <si>
    <t>9h9s</t>
  </si>
  <si>
    <t>As4h</t>
  </si>
  <si>
    <t>Ah7c</t>
  </si>
  <si>
    <t>PokerStars Hand #220925641894: Tournament #3061564977, $14.71+$0.29 USD Hold'em No Limit - Match Round I, Level I (25/50) - 2020/11/29 21:42:55 MSK [2020/11/29 13:42:55 ET]</t>
  </si>
  <si>
    <t>Table '3061564977 4' 4-max Seat #3 is the button</t>
  </si>
  <si>
    <t>Seat 1: DiggErr555 (595 in chips)</t>
  </si>
  <si>
    <t>Seat 2: O.BELMANE (455 in chips)</t>
  </si>
  <si>
    <t>Seat 3: AnotherBirde (405 in chips)</t>
  </si>
  <si>
    <t>Seat 4: FragdenInder (545 in chips)</t>
  </si>
  <si>
    <t>DiggErr555: posts the ante 10</t>
  </si>
  <si>
    <t>O.BELMANE: posts the ante 10</t>
  </si>
  <si>
    <t>AnotherBirde: posts the ante 10</t>
  </si>
  <si>
    <t>FragdenInder: posts the ante 10</t>
  </si>
  <si>
    <t>FragdenInder: posts small blind 25</t>
  </si>
  <si>
    <t>DiggErr555: posts big blind 50</t>
  </si>
  <si>
    <t>Dealt to DiggErr555 [9h 9s]</t>
  </si>
  <si>
    <t>O.BELMANE: folds</t>
  </si>
  <si>
    <t>AnotherBirde: raises 345 to 395 and is all-in</t>
  </si>
  <si>
    <t>FragdenInder: raises 140 to 535 and is all-in</t>
  </si>
  <si>
    <t>DiggErr555: calls 485</t>
  </si>
  <si>
    <t>*** FLOP *** [Jh Qd 6h]</t>
  </si>
  <si>
    <t>*** TURN *** [Jh Qd 6h] [Ac]</t>
  </si>
  <si>
    <t>*** RIVER *** [Jh Qd 6h Ac] [6s]</t>
  </si>
  <si>
    <t>FragdenInder: shows [7d Ah] (two pair, Aces and Sixes)</t>
  </si>
  <si>
    <t>DiggErr555: shows [9h 9s] (two pair, Nines and Sixes)</t>
  </si>
  <si>
    <t>FragdenInder collected 280 from side pot</t>
  </si>
  <si>
    <t>AnotherBirde: shows [4h As] (two pair, Aces and Sixes)</t>
  </si>
  <si>
    <t>FragdenInder collected 613 from main pot</t>
  </si>
  <si>
    <t>AnotherBirde collected 612 from main pot</t>
  </si>
  <si>
    <t>Total pot 1505 Main pot 1225. Side pot 280. | Rake 0</t>
  </si>
  <si>
    <t>Board [Jh Qd 6h Ac 6s]</t>
  </si>
  <si>
    <t>Seat 1: DiggErr555 (big blind) showed [9h 9s] and lost with two pair, Nines and Sixes</t>
  </si>
  <si>
    <t>Seat 2: O.BELMANE folded before Flop (didn't bet)</t>
  </si>
  <si>
    <t>Seat 3: AnotherBirde (button) showed [4h As] and won (612) with two pair, Aces and Sixes</t>
  </si>
  <si>
    <t>Seat 4: FragdenInder (small blind) showed [7d Ah] and won (893) with two pair, Aces and Sixes</t>
  </si>
  <si>
    <t>9s8s</t>
  </si>
  <si>
    <t>Ac9d</t>
  </si>
  <si>
    <t>QhTd</t>
  </si>
  <si>
    <t>PokerStars Hand #221055960554: Tournament #3064451595, $14.71+$0.29 USD Hold'em No Limit - Match Round I, Level I (25/50) - 2020/12/03 20:45:17 MSK [2020/12/03 12:45:17 ET]</t>
  </si>
  <si>
    <t>Table '3064451595 2' 4-max Seat #1 is the button</t>
  </si>
  <si>
    <t>Seat 1: FragdenInder (500 in chips)</t>
  </si>
  <si>
    <t>Seat 2: Bee_Lou81 (385 in chips)</t>
  </si>
  <si>
    <t>Seat 3: NL_Classic (730 in chips)</t>
  </si>
  <si>
    <t>Seat 4: marck_vlad (385 in chips)</t>
  </si>
  <si>
    <t>Bee_Lou81: posts the ante 10</t>
  </si>
  <si>
    <t>marck_vlad: posts the ante 10</t>
  </si>
  <si>
    <t>Bee_Lou81: posts small blind 25</t>
  </si>
  <si>
    <t>Dealt to NL_Classic [9s 8s]</t>
  </si>
  <si>
    <t>marck_vlad: raises 325 to 375 and is all-in</t>
  </si>
  <si>
    <t>FragdenInder: folds</t>
  </si>
  <si>
    <t>Bee_Lou81: calls 350 and is all-in</t>
  </si>
  <si>
    <t>NL_Classic: calls 325</t>
  </si>
  <si>
    <t>*** FLOP *** [5s 7d Jh]</t>
  </si>
  <si>
    <t>*** TURN *** [5s 7d Jh] [7h]</t>
  </si>
  <si>
    <t>*** RIVER *** [5s 7d Jh 7h] [2h]</t>
  </si>
  <si>
    <t>Bee_Lou81: shows [9d Ac] (a pair of Sevens)</t>
  </si>
  <si>
    <t>NL_Classic: shows [9s 8s] (a pair of Sevens - lower kicker)</t>
  </si>
  <si>
    <t>marck_vlad: shows [Qh Td] (a pair of Sevens - lower kicker)</t>
  </si>
  <si>
    <t>Bee_Lou81 collected 1165 from pot</t>
  </si>
  <si>
    <t>marck_vlad finished the tournament in 9th place</t>
  </si>
  <si>
    <t>Board [5s 7d Jh 7h 2h]</t>
  </si>
  <si>
    <t>Seat 1: FragdenInder (button) folded before Flop (didn't bet)</t>
  </si>
  <si>
    <t>Seat 2: Bee_Lou81 (small blind) showed [9d Ac] and won (1165) with a pair of Sevens</t>
  </si>
  <si>
    <t>Seat 3: NL_Classic (big blind) showed [9s 8s] and lost with a pair of Sevens</t>
  </si>
  <si>
    <t>Seat 4: marck_vlad showed [Qh Td] and lost with a pair of Sevens</t>
  </si>
  <si>
    <t>Ts Ac</t>
  </si>
  <si>
    <t>Ks 2s</t>
  </si>
  <si>
    <t>7d Kc</t>
  </si>
  <si>
    <t>PokerStars Hand #220649741455: Tournament #3055495936, $7.36+$0.14 USD Hold'em No Limit - Match Round I, Level I (25/50) - 2020/11/22 0:51:34 MSK [2020/11/21 16:51:34 ET]</t>
  </si>
  <si>
    <t>Table '3055495936 3' 4-max Seat #2 is the button</t>
  </si>
  <si>
    <t>Seat 1: Murino (665 in chips)</t>
  </si>
  <si>
    <t>Seat 2: mazy957 (840 in chips)</t>
  </si>
  <si>
    <t>Seat 3: Detochkin_4 (325 in chips)</t>
  </si>
  <si>
    <t>Seat 4: NL_Classic (170 in chips)</t>
  </si>
  <si>
    <t>Murino: posts the ante 10</t>
  </si>
  <si>
    <t>mazy957: posts the ante 10</t>
  </si>
  <si>
    <t>Detochkin_4: posts the ante 10</t>
  </si>
  <si>
    <t>Detochkin_4: posts small blind 25</t>
  </si>
  <si>
    <t>Dealt to NL_Classic [Ks 2s]</t>
  </si>
  <si>
    <t>Murino: folds</t>
  </si>
  <si>
    <t>mazy957: raises 780 to 830 and is all-in</t>
  </si>
  <si>
    <t>Detochkin_4: calls 290 and is all-in</t>
  </si>
  <si>
    <t>NL_Classic: calls 110 and is all-in</t>
  </si>
  <si>
    <t>Uncalled bet (515) returned to mazy957</t>
  </si>
  <si>
    <t>*** FLOP *** [7c 8d Td]</t>
  </si>
  <si>
    <t>*** TURN *** [7c 8d Td] [4d]</t>
  </si>
  <si>
    <t>*** RIVER *** [7c 8d Td 4d] [4h]</t>
  </si>
  <si>
    <t>Detochkin_4: shows [7d Kc] (two pair, Sevens and Fours)</t>
  </si>
  <si>
    <t>mazy957: shows [Ts Ac] (two pair, Tens and Fours)</t>
  </si>
  <si>
    <t>mazy957 collected 310 from side pot</t>
  </si>
  <si>
    <t>NL_Classic: shows [Ks 2s] (a pair of Fours)</t>
  </si>
  <si>
    <t>mazy957 collected 520 from main pot</t>
  </si>
  <si>
    <t>Detochkin_4 finished the tournament in 12th place</t>
  </si>
  <si>
    <t>NL_Classic finished the tournament in 13th place</t>
  </si>
  <si>
    <t>Total pot 830 Main pot 520. Side pot 310. | Rake 0</t>
  </si>
  <si>
    <t>Board [7c 8d Td 4d 4h]</t>
  </si>
  <si>
    <t>Seat 1: Murino folded before Flop (didn't bet)</t>
  </si>
  <si>
    <t>Seat 2: mazy957 (button) showed [Ts Ac] and won (830) with two pair, Tens and Fours</t>
  </si>
  <si>
    <t>Seat 3: Detochkin_4 (small blind) showed [7d Kc] and lost with two pair, Sevens and Fours</t>
  </si>
  <si>
    <t>Seat 4: NL_Classic (big blind) showed [Ks 2s] and lost with a pair of Fours</t>
  </si>
  <si>
    <t>KsJc</t>
  </si>
  <si>
    <t>QdQs</t>
  </si>
  <si>
    <t>8h8c</t>
  </si>
  <si>
    <t>PokerStars Hand #219410842283: Tournament #3027373702, $7.36+$0.14 USD Hold'em No Limit - Match Round I, Level I (25/50) - 2020/10/15 21:28:14 MSK [2020/10/15 14:28:14 ET]</t>
  </si>
  <si>
    <t>Table '3027373702 1' 4-max Seat #1 is the button</t>
  </si>
  <si>
    <t xml:space="preserve">Seat 1: Realtor4Hire (500 in chips) </t>
  </si>
  <si>
    <t xml:space="preserve">Seat 2: wycioreks (500 in chips) </t>
  </si>
  <si>
    <t xml:space="preserve">Seat 3: NL_Classic (500 in chips) </t>
  </si>
  <si>
    <t xml:space="preserve">Seat 4: byStereo (500 in chips) </t>
  </si>
  <si>
    <t>Realtor4Hire: posts the ante 10</t>
  </si>
  <si>
    <t>wycioreks: posts the ante 10</t>
  </si>
  <si>
    <t>byStereo: posts the ante 10</t>
  </si>
  <si>
    <t>wycioreks: posts small blind 25</t>
  </si>
  <si>
    <t>Dealt to NL_Classic [8h 8c]</t>
  </si>
  <si>
    <t xml:space="preserve">byStereo: folds </t>
  </si>
  <si>
    <t>Realtor4Hire: raises 440 to 490 and is all-in</t>
  </si>
  <si>
    <t>wycioreks: calls 465 and is all-in</t>
  </si>
  <si>
    <t>NL_Classic: calls 440 and is all-in</t>
  </si>
  <si>
    <t>*** FLOP *** [5h 4h 8s]</t>
  </si>
  <si>
    <t>*** TURN *** [5h 4h 8s] [2s]</t>
  </si>
  <si>
    <t>*** RIVER *** [5h 4h 8s 2s] [7c]</t>
  </si>
  <si>
    <t>wycioreks: shows [Qd Qs] (a pair of Queens)</t>
  </si>
  <si>
    <t>NL_Classic: shows [8h 8c] (three of a kind, Eights)</t>
  </si>
  <si>
    <t>Realtor4Hire: shows [Jc Ks] (high card King)</t>
  </si>
  <si>
    <t>NL_Classic collected 1510 from pot</t>
  </si>
  <si>
    <t>Realtor4Hire finished the tournament in 15th place</t>
  </si>
  <si>
    <t>wycioreks finished the tournament in 15th place</t>
  </si>
  <si>
    <t xml:space="preserve">Total pot 1510 | Rake 0 </t>
  </si>
  <si>
    <t>Board [5h 4h 8s 2s 7c]</t>
  </si>
  <si>
    <t>Seat 1: Realtor4Hire (button) showed [Jc Ks] and lost with high card King</t>
  </si>
  <si>
    <t>Seat 2: wycioreks (small blind) showed [Qd Qs] and lost with a pair of Queens</t>
  </si>
  <si>
    <t>Seat 3: NL_Classic (big blind) showed [8h 8c] and won (1510) with three of a kind, Eights</t>
  </si>
  <si>
    <t>Seat 4: byStereo folded before Flop (didn't bet)</t>
  </si>
  <si>
    <t>Ac3s</t>
  </si>
  <si>
    <t>AsKc</t>
  </si>
  <si>
    <t>5c5h</t>
  </si>
  <si>
    <t>PokerStars Hand #219408433743: Tournament #3027319874, $7.36+$0.14 USD Hold'em No Limit - Match Round I, Level I (25/50) - 2020/10/15 20:15:45 MSK [2020/10/15 13:15:45 ET]</t>
  </si>
  <si>
    <t>Table '3027319874 4' 4-max Seat #1 is the button</t>
  </si>
  <si>
    <t xml:space="preserve">Seat 1: mtfullof (615 in chips) </t>
  </si>
  <si>
    <t xml:space="preserve">Seat 2: Roc.PrOpkr (385 in chips) </t>
  </si>
  <si>
    <t xml:space="preserve">Seat 4: mrcoffee01 (500 in chips) </t>
  </si>
  <si>
    <t>mtfullof: posts the ante 10</t>
  </si>
  <si>
    <t>Roc.PrOpkr: posts the ante 10</t>
  </si>
  <si>
    <t>mrcoffee01: posts the ante 10</t>
  </si>
  <si>
    <t>Roc.PrOpkr: posts small blind 25</t>
  </si>
  <si>
    <t>Dealt to NL_Classic [5c 5h]</t>
  </si>
  <si>
    <t>mrcoffee01: raises 440 to 490 and is all-in</t>
  </si>
  <si>
    <t>mtfullof: raises 115 to 605 and is all-in</t>
  </si>
  <si>
    <t xml:space="preserve">Roc.PrOpkr: folds </t>
  </si>
  <si>
    <t>Uncalled bet (115) returned to mtfullof</t>
  </si>
  <si>
    <t>*** FLOP *** [6h Qd 7s]</t>
  </si>
  <si>
    <t>*** TURN *** [6h Qd 7s] [Ts]</t>
  </si>
  <si>
    <t>*** RIVER *** [6h Qd 7s Ts] [5s]</t>
  </si>
  <si>
    <t>NL_Classic: shows [5c 5h] (three of a kind, Fives)</t>
  </si>
  <si>
    <t>mrcoffee01: shows [3s Ac] (high card Ace)</t>
  </si>
  <si>
    <t>mtfullof: shows [Kc As] (high card Ace)</t>
  </si>
  <si>
    <t>NL_Classic collected 1535 from pot</t>
  </si>
  <si>
    <t>mrcoffee01 finished the tournament in 12th place</t>
  </si>
  <si>
    <t xml:space="preserve">Total pot 1535 | Rake 0 </t>
  </si>
  <si>
    <t>Board [6h Qd 7s Ts 5s]</t>
  </si>
  <si>
    <t>Seat 1: mtfullof (button) showed [Kc As] and lost with high card Ace</t>
  </si>
  <si>
    <t>Seat 2: Roc.PrOpkr (small blind) folded before Flop</t>
  </si>
  <si>
    <t>Seat 3: NL_Classic (big blind) showed [5c 5h] and won (1535) with three of a kind, Fives</t>
  </si>
  <si>
    <t>Seat 4: mrcoffee01 showed [3s Ac] and lost with high card Ace</t>
  </si>
  <si>
    <t>KsJs</t>
  </si>
  <si>
    <t>Ad2h</t>
  </si>
  <si>
    <t>Jd9d</t>
  </si>
  <si>
    <t>PokerStars Hand #220649615446: Tournament #3055491066, $7.36+$0.14 USD Hold'em No Limit - Match Round I, Level II (50/100) - 2020/11/22 0:48:49 MSK [2020/11/21 16:48:49 ET]</t>
  </si>
  <si>
    <t>Table '3055491066 3' 4-max Seat #1 is the button</t>
  </si>
  <si>
    <t>Seat 1: monaay bags (420 in chips)</t>
  </si>
  <si>
    <t>Seat 2: TheGuerreiro (680 in chips)</t>
  </si>
  <si>
    <t>Seat 3: NL_Classic (810 in chips)</t>
  </si>
  <si>
    <t>Seat 4: STREVANTE (90 in chips)</t>
  </si>
  <si>
    <t>monaay bags: posts the ante 20</t>
  </si>
  <si>
    <t>TheGuerreiro: posts the ante 20</t>
  </si>
  <si>
    <t>NL_Classic: posts the ante 20</t>
  </si>
  <si>
    <t>STREVANTE: posts the ante 20</t>
  </si>
  <si>
    <t>TheGuerreiro: posts small blind 50</t>
  </si>
  <si>
    <t>NL_Classic: posts big blind 100</t>
  </si>
  <si>
    <t>Dealt to NL_Classic [Js Ks]</t>
  </si>
  <si>
    <t>STREVANTE: folds</t>
  </si>
  <si>
    <t>monaay bags: raises 300 to 400 and is all-in</t>
  </si>
  <si>
    <t>TheGuerreiro: raises 260 to 660 and is all-in</t>
  </si>
  <si>
    <t>NL_Classic: calls 560</t>
  </si>
  <si>
    <t>*** FLOP *** [5h 7s 5s]</t>
  </si>
  <si>
    <t>*** TURN *** [5h 7s 5s] [2d]</t>
  </si>
  <si>
    <t>*** RIVER *** [5h 7s 5s 2d] [3c]</t>
  </si>
  <si>
    <t>TheGuerreiro: shows [Jd 9d] (a pair of Fives)</t>
  </si>
  <si>
    <t>NL_Classic: shows [Js Ks] (a pair of Fives - King kicker)</t>
  </si>
  <si>
    <t>NL_Classic collected 520 from side pot</t>
  </si>
  <si>
    <t>monaay bags: shows [2h Ad] (two pair, Fives and Deuces)</t>
  </si>
  <si>
    <t>monaay bags collected 1280 from main pot</t>
  </si>
  <si>
    <t>TheGuerreiro finished the tournament in 8th place</t>
  </si>
  <si>
    <t>Total pot 1800 Main pot 1280. Side pot 520. | Rake 0</t>
  </si>
  <si>
    <t>Board [5h 7s 5s 2d 3c]</t>
  </si>
  <si>
    <t>Seat 1: monaay bags (button) showed [2h Ad] and won (1280) with two pair, Fives and Deuces</t>
  </si>
  <si>
    <t>Seat 2: TheGuerreiro (small blind) showed [Jd 9d] and lost with a pair of Fives</t>
  </si>
  <si>
    <t>Seat 3: NL_Classic (big blind) showed [Js Ks] and won (520) with a pair of Fives</t>
  </si>
  <si>
    <t>Seat 4: STREVANTE folded before Flop (didn't bet)</t>
  </si>
  <si>
    <t>Td9d</t>
  </si>
  <si>
    <t>Ac7s</t>
  </si>
  <si>
    <t>Kc5c</t>
  </si>
  <si>
    <t>PokerStars Hand #219282910073: Tournament #3024537751, $14.71+$0.29 USD Hold'em No Limit - Match Round II, Level II (50/100) - 2020/10/11 19:44:50 MSK [2020/10/11 12:44:50 ET]</t>
  </si>
  <si>
    <t>Table '3024537751 1' 4-max Seat #4 is the button</t>
  </si>
  <si>
    <t xml:space="preserve">Seat 1: OrangemanXD (190 in chips) </t>
  </si>
  <si>
    <t xml:space="preserve">Seat 2: NL_Classic (445 in chips) </t>
  </si>
  <si>
    <t xml:space="preserve">Seat 3: 84BUKTOP84 (970 in chips) </t>
  </si>
  <si>
    <t xml:space="preserve">Seat 4: dreber@77 (395 in chips) </t>
  </si>
  <si>
    <t>OrangemanXD: posts the ante 20</t>
  </si>
  <si>
    <t>84BUKTOP84: posts the ante 20</t>
  </si>
  <si>
    <t>dreber@77: posts the ante 20</t>
  </si>
  <si>
    <t>OrangemanXD: posts small blind 50</t>
  </si>
  <si>
    <t>Dealt to NL_Classic [Kc 5c]</t>
  </si>
  <si>
    <t xml:space="preserve">84BUKTOP84: folds </t>
  </si>
  <si>
    <t>dreber@77: raises 275 to 375 and is all-in</t>
  </si>
  <si>
    <t>OrangemanXD: calls 120 and is all-in</t>
  </si>
  <si>
    <t>NL_Classic: calls 275</t>
  </si>
  <si>
    <t>*** FLOP *** [8s 4s 2c]</t>
  </si>
  <si>
    <t>*** TURN *** [8s 4s 2c] [3c]</t>
  </si>
  <si>
    <t>*** RIVER *** [8s 4s 2c 3c] [4d]</t>
  </si>
  <si>
    <t>NL_Classic: shows [Kc 5c] (a pair of Fours)</t>
  </si>
  <si>
    <t>dreber@77: shows [9d Td] (a pair of Fours - lower kicker)</t>
  </si>
  <si>
    <t>NL_Classic collected 410 from side pot</t>
  </si>
  <si>
    <t>OrangemanXD: shows [Ac 7s] (a pair of Fours - Ace kicker)</t>
  </si>
  <si>
    <t>OrangemanXD collected 590 from main pot</t>
  </si>
  <si>
    <t>dreber@77 finished the tournament in 4th place</t>
  </si>
  <si>
    <t xml:space="preserve">Total pot 1000 Main pot 590. Side pot 410. | Rake 0 </t>
  </si>
  <si>
    <t>Board [8s 4s 2c 3c 4d]</t>
  </si>
  <si>
    <t>Seat 1: OrangemanXD (small blind) showed [Ac 7s] and won (590) with a pair of Fours</t>
  </si>
  <si>
    <t>Seat 2: NL_Classic (big blind) showed [Kc 5c] and won (410) with a pair of Fours</t>
  </si>
  <si>
    <t>Seat 3: 84BUKTOP84 folded before Flop (didn't bet)</t>
  </si>
  <si>
    <t>Seat 4: dreber@77 (button) showed [9d Td] and lost with a pair of Fours</t>
  </si>
  <si>
    <t>KcTs</t>
  </si>
  <si>
    <t>Ac5c</t>
  </si>
  <si>
    <t>PokerStars Hand #219408373631: Tournament #3027317082, $14.71+$0.29 USD Hold'em No Limit - Match Round I, Level I (25/50) - 2020/10/15 20:13:53 MSK [2020/10/15 13:13:53 ET]</t>
  </si>
  <si>
    <t>Table '3027317082 2' 4-max Seat #4 is the button</t>
  </si>
  <si>
    <t xml:space="preserve">Seat 1: slavikus555 (650 in chips) </t>
  </si>
  <si>
    <t xml:space="preserve">Seat 3: byStereo (395 in chips) </t>
  </si>
  <si>
    <t xml:space="preserve">Seat 4: Rasmus1810 (510 in chips) </t>
  </si>
  <si>
    <t>slavikus555: posts the ante 10</t>
  </si>
  <si>
    <t>Rasmus1810: posts the ante 10</t>
  </si>
  <si>
    <t>slavikus555: posts small blind 25</t>
  </si>
  <si>
    <t>Dealt to NL_Classic [Ac 5c]</t>
  </si>
  <si>
    <t>byStereo: raises 335 to 385 and is all-in</t>
  </si>
  <si>
    <t xml:space="preserve">Rasmus1810: folds </t>
  </si>
  <si>
    <t>slavikus555: raises 255 to 640 and is all-in</t>
  </si>
  <si>
    <t>NL_Classic: calls 385 and is all-in</t>
  </si>
  <si>
    <t>Uncalled bet (205) returned to slavikus555</t>
  </si>
  <si>
    <t>*** FLOP *** [Jc 6d 9h]</t>
  </si>
  <si>
    <t>*** TURN *** [Jc 6d 9h] [Kh]</t>
  </si>
  <si>
    <t>*** RIVER *** [Jc 6d 9h Kh] [2s]</t>
  </si>
  <si>
    <t>slavikus555: shows [Ts Kc] (a pair of Kings)</t>
  </si>
  <si>
    <t>NL_Classic: shows [Ac 5c] (high card Ace)</t>
  </si>
  <si>
    <t>slavikus555 collected 100 from side pot</t>
  </si>
  <si>
    <t>byStereo: shows [As 9c] (a pair of Nines)</t>
  </si>
  <si>
    <t>slavikus555 collected 1195 from main pot</t>
  </si>
  <si>
    <t>NL_Classic finished the tournament in 12th place</t>
  </si>
  <si>
    <t>byStereo finished the tournament in 13th place</t>
  </si>
  <si>
    <t xml:space="preserve">Total pot 1295 Main pot 1195. Side pot 100. | Rake 0 </t>
  </si>
  <si>
    <t>Board [Jc 6d 9h Kh 2s]</t>
  </si>
  <si>
    <t>Seat 1: slavikus555 (small blind) showed [Ts Kc] and won (1295) with a pair of Kings</t>
  </si>
  <si>
    <t>Seat 2: NL_Classic (big blind) showed [Ac 5c] and lost with high card Ace</t>
  </si>
  <si>
    <t>Seat 3: byStereo showed [As 9c] and lost with a pair of Nines</t>
  </si>
  <si>
    <t>Seat 4: Rasmus1810 (button) folded before Flop (didn't bet)</t>
  </si>
  <si>
    <t>KhQs</t>
  </si>
  <si>
    <t>AhQd</t>
  </si>
  <si>
    <t>Kc8d</t>
  </si>
  <si>
    <t>AdKd</t>
  </si>
  <si>
    <t>Ah6c</t>
  </si>
  <si>
    <t>QdTs</t>
  </si>
  <si>
    <t>KdQd</t>
  </si>
  <si>
    <t>Ah9s</t>
  </si>
  <si>
    <t>TcTs</t>
  </si>
  <si>
    <t>p1spwin</t>
  </si>
  <si>
    <t>p2spwin</t>
  </si>
  <si>
    <t>sidepot</t>
  </si>
  <si>
    <t>EV=</t>
  </si>
  <si>
    <t>p3win*(p1spwin*[@ICMside1]+(1-p1spwin)*[@ICMside2])+p2win*[@ICM2]+p1win*[@ICM1] -[@ICMf]</t>
  </si>
  <si>
    <t>players1</t>
  </si>
  <si>
    <t>stack1</t>
  </si>
  <si>
    <t>EQ1</t>
  </si>
  <si>
    <t>ICM1</t>
  </si>
  <si>
    <t>KO1</t>
  </si>
  <si>
    <t>players2</t>
  </si>
  <si>
    <t>stack2</t>
  </si>
  <si>
    <t>EQ2</t>
  </si>
  <si>
    <t>ICM2</t>
  </si>
  <si>
    <t>KO2</t>
  </si>
  <si>
    <t>KO22</t>
  </si>
  <si>
    <t>playersside1</t>
  </si>
  <si>
    <t>stackside1</t>
  </si>
  <si>
    <t>EQside1</t>
  </si>
  <si>
    <t>ICMside1</t>
  </si>
  <si>
    <t>KOside1</t>
  </si>
  <si>
    <t>playersside2</t>
  </si>
  <si>
    <t>stackside2</t>
  </si>
  <si>
    <t>EQside2</t>
  </si>
  <si>
    <t>ICMside2</t>
  </si>
  <si>
    <t>KOside2</t>
  </si>
  <si>
    <t xml:space="preserve"> 3</t>
  </si>
  <si>
    <t>playersf</t>
  </si>
  <si>
    <t>stackf</t>
  </si>
  <si>
    <t>EQf</t>
  </si>
  <si>
    <t>ICMf</t>
  </si>
  <si>
    <t>KOf</t>
  </si>
  <si>
    <t>ICMd</t>
  </si>
  <si>
    <t>KOd</t>
  </si>
  <si>
    <t>totald</t>
  </si>
  <si>
    <t>Ato</t>
  </si>
  <si>
    <t>JJ</t>
  </si>
  <si>
    <t>Aqs</t>
  </si>
  <si>
    <t>p1sp2win</t>
  </si>
  <si>
    <t>p2sp2win</t>
  </si>
  <si>
    <t>p3sp1win</t>
  </si>
  <si>
    <t>p3win*(p1spwin*[@ICMside1]+(1-p1spwin)*[@ICMside2])+p2win*[@ICM2]+p1win*[@ICM1]</t>
  </si>
  <si>
    <t>T_p4p1</t>
  </si>
  <si>
    <t>T_p4p2</t>
  </si>
  <si>
    <t>T_p4p3p1</t>
  </si>
  <si>
    <t>T_p4p3p2</t>
  </si>
  <si>
    <t>T_EV_p4p3sp2</t>
  </si>
  <si>
    <t>4rd player Win</t>
  </si>
  <si>
    <t>T_EV_p3sp2</t>
  </si>
  <si>
    <t>T_EV_p4sp1</t>
  </si>
  <si>
    <t>side pot 1</t>
  </si>
  <si>
    <t>Side pot 2</t>
  </si>
  <si>
    <t>3rd Player Win Side pot 2</t>
  </si>
  <si>
    <t>Side pot 1</t>
  </si>
  <si>
    <t>KsQh</t>
  </si>
  <si>
    <t>KcTd</t>
  </si>
  <si>
    <t>5s5c</t>
  </si>
  <si>
    <t>4d4s</t>
  </si>
  <si>
    <t>случаи</t>
  </si>
  <si>
    <t>3вэй аллин</t>
  </si>
  <si>
    <t>4вэй аллин</t>
  </si>
  <si>
    <t>5вый аллин</t>
  </si>
  <si>
    <t>автоаллин</t>
  </si>
  <si>
    <t>4 макс 3ой аллин</t>
  </si>
  <si>
    <t>5 макс 4вэй аллин</t>
  </si>
  <si>
    <t>3 макс 3вэй аллин</t>
  </si>
  <si>
    <t>в 3вэй 2 игрока делят баунти</t>
  </si>
  <si>
    <t>avg all in eq: 20.24</t>
  </si>
  <si>
    <t>total won: 0</t>
  </si>
  <si>
    <t>ICM EV: 8.17</t>
  </si>
  <si>
    <t>ICM EV diff: 8.17</t>
  </si>
  <si>
    <t xml:space="preserve"> Chip won: -445.0</t>
  </si>
  <si>
    <t>Chip EV diff: 278.0</t>
  </si>
  <si>
    <t>Total BI: 15.0</t>
  </si>
  <si>
    <t>Total hands: 1</t>
  </si>
  <si>
    <t>Total tounrnaments: 1</t>
  </si>
  <si>
    <t>avg all in eq: 17.94</t>
  </si>
  <si>
    <t>ICM EV: 2.2</t>
  </si>
  <si>
    <t>ICM EV diff: 1.17</t>
  </si>
  <si>
    <t xml:space="preserve"> Chip won: -385.0</t>
  </si>
  <si>
    <t>Chip EV diff: 209.0</t>
  </si>
  <si>
    <t>Total BI: 2.85</t>
  </si>
  <si>
    <t>avg all in eq: 27.91</t>
  </si>
  <si>
    <t>ICM EV: 11.89</t>
  </si>
  <si>
    <t>ICM EV diff: -1.64</t>
  </si>
  <si>
    <t xml:space="preserve"> Chip won: 15.0</t>
  </si>
  <si>
    <t>Chip EV diff: -56.0</t>
  </si>
  <si>
    <t>avg all in eq: 34.46</t>
  </si>
  <si>
    <t>ICM EV: 13.3</t>
  </si>
  <si>
    <t>ICM EV diff: 3.74</t>
  </si>
  <si>
    <t xml:space="preserve"> Chip won: -160.0</t>
  </si>
  <si>
    <t>Chip EV diff: 254.0</t>
  </si>
  <si>
    <t>Total BI: 7.5</t>
  </si>
  <si>
    <t>avg all in eq: 55.46</t>
  </si>
  <si>
    <t>ICM EV: 12.53</t>
  </si>
  <si>
    <t>ICM EV diff: -10.06</t>
  </si>
  <si>
    <t xml:space="preserve"> Chip won: 1035.0</t>
  </si>
  <si>
    <t>Chip EV diff: -684.0</t>
  </si>
  <si>
    <t>avg all in eq: 19.13</t>
  </si>
  <si>
    <t>ICM EV: 4.25</t>
  </si>
  <si>
    <t>ICM EV diff: -17.98</t>
  </si>
  <si>
    <t xml:space="preserve"> Chip won: 1010.0</t>
  </si>
  <si>
    <t>Chip EV diff: -1221.0</t>
  </si>
  <si>
    <t>avg all in eq: 23.07</t>
  </si>
  <si>
    <t>ICM EV: 1.77</t>
  </si>
  <si>
    <t>ICM EV diff: 1.77</t>
  </si>
  <si>
    <t xml:space="preserve"> Chip won: -170.0</t>
  </si>
  <si>
    <t>Chip EV diff: 120.0</t>
  </si>
  <si>
    <t>avg all in eq: 25.28</t>
  </si>
  <si>
    <t>ICM EV: 18.82</t>
  </si>
  <si>
    <t>ICM EV diff: 8.67</t>
  </si>
  <si>
    <t>Chip EV diff: 295.0</t>
  </si>
  <si>
    <t>слишком большое расхождение?есть разница в алин эквити, возможно дело в этом</t>
  </si>
  <si>
    <t>бот в расчетах выдает эквити без учета ничьих, только победа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</si>
</sst>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* #,##0.00\ &quot;₽&quot;_-;\-* #,##0.00\ &quot;₽&quot;_-;_-* &quot;-&quot;??\ &quot;₽&quot;_-;_-@_-"/>
    <numFmt numFmtId="164" formatCode="_-* #,##0.00\ _₽_-;\-* #,##0.00\ _₽_-;_-* &quot;-&quot;??\ _₽_-;_-@_-"/>
    <numFmt numFmtId="165" formatCode="_-[$$-409]* #,##0.00_ ;_-[$$-409]* \-#,##0.00\ ;_-[$$-409]* &quot;-&quot;??_ ;_-@_ "/>
    <numFmt numFmtId="166" formatCode="_-* #,##0.000\ _₽_-;\-* #,##0.000\ _₽_-;_-* &quot;-&quot;??\ _₽_-;_-@_-"/>
    <numFmt numFmtId="167" formatCode="0.0000"/>
  </numFmts>
  <fonts count="1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sz val="14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8"/>
      <color indexed="81"/>
      <name val="Tahoma"/>
      <charset val="1"/>
    </font>
    <font>
      <b/>
      <sz val="8"/>
      <color indexed="81"/>
      <name val="Tahoma"/>
      <charset val="1"/>
    </font>
    <font>
      <sz val="11"/>
      <color rgb="FF404040"/>
      <name val="Arial"/>
      <family val="2"/>
      <charset val="204"/>
    </font>
    <font>
      <sz val="10"/>
      <color rgb="FF000000"/>
      <name val="Tahoma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2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thick">
        <color rgb="FF0070C0"/>
      </left>
      <right/>
      <top style="thick">
        <color rgb="FF0070C0"/>
      </top>
      <bottom/>
      <diagonal/>
    </border>
    <border>
      <left/>
      <right/>
      <top style="thick">
        <color rgb="FF0070C0"/>
      </top>
      <bottom/>
      <diagonal/>
    </border>
    <border>
      <left/>
      <right style="thick">
        <color rgb="FF0070C0"/>
      </right>
      <top style="thick">
        <color rgb="FF0070C0"/>
      </top>
      <bottom/>
      <diagonal/>
    </border>
    <border>
      <left style="thick">
        <color rgb="FF0070C0"/>
      </left>
      <right/>
      <top/>
      <bottom/>
      <diagonal/>
    </border>
    <border>
      <left/>
      <right style="thick">
        <color rgb="FF0070C0"/>
      </right>
      <top/>
      <bottom/>
      <diagonal/>
    </border>
    <border>
      <left style="thick">
        <color theme="8"/>
      </left>
      <right/>
      <top style="thick">
        <color theme="8"/>
      </top>
      <bottom style="thick">
        <color theme="8"/>
      </bottom>
      <diagonal/>
    </border>
    <border>
      <left/>
      <right/>
      <top style="thick">
        <color theme="8"/>
      </top>
      <bottom style="thick">
        <color theme="8"/>
      </bottom>
      <diagonal/>
    </border>
    <border>
      <left/>
      <right style="thick">
        <color theme="8"/>
      </right>
      <top style="thick">
        <color theme="8"/>
      </top>
      <bottom style="thick">
        <color theme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2">
    <xf numFmtId="0" fontId="0" fillId="0" borderId="0" xfId="0"/>
    <xf numFmtId="165" fontId="0" fillId="0" borderId="0" xfId="2" applyNumberFormat="1" applyFont="1"/>
    <xf numFmtId="165" fontId="0" fillId="0" borderId="0" xfId="0" applyNumberFormat="1"/>
    <xf numFmtId="166" fontId="0" fillId="0" borderId="0" xfId="1" applyNumberFormat="1" applyFont="1"/>
    <xf numFmtId="0" fontId="0" fillId="0" borderId="4" xfId="0" applyBorder="1"/>
    <xf numFmtId="0" fontId="0" fillId="0" borderId="0" xfId="0" applyBorder="1"/>
    <xf numFmtId="0" fontId="0" fillId="0" borderId="5" xfId="0" applyBorder="1"/>
    <xf numFmtId="165" fontId="0" fillId="0" borderId="5" xfId="0" applyNumberFormat="1" applyBorder="1"/>
    <xf numFmtId="0" fontId="0" fillId="0" borderId="9" xfId="0" applyBorder="1"/>
    <xf numFmtId="0" fontId="0" fillId="0" borderId="10" xfId="0" applyBorder="1"/>
    <xf numFmtId="0" fontId="0" fillId="0" borderId="14" xfId="0" applyBorder="1"/>
    <xf numFmtId="0" fontId="0" fillId="0" borderId="15" xfId="0" applyBorder="1"/>
    <xf numFmtId="165" fontId="0" fillId="0" borderId="4" xfId="0" applyNumberFormat="1" applyBorder="1"/>
    <xf numFmtId="0" fontId="0" fillId="2" borderId="0" xfId="0" applyFont="1" applyFill="1"/>
    <xf numFmtId="167" fontId="0" fillId="0" borderId="15" xfId="0" applyNumberFormat="1" applyBorder="1"/>
    <xf numFmtId="167" fontId="0" fillId="0" borderId="10" xfId="0" applyNumberFormat="1" applyBorder="1"/>
    <xf numFmtId="167" fontId="0" fillId="0" borderId="0" xfId="0" applyNumberFormat="1"/>
    <xf numFmtId="0" fontId="0" fillId="3" borderId="0" xfId="0" applyFill="1"/>
    <xf numFmtId="165" fontId="0" fillId="3" borderId="0" xfId="0" applyNumberFormat="1" applyFill="1"/>
    <xf numFmtId="0" fontId="0" fillId="3" borderId="14" xfId="0" applyFill="1" applyBorder="1"/>
    <xf numFmtId="167" fontId="0" fillId="3" borderId="15" xfId="0" applyNumberFormat="1" applyFill="1" applyBorder="1"/>
    <xf numFmtId="0" fontId="0" fillId="3" borderId="9" xfId="0" applyFill="1" applyBorder="1"/>
    <xf numFmtId="167" fontId="0" fillId="3" borderId="10" xfId="0" applyNumberFormat="1" applyFill="1" applyBorder="1"/>
    <xf numFmtId="165" fontId="0" fillId="3" borderId="4" xfId="0" applyNumberFormat="1" applyFill="1" applyBorder="1"/>
    <xf numFmtId="167" fontId="0" fillId="3" borderId="0" xfId="0" applyNumberFormat="1" applyFill="1"/>
    <xf numFmtId="165" fontId="0" fillId="3" borderId="5" xfId="0" applyNumberFormat="1" applyFill="1" applyBorder="1"/>
    <xf numFmtId="0" fontId="0" fillId="4" borderId="0" xfId="0" applyFill="1"/>
    <xf numFmtId="165" fontId="0" fillId="4" borderId="0" xfId="0" applyNumberFormat="1" applyFill="1"/>
    <xf numFmtId="167" fontId="0" fillId="4" borderId="0" xfId="0" applyNumberFormat="1" applyFill="1"/>
    <xf numFmtId="0" fontId="0" fillId="4" borderId="14" xfId="0" applyFill="1" applyBorder="1"/>
    <xf numFmtId="167" fontId="0" fillId="4" borderId="15" xfId="0" applyNumberFormat="1" applyFill="1" applyBorder="1"/>
    <xf numFmtId="0" fontId="0" fillId="4" borderId="9" xfId="0" applyFill="1" applyBorder="1"/>
    <xf numFmtId="167" fontId="0" fillId="4" borderId="10" xfId="0" applyNumberFormat="1" applyFill="1" applyBorder="1"/>
    <xf numFmtId="165" fontId="0" fillId="4" borderId="4" xfId="0" applyNumberFormat="1" applyFill="1" applyBorder="1"/>
    <xf numFmtId="165" fontId="0" fillId="4" borderId="5" xfId="0" applyNumberFormat="1" applyFill="1" applyBorder="1"/>
    <xf numFmtId="0" fontId="0" fillId="3" borderId="0" xfId="0" applyNumberFormat="1" applyFill="1"/>
    <xf numFmtId="0" fontId="5" fillId="0" borderId="0" xfId="0" applyFont="1"/>
    <xf numFmtId="0" fontId="0" fillId="0" borderId="0" xfId="0" applyFont="1"/>
    <xf numFmtId="0" fontId="0" fillId="0" borderId="0" xfId="0" applyNumberFormat="1"/>
    <xf numFmtId="0" fontId="0" fillId="4" borderId="0" xfId="0" applyNumberFormat="1" applyFill="1"/>
    <xf numFmtId="0" fontId="0" fillId="5" borderId="0" xfId="0" applyFill="1"/>
    <xf numFmtId="165" fontId="0" fillId="5" borderId="0" xfId="0" applyNumberFormat="1" applyFill="1"/>
    <xf numFmtId="167" fontId="0" fillId="5" borderId="0" xfId="0" applyNumberFormat="1" applyFill="1"/>
    <xf numFmtId="0" fontId="0" fillId="5" borderId="14" xfId="0" applyFill="1" applyBorder="1"/>
    <xf numFmtId="167" fontId="0" fillId="5" borderId="15" xfId="0" applyNumberFormat="1" applyFill="1" applyBorder="1"/>
    <xf numFmtId="0" fontId="0" fillId="5" borderId="9" xfId="0" applyFill="1" applyBorder="1"/>
    <xf numFmtId="167" fontId="0" fillId="5" borderId="10" xfId="0" applyNumberFormat="1" applyFill="1" applyBorder="1"/>
    <xf numFmtId="0" fontId="0" fillId="5" borderId="0" xfId="0" applyNumberFormat="1" applyFill="1"/>
    <xf numFmtId="165" fontId="0" fillId="5" borderId="4" xfId="0" applyNumberFormat="1" applyFill="1" applyBorder="1"/>
    <xf numFmtId="165" fontId="0" fillId="5" borderId="5" xfId="0" applyNumberFormat="1" applyFill="1" applyBorder="1"/>
    <xf numFmtId="0" fontId="6" fillId="5" borderId="0" xfId="0" applyFont="1" applyFill="1"/>
    <xf numFmtId="165" fontId="6" fillId="5" borderId="0" xfId="0" applyNumberFormat="1" applyFont="1" applyFill="1"/>
    <xf numFmtId="167" fontId="6" fillId="5" borderId="0" xfId="0" applyNumberFormat="1" applyFont="1" applyFill="1"/>
    <xf numFmtId="0" fontId="6" fillId="5" borderId="14" xfId="0" applyFont="1" applyFill="1" applyBorder="1"/>
    <xf numFmtId="0" fontId="6" fillId="5" borderId="9" xfId="0" applyFont="1" applyFill="1" applyBorder="1"/>
    <xf numFmtId="0" fontId="6" fillId="5" borderId="0" xfId="0" applyNumberFormat="1" applyFont="1" applyFill="1"/>
    <xf numFmtId="0" fontId="7" fillId="5" borderId="0" xfId="0" applyFont="1" applyFill="1"/>
    <xf numFmtId="165" fontId="7" fillId="5" borderId="0" xfId="0" applyNumberFormat="1" applyFont="1" applyFill="1"/>
    <xf numFmtId="167" fontId="7" fillId="5" borderId="0" xfId="0" applyNumberFormat="1" applyFont="1" applyFill="1"/>
    <xf numFmtId="0" fontId="7" fillId="5" borderId="14" xfId="0" applyFont="1" applyFill="1" applyBorder="1"/>
    <xf numFmtId="167" fontId="7" fillId="5" borderId="15" xfId="0" applyNumberFormat="1" applyFont="1" applyFill="1" applyBorder="1"/>
    <xf numFmtId="0" fontId="7" fillId="5" borderId="9" xfId="0" applyFont="1" applyFill="1" applyBorder="1"/>
    <xf numFmtId="167" fontId="7" fillId="5" borderId="10" xfId="0" applyNumberFormat="1" applyFont="1" applyFill="1" applyBorder="1"/>
    <xf numFmtId="0" fontId="7" fillId="5" borderId="0" xfId="0" applyNumberFormat="1" applyFont="1" applyFill="1"/>
    <xf numFmtId="165" fontId="7" fillId="5" borderId="4" xfId="0" applyNumberFormat="1" applyFont="1" applyFill="1" applyBorder="1"/>
    <xf numFmtId="165" fontId="7" fillId="5" borderId="5" xfId="0" applyNumberFormat="1" applyFont="1" applyFill="1" applyBorder="1"/>
    <xf numFmtId="167" fontId="0" fillId="0" borderId="0" xfId="0" applyNumberFormat="1" applyBorder="1"/>
    <xf numFmtId="167" fontId="0" fillId="3" borderId="0" xfId="0" applyNumberFormat="1" applyFill="1" applyBorder="1"/>
    <xf numFmtId="165" fontId="0" fillId="0" borderId="0" xfId="0" applyNumberFormat="1" applyBorder="1"/>
    <xf numFmtId="165" fontId="0" fillId="3" borderId="0" xfId="0" applyNumberFormat="1" applyFill="1" applyBorder="1"/>
    <xf numFmtId="167" fontId="6" fillId="5" borderId="0" xfId="0" applyNumberFormat="1" applyFont="1" applyFill="1" applyBorder="1"/>
    <xf numFmtId="167" fontId="0" fillId="4" borderId="0" xfId="0" applyNumberFormat="1" applyFill="1" applyBorder="1"/>
    <xf numFmtId="165" fontId="0" fillId="4" borderId="0" xfId="0" applyNumberFormat="1" applyFill="1" applyBorder="1"/>
    <xf numFmtId="0" fontId="0" fillId="4" borderId="0" xfId="0" applyFill="1" applyBorder="1"/>
    <xf numFmtId="0" fontId="0" fillId="0" borderId="0" xfId="0" applyNumberFormat="1" applyBorder="1" applyAlignment="1"/>
    <xf numFmtId="0" fontId="0" fillId="0" borderId="0" xfId="3" applyNumberFormat="1" applyFont="1"/>
    <xf numFmtId="0" fontId="10" fillId="0" borderId="0" xfId="0" applyFont="1"/>
    <xf numFmtId="0" fontId="10" fillId="3" borderId="0" xfId="0" applyFont="1" applyFill="1"/>
    <xf numFmtId="0" fontId="11" fillId="0" borderId="0" xfId="0" applyFont="1"/>
    <xf numFmtId="0" fontId="4" fillId="0" borderId="0" xfId="0" applyFont="1"/>
    <xf numFmtId="0" fontId="14" fillId="0" borderId="0" xfId="0" applyFont="1"/>
    <xf numFmtId="0" fontId="0" fillId="0" borderId="19" xfId="0" applyBorder="1"/>
    <xf numFmtId="0" fontId="0" fillId="0" borderId="19" xfId="0" applyFont="1" applyBorder="1" applyAlignment="1">
      <alignment horizontal="center"/>
    </xf>
    <xf numFmtId="0" fontId="0" fillId="3" borderId="0" xfId="0" applyFill="1" applyBorder="1"/>
    <xf numFmtId="0" fontId="4" fillId="0" borderId="0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6" xfId="0" applyNumberFormat="1" applyBorder="1" applyAlignment="1">
      <alignment horizontal="center"/>
    </xf>
    <xf numFmtId="0" fontId="0" fillId="0" borderId="17" xfId="0" applyNumberFormat="1" applyBorder="1" applyAlignment="1">
      <alignment horizontal="center"/>
    </xf>
    <xf numFmtId="0" fontId="0" fillId="0" borderId="18" xfId="0" applyNumberForma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0" fillId="0" borderId="0" xfId="0" applyFill="1"/>
    <xf numFmtId="0" fontId="0" fillId="0" borderId="0" xfId="0" applyFill="1" applyBorder="1"/>
    <xf numFmtId="165" fontId="0" fillId="0" borderId="0" xfId="0" applyNumberFormat="1" applyFill="1"/>
    <xf numFmtId="167" fontId="0" fillId="0" borderId="0" xfId="0" applyNumberFormat="1" applyFill="1" applyBorder="1"/>
    <xf numFmtId="0" fontId="0" fillId="0" borderId="14" xfId="0" applyFill="1" applyBorder="1"/>
    <xf numFmtId="165" fontId="0" fillId="0" borderId="0" xfId="0" applyNumberFormat="1" applyFill="1" applyBorder="1"/>
    <xf numFmtId="165" fontId="0" fillId="0" borderId="4" xfId="0" applyNumberFormat="1" applyFill="1" applyBorder="1"/>
    <xf numFmtId="0" fontId="15" fillId="0" borderId="0" xfId="0" applyFont="1"/>
    <xf numFmtId="0" fontId="7" fillId="0" borderId="0" xfId="0" applyFont="1"/>
    <xf numFmtId="0" fontId="16" fillId="0" borderId="0" xfId="0" applyFont="1"/>
  </cellXfs>
  <cellStyles count="4">
    <cellStyle name="Денежный" xfId="2" builtinId="4"/>
    <cellStyle name="Обычный" xfId="0" builtinId="0"/>
    <cellStyle name="Процентный" xfId="3" builtinId="5"/>
    <cellStyle name="Финансовый" xfId="1" builtinId="3"/>
  </cellStyles>
  <dxfs count="752">
    <dxf>
      <numFmt numFmtId="165" formatCode="_-[$$-409]* #,##0.00_ ;_-[$$-409]* \-#,##0.00\ ;_-[$$-409]* &quot;-&quot;??_ ;_-@_ "/>
    </dxf>
    <dxf>
      <numFmt numFmtId="165" formatCode="_-[$$-409]* #,##0.00_ ;_-[$$-409]* \-#,##0.00\ ;_-[$$-409]* &quot;-&quot;??_ ;_-@_ "/>
    </dxf>
    <dxf>
      <numFmt numFmtId="165" formatCode="_-[$$-409]* #,##0.00_ ;_-[$$-409]* \-#,##0.00\ ;_-[$$-409]* &quot;-&quot;??_ ;_-@_ "/>
    </dxf>
    <dxf>
      <numFmt numFmtId="165" formatCode="_-[$$-409]* #,##0.00_ ;_-[$$-409]* \-#,##0.00\ ;_-[$$-409]* &quot;-&quot;??_ ;_-@_ "/>
    </dxf>
    <dxf>
      <numFmt numFmtId="165" formatCode="_-[$$-409]* #,##0.00_ ;_-[$$-409]* \-#,##0.00\ ;_-[$$-409]* &quot;-&quot;??_ ;_-@_ "/>
    </dxf>
    <dxf>
      <numFmt numFmtId="165" formatCode="_-[$$-409]* #,##0.00_ ;_-[$$-409]* \-#,##0.00\ ;_-[$$-409]* &quot;-&quot;??_ ;_-@_ "/>
    </dxf>
    <dxf>
      <border outline="0">
        <left style="medium">
          <color indexed="64"/>
        </left>
        <right style="medium">
          <color indexed="64"/>
        </right>
      </border>
    </dxf>
    <dxf>
      <numFmt numFmtId="165" formatCode="_-[$$-409]* #,##0.00_ ;_-[$$-409]* \-#,##0.00\ ;_-[$$-409]* &quot;-&quot;??_ ;_-@_ "/>
    </dxf>
    <dxf>
      <numFmt numFmtId="165" formatCode="_-[$$-409]* #,##0.00_ ;_-[$$-409]* \-#,##0.00\ ;_-[$$-409]* &quot;-&quot;??_ ;_-@_ "/>
    </dxf>
    <dxf>
      <numFmt numFmtId="165" formatCode="_-[$$-409]* #,##0.00_ ;_-[$$-409]* \-#,##0.00\ ;_-[$$-409]* &quot;-&quot;??_ ;_-@_ "/>
    </dxf>
    <dxf>
      <numFmt numFmtId="165" formatCode="_-[$$-409]* #,##0.00_ ;_-[$$-409]* \-#,##0.00\ ;_-[$$-409]* &quot;-&quot;??_ ;_-@_ "/>
    </dxf>
    <dxf>
      <border outline="0">
        <left style="medium">
          <color indexed="64"/>
        </left>
        <right style="medium">
          <color indexed="64"/>
        </right>
      </border>
    </dxf>
    <dxf>
      <numFmt numFmtId="165" formatCode="_-[$$-409]* #,##0.00_ ;_-[$$-409]* \-#,##0.00\ ;_-[$$-409]* &quot;-&quot;??_ ;_-@_ "/>
    </dxf>
    <dxf>
      <numFmt numFmtId="165" formatCode="_-[$$-409]* #,##0.00_ ;_-[$$-409]* \-#,##0.00\ ;_-[$$-409]* &quot;-&quot;??_ ;_-@_ "/>
    </dxf>
    <dxf>
      <numFmt numFmtId="165" formatCode="_-[$$-409]* #,##0.00_ ;_-[$$-409]* \-#,##0.00\ ;_-[$$-409]* &quot;-&quot;??_ ;_-@_ "/>
    </dxf>
    <dxf>
      <numFmt numFmtId="165" formatCode="_-[$$-409]* #,##0.00_ ;_-[$$-409]* \-#,##0.00\ ;_-[$$-409]* &quot;-&quot;??_ ;_-@_ "/>
    </dxf>
    <dxf>
      <border outline="0">
        <left style="medium">
          <color indexed="64"/>
        </left>
        <right style="medium">
          <color indexed="64"/>
        </right>
      </border>
    </dxf>
    <dxf>
      <numFmt numFmtId="165" formatCode="_-[$$-409]* #,##0.00_ ;_-[$$-409]* \-#,##0.00\ ;_-[$$-409]* &quot;-&quot;??_ ;_-@_ "/>
    </dxf>
    <dxf>
      <numFmt numFmtId="165" formatCode="_-[$$-409]* #,##0.00_ ;_-[$$-409]* \-#,##0.00\ ;_-[$$-409]* &quot;-&quot;??_ ;_-@_ "/>
    </dxf>
    <dxf>
      <numFmt numFmtId="165" formatCode="_-[$$-409]* #,##0.00_ ;_-[$$-409]* \-#,##0.00\ ;_-[$$-409]* &quot;-&quot;??_ ;_-@_ "/>
    </dxf>
    <dxf>
      <numFmt numFmtId="165" formatCode="_-[$$-409]* #,##0.00_ ;_-[$$-409]* \-#,##0.00\ ;_-[$$-409]* &quot;-&quot;??_ ;_-@_ "/>
    </dxf>
    <dxf>
      <border outline="0">
        <left style="medium">
          <color indexed="64"/>
        </left>
        <right style="medium">
          <color indexed="64"/>
        </right>
      </border>
    </dxf>
    <dxf>
      <numFmt numFmtId="167" formatCode="0.0000"/>
    </dxf>
    <dxf>
      <numFmt numFmtId="167" formatCode="0.0000"/>
    </dxf>
    <dxf>
      <numFmt numFmtId="165" formatCode="_-[$$-409]* #,##0.00_ ;_-[$$-409]* \-#,##0.00\ ;_-[$$-409]* &quot;-&quot;??_ ;_-@_ "/>
    </dxf>
    <dxf>
      <border outline="0">
        <left style="thick">
          <color rgb="FFFF0000"/>
        </left>
        <right style="thick">
          <color rgb="FFFF0000"/>
        </right>
      </border>
    </dxf>
    <dxf>
      <numFmt numFmtId="167" formatCode="0.0000"/>
    </dxf>
    <dxf>
      <numFmt numFmtId="167" formatCode="0.0000"/>
    </dxf>
    <dxf>
      <numFmt numFmtId="165" formatCode="_-[$$-409]* #,##0.00_ ;_-[$$-409]* \-#,##0.00\ ;_-[$$-409]* &quot;-&quot;??_ ;_-@_ "/>
    </dxf>
    <dxf>
      <numFmt numFmtId="0" formatCode="General"/>
    </dxf>
    <dxf>
      <numFmt numFmtId="0" formatCode="General"/>
    </dxf>
    <dxf>
      <border outline="0">
        <left style="thick">
          <color rgb="FF0070C0"/>
        </left>
        <right style="thick">
          <color rgb="FF0070C0"/>
        </right>
      </border>
    </dxf>
    <dxf>
      <numFmt numFmtId="167" formatCode="0.0000"/>
    </dxf>
    <dxf>
      <numFmt numFmtId="167" formatCode="0.0000"/>
    </dxf>
    <dxf>
      <numFmt numFmtId="165" formatCode="_-[$$-409]* #,##0.00_ ;_-[$$-409]* \-#,##0.00\ ;_-[$$-409]* &quot;-&quot;??_ ;_-@_ "/>
    </dxf>
    <dxf>
      <numFmt numFmtId="0" formatCode="General"/>
    </dxf>
    <dxf>
      <numFmt numFmtId="0" formatCode="General"/>
    </dxf>
    <dxf>
      <border outline="0">
        <left style="thick">
          <color rgb="FF0070C0"/>
        </left>
        <right style="thick">
          <color rgb="FF0070C0"/>
        </right>
      </border>
    </dxf>
    <dxf>
      <numFmt numFmtId="167" formatCode="0.0000"/>
    </dxf>
    <dxf>
      <numFmt numFmtId="167" formatCode="0.0000"/>
    </dxf>
    <dxf>
      <numFmt numFmtId="165" formatCode="_-[$$-409]* #,##0.00_ ;_-[$$-409]* \-#,##0.00\ ;_-[$$-409]* &quot;-&quot;??_ ;_-@_ "/>
    </dxf>
    <dxf>
      <numFmt numFmtId="0" formatCode="General"/>
    </dxf>
    <dxf>
      <numFmt numFmtId="0" formatCode="General"/>
    </dxf>
    <dxf>
      <border outline="0">
        <left style="thick">
          <color rgb="FF0070C0"/>
        </left>
        <right style="thick">
          <color rgb="FF0070C0"/>
        </right>
      </border>
    </dxf>
    <dxf>
      <numFmt numFmtId="167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7" formatCode="0.0000"/>
      <fill>
        <patternFill patternType="solid">
          <fgColor indexed="64"/>
          <bgColor theme="1"/>
        </patternFill>
      </fill>
    </dxf>
    <dxf>
      <numFmt numFmtId="167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_-[$$-409]* #,##0.00_ ;_-[$$-409]* \-#,##0.00\ ;_-[$$-409]* &quot;-&quot;??_ ;_-@_ "/>
      <fill>
        <patternFill patternType="solid">
          <fgColor indexed="64"/>
          <bgColor theme="1"/>
        </patternFill>
      </fill>
    </dxf>
    <dxf>
      <numFmt numFmtId="165" formatCode="_-[$$-409]* #,##0.00_ ;_-[$$-409]* \-#,##0.00\ ;_-[$$-409]* &quot;-&quot;??_ ;_-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 patternType="solid">
          <fgColor indexed="64"/>
          <bgColor theme="1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 patternType="solid">
          <fgColor indexed="64"/>
          <bgColor theme="1"/>
        </patternFill>
      </fill>
      <border diagonalUp="0" diagonalDown="0" outline="0">
        <left style="thick">
          <color rgb="FF0070C0"/>
        </left>
        <right/>
        <top/>
        <bottom/>
      </border>
    </dxf>
    <dxf>
      <numFmt numFmtId="0" formatCode="General"/>
    </dxf>
    <dxf>
      <border outline="0">
        <left style="thick">
          <color rgb="FF0070C0"/>
        </left>
        <right style="thick">
          <color rgb="FF0070C0"/>
        </right>
      </border>
    </dxf>
    <dxf>
      <numFmt numFmtId="167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7" formatCode="0.0000"/>
      <fill>
        <patternFill patternType="solid">
          <fgColor indexed="64"/>
          <bgColor theme="1"/>
        </patternFill>
      </fill>
    </dxf>
    <dxf>
      <numFmt numFmtId="167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_-[$$-409]* #,##0.00_ ;_-[$$-409]* \-#,##0.00\ ;_-[$$-409]* &quot;-&quot;??_ ;_-@_ "/>
      <fill>
        <patternFill patternType="solid">
          <fgColor indexed="64"/>
          <bgColor theme="1"/>
        </patternFill>
      </fill>
    </dxf>
    <dxf>
      <numFmt numFmtId="165" formatCode="_-[$$-409]* #,##0.00_ ;_-[$$-409]* \-#,##0.00\ ;_-[$$-409]* &quot;-&quot;??_ ;_-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 patternType="solid">
          <fgColor indexed="64"/>
          <bgColor theme="1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 patternType="solid">
          <fgColor indexed="64"/>
          <bgColor theme="1"/>
        </patternFill>
      </fill>
      <border diagonalUp="0" diagonalDown="0" outline="0">
        <left style="thick">
          <color rgb="FF0070C0"/>
        </left>
        <right/>
        <top/>
        <bottom/>
      </border>
    </dxf>
    <dxf>
      <numFmt numFmtId="0" formatCode="General"/>
    </dxf>
    <dxf>
      <border outline="0">
        <left style="thick">
          <color rgb="FF0070C0"/>
        </left>
        <right style="thick">
          <color rgb="FF0070C0"/>
        </right>
      </border>
    </dxf>
    <dxf>
      <numFmt numFmtId="167" formatCode="0.0000"/>
    </dxf>
    <dxf>
      <numFmt numFmtId="167" formatCode="0.0000"/>
    </dxf>
    <dxf>
      <numFmt numFmtId="165" formatCode="_-[$$-409]* #,##0.00_ ;_-[$$-409]* \-#,##0.00\ ;_-[$$-409]* &quot;-&quot;??_ ;_-@_ "/>
    </dxf>
    <dxf>
      <numFmt numFmtId="0" formatCode="General"/>
      <fill>
        <patternFill patternType="solid">
          <fgColor indexed="64"/>
          <bgColor theme="0"/>
        </patternFill>
      </fill>
    </dxf>
    <dxf>
      <numFmt numFmtId="0" formatCode="General"/>
    </dxf>
    <dxf>
      <border outline="0">
        <left style="thick">
          <color rgb="FF0070C0"/>
        </left>
        <right style="thick">
          <color rgb="FF0070C0"/>
        </right>
      </border>
    </dxf>
    <dxf>
      <numFmt numFmtId="167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7" formatCode="0.0000"/>
      <fill>
        <patternFill patternType="solid">
          <fgColor indexed="64"/>
          <bgColor theme="1"/>
        </patternFill>
      </fill>
    </dxf>
    <dxf>
      <numFmt numFmtId="167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_-[$$-409]* #,##0.00_ ;_-[$$-409]* \-#,##0.00\ ;_-[$$-409]* &quot;-&quot;??_ ;_-@_ "/>
      <fill>
        <patternFill patternType="solid">
          <fgColor indexed="64"/>
          <bgColor theme="1"/>
        </patternFill>
      </fill>
    </dxf>
    <dxf>
      <numFmt numFmtId="165" formatCode="_-[$$-409]* #,##0.00_ ;_-[$$-409]* \-#,##0.00\ ;_-[$$-409]* &quot;-&quot;??_ ;_-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 patternType="solid">
          <fgColor indexed="64"/>
          <bgColor theme="1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 patternType="solid">
          <fgColor indexed="64"/>
          <bgColor theme="1"/>
        </patternFill>
      </fill>
      <border diagonalUp="0" diagonalDown="0" outline="0">
        <left style="thick">
          <color rgb="FF0070C0"/>
        </left>
        <right/>
        <top/>
        <bottom/>
      </border>
    </dxf>
    <dxf>
      <numFmt numFmtId="0" formatCode="General"/>
      <border diagonalUp="0" diagonalDown="0">
        <left style="thick">
          <color rgb="FF0070C0"/>
        </left>
        <right/>
        <top/>
        <bottom/>
        <vertical/>
        <horizontal/>
      </border>
    </dxf>
    <dxf>
      <border outline="0">
        <right style="thick">
          <color rgb="FF0070C0"/>
        </right>
      </border>
    </dxf>
    <dxf>
      <numFmt numFmtId="167" formatCode="0.0000"/>
    </dxf>
    <dxf>
      <numFmt numFmtId="167" formatCode="0.0000"/>
    </dxf>
    <dxf>
      <numFmt numFmtId="165" formatCode="_-[$$-409]* #,##0.00_ ;_-[$$-409]* \-#,##0.00\ ;_-[$$-409]* &quot;-&quot;??_ ;_-@_ "/>
    </dxf>
    <dxf>
      <numFmt numFmtId="0" formatCode="General"/>
    </dxf>
    <dxf>
      <numFmt numFmtId="0" formatCode="General"/>
    </dxf>
    <dxf>
      <border outline="0">
        <left style="thick">
          <color rgb="FF0070C0"/>
        </left>
        <right style="thick">
          <color rgb="FF0070C0"/>
        </right>
      </border>
    </dxf>
    <dxf>
      <numFmt numFmtId="0" formatCode="General"/>
    </dxf>
    <dxf>
      <numFmt numFmtId="165" formatCode="_-[$$-409]* #,##0.00_ ;_-[$$-409]* \-#,##0.00\ ;_-[$$-409]* &quot;-&quot;??_ ;_-@_ "/>
    </dxf>
    <dxf>
      <numFmt numFmtId="165" formatCode="_-[$$-409]* #,##0.00_ ;_-[$$-409]* \-#,##0.00\ ;_-[$$-409]* &quot;-&quot;??_ ;_-@_ "/>
    </dxf>
    <dxf>
      <border diagonalUp="0" diagonalDown="0" outline="0">
        <left style="medium">
          <color indexed="64"/>
        </left>
        <right/>
        <top/>
        <bottom/>
      </border>
    </dxf>
    <dxf>
      <numFmt numFmtId="165" formatCode="_-[$$-409]* #,##0.00_ ;_-[$$-409]* \-#,##0.00\ ;_-[$$-409]* &quot;-&quot;??_ ;_-@_ "/>
      <border diagonalUp="0" diagonalDown="0">
        <left style="medium">
          <color indexed="64"/>
        </left>
        <right/>
        <top/>
        <bottom/>
        <vertical/>
        <horizontal/>
      </border>
    </dxf>
    <dxf>
      <numFmt numFmtId="0" formatCode="General"/>
    </dxf>
    <dxf>
      <border diagonalUp="0" diagonalDown="0" outline="0">
        <left/>
        <right style="thick">
          <color rgb="FFFF0000"/>
        </right>
        <top/>
        <bottom/>
      </border>
    </dxf>
    <dxf>
      <numFmt numFmtId="167" formatCode="0.0000"/>
      <border diagonalUp="0" diagonalDown="0">
        <left/>
        <right style="thick">
          <color rgb="FFFF0000"/>
        </right>
        <top/>
        <bottom/>
        <vertical/>
        <horizontal/>
      </border>
    </dxf>
    <dxf>
      <numFmt numFmtId="165" formatCode="_-[$$-409]* #,##0.00_ ;_-[$$-409]* \-#,##0.00\ ;_-[$$-409]* &quot;-&quot;??_ ;_-@_ "/>
    </dxf>
    <dxf>
      <border diagonalUp="0" diagonalDown="0" outline="0">
        <left style="thick">
          <color rgb="FFFF0000"/>
        </left>
        <right/>
        <top/>
        <bottom/>
      </border>
    </dxf>
    <dxf>
      <border diagonalUp="0" diagonalDown="0">
        <left style="thick">
          <color rgb="FFFF0000"/>
        </left>
        <right/>
        <top/>
        <bottom/>
        <vertical/>
        <horizontal/>
      </border>
    </dxf>
    <dxf>
      <border diagonalUp="0" diagonalDown="0" outline="0">
        <left style="thick">
          <color rgb="FFFF0000"/>
        </left>
        <right/>
        <top/>
        <bottom/>
      </border>
    </dxf>
    <dxf>
      <border diagonalUp="0" diagonalDown="0">
        <left style="thick">
          <color rgb="FFFF0000"/>
        </left>
        <right/>
        <top/>
        <bottom/>
        <vertical/>
        <horizontal/>
      </border>
    </dxf>
    <dxf>
      <border diagonalUp="0" diagonalDown="0" outline="0">
        <left/>
        <right style="thick">
          <color rgb="FF0070C0"/>
        </right>
        <top/>
        <bottom/>
      </border>
    </dxf>
    <dxf>
      <numFmt numFmtId="167" formatCode="0.0000"/>
      <border diagonalUp="0" diagonalDown="0">
        <left/>
        <right style="thick">
          <color rgb="FF0070C0"/>
        </right>
        <top/>
        <bottom/>
        <vertical/>
        <horizontal/>
      </border>
    </dxf>
    <dxf>
      <numFmt numFmtId="165" formatCode="_-[$$-409]* #,##0.00_ ;_-[$$-409]* \-#,##0.00\ ;_-[$$-409]* &quot;-&quot;??_ ;_-@_ "/>
    </dxf>
    <dxf>
      <border diagonalUp="0" diagonalDown="0" outline="0">
        <left style="thick">
          <color rgb="FF0070C0"/>
        </left>
        <right/>
        <top/>
        <bottom/>
      </border>
    </dxf>
    <dxf>
      <border diagonalUp="0" diagonalDown="0">
        <left style="thick">
          <color rgb="FF0070C0"/>
        </left>
        <right/>
        <top/>
        <bottom/>
        <vertical/>
        <horizontal/>
      </border>
    </dxf>
    <dxf>
      <border diagonalUp="0" diagonalDown="0" outline="0">
        <left/>
        <right style="thick">
          <color rgb="FF0070C0"/>
        </right>
        <top/>
        <bottom/>
      </border>
    </dxf>
    <dxf>
      <numFmt numFmtId="167" formatCode="0.0000"/>
      <border diagonalUp="0" diagonalDown="0">
        <left/>
        <right style="thick">
          <color rgb="FF0070C0"/>
        </right>
        <top/>
        <bottom/>
        <vertical/>
        <horizontal/>
      </border>
    </dxf>
    <dxf>
      <numFmt numFmtId="165" formatCode="_-[$$-409]* #,##0.00_ ;_-[$$-409]* \-#,##0.00\ ;_-[$$-409]* &quot;-&quot;??_ ;_-@_ "/>
    </dxf>
    <dxf>
      <numFmt numFmtId="167" formatCode="0.0000"/>
    </dxf>
    <dxf>
      <numFmt numFmtId="167" formatCode="0.0000"/>
    </dxf>
    <dxf>
      <border diagonalUp="0" diagonalDown="0" outline="0">
        <left style="thick">
          <color rgb="FF0070C0"/>
        </left>
        <right/>
        <top/>
        <bottom/>
      </border>
    </dxf>
    <dxf>
      <numFmt numFmtId="167" formatCode="0.0000"/>
      <border diagonalUp="0" diagonalDown="0">
        <left style="thick">
          <color rgb="FF0070C0"/>
        </left>
        <right/>
        <top/>
        <bottom/>
        <vertical/>
        <horizontal/>
      </border>
    </dxf>
    <dxf>
      <numFmt numFmtId="167" formatCode="0.0000"/>
    </dxf>
    <dxf>
      <border diagonalUp="0" diagonalDown="0" outline="0">
        <left/>
        <right style="thick">
          <color rgb="FF0070C0"/>
        </right>
        <top/>
        <bottom/>
      </border>
    </dxf>
    <dxf>
      <numFmt numFmtId="167" formatCode="0.0000"/>
      <border diagonalUp="0" diagonalDown="0">
        <left/>
        <right style="thick">
          <color rgb="FF0070C0"/>
        </right>
        <top/>
        <bottom/>
        <vertical/>
        <horizontal/>
      </border>
    </dxf>
    <dxf>
      <numFmt numFmtId="165" formatCode="_-[$$-409]* #,##0.00_ ;_-[$$-409]* \-#,##0.00\ ;_-[$$-409]* &quot;-&quot;??_ ;_-@_ "/>
    </dxf>
    <dxf>
      <border diagonalUp="0" diagonalDown="0" outline="0">
        <left style="thick">
          <color rgb="FF0070C0"/>
        </left>
        <right/>
        <top/>
        <bottom/>
      </border>
    </dxf>
    <dxf>
      <border diagonalUp="0" diagonalDown="0">
        <left style="thick">
          <color rgb="FF0070C0"/>
        </left>
        <right/>
        <top/>
        <bottom/>
        <vertical/>
        <horizontal/>
      </border>
    </dxf>
    <dxf>
      <numFmt numFmtId="167" formatCode="0.0000"/>
    </dxf>
    <dxf>
      <numFmt numFmtId="167" formatCode="0.0000"/>
    </dxf>
    <dxf>
      <numFmt numFmtId="165" formatCode="_-[$$-409]* #,##0.00_ ;_-[$$-409]* \-#,##0.00\ ;_-[$$-409]* &quot;-&quot;??_ ;_-@_ "/>
    </dxf>
    <dxf>
      <border diagonalUp="0" diagonalDown="0" outline="0">
        <left style="thick">
          <color rgb="FF0070C0"/>
        </left>
        <right/>
        <top/>
        <bottom/>
      </border>
    </dxf>
    <dxf>
      <border diagonalUp="0" diagonalDown="0">
        <left style="thick">
          <color rgb="FF0070C0"/>
        </left>
        <right/>
        <top/>
        <bottom/>
        <vertical/>
        <horizontal/>
      </border>
    </dxf>
    <dxf>
      <border outline="0">
        <right style="medium">
          <color indexed="64"/>
        </right>
      </border>
    </dxf>
    <dxf>
      <numFmt numFmtId="165" formatCode="_-[$$-409]* #,##0.00_ ;_-[$$-409]* \-#,##0.00\ ;_-[$$-409]* &quot;-&quot;??_ ;_-@_ "/>
    </dxf>
    <dxf>
      <numFmt numFmtId="165" formatCode="_-[$$-409]* #,##0.00_ ;_-[$$-409]* \-#,##0.00\ ;_-[$$-409]* &quot;-&quot;??_ ;_-@_ "/>
    </dxf>
    <dxf>
      <numFmt numFmtId="165" formatCode="_-[$$-409]* #,##0.00_ ;_-[$$-409]* \-#,##0.00\ ;_-[$$-409]* &quot;-&quot;??_ ;_-@_ "/>
    </dxf>
    <dxf>
      <numFmt numFmtId="165" formatCode="_-[$$-409]* #,##0.00_ ;_-[$$-409]* \-#,##0.00\ ;_-[$$-409]* &quot;-&quot;??_ ;_-@_ "/>
    </dxf>
    <dxf>
      <numFmt numFmtId="165" formatCode="_-[$$-409]* #,##0.00_ ;_-[$$-409]* \-#,##0.00\ ;_-[$$-409]* &quot;-&quot;??_ ;_-@_ "/>
    </dxf>
    <dxf>
      <numFmt numFmtId="165" formatCode="_-[$$-409]* #,##0.00_ ;_-[$$-409]* \-#,##0.00\ ;_-[$$-409]* &quot;-&quot;??_ ;_-@_ "/>
    </dxf>
    <dxf>
      <border outline="0">
        <left style="medium">
          <color rgb="FF000000"/>
        </left>
        <right style="medium">
          <color rgb="FF000000"/>
        </right>
      </border>
    </dxf>
    <dxf>
      <numFmt numFmtId="167" formatCode="0.0000"/>
    </dxf>
    <dxf>
      <numFmt numFmtId="167" formatCode="0.0000"/>
    </dxf>
    <dxf>
      <numFmt numFmtId="165" formatCode="_-[$$-409]* #,##0.00_ ;_-[$$-409]* \-#,##0.00\ ;_-[$$-409]* &quot;-&quot;??_ ;_-@_ "/>
    </dxf>
    <dxf>
      <numFmt numFmtId="0" formatCode="General"/>
    </dxf>
    <dxf>
      <border outline="0">
        <left style="thick">
          <color rgb="FFFF0000"/>
        </left>
        <right style="thick">
          <color rgb="FFFF0000"/>
        </right>
      </border>
    </dxf>
    <dxf>
      <numFmt numFmtId="167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7" formatCode="0.0000"/>
      <fill>
        <patternFill patternType="solid">
          <fgColor indexed="64"/>
          <bgColor theme="1"/>
        </patternFill>
      </fill>
    </dxf>
    <dxf>
      <numFmt numFmtId="167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_-[$$-409]* #,##0.00_ ;_-[$$-409]* \-#,##0.00\ ;_-[$$-409]* &quot;-&quot;??_ ;_-@_ "/>
      <fill>
        <patternFill patternType="solid">
          <fgColor indexed="64"/>
          <bgColor theme="1"/>
        </patternFill>
      </fill>
    </dxf>
    <dxf>
      <numFmt numFmtId="165" formatCode="_-[$$-409]* #,##0.00_ ;_-[$$-409]* \-#,##0.00\ ;_-[$$-409]* &quot;-&quot;??_ ;_-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 patternType="solid">
          <fgColor indexed="64"/>
          <bgColor theme="1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 patternType="solid">
          <fgColor indexed="64"/>
          <bgColor theme="1"/>
        </patternFill>
      </fill>
      <border diagonalUp="0" diagonalDown="0" outline="0">
        <left style="thick">
          <color rgb="FF0070C0"/>
        </left>
        <right/>
        <top/>
        <bottom/>
      </border>
    </dxf>
    <dxf>
      <numFmt numFmtId="0" formatCode="General"/>
    </dxf>
    <dxf>
      <border outline="0">
        <left style="thick">
          <color rgb="FF0070C0"/>
        </left>
        <right style="thick">
          <color rgb="FF0070C0"/>
        </right>
      </border>
    </dxf>
    <dxf>
      <numFmt numFmtId="167" formatCode="0.0000"/>
    </dxf>
    <dxf>
      <numFmt numFmtId="167" formatCode="0.0000"/>
    </dxf>
    <dxf>
      <numFmt numFmtId="165" formatCode="_-[$$-409]* #,##0.00_ ;_-[$$-409]* \-#,##0.00\ ;_-[$$-409]* &quot;-&quot;??_ ;_-@_ "/>
    </dxf>
    <dxf>
      <numFmt numFmtId="0" formatCode="General"/>
      <fill>
        <patternFill patternType="solid">
          <fgColor indexed="64"/>
          <bgColor theme="0"/>
        </patternFill>
      </fill>
    </dxf>
    <dxf>
      <numFmt numFmtId="0" formatCode="General"/>
    </dxf>
    <dxf>
      <border outline="0">
        <left style="thick">
          <color rgb="FF0070C0"/>
        </left>
        <right style="thick">
          <color rgb="FF0070C0"/>
        </right>
      </border>
    </dxf>
    <dxf>
      <numFmt numFmtId="167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7" formatCode="0.0000"/>
      <fill>
        <patternFill patternType="solid">
          <fgColor indexed="64"/>
          <bgColor theme="1"/>
        </patternFill>
      </fill>
    </dxf>
    <dxf>
      <numFmt numFmtId="167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_-[$$-409]* #,##0.00_ ;_-[$$-409]* \-#,##0.00\ ;_-[$$-409]* &quot;-&quot;??_ ;_-@_ "/>
      <fill>
        <patternFill patternType="solid">
          <fgColor indexed="64"/>
          <bgColor theme="1"/>
        </patternFill>
      </fill>
    </dxf>
    <dxf>
      <numFmt numFmtId="165" formatCode="_-[$$-409]* #,##0.00_ ;_-[$$-409]* \-#,##0.00\ ;_-[$$-409]* &quot;-&quot;??_ ;_-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 patternType="solid">
          <fgColor indexed="64"/>
          <bgColor theme="1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 patternType="solid">
          <fgColor indexed="64"/>
          <bgColor theme="1"/>
        </patternFill>
      </fill>
      <border diagonalUp="0" diagonalDown="0" outline="0">
        <left style="thick">
          <color rgb="FF0070C0"/>
        </left>
        <right/>
        <top/>
        <bottom/>
      </border>
    </dxf>
    <dxf>
      <numFmt numFmtId="0" formatCode="General"/>
      <border diagonalUp="0" diagonalDown="0">
        <left style="thick">
          <color rgb="FF0070C0"/>
        </left>
        <right/>
        <top/>
        <bottom/>
        <vertical/>
        <horizontal/>
      </border>
    </dxf>
    <dxf>
      <border outline="0">
        <right style="thick">
          <color rgb="FF0070C0"/>
        </right>
      </border>
    </dxf>
    <dxf>
      <numFmt numFmtId="167" formatCode="0.0000"/>
    </dxf>
    <dxf>
      <numFmt numFmtId="167" formatCode="0.0000"/>
    </dxf>
    <dxf>
      <numFmt numFmtId="165" formatCode="_-[$$-409]* #,##0.00_ ;_-[$$-409]* \-#,##0.00\ ;_-[$$-409]* &quot;-&quot;??_ ;_-@_ "/>
    </dxf>
    <dxf>
      <numFmt numFmtId="0" formatCode="General"/>
    </dxf>
    <dxf>
      <numFmt numFmtId="0" formatCode="General"/>
    </dxf>
    <dxf>
      <border outline="0">
        <left style="thick">
          <color rgb="FF0070C0"/>
        </left>
        <right style="thick">
          <color rgb="FF0070C0"/>
        </right>
      </border>
    </dxf>
    <dxf>
      <numFmt numFmtId="165" formatCode="_-[$$-409]* #,##0.00_ ;_-[$$-409]* \-#,##0.00\ ;_-[$$-409]* &quot;-&quot;??_ ;_-@_ "/>
    </dxf>
    <dxf>
      <numFmt numFmtId="165" formatCode="_-[$$-409]* #,##0.00_ ;_-[$$-409]* \-#,##0.00\ ;_-[$$-409]* &quot;-&quot;??_ ;_-@_ "/>
    </dxf>
    <dxf>
      <numFmt numFmtId="165" formatCode="_-[$$-409]* #,##0.00_ ;_-[$$-409]* \-#,##0.00\ ;_-[$$-409]* &quot;-&quot;??_ ;_-@_ "/>
    </dxf>
    <dxf>
      <numFmt numFmtId="165" formatCode="_-[$$-409]* #,##0.00_ ;_-[$$-409]* \-#,##0.00\ ;_-[$$-409]* &quot;-&quot;??_ ;_-@_ "/>
    </dxf>
    <dxf>
      <numFmt numFmtId="165" formatCode="_-[$$-409]* #,##0.00_ ;_-[$$-409]* \-#,##0.00\ ;_-[$$-409]* &quot;-&quot;??_ ;_-@_ "/>
    </dxf>
    <dxf>
      <numFmt numFmtId="165" formatCode="_-[$$-409]* #,##0.00_ ;_-[$$-409]* \-#,##0.00\ ;_-[$$-409]* &quot;-&quot;??_ ;_-@_ "/>
    </dxf>
    <dxf>
      <border outline="0">
        <left style="medium">
          <color rgb="FF000000"/>
        </left>
        <right style="medium">
          <color rgb="FF000000"/>
        </right>
      </border>
    </dxf>
    <dxf>
      <numFmt numFmtId="167" formatCode="0.0000"/>
    </dxf>
    <dxf>
      <numFmt numFmtId="167" formatCode="0.0000"/>
    </dxf>
    <dxf>
      <numFmt numFmtId="165" formatCode="_-[$$-409]* #,##0.00_ ;_-[$$-409]* \-#,##0.00\ ;_-[$$-409]* &quot;-&quot;??_ ;_-@_ "/>
    </dxf>
    <dxf>
      <numFmt numFmtId="0" formatCode="General"/>
    </dxf>
    <dxf>
      <border outline="0">
        <left style="thick">
          <color rgb="FFFF0000"/>
        </left>
        <right style="thick">
          <color rgb="FFFF0000"/>
        </right>
      </border>
    </dxf>
    <dxf>
      <numFmt numFmtId="167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7" formatCode="0.0000"/>
      <fill>
        <patternFill patternType="solid">
          <fgColor indexed="64"/>
          <bgColor theme="1"/>
        </patternFill>
      </fill>
    </dxf>
    <dxf>
      <numFmt numFmtId="167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_-[$$-409]* #,##0.00_ ;_-[$$-409]* \-#,##0.00\ ;_-[$$-409]* &quot;-&quot;??_ ;_-@_ "/>
      <fill>
        <patternFill patternType="solid">
          <fgColor indexed="64"/>
          <bgColor theme="1"/>
        </patternFill>
      </fill>
    </dxf>
    <dxf>
      <numFmt numFmtId="165" formatCode="_-[$$-409]* #,##0.00_ ;_-[$$-409]* \-#,##0.00\ ;_-[$$-409]* &quot;-&quot;??_ ;_-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 patternType="solid">
          <fgColor indexed="64"/>
          <bgColor theme="1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 patternType="solid">
          <fgColor indexed="64"/>
          <bgColor theme="1"/>
        </patternFill>
      </fill>
      <border diagonalUp="0" diagonalDown="0" outline="0">
        <left style="thick">
          <color rgb="FF0070C0"/>
        </left>
        <right/>
        <top/>
        <bottom/>
      </border>
    </dxf>
    <dxf>
      <numFmt numFmtId="0" formatCode="General"/>
    </dxf>
    <dxf>
      <border outline="0">
        <left style="thick">
          <color rgb="FF0070C0"/>
        </left>
        <right style="thick">
          <color rgb="FF0070C0"/>
        </right>
      </border>
    </dxf>
    <dxf>
      <numFmt numFmtId="167" formatCode="0.0000"/>
    </dxf>
    <dxf>
      <numFmt numFmtId="167" formatCode="0.0000"/>
    </dxf>
    <dxf>
      <numFmt numFmtId="165" formatCode="_-[$$-409]* #,##0.00_ ;_-[$$-409]* \-#,##0.00\ ;_-[$$-409]* &quot;-&quot;??_ ;_-@_ "/>
    </dxf>
    <dxf>
      <numFmt numFmtId="0" formatCode="General"/>
      <fill>
        <patternFill patternType="solid">
          <fgColor indexed="64"/>
          <bgColor theme="0"/>
        </patternFill>
      </fill>
    </dxf>
    <dxf>
      <numFmt numFmtId="0" formatCode="General"/>
    </dxf>
    <dxf>
      <border outline="0">
        <left style="thick">
          <color rgb="FF0070C0"/>
        </left>
        <right style="thick">
          <color rgb="FF0070C0"/>
        </right>
      </border>
    </dxf>
    <dxf>
      <numFmt numFmtId="167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7" formatCode="0.0000"/>
      <fill>
        <patternFill patternType="solid">
          <fgColor indexed="64"/>
          <bgColor theme="1"/>
        </patternFill>
      </fill>
    </dxf>
    <dxf>
      <numFmt numFmtId="167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_-[$$-409]* #,##0.00_ ;_-[$$-409]* \-#,##0.00\ ;_-[$$-409]* &quot;-&quot;??_ ;_-@_ "/>
      <fill>
        <patternFill patternType="solid">
          <fgColor indexed="64"/>
          <bgColor theme="1"/>
        </patternFill>
      </fill>
    </dxf>
    <dxf>
      <numFmt numFmtId="165" formatCode="_-[$$-409]* #,##0.00_ ;_-[$$-409]* \-#,##0.00\ ;_-[$$-409]* &quot;-&quot;??_ ;_-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 patternType="solid">
          <fgColor indexed="64"/>
          <bgColor theme="1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 patternType="solid">
          <fgColor indexed="64"/>
          <bgColor theme="1"/>
        </patternFill>
      </fill>
      <border diagonalUp="0" diagonalDown="0" outline="0">
        <left style="thick">
          <color rgb="FF0070C0"/>
        </left>
        <right/>
        <top/>
        <bottom/>
      </border>
    </dxf>
    <dxf>
      <numFmt numFmtId="0" formatCode="General"/>
      <border diagonalUp="0" diagonalDown="0">
        <left style="thick">
          <color rgb="FF0070C0"/>
        </left>
        <right/>
        <top/>
        <bottom/>
        <vertical/>
        <horizontal/>
      </border>
    </dxf>
    <dxf>
      <border outline="0">
        <right style="thick">
          <color rgb="FF0070C0"/>
        </right>
      </border>
    </dxf>
    <dxf>
      <numFmt numFmtId="167" formatCode="0.0000"/>
    </dxf>
    <dxf>
      <numFmt numFmtId="167" formatCode="0.0000"/>
    </dxf>
    <dxf>
      <numFmt numFmtId="165" formatCode="_-[$$-409]* #,##0.00_ ;_-[$$-409]* \-#,##0.00\ ;_-[$$-409]* &quot;-&quot;??_ ;_-@_ "/>
    </dxf>
    <dxf>
      <numFmt numFmtId="0" formatCode="General"/>
    </dxf>
    <dxf>
      <numFmt numFmtId="0" formatCode="General"/>
    </dxf>
    <dxf>
      <border outline="0">
        <left style="thick">
          <color rgb="FF0070C0"/>
        </left>
        <right style="thick">
          <color rgb="FF0070C0"/>
        </right>
      </border>
    </dxf>
    <dxf>
      <numFmt numFmtId="165" formatCode="_-[$$-409]* #,##0.00_ ;_-[$$-409]* \-#,##0.00\ ;_-[$$-409]* &quot;-&quot;??_ ;_-@_ "/>
    </dxf>
    <dxf>
      <numFmt numFmtId="165" formatCode="_-[$$-409]* #,##0.00_ ;_-[$$-409]* \-#,##0.00\ ;_-[$$-409]* &quot;-&quot;??_ ;_-@_ "/>
    </dxf>
    <dxf>
      <numFmt numFmtId="165" formatCode="_-[$$-409]* #,##0.00_ ;_-[$$-409]* \-#,##0.00\ ;_-[$$-409]* &quot;-&quot;??_ ;_-@_ "/>
    </dxf>
    <dxf>
      <numFmt numFmtId="165" formatCode="_-[$$-409]* #,##0.00_ ;_-[$$-409]* \-#,##0.00\ ;_-[$$-409]* &quot;-&quot;??_ ;_-@_ "/>
    </dxf>
    <dxf>
      <numFmt numFmtId="165" formatCode="_-[$$-409]* #,##0.00_ ;_-[$$-409]* \-#,##0.00\ ;_-[$$-409]* &quot;-&quot;??_ ;_-@_ "/>
    </dxf>
    <dxf>
      <numFmt numFmtId="165" formatCode="_-[$$-409]* #,##0.00_ ;_-[$$-409]* \-#,##0.00\ ;_-[$$-409]* &quot;-&quot;??_ ;_-@_ "/>
    </dxf>
    <dxf>
      <border outline="0">
        <left style="medium">
          <color rgb="FF000000"/>
        </left>
        <right style="medium">
          <color rgb="FF000000"/>
        </right>
      </border>
    </dxf>
    <dxf>
      <numFmt numFmtId="167" formatCode="0.0000"/>
    </dxf>
    <dxf>
      <numFmt numFmtId="167" formatCode="0.0000"/>
    </dxf>
    <dxf>
      <numFmt numFmtId="165" formatCode="_-[$$-409]* #,##0.00_ ;_-[$$-409]* \-#,##0.00\ ;_-[$$-409]* &quot;-&quot;??_ ;_-@_ "/>
    </dxf>
    <dxf>
      <numFmt numFmtId="0" formatCode="General"/>
    </dxf>
    <dxf>
      <border outline="0">
        <left style="thick">
          <color rgb="FFFF0000"/>
        </left>
        <right style="thick">
          <color rgb="FFFF0000"/>
        </right>
      </border>
    </dxf>
    <dxf>
      <numFmt numFmtId="167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7" formatCode="0.0000"/>
      <fill>
        <patternFill patternType="solid">
          <fgColor indexed="64"/>
          <bgColor theme="1"/>
        </patternFill>
      </fill>
    </dxf>
    <dxf>
      <numFmt numFmtId="167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_-[$$-409]* #,##0.00_ ;_-[$$-409]* \-#,##0.00\ ;_-[$$-409]* &quot;-&quot;??_ ;_-@_ "/>
      <fill>
        <patternFill patternType="solid">
          <fgColor indexed="64"/>
          <bgColor theme="1"/>
        </patternFill>
      </fill>
    </dxf>
    <dxf>
      <numFmt numFmtId="165" formatCode="_-[$$-409]* #,##0.00_ ;_-[$$-409]* \-#,##0.00\ ;_-[$$-409]* &quot;-&quot;??_ ;_-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 patternType="solid">
          <fgColor indexed="64"/>
          <bgColor theme="1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 patternType="solid">
          <fgColor indexed="64"/>
          <bgColor theme="1"/>
        </patternFill>
      </fill>
      <border diagonalUp="0" diagonalDown="0" outline="0">
        <left style="thick">
          <color rgb="FF0070C0"/>
        </left>
        <right/>
        <top/>
        <bottom/>
      </border>
    </dxf>
    <dxf>
      <numFmt numFmtId="0" formatCode="General"/>
    </dxf>
    <dxf>
      <border outline="0">
        <left style="thick">
          <color rgb="FF0070C0"/>
        </left>
        <right style="thick">
          <color rgb="FF0070C0"/>
        </right>
      </border>
    </dxf>
    <dxf>
      <numFmt numFmtId="167" formatCode="0.0000"/>
    </dxf>
    <dxf>
      <numFmt numFmtId="167" formatCode="0.0000"/>
    </dxf>
    <dxf>
      <numFmt numFmtId="165" formatCode="_-[$$-409]* #,##0.00_ ;_-[$$-409]* \-#,##0.00\ ;_-[$$-409]* &quot;-&quot;??_ ;_-@_ "/>
    </dxf>
    <dxf>
      <numFmt numFmtId="0" formatCode="General"/>
      <fill>
        <patternFill patternType="solid">
          <fgColor indexed="64"/>
          <bgColor theme="0"/>
        </patternFill>
      </fill>
    </dxf>
    <dxf>
      <numFmt numFmtId="0" formatCode="General"/>
    </dxf>
    <dxf>
      <border outline="0">
        <left style="thick">
          <color rgb="FF0070C0"/>
        </left>
        <right style="thick">
          <color rgb="FF0070C0"/>
        </right>
      </border>
    </dxf>
    <dxf>
      <numFmt numFmtId="167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7" formatCode="0.0000"/>
      <fill>
        <patternFill patternType="solid">
          <fgColor indexed="64"/>
          <bgColor theme="1"/>
        </patternFill>
      </fill>
    </dxf>
    <dxf>
      <numFmt numFmtId="167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_-[$$-409]* #,##0.00_ ;_-[$$-409]* \-#,##0.00\ ;_-[$$-409]* &quot;-&quot;??_ ;_-@_ "/>
      <fill>
        <patternFill patternType="solid">
          <fgColor indexed="64"/>
          <bgColor theme="1"/>
        </patternFill>
      </fill>
    </dxf>
    <dxf>
      <numFmt numFmtId="165" formatCode="_-[$$-409]* #,##0.00_ ;_-[$$-409]* \-#,##0.00\ ;_-[$$-409]* &quot;-&quot;??_ ;_-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 patternType="solid">
          <fgColor indexed="64"/>
          <bgColor theme="1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 patternType="solid">
          <fgColor indexed="64"/>
          <bgColor theme="1"/>
        </patternFill>
      </fill>
      <border diagonalUp="0" diagonalDown="0" outline="0">
        <left style="thick">
          <color rgb="FF0070C0"/>
        </left>
        <right/>
        <top/>
        <bottom/>
      </border>
    </dxf>
    <dxf>
      <numFmt numFmtId="0" formatCode="General"/>
      <border diagonalUp="0" diagonalDown="0">
        <left style="thick">
          <color rgb="FF0070C0"/>
        </left>
        <right/>
        <top/>
        <bottom/>
        <vertical/>
        <horizontal/>
      </border>
    </dxf>
    <dxf>
      <border outline="0">
        <right style="thick">
          <color rgb="FF0070C0"/>
        </right>
      </border>
    </dxf>
    <dxf>
      <numFmt numFmtId="167" formatCode="0.0000"/>
    </dxf>
    <dxf>
      <numFmt numFmtId="167" formatCode="0.0000"/>
    </dxf>
    <dxf>
      <numFmt numFmtId="165" formatCode="_-[$$-409]* #,##0.00_ ;_-[$$-409]* \-#,##0.00\ ;_-[$$-409]* &quot;-&quot;??_ ;_-@_ "/>
    </dxf>
    <dxf>
      <numFmt numFmtId="0" formatCode="General"/>
    </dxf>
    <dxf>
      <numFmt numFmtId="0" formatCode="General"/>
    </dxf>
    <dxf>
      <border outline="0">
        <left style="thick">
          <color rgb="FF0070C0"/>
        </left>
        <right style="thick">
          <color rgb="FF0070C0"/>
        </right>
      </border>
    </dxf>
    <dxf>
      <numFmt numFmtId="165" formatCode="_-[$$-409]* #,##0.00_ ;_-[$$-409]* \-#,##0.00\ ;_-[$$-409]* &quot;-&quot;??_ ;_-@_ "/>
    </dxf>
    <dxf>
      <numFmt numFmtId="165" formatCode="_-[$$-409]* #,##0.00_ ;_-[$$-409]* \-#,##0.00\ ;_-[$$-409]* &quot;-&quot;??_ ;_-@_ "/>
    </dxf>
    <dxf>
      <numFmt numFmtId="165" formatCode="_-[$$-409]* #,##0.00_ ;_-[$$-409]* \-#,##0.00\ ;_-[$$-409]* &quot;-&quot;??_ ;_-@_ "/>
    </dxf>
    <dxf>
      <numFmt numFmtId="165" formatCode="_-[$$-409]* #,##0.00_ ;_-[$$-409]* \-#,##0.00\ ;_-[$$-409]* &quot;-&quot;??_ ;_-@_ "/>
    </dxf>
    <dxf>
      <numFmt numFmtId="165" formatCode="_-[$$-409]* #,##0.00_ ;_-[$$-409]* \-#,##0.00\ ;_-[$$-409]* &quot;-&quot;??_ ;_-@_ "/>
    </dxf>
    <dxf>
      <numFmt numFmtId="165" formatCode="_-[$$-409]* #,##0.00_ ;_-[$$-409]* \-#,##0.00\ ;_-[$$-409]* &quot;-&quot;??_ ;_-@_ "/>
    </dxf>
    <dxf>
      <border outline="0">
        <left style="medium">
          <color rgb="FF000000"/>
        </left>
        <right style="medium">
          <color rgb="FF000000"/>
        </right>
      </border>
    </dxf>
    <dxf>
      <numFmt numFmtId="167" formatCode="0.0000"/>
    </dxf>
    <dxf>
      <numFmt numFmtId="167" formatCode="0.0000"/>
    </dxf>
    <dxf>
      <numFmt numFmtId="165" formatCode="_-[$$-409]* #,##0.00_ ;_-[$$-409]* \-#,##0.00\ ;_-[$$-409]* &quot;-&quot;??_ ;_-@_ "/>
    </dxf>
    <dxf>
      <numFmt numFmtId="0" formatCode="General"/>
    </dxf>
    <dxf>
      <border outline="0">
        <left style="thick">
          <color rgb="FFFF0000"/>
        </left>
        <right style="thick">
          <color rgb="FFFF0000"/>
        </right>
      </border>
    </dxf>
    <dxf>
      <numFmt numFmtId="167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7" formatCode="0.0000"/>
      <fill>
        <patternFill patternType="solid">
          <fgColor indexed="64"/>
          <bgColor theme="1"/>
        </patternFill>
      </fill>
    </dxf>
    <dxf>
      <numFmt numFmtId="167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_-[$$-409]* #,##0.00_ ;_-[$$-409]* \-#,##0.00\ ;_-[$$-409]* &quot;-&quot;??_ ;_-@_ "/>
      <fill>
        <patternFill patternType="solid">
          <fgColor indexed="64"/>
          <bgColor theme="1"/>
        </patternFill>
      </fill>
    </dxf>
    <dxf>
      <numFmt numFmtId="165" formatCode="_-[$$-409]* #,##0.00_ ;_-[$$-409]* \-#,##0.00\ ;_-[$$-409]* &quot;-&quot;??_ ;_-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 patternType="solid">
          <fgColor indexed="64"/>
          <bgColor theme="1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 patternType="solid">
          <fgColor indexed="64"/>
          <bgColor theme="1"/>
        </patternFill>
      </fill>
      <border diagonalUp="0" diagonalDown="0" outline="0">
        <left style="thick">
          <color rgb="FF0070C0"/>
        </left>
        <right/>
        <top/>
        <bottom/>
      </border>
    </dxf>
    <dxf>
      <numFmt numFmtId="0" formatCode="General"/>
    </dxf>
    <dxf>
      <border outline="0">
        <left style="thick">
          <color rgb="FF0070C0"/>
        </left>
        <right style="thick">
          <color rgb="FF0070C0"/>
        </right>
      </border>
    </dxf>
    <dxf>
      <numFmt numFmtId="167" formatCode="0.0000"/>
    </dxf>
    <dxf>
      <numFmt numFmtId="167" formatCode="0.0000"/>
    </dxf>
    <dxf>
      <numFmt numFmtId="165" formatCode="_-[$$-409]* #,##0.00_ ;_-[$$-409]* \-#,##0.00\ ;_-[$$-409]* &quot;-&quot;??_ ;_-@_ "/>
    </dxf>
    <dxf>
      <numFmt numFmtId="0" formatCode="General"/>
      <fill>
        <patternFill patternType="solid">
          <fgColor indexed="64"/>
          <bgColor theme="0"/>
        </patternFill>
      </fill>
    </dxf>
    <dxf>
      <numFmt numFmtId="0" formatCode="General"/>
    </dxf>
    <dxf>
      <border outline="0">
        <left style="thick">
          <color rgb="FF0070C0"/>
        </left>
        <right style="thick">
          <color rgb="FF0070C0"/>
        </right>
      </border>
    </dxf>
    <dxf>
      <numFmt numFmtId="167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7" formatCode="0.0000"/>
      <fill>
        <patternFill patternType="solid">
          <fgColor indexed="64"/>
          <bgColor theme="1"/>
        </patternFill>
      </fill>
    </dxf>
    <dxf>
      <numFmt numFmtId="167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_-[$$-409]* #,##0.00_ ;_-[$$-409]* \-#,##0.00\ ;_-[$$-409]* &quot;-&quot;??_ ;_-@_ "/>
      <fill>
        <patternFill patternType="solid">
          <fgColor indexed="64"/>
          <bgColor theme="1"/>
        </patternFill>
      </fill>
    </dxf>
    <dxf>
      <numFmt numFmtId="165" formatCode="_-[$$-409]* #,##0.00_ ;_-[$$-409]* \-#,##0.00\ ;_-[$$-409]* &quot;-&quot;??_ ;_-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 patternType="solid">
          <fgColor indexed="64"/>
          <bgColor theme="1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 patternType="solid">
          <fgColor indexed="64"/>
          <bgColor theme="1"/>
        </patternFill>
      </fill>
      <border diagonalUp="0" diagonalDown="0" outline="0">
        <left style="thick">
          <color rgb="FF0070C0"/>
        </left>
        <right/>
        <top/>
        <bottom/>
      </border>
    </dxf>
    <dxf>
      <numFmt numFmtId="0" formatCode="General"/>
      <border diagonalUp="0" diagonalDown="0">
        <left style="thick">
          <color rgb="FF0070C0"/>
        </left>
        <right/>
        <top/>
        <bottom/>
        <vertical/>
        <horizontal/>
      </border>
    </dxf>
    <dxf>
      <border outline="0">
        <right style="thick">
          <color rgb="FF0070C0"/>
        </right>
      </border>
    </dxf>
    <dxf>
      <numFmt numFmtId="167" formatCode="0.0000"/>
    </dxf>
    <dxf>
      <numFmt numFmtId="167" formatCode="0.0000"/>
    </dxf>
    <dxf>
      <numFmt numFmtId="165" formatCode="_-[$$-409]* #,##0.00_ ;_-[$$-409]* \-#,##0.00\ ;_-[$$-409]* &quot;-&quot;??_ ;_-@_ "/>
    </dxf>
    <dxf>
      <numFmt numFmtId="0" formatCode="General"/>
    </dxf>
    <dxf>
      <numFmt numFmtId="0" formatCode="General"/>
    </dxf>
    <dxf>
      <border outline="0">
        <left style="thick">
          <color rgb="FF0070C0"/>
        </left>
        <right style="thick">
          <color rgb="FF0070C0"/>
        </right>
      </border>
    </dxf>
    <dxf>
      <numFmt numFmtId="165" formatCode="_-[$$-409]* #,##0.00_ ;_-[$$-409]* \-#,##0.00\ ;_-[$$-409]* &quot;-&quot;??_ ;_-@_ "/>
    </dxf>
    <dxf>
      <numFmt numFmtId="165" formatCode="_-[$$-409]* #,##0.00_ ;_-[$$-409]* \-#,##0.00\ ;_-[$$-409]* &quot;-&quot;??_ ;_-@_ "/>
    </dxf>
    <dxf>
      <numFmt numFmtId="165" formatCode="_-[$$-409]* #,##0.00_ ;_-[$$-409]* \-#,##0.00\ ;_-[$$-409]* &quot;-&quot;??_ ;_-@_ "/>
    </dxf>
    <dxf>
      <numFmt numFmtId="165" formatCode="_-[$$-409]* #,##0.00_ ;_-[$$-409]* \-#,##0.00\ ;_-[$$-409]* &quot;-&quot;??_ ;_-@_ "/>
    </dxf>
    <dxf>
      <numFmt numFmtId="165" formatCode="_-[$$-409]* #,##0.00_ ;_-[$$-409]* \-#,##0.00\ ;_-[$$-409]* &quot;-&quot;??_ ;_-@_ "/>
    </dxf>
    <dxf>
      <numFmt numFmtId="165" formatCode="_-[$$-409]* #,##0.00_ ;_-[$$-409]* \-#,##0.00\ ;_-[$$-409]* &quot;-&quot;??_ ;_-@_ "/>
    </dxf>
    <dxf>
      <border outline="0">
        <left style="medium">
          <color rgb="FF000000"/>
        </left>
        <right style="medium">
          <color rgb="FF000000"/>
        </right>
      </border>
    </dxf>
    <dxf>
      <numFmt numFmtId="167" formatCode="0.0000"/>
    </dxf>
    <dxf>
      <numFmt numFmtId="167" formatCode="0.0000"/>
    </dxf>
    <dxf>
      <numFmt numFmtId="165" formatCode="_-[$$-409]* #,##0.00_ ;_-[$$-409]* \-#,##0.00\ ;_-[$$-409]* &quot;-&quot;??_ ;_-@_ "/>
    </dxf>
    <dxf>
      <numFmt numFmtId="0" formatCode="General"/>
    </dxf>
    <dxf>
      <border outline="0">
        <left style="thick">
          <color rgb="FFFF0000"/>
        </left>
        <right style="thick">
          <color rgb="FFFF0000"/>
        </right>
      </border>
    </dxf>
    <dxf>
      <numFmt numFmtId="167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7" formatCode="0.0000"/>
      <fill>
        <patternFill patternType="solid">
          <fgColor indexed="64"/>
          <bgColor theme="1"/>
        </patternFill>
      </fill>
    </dxf>
    <dxf>
      <numFmt numFmtId="167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_-[$$-409]* #,##0.00_ ;_-[$$-409]* \-#,##0.00\ ;_-[$$-409]* &quot;-&quot;??_ ;_-@_ "/>
      <fill>
        <patternFill patternType="solid">
          <fgColor indexed="64"/>
          <bgColor theme="1"/>
        </patternFill>
      </fill>
    </dxf>
    <dxf>
      <numFmt numFmtId="165" formatCode="_-[$$-409]* #,##0.00_ ;_-[$$-409]* \-#,##0.00\ ;_-[$$-409]* &quot;-&quot;??_ ;_-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 patternType="solid">
          <fgColor indexed="64"/>
          <bgColor theme="1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 patternType="solid">
          <fgColor indexed="64"/>
          <bgColor theme="1"/>
        </patternFill>
      </fill>
      <border diagonalUp="0" diagonalDown="0" outline="0">
        <left style="thick">
          <color rgb="FF0070C0"/>
        </left>
        <right/>
        <top/>
        <bottom/>
      </border>
    </dxf>
    <dxf>
      <numFmt numFmtId="0" formatCode="General"/>
    </dxf>
    <dxf>
      <border outline="0">
        <left style="thick">
          <color rgb="FF0070C0"/>
        </left>
        <right style="thick">
          <color rgb="FF0070C0"/>
        </right>
      </border>
    </dxf>
    <dxf>
      <numFmt numFmtId="167" formatCode="0.0000"/>
    </dxf>
    <dxf>
      <numFmt numFmtId="167" formatCode="0.0000"/>
    </dxf>
    <dxf>
      <numFmt numFmtId="165" formatCode="_-[$$-409]* #,##0.00_ ;_-[$$-409]* \-#,##0.00\ ;_-[$$-409]* &quot;-&quot;??_ ;_-@_ "/>
    </dxf>
    <dxf>
      <numFmt numFmtId="0" formatCode="General"/>
      <fill>
        <patternFill patternType="solid">
          <fgColor indexed="64"/>
          <bgColor theme="0"/>
        </patternFill>
      </fill>
    </dxf>
    <dxf>
      <numFmt numFmtId="0" formatCode="General"/>
    </dxf>
    <dxf>
      <border outline="0">
        <left style="thick">
          <color rgb="FF0070C0"/>
        </left>
        <right style="thick">
          <color rgb="FF0070C0"/>
        </right>
      </border>
    </dxf>
    <dxf>
      <numFmt numFmtId="167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7" formatCode="0.0000"/>
      <fill>
        <patternFill patternType="solid">
          <fgColor indexed="64"/>
          <bgColor theme="1"/>
        </patternFill>
      </fill>
    </dxf>
    <dxf>
      <numFmt numFmtId="167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_-[$$-409]* #,##0.00_ ;_-[$$-409]* \-#,##0.00\ ;_-[$$-409]* &quot;-&quot;??_ ;_-@_ "/>
      <fill>
        <patternFill patternType="solid">
          <fgColor indexed="64"/>
          <bgColor theme="1"/>
        </patternFill>
      </fill>
    </dxf>
    <dxf>
      <numFmt numFmtId="165" formatCode="_-[$$-409]* #,##0.00_ ;_-[$$-409]* \-#,##0.00\ ;_-[$$-409]* &quot;-&quot;??_ ;_-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 patternType="solid">
          <fgColor indexed="64"/>
          <bgColor theme="1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 patternType="solid">
          <fgColor indexed="64"/>
          <bgColor theme="1"/>
        </patternFill>
      </fill>
      <border diagonalUp="0" diagonalDown="0" outline="0">
        <left style="thick">
          <color rgb="FF0070C0"/>
        </left>
        <right/>
        <top/>
        <bottom/>
      </border>
    </dxf>
    <dxf>
      <numFmt numFmtId="0" formatCode="General"/>
      <border diagonalUp="0" diagonalDown="0">
        <left style="thick">
          <color rgb="FF0070C0"/>
        </left>
        <right/>
        <top/>
        <bottom/>
        <vertical/>
        <horizontal/>
      </border>
    </dxf>
    <dxf>
      <border outline="0">
        <right style="thick">
          <color rgb="FF0070C0"/>
        </right>
      </border>
    </dxf>
    <dxf>
      <numFmt numFmtId="167" formatCode="0.0000"/>
    </dxf>
    <dxf>
      <numFmt numFmtId="167" formatCode="0.0000"/>
    </dxf>
    <dxf>
      <numFmt numFmtId="165" formatCode="_-[$$-409]* #,##0.00_ ;_-[$$-409]* \-#,##0.00\ ;_-[$$-409]* &quot;-&quot;??_ ;_-@_ "/>
    </dxf>
    <dxf>
      <numFmt numFmtId="0" formatCode="General"/>
    </dxf>
    <dxf>
      <numFmt numFmtId="0" formatCode="General"/>
    </dxf>
    <dxf>
      <border outline="0">
        <left style="thick">
          <color rgb="FF0070C0"/>
        </left>
        <right style="thick">
          <color rgb="FF0070C0"/>
        </right>
      </border>
    </dxf>
    <dxf>
      <numFmt numFmtId="165" formatCode="_-[$$-409]* #,##0.00_ ;_-[$$-409]* \-#,##0.00\ ;_-[$$-409]* &quot;-&quot;??_ ;_-@_ "/>
    </dxf>
    <dxf>
      <numFmt numFmtId="165" formatCode="_-[$$-409]* #,##0.00_ ;_-[$$-409]* \-#,##0.00\ ;_-[$$-409]* &quot;-&quot;??_ ;_-@_ "/>
    </dxf>
    <dxf>
      <numFmt numFmtId="165" formatCode="_-[$$-409]* #,##0.00_ ;_-[$$-409]* \-#,##0.00\ ;_-[$$-409]* &quot;-&quot;??_ ;_-@_ "/>
    </dxf>
    <dxf>
      <numFmt numFmtId="165" formatCode="_-[$$-409]* #,##0.00_ ;_-[$$-409]* \-#,##0.00\ ;_-[$$-409]* &quot;-&quot;??_ ;_-@_ "/>
    </dxf>
    <dxf>
      <numFmt numFmtId="165" formatCode="_-[$$-409]* #,##0.00_ ;_-[$$-409]* \-#,##0.00\ ;_-[$$-409]* &quot;-&quot;??_ ;_-@_ "/>
    </dxf>
    <dxf>
      <numFmt numFmtId="165" formatCode="_-[$$-409]* #,##0.00_ ;_-[$$-409]* \-#,##0.00\ ;_-[$$-409]* &quot;-&quot;??_ ;_-@_ "/>
    </dxf>
    <dxf>
      <border outline="0">
        <left style="medium">
          <color rgb="FF000000"/>
        </left>
        <right style="medium">
          <color rgb="FF000000"/>
        </right>
      </border>
    </dxf>
    <dxf>
      <numFmt numFmtId="167" formatCode="0.0000"/>
    </dxf>
    <dxf>
      <numFmt numFmtId="167" formatCode="0.0000"/>
    </dxf>
    <dxf>
      <numFmt numFmtId="165" formatCode="_-[$$-409]* #,##0.00_ ;_-[$$-409]* \-#,##0.00\ ;_-[$$-409]* &quot;-&quot;??_ ;_-@_ "/>
    </dxf>
    <dxf>
      <numFmt numFmtId="0" formatCode="General"/>
    </dxf>
    <dxf>
      <border outline="0">
        <left style="thick">
          <color rgb="FFFF0000"/>
        </left>
        <right style="thick">
          <color rgb="FFFF0000"/>
        </right>
      </border>
    </dxf>
    <dxf>
      <numFmt numFmtId="167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7" formatCode="0.0000"/>
      <fill>
        <patternFill patternType="solid">
          <fgColor indexed="64"/>
          <bgColor theme="1"/>
        </patternFill>
      </fill>
    </dxf>
    <dxf>
      <numFmt numFmtId="167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_-[$$-409]* #,##0.00_ ;_-[$$-409]* \-#,##0.00\ ;_-[$$-409]* &quot;-&quot;??_ ;_-@_ "/>
      <fill>
        <patternFill patternType="solid">
          <fgColor indexed="64"/>
          <bgColor theme="1"/>
        </patternFill>
      </fill>
    </dxf>
    <dxf>
      <numFmt numFmtId="165" formatCode="_-[$$-409]* #,##0.00_ ;_-[$$-409]* \-#,##0.00\ ;_-[$$-409]* &quot;-&quot;??_ ;_-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 patternType="solid">
          <fgColor indexed="64"/>
          <bgColor theme="1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 patternType="solid">
          <fgColor indexed="64"/>
          <bgColor theme="1"/>
        </patternFill>
      </fill>
      <border diagonalUp="0" diagonalDown="0" outline="0">
        <left style="thick">
          <color rgb="FF0070C0"/>
        </left>
        <right/>
        <top/>
        <bottom/>
      </border>
    </dxf>
    <dxf>
      <numFmt numFmtId="0" formatCode="General"/>
    </dxf>
    <dxf>
      <border outline="0">
        <left style="thick">
          <color rgb="FF0070C0"/>
        </left>
        <right style="thick">
          <color rgb="FF0070C0"/>
        </right>
      </border>
    </dxf>
    <dxf>
      <numFmt numFmtId="167" formatCode="0.0000"/>
    </dxf>
    <dxf>
      <numFmt numFmtId="167" formatCode="0.0000"/>
    </dxf>
    <dxf>
      <numFmt numFmtId="165" formatCode="_-[$$-409]* #,##0.00_ ;_-[$$-409]* \-#,##0.00\ ;_-[$$-409]* &quot;-&quot;??_ ;_-@_ "/>
    </dxf>
    <dxf>
      <numFmt numFmtId="0" formatCode="General"/>
      <fill>
        <patternFill patternType="solid">
          <fgColor indexed="64"/>
          <bgColor theme="0"/>
        </patternFill>
      </fill>
    </dxf>
    <dxf>
      <numFmt numFmtId="0" formatCode="General"/>
    </dxf>
    <dxf>
      <border outline="0">
        <left style="thick">
          <color rgb="FF0070C0"/>
        </left>
        <right style="thick">
          <color rgb="FF0070C0"/>
        </right>
      </border>
    </dxf>
    <dxf>
      <numFmt numFmtId="167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7" formatCode="0.0000"/>
      <fill>
        <patternFill patternType="solid">
          <fgColor indexed="64"/>
          <bgColor theme="1"/>
        </patternFill>
      </fill>
    </dxf>
    <dxf>
      <numFmt numFmtId="167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_-[$$-409]* #,##0.00_ ;_-[$$-409]* \-#,##0.00\ ;_-[$$-409]* &quot;-&quot;??_ ;_-@_ "/>
      <fill>
        <patternFill patternType="solid">
          <fgColor indexed="64"/>
          <bgColor theme="1"/>
        </patternFill>
      </fill>
    </dxf>
    <dxf>
      <numFmt numFmtId="165" formatCode="_-[$$-409]* #,##0.00_ ;_-[$$-409]* \-#,##0.00\ ;_-[$$-409]* &quot;-&quot;??_ ;_-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 patternType="solid">
          <fgColor indexed="64"/>
          <bgColor theme="1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 patternType="solid">
          <fgColor indexed="64"/>
          <bgColor theme="1"/>
        </patternFill>
      </fill>
      <border diagonalUp="0" diagonalDown="0" outline="0">
        <left style="thick">
          <color rgb="FF0070C0"/>
        </left>
        <right/>
        <top/>
        <bottom/>
      </border>
    </dxf>
    <dxf>
      <numFmt numFmtId="0" formatCode="General"/>
      <border diagonalUp="0" diagonalDown="0">
        <left style="thick">
          <color rgb="FF0070C0"/>
        </left>
        <right/>
        <top/>
        <bottom/>
        <vertical/>
        <horizontal/>
      </border>
    </dxf>
    <dxf>
      <border outline="0">
        <right style="thick">
          <color rgb="FF0070C0"/>
        </right>
      </border>
    </dxf>
    <dxf>
      <numFmt numFmtId="167" formatCode="0.0000"/>
    </dxf>
    <dxf>
      <numFmt numFmtId="167" formatCode="0.0000"/>
    </dxf>
    <dxf>
      <numFmt numFmtId="165" formatCode="_-[$$-409]* #,##0.00_ ;_-[$$-409]* \-#,##0.00\ ;_-[$$-409]* &quot;-&quot;??_ ;_-@_ "/>
    </dxf>
    <dxf>
      <numFmt numFmtId="0" formatCode="General"/>
    </dxf>
    <dxf>
      <numFmt numFmtId="0" formatCode="General"/>
    </dxf>
    <dxf>
      <border outline="0">
        <left style="thick">
          <color rgb="FF0070C0"/>
        </left>
        <right style="thick">
          <color rgb="FF0070C0"/>
        </right>
      </border>
    </dxf>
    <dxf>
      <numFmt numFmtId="165" formatCode="_-[$$-409]* #,##0.00_ ;_-[$$-409]* \-#,##0.00\ ;_-[$$-409]* &quot;-&quot;??_ ;_-@_ "/>
    </dxf>
    <dxf>
      <numFmt numFmtId="165" formatCode="_-[$$-409]* #,##0.00_ ;_-[$$-409]* \-#,##0.00\ ;_-[$$-409]* &quot;-&quot;??_ ;_-@_ "/>
    </dxf>
    <dxf>
      <numFmt numFmtId="165" formatCode="_-[$$-409]* #,##0.00_ ;_-[$$-409]* \-#,##0.00\ ;_-[$$-409]* &quot;-&quot;??_ ;_-@_ "/>
    </dxf>
    <dxf>
      <numFmt numFmtId="165" formatCode="_-[$$-409]* #,##0.00_ ;_-[$$-409]* \-#,##0.00\ ;_-[$$-409]* &quot;-&quot;??_ ;_-@_ "/>
    </dxf>
    <dxf>
      <numFmt numFmtId="165" formatCode="_-[$$-409]* #,##0.00_ ;_-[$$-409]* \-#,##0.00\ ;_-[$$-409]* &quot;-&quot;??_ ;_-@_ "/>
    </dxf>
    <dxf>
      <numFmt numFmtId="165" formatCode="_-[$$-409]* #,##0.00_ ;_-[$$-409]* \-#,##0.00\ ;_-[$$-409]* &quot;-&quot;??_ ;_-@_ "/>
    </dxf>
    <dxf>
      <border outline="0">
        <left style="medium">
          <color rgb="FF000000"/>
        </left>
        <right style="medium">
          <color rgb="FF000000"/>
        </right>
      </border>
    </dxf>
    <dxf>
      <numFmt numFmtId="167" formatCode="0.0000"/>
    </dxf>
    <dxf>
      <numFmt numFmtId="167" formatCode="0.0000"/>
    </dxf>
    <dxf>
      <numFmt numFmtId="165" formatCode="_-[$$-409]* #,##0.00_ ;_-[$$-409]* \-#,##0.00\ ;_-[$$-409]* &quot;-&quot;??_ ;_-@_ "/>
    </dxf>
    <dxf>
      <numFmt numFmtId="0" formatCode="General"/>
    </dxf>
    <dxf>
      <border outline="0">
        <left style="thick">
          <color rgb="FFFF0000"/>
        </left>
        <right style="thick">
          <color rgb="FFFF0000"/>
        </right>
      </border>
    </dxf>
    <dxf>
      <numFmt numFmtId="167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7" formatCode="0.0000"/>
      <fill>
        <patternFill patternType="solid">
          <fgColor indexed="64"/>
          <bgColor theme="1"/>
        </patternFill>
      </fill>
    </dxf>
    <dxf>
      <numFmt numFmtId="167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_-[$$-409]* #,##0.00_ ;_-[$$-409]* \-#,##0.00\ ;_-[$$-409]* &quot;-&quot;??_ ;_-@_ "/>
      <fill>
        <patternFill patternType="solid">
          <fgColor indexed="64"/>
          <bgColor theme="1"/>
        </patternFill>
      </fill>
    </dxf>
    <dxf>
      <numFmt numFmtId="165" formatCode="_-[$$-409]* #,##0.00_ ;_-[$$-409]* \-#,##0.00\ ;_-[$$-409]* &quot;-&quot;??_ ;_-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 patternType="solid">
          <fgColor indexed="64"/>
          <bgColor theme="1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 patternType="solid">
          <fgColor indexed="64"/>
          <bgColor theme="1"/>
        </patternFill>
      </fill>
      <border diagonalUp="0" diagonalDown="0" outline="0">
        <left style="thick">
          <color rgb="FF0070C0"/>
        </left>
        <right/>
        <top/>
        <bottom/>
      </border>
    </dxf>
    <dxf>
      <numFmt numFmtId="0" formatCode="General"/>
    </dxf>
    <dxf>
      <border outline="0">
        <left style="thick">
          <color rgb="FF0070C0"/>
        </left>
        <right style="thick">
          <color rgb="FF0070C0"/>
        </right>
      </border>
    </dxf>
    <dxf>
      <numFmt numFmtId="167" formatCode="0.0000"/>
    </dxf>
    <dxf>
      <numFmt numFmtId="167" formatCode="0.0000"/>
    </dxf>
    <dxf>
      <numFmt numFmtId="165" formatCode="_-[$$-409]* #,##0.00_ ;_-[$$-409]* \-#,##0.00\ ;_-[$$-409]* &quot;-&quot;??_ ;_-@_ "/>
    </dxf>
    <dxf>
      <numFmt numFmtId="0" formatCode="General"/>
      <fill>
        <patternFill patternType="solid">
          <fgColor indexed="64"/>
          <bgColor theme="0"/>
        </patternFill>
      </fill>
    </dxf>
    <dxf>
      <numFmt numFmtId="0" formatCode="General"/>
    </dxf>
    <dxf>
      <border outline="0">
        <left style="thick">
          <color rgb="FF0070C0"/>
        </left>
        <right style="thick">
          <color rgb="FF0070C0"/>
        </right>
      </border>
    </dxf>
    <dxf>
      <numFmt numFmtId="167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7" formatCode="0.0000"/>
      <fill>
        <patternFill patternType="solid">
          <fgColor indexed="64"/>
          <bgColor theme="1"/>
        </patternFill>
      </fill>
    </dxf>
    <dxf>
      <numFmt numFmtId="167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_-[$$-409]* #,##0.00_ ;_-[$$-409]* \-#,##0.00\ ;_-[$$-409]* &quot;-&quot;??_ ;_-@_ "/>
      <fill>
        <patternFill patternType="solid">
          <fgColor indexed="64"/>
          <bgColor theme="1"/>
        </patternFill>
      </fill>
    </dxf>
    <dxf>
      <numFmt numFmtId="165" formatCode="_-[$$-409]* #,##0.00_ ;_-[$$-409]* \-#,##0.00\ ;_-[$$-409]* &quot;-&quot;??_ ;_-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 patternType="solid">
          <fgColor indexed="64"/>
          <bgColor theme="1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 patternType="solid">
          <fgColor indexed="64"/>
          <bgColor theme="1"/>
        </patternFill>
      </fill>
      <border diagonalUp="0" diagonalDown="0" outline="0">
        <left style="thick">
          <color rgb="FF0070C0"/>
        </left>
        <right/>
        <top/>
        <bottom/>
      </border>
    </dxf>
    <dxf>
      <numFmt numFmtId="0" formatCode="General"/>
      <border diagonalUp="0" diagonalDown="0">
        <left style="thick">
          <color rgb="FF0070C0"/>
        </left>
        <right/>
        <top/>
        <bottom/>
        <vertical/>
        <horizontal/>
      </border>
    </dxf>
    <dxf>
      <border outline="0">
        <right style="thick">
          <color rgb="FF0070C0"/>
        </right>
      </border>
    </dxf>
    <dxf>
      <numFmt numFmtId="167" formatCode="0.0000"/>
    </dxf>
    <dxf>
      <numFmt numFmtId="167" formatCode="0.0000"/>
    </dxf>
    <dxf>
      <numFmt numFmtId="165" formatCode="_-[$$-409]* #,##0.00_ ;_-[$$-409]* \-#,##0.00\ ;_-[$$-409]* &quot;-&quot;??_ ;_-@_ "/>
    </dxf>
    <dxf>
      <numFmt numFmtId="0" formatCode="General"/>
    </dxf>
    <dxf>
      <numFmt numFmtId="0" formatCode="General"/>
    </dxf>
    <dxf>
      <border outline="0">
        <left style="thick">
          <color rgb="FF0070C0"/>
        </left>
        <right style="thick">
          <color rgb="FF0070C0"/>
        </right>
      </border>
    </dxf>
    <dxf>
      <numFmt numFmtId="165" formatCode="_-[$$-409]* #,##0.00_ ;_-[$$-409]* \-#,##0.00\ ;_-[$$-409]* &quot;-&quot;??_ ;_-@_ "/>
    </dxf>
    <dxf>
      <numFmt numFmtId="165" formatCode="_-[$$-409]* #,##0.00_ ;_-[$$-409]* \-#,##0.00\ ;_-[$$-409]* &quot;-&quot;??_ ;_-@_ "/>
    </dxf>
    <dxf>
      <numFmt numFmtId="165" formatCode="_-[$$-409]* #,##0.00_ ;_-[$$-409]* \-#,##0.00\ ;_-[$$-409]* &quot;-&quot;??_ ;_-@_ "/>
    </dxf>
    <dxf>
      <numFmt numFmtId="165" formatCode="_-[$$-409]* #,##0.00_ ;_-[$$-409]* \-#,##0.00\ ;_-[$$-409]* &quot;-&quot;??_ ;_-@_ "/>
    </dxf>
    <dxf>
      <numFmt numFmtId="165" formatCode="_-[$$-409]* #,##0.00_ ;_-[$$-409]* \-#,##0.00\ ;_-[$$-409]* &quot;-&quot;??_ ;_-@_ "/>
    </dxf>
    <dxf>
      <numFmt numFmtId="165" formatCode="_-[$$-409]* #,##0.00_ ;_-[$$-409]* \-#,##0.00\ ;_-[$$-409]* &quot;-&quot;??_ ;_-@_ "/>
    </dxf>
    <dxf>
      <border outline="0">
        <left style="medium">
          <color rgb="FF000000"/>
        </left>
        <right style="medium">
          <color rgb="FF000000"/>
        </right>
      </border>
    </dxf>
    <dxf>
      <numFmt numFmtId="167" formatCode="0.0000"/>
    </dxf>
    <dxf>
      <numFmt numFmtId="167" formatCode="0.0000"/>
    </dxf>
    <dxf>
      <numFmt numFmtId="165" formatCode="_-[$$-409]* #,##0.00_ ;_-[$$-409]* \-#,##0.00\ ;_-[$$-409]* &quot;-&quot;??_ ;_-@_ "/>
    </dxf>
    <dxf>
      <numFmt numFmtId="0" formatCode="General"/>
    </dxf>
    <dxf>
      <border outline="0">
        <left style="thick">
          <color rgb="FFFF0000"/>
        </left>
        <right style="thick">
          <color rgb="FFFF0000"/>
        </right>
      </border>
    </dxf>
    <dxf>
      <numFmt numFmtId="167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7" formatCode="0.0000"/>
      <fill>
        <patternFill patternType="solid">
          <fgColor indexed="64"/>
          <bgColor theme="1"/>
        </patternFill>
      </fill>
    </dxf>
    <dxf>
      <numFmt numFmtId="167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_-[$$-409]* #,##0.00_ ;_-[$$-409]* \-#,##0.00\ ;_-[$$-409]* &quot;-&quot;??_ ;_-@_ "/>
      <fill>
        <patternFill patternType="solid">
          <fgColor indexed="64"/>
          <bgColor theme="1"/>
        </patternFill>
      </fill>
    </dxf>
    <dxf>
      <numFmt numFmtId="165" formatCode="_-[$$-409]* #,##0.00_ ;_-[$$-409]* \-#,##0.00\ ;_-[$$-409]* &quot;-&quot;??_ ;_-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 patternType="solid">
          <fgColor indexed="64"/>
          <bgColor theme="1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 patternType="solid">
          <fgColor indexed="64"/>
          <bgColor theme="1"/>
        </patternFill>
      </fill>
      <border diagonalUp="0" diagonalDown="0" outline="0">
        <left style="thick">
          <color rgb="FF0070C0"/>
        </left>
        <right/>
        <top/>
        <bottom/>
      </border>
    </dxf>
    <dxf>
      <numFmt numFmtId="0" formatCode="General"/>
    </dxf>
    <dxf>
      <border outline="0">
        <left style="thick">
          <color rgb="FF0070C0"/>
        </left>
        <right style="thick">
          <color rgb="FF0070C0"/>
        </right>
      </border>
    </dxf>
    <dxf>
      <numFmt numFmtId="167" formatCode="0.0000"/>
    </dxf>
    <dxf>
      <numFmt numFmtId="167" formatCode="0.0000"/>
    </dxf>
    <dxf>
      <numFmt numFmtId="165" formatCode="_-[$$-409]* #,##0.00_ ;_-[$$-409]* \-#,##0.00\ ;_-[$$-409]* &quot;-&quot;??_ ;_-@_ "/>
    </dxf>
    <dxf>
      <numFmt numFmtId="0" formatCode="General"/>
      <fill>
        <patternFill patternType="solid">
          <fgColor indexed="64"/>
          <bgColor theme="0"/>
        </patternFill>
      </fill>
    </dxf>
    <dxf>
      <numFmt numFmtId="0" formatCode="General"/>
    </dxf>
    <dxf>
      <border outline="0">
        <left style="thick">
          <color rgb="FF0070C0"/>
        </left>
        <right style="thick">
          <color rgb="FF0070C0"/>
        </right>
      </border>
    </dxf>
    <dxf>
      <numFmt numFmtId="167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7" formatCode="0.0000"/>
      <fill>
        <patternFill patternType="solid">
          <fgColor indexed="64"/>
          <bgColor theme="1"/>
        </patternFill>
      </fill>
    </dxf>
    <dxf>
      <numFmt numFmtId="167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_-[$$-409]* #,##0.00_ ;_-[$$-409]* \-#,##0.00\ ;_-[$$-409]* &quot;-&quot;??_ ;_-@_ "/>
      <fill>
        <patternFill patternType="solid">
          <fgColor indexed="64"/>
          <bgColor theme="1"/>
        </patternFill>
      </fill>
    </dxf>
    <dxf>
      <numFmt numFmtId="165" formatCode="_-[$$-409]* #,##0.00_ ;_-[$$-409]* \-#,##0.00\ ;_-[$$-409]* &quot;-&quot;??_ ;_-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 patternType="solid">
          <fgColor indexed="64"/>
          <bgColor theme="1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 patternType="solid">
          <fgColor indexed="64"/>
          <bgColor theme="1"/>
        </patternFill>
      </fill>
      <border diagonalUp="0" diagonalDown="0" outline="0">
        <left style="thick">
          <color rgb="FF0070C0"/>
        </left>
        <right/>
        <top/>
        <bottom/>
      </border>
    </dxf>
    <dxf>
      <numFmt numFmtId="0" formatCode="General"/>
      <border diagonalUp="0" diagonalDown="0">
        <left style="thick">
          <color rgb="FF0070C0"/>
        </left>
        <right/>
        <top/>
        <bottom/>
        <vertical/>
        <horizontal/>
      </border>
    </dxf>
    <dxf>
      <border outline="0">
        <right style="thick">
          <color rgb="FF0070C0"/>
        </right>
      </border>
    </dxf>
    <dxf>
      <numFmt numFmtId="167" formatCode="0.0000"/>
    </dxf>
    <dxf>
      <numFmt numFmtId="167" formatCode="0.0000"/>
    </dxf>
    <dxf>
      <numFmt numFmtId="165" formatCode="_-[$$-409]* #,##0.00_ ;_-[$$-409]* \-#,##0.00\ ;_-[$$-409]* &quot;-&quot;??_ ;_-@_ "/>
    </dxf>
    <dxf>
      <numFmt numFmtId="0" formatCode="General"/>
    </dxf>
    <dxf>
      <numFmt numFmtId="0" formatCode="General"/>
    </dxf>
    <dxf>
      <border outline="0">
        <left style="thick">
          <color rgb="FF0070C0"/>
        </left>
        <right style="thick">
          <color rgb="FF0070C0"/>
        </right>
      </border>
    </dxf>
    <dxf>
      <numFmt numFmtId="165" formatCode="_-[$$-409]* #,##0.00_ ;_-[$$-409]* \-#,##0.00\ ;_-[$$-409]* &quot;-&quot;??_ ;_-@_ "/>
    </dxf>
    <dxf>
      <numFmt numFmtId="165" formatCode="_-[$$-409]* #,##0.00_ ;_-[$$-409]* \-#,##0.00\ ;_-[$$-409]* &quot;-&quot;??_ ;_-@_ "/>
    </dxf>
    <dxf>
      <numFmt numFmtId="165" formatCode="_-[$$-409]* #,##0.00_ ;_-[$$-409]* \-#,##0.00\ ;_-[$$-409]* &quot;-&quot;??_ ;_-@_ "/>
    </dxf>
    <dxf>
      <numFmt numFmtId="165" formatCode="_-[$$-409]* #,##0.00_ ;_-[$$-409]* \-#,##0.00\ ;_-[$$-409]* &quot;-&quot;??_ ;_-@_ "/>
    </dxf>
    <dxf>
      <numFmt numFmtId="165" formatCode="_-[$$-409]* #,##0.00_ ;_-[$$-409]* \-#,##0.00\ ;_-[$$-409]* &quot;-&quot;??_ ;_-@_ "/>
    </dxf>
    <dxf>
      <numFmt numFmtId="165" formatCode="_-[$$-409]* #,##0.00_ ;_-[$$-409]* \-#,##0.00\ ;_-[$$-409]* &quot;-&quot;??_ ;_-@_ "/>
    </dxf>
    <dxf>
      <border outline="0">
        <left style="medium">
          <color rgb="FF000000"/>
        </left>
        <right style="medium">
          <color rgb="FF000000"/>
        </right>
      </border>
    </dxf>
    <dxf>
      <numFmt numFmtId="167" formatCode="0.0000"/>
    </dxf>
    <dxf>
      <numFmt numFmtId="167" formatCode="0.0000"/>
    </dxf>
    <dxf>
      <numFmt numFmtId="165" formatCode="_-[$$-409]* #,##0.00_ ;_-[$$-409]* \-#,##0.00\ ;_-[$$-409]* &quot;-&quot;??_ ;_-@_ "/>
    </dxf>
    <dxf>
      <numFmt numFmtId="0" formatCode="General"/>
    </dxf>
    <dxf>
      <border outline="0">
        <left style="thick">
          <color rgb="FFFF0000"/>
        </left>
        <right style="thick">
          <color rgb="FFFF0000"/>
        </right>
      </border>
    </dxf>
    <dxf>
      <numFmt numFmtId="167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7" formatCode="0.0000"/>
      <fill>
        <patternFill patternType="solid">
          <fgColor indexed="64"/>
          <bgColor theme="1"/>
        </patternFill>
      </fill>
    </dxf>
    <dxf>
      <numFmt numFmtId="167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_-[$$-409]* #,##0.00_ ;_-[$$-409]* \-#,##0.00\ ;_-[$$-409]* &quot;-&quot;??_ ;_-@_ "/>
      <fill>
        <patternFill patternType="solid">
          <fgColor indexed="64"/>
          <bgColor theme="1"/>
        </patternFill>
      </fill>
    </dxf>
    <dxf>
      <numFmt numFmtId="165" formatCode="_-[$$-409]* #,##0.00_ ;_-[$$-409]* \-#,##0.00\ ;_-[$$-409]* &quot;-&quot;??_ ;_-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 patternType="solid">
          <fgColor indexed="64"/>
          <bgColor theme="1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 patternType="solid">
          <fgColor indexed="64"/>
          <bgColor theme="1"/>
        </patternFill>
      </fill>
      <border diagonalUp="0" diagonalDown="0" outline="0">
        <left style="thick">
          <color rgb="FF0070C0"/>
        </left>
        <right/>
        <top/>
        <bottom/>
      </border>
    </dxf>
    <dxf>
      <numFmt numFmtId="0" formatCode="General"/>
    </dxf>
    <dxf>
      <border outline="0">
        <left style="thick">
          <color rgb="FF0070C0"/>
        </left>
        <right style="thick">
          <color rgb="FF0070C0"/>
        </right>
      </border>
    </dxf>
    <dxf>
      <numFmt numFmtId="167" formatCode="0.0000"/>
    </dxf>
    <dxf>
      <numFmt numFmtId="167" formatCode="0.0000"/>
    </dxf>
    <dxf>
      <numFmt numFmtId="165" formatCode="_-[$$-409]* #,##0.00_ ;_-[$$-409]* \-#,##0.00\ ;_-[$$-409]* &quot;-&quot;??_ ;_-@_ "/>
    </dxf>
    <dxf>
      <numFmt numFmtId="0" formatCode="General"/>
      <fill>
        <patternFill patternType="solid">
          <fgColor indexed="64"/>
          <bgColor theme="0"/>
        </patternFill>
      </fill>
    </dxf>
    <dxf>
      <numFmt numFmtId="0" formatCode="General"/>
    </dxf>
    <dxf>
      <border outline="0">
        <left style="thick">
          <color rgb="FF0070C0"/>
        </left>
        <right style="thick">
          <color rgb="FF0070C0"/>
        </right>
      </border>
    </dxf>
    <dxf>
      <numFmt numFmtId="167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7" formatCode="0.0000"/>
      <fill>
        <patternFill patternType="solid">
          <fgColor indexed="64"/>
          <bgColor theme="1"/>
        </patternFill>
      </fill>
    </dxf>
    <dxf>
      <numFmt numFmtId="167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_-[$$-409]* #,##0.00_ ;_-[$$-409]* \-#,##0.00\ ;_-[$$-409]* &quot;-&quot;??_ ;_-@_ "/>
      <fill>
        <patternFill patternType="solid">
          <fgColor indexed="64"/>
          <bgColor theme="1"/>
        </patternFill>
      </fill>
    </dxf>
    <dxf>
      <numFmt numFmtId="165" formatCode="_-[$$-409]* #,##0.00_ ;_-[$$-409]* \-#,##0.00\ ;_-[$$-409]* &quot;-&quot;??_ ;_-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 patternType="solid">
          <fgColor indexed="64"/>
          <bgColor theme="1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 patternType="solid">
          <fgColor indexed="64"/>
          <bgColor theme="1"/>
        </patternFill>
      </fill>
      <border diagonalUp="0" diagonalDown="0" outline="0">
        <left style="thick">
          <color rgb="FF0070C0"/>
        </left>
        <right/>
        <top/>
        <bottom/>
      </border>
    </dxf>
    <dxf>
      <numFmt numFmtId="0" formatCode="General"/>
      <border diagonalUp="0" diagonalDown="0">
        <left style="thick">
          <color rgb="FF0070C0"/>
        </left>
        <right/>
        <top/>
        <bottom/>
        <vertical/>
        <horizontal/>
      </border>
    </dxf>
    <dxf>
      <border outline="0">
        <right style="thick">
          <color rgb="FF0070C0"/>
        </right>
      </border>
    </dxf>
    <dxf>
      <numFmt numFmtId="167" formatCode="0.0000"/>
    </dxf>
    <dxf>
      <numFmt numFmtId="167" formatCode="0.0000"/>
    </dxf>
    <dxf>
      <numFmt numFmtId="165" formatCode="_-[$$-409]* #,##0.00_ ;_-[$$-409]* \-#,##0.00\ ;_-[$$-409]* &quot;-&quot;??_ ;_-@_ "/>
    </dxf>
    <dxf>
      <numFmt numFmtId="0" formatCode="General"/>
    </dxf>
    <dxf>
      <numFmt numFmtId="0" formatCode="General"/>
    </dxf>
    <dxf>
      <border outline="0">
        <left style="thick">
          <color rgb="FF0070C0"/>
        </left>
        <right style="thick">
          <color rgb="FF0070C0"/>
        </right>
      </border>
    </dxf>
    <dxf>
      <numFmt numFmtId="165" formatCode="_-[$$-409]* #,##0.00_ ;_-[$$-409]* \-#,##0.00\ ;_-[$$-409]* &quot;-&quot;??_ ;_-@_ "/>
    </dxf>
    <dxf>
      <numFmt numFmtId="165" formatCode="_-[$$-409]* #,##0.00_ ;_-[$$-409]* \-#,##0.00\ ;_-[$$-409]* &quot;-&quot;??_ ;_-@_ "/>
    </dxf>
    <dxf>
      <numFmt numFmtId="165" formatCode="_-[$$-409]* #,##0.00_ ;_-[$$-409]* \-#,##0.00\ ;_-[$$-409]* &quot;-&quot;??_ ;_-@_ "/>
    </dxf>
    <dxf>
      <numFmt numFmtId="165" formatCode="_-[$$-409]* #,##0.00_ ;_-[$$-409]* \-#,##0.00\ ;_-[$$-409]* &quot;-&quot;??_ ;_-@_ "/>
    </dxf>
    <dxf>
      <numFmt numFmtId="165" formatCode="_-[$$-409]* #,##0.00_ ;_-[$$-409]* \-#,##0.00\ ;_-[$$-409]* &quot;-&quot;??_ ;_-@_ "/>
    </dxf>
    <dxf>
      <numFmt numFmtId="165" formatCode="_-[$$-409]* #,##0.00_ ;_-[$$-409]* \-#,##0.00\ ;_-[$$-409]* &quot;-&quot;??_ ;_-@_ "/>
    </dxf>
    <dxf>
      <border outline="0">
        <left style="medium">
          <color rgb="FF000000"/>
        </left>
        <right style="medium">
          <color rgb="FF000000"/>
        </right>
      </border>
    </dxf>
    <dxf>
      <numFmt numFmtId="167" formatCode="0.0000"/>
    </dxf>
    <dxf>
      <numFmt numFmtId="167" formatCode="0.0000"/>
    </dxf>
    <dxf>
      <numFmt numFmtId="165" formatCode="_-[$$-409]* #,##0.00_ ;_-[$$-409]* \-#,##0.00\ ;_-[$$-409]* &quot;-&quot;??_ ;_-@_ "/>
    </dxf>
    <dxf>
      <numFmt numFmtId="0" formatCode="General"/>
    </dxf>
    <dxf>
      <border outline="0">
        <left style="thick">
          <color rgb="FFFF0000"/>
        </left>
        <right style="thick">
          <color rgb="FFFF0000"/>
        </right>
      </border>
    </dxf>
    <dxf>
      <numFmt numFmtId="167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7" formatCode="0.0000"/>
      <fill>
        <patternFill patternType="solid">
          <fgColor indexed="64"/>
          <bgColor theme="1"/>
        </patternFill>
      </fill>
    </dxf>
    <dxf>
      <numFmt numFmtId="167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_-[$$-409]* #,##0.00_ ;_-[$$-409]* \-#,##0.00\ ;_-[$$-409]* &quot;-&quot;??_ ;_-@_ "/>
      <fill>
        <patternFill patternType="solid">
          <fgColor indexed="64"/>
          <bgColor theme="1"/>
        </patternFill>
      </fill>
    </dxf>
    <dxf>
      <numFmt numFmtId="165" formatCode="_-[$$-409]* #,##0.00_ ;_-[$$-409]* \-#,##0.00\ ;_-[$$-409]* &quot;-&quot;??_ ;_-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 patternType="solid">
          <fgColor indexed="64"/>
          <bgColor theme="1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 patternType="solid">
          <fgColor indexed="64"/>
          <bgColor theme="1"/>
        </patternFill>
      </fill>
      <border diagonalUp="0" diagonalDown="0" outline="0">
        <left style="thick">
          <color rgb="FF0070C0"/>
        </left>
        <right/>
        <top/>
        <bottom/>
      </border>
    </dxf>
    <dxf>
      <numFmt numFmtId="0" formatCode="General"/>
    </dxf>
    <dxf>
      <border outline="0">
        <left style="thick">
          <color rgb="FF0070C0"/>
        </left>
        <right style="thick">
          <color rgb="FF0070C0"/>
        </right>
      </border>
    </dxf>
    <dxf>
      <numFmt numFmtId="167" formatCode="0.0000"/>
    </dxf>
    <dxf>
      <numFmt numFmtId="167" formatCode="0.0000"/>
    </dxf>
    <dxf>
      <numFmt numFmtId="165" formatCode="_-[$$-409]* #,##0.00_ ;_-[$$-409]* \-#,##0.00\ ;_-[$$-409]* &quot;-&quot;??_ ;_-@_ "/>
    </dxf>
    <dxf>
      <numFmt numFmtId="0" formatCode="General"/>
      <fill>
        <patternFill patternType="solid">
          <fgColor indexed="64"/>
          <bgColor theme="0"/>
        </patternFill>
      </fill>
    </dxf>
    <dxf>
      <numFmt numFmtId="0" formatCode="General"/>
    </dxf>
    <dxf>
      <border outline="0">
        <left style="thick">
          <color rgb="FF0070C0"/>
        </left>
        <right style="thick">
          <color rgb="FF0070C0"/>
        </right>
      </border>
    </dxf>
    <dxf>
      <numFmt numFmtId="167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7" formatCode="0.0000"/>
      <fill>
        <patternFill patternType="solid">
          <fgColor indexed="64"/>
          <bgColor theme="1"/>
        </patternFill>
      </fill>
    </dxf>
    <dxf>
      <numFmt numFmtId="167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_-[$$-409]* #,##0.00_ ;_-[$$-409]* \-#,##0.00\ ;_-[$$-409]* &quot;-&quot;??_ ;_-@_ "/>
      <fill>
        <patternFill patternType="solid">
          <fgColor indexed="64"/>
          <bgColor theme="1"/>
        </patternFill>
      </fill>
    </dxf>
    <dxf>
      <numFmt numFmtId="165" formatCode="_-[$$-409]* #,##0.00_ ;_-[$$-409]* \-#,##0.00\ ;_-[$$-409]* &quot;-&quot;??_ ;_-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 patternType="solid">
          <fgColor indexed="64"/>
          <bgColor theme="1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 patternType="solid">
          <fgColor indexed="64"/>
          <bgColor theme="1"/>
        </patternFill>
      </fill>
      <border diagonalUp="0" diagonalDown="0" outline="0">
        <left style="thick">
          <color rgb="FF0070C0"/>
        </left>
        <right/>
        <top/>
        <bottom/>
      </border>
    </dxf>
    <dxf>
      <numFmt numFmtId="0" formatCode="General"/>
      <border diagonalUp="0" diagonalDown="0">
        <left style="thick">
          <color rgb="FF0070C0"/>
        </left>
        <right/>
        <top/>
        <bottom/>
        <vertical/>
        <horizontal/>
      </border>
    </dxf>
    <dxf>
      <border outline="0">
        <right style="thick">
          <color rgb="FF0070C0"/>
        </right>
      </border>
    </dxf>
    <dxf>
      <numFmt numFmtId="167" formatCode="0.0000"/>
    </dxf>
    <dxf>
      <numFmt numFmtId="167" formatCode="0.0000"/>
    </dxf>
    <dxf>
      <numFmt numFmtId="165" formatCode="_-[$$-409]* #,##0.00_ ;_-[$$-409]* \-#,##0.00\ ;_-[$$-409]* &quot;-&quot;??_ ;_-@_ "/>
    </dxf>
    <dxf>
      <numFmt numFmtId="0" formatCode="General"/>
    </dxf>
    <dxf>
      <numFmt numFmtId="0" formatCode="General"/>
    </dxf>
    <dxf>
      <border outline="0">
        <left style="thick">
          <color rgb="FF0070C0"/>
        </left>
        <right style="thick">
          <color rgb="FF0070C0"/>
        </right>
      </border>
    </dxf>
    <dxf>
      <numFmt numFmtId="165" formatCode="_-[$$-409]* #,##0.00_ ;_-[$$-409]* \-#,##0.00\ ;_-[$$-409]* &quot;-&quot;??_ ;_-@_ "/>
    </dxf>
    <dxf>
      <numFmt numFmtId="165" formatCode="_-[$$-409]* #,##0.00_ ;_-[$$-409]* \-#,##0.00\ ;_-[$$-409]* &quot;-&quot;??_ ;_-@_ "/>
    </dxf>
    <dxf>
      <numFmt numFmtId="165" formatCode="_-[$$-409]* #,##0.00_ ;_-[$$-409]* \-#,##0.00\ ;_-[$$-409]* &quot;-&quot;??_ ;_-@_ "/>
    </dxf>
    <dxf>
      <numFmt numFmtId="165" formatCode="_-[$$-409]* #,##0.00_ ;_-[$$-409]* \-#,##0.00\ ;_-[$$-409]* &quot;-&quot;??_ ;_-@_ "/>
    </dxf>
    <dxf>
      <numFmt numFmtId="165" formatCode="_-[$$-409]* #,##0.00_ ;_-[$$-409]* \-#,##0.00\ ;_-[$$-409]* &quot;-&quot;??_ ;_-@_ "/>
    </dxf>
    <dxf>
      <numFmt numFmtId="165" formatCode="_-[$$-409]* #,##0.00_ ;_-[$$-409]* \-#,##0.00\ ;_-[$$-409]* &quot;-&quot;??_ ;_-@_ "/>
    </dxf>
    <dxf>
      <border outline="0">
        <left style="medium">
          <color rgb="FF000000"/>
        </left>
        <right style="medium">
          <color rgb="FF000000"/>
        </right>
      </border>
    </dxf>
    <dxf>
      <numFmt numFmtId="167" formatCode="0.0000"/>
    </dxf>
    <dxf>
      <numFmt numFmtId="167" formatCode="0.0000"/>
    </dxf>
    <dxf>
      <numFmt numFmtId="165" formatCode="_-[$$-409]* #,##0.00_ ;_-[$$-409]* \-#,##0.00\ ;_-[$$-409]* &quot;-&quot;??_ ;_-@_ "/>
    </dxf>
    <dxf>
      <numFmt numFmtId="0" formatCode="General"/>
    </dxf>
    <dxf>
      <border outline="0">
        <left style="thick">
          <color rgb="FFFF0000"/>
        </left>
        <right style="thick">
          <color rgb="FFFF0000"/>
        </right>
      </border>
    </dxf>
    <dxf>
      <numFmt numFmtId="167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7" formatCode="0.0000"/>
      <fill>
        <patternFill patternType="solid">
          <fgColor indexed="64"/>
          <bgColor theme="1"/>
        </patternFill>
      </fill>
    </dxf>
    <dxf>
      <numFmt numFmtId="167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_-[$$-409]* #,##0.00_ ;_-[$$-409]* \-#,##0.00\ ;_-[$$-409]* &quot;-&quot;??_ ;_-@_ "/>
      <fill>
        <patternFill patternType="solid">
          <fgColor indexed="64"/>
          <bgColor theme="1"/>
        </patternFill>
      </fill>
    </dxf>
    <dxf>
      <numFmt numFmtId="165" formatCode="_-[$$-409]* #,##0.00_ ;_-[$$-409]* \-#,##0.00\ ;_-[$$-409]* &quot;-&quot;??_ ;_-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 patternType="solid">
          <fgColor indexed="64"/>
          <bgColor theme="1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 patternType="solid">
          <fgColor indexed="64"/>
          <bgColor theme="1"/>
        </patternFill>
      </fill>
      <border diagonalUp="0" diagonalDown="0" outline="0">
        <left style="thick">
          <color rgb="FF0070C0"/>
        </left>
        <right/>
        <top/>
        <bottom/>
      </border>
    </dxf>
    <dxf>
      <numFmt numFmtId="0" formatCode="General"/>
    </dxf>
    <dxf>
      <border outline="0">
        <left style="thick">
          <color rgb="FF0070C0"/>
        </left>
        <right style="thick">
          <color rgb="FF0070C0"/>
        </right>
      </border>
    </dxf>
    <dxf>
      <numFmt numFmtId="167" formatCode="0.0000"/>
    </dxf>
    <dxf>
      <numFmt numFmtId="167" formatCode="0.0000"/>
    </dxf>
    <dxf>
      <numFmt numFmtId="165" formatCode="_-[$$-409]* #,##0.00_ ;_-[$$-409]* \-#,##0.00\ ;_-[$$-409]* &quot;-&quot;??_ ;_-@_ "/>
    </dxf>
    <dxf>
      <numFmt numFmtId="0" formatCode="General"/>
      <fill>
        <patternFill patternType="solid">
          <fgColor indexed="64"/>
          <bgColor theme="0"/>
        </patternFill>
      </fill>
    </dxf>
    <dxf>
      <numFmt numFmtId="0" formatCode="General"/>
    </dxf>
    <dxf>
      <border outline="0">
        <left style="thick">
          <color rgb="FF0070C0"/>
        </left>
        <right style="thick">
          <color rgb="FF0070C0"/>
        </right>
      </border>
    </dxf>
    <dxf>
      <numFmt numFmtId="167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7" formatCode="0.0000"/>
      <fill>
        <patternFill patternType="solid">
          <fgColor indexed="64"/>
          <bgColor theme="1"/>
        </patternFill>
      </fill>
    </dxf>
    <dxf>
      <numFmt numFmtId="167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_-[$$-409]* #,##0.00_ ;_-[$$-409]* \-#,##0.00\ ;_-[$$-409]* &quot;-&quot;??_ ;_-@_ "/>
      <fill>
        <patternFill patternType="solid">
          <fgColor indexed="64"/>
          <bgColor theme="1"/>
        </patternFill>
      </fill>
    </dxf>
    <dxf>
      <numFmt numFmtId="165" formatCode="_-[$$-409]* #,##0.00_ ;_-[$$-409]* \-#,##0.00\ ;_-[$$-409]* &quot;-&quot;??_ ;_-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 patternType="solid">
          <fgColor indexed="64"/>
          <bgColor theme="1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 patternType="solid">
          <fgColor indexed="64"/>
          <bgColor theme="1"/>
        </patternFill>
      </fill>
      <border diagonalUp="0" diagonalDown="0" outline="0">
        <left style="thick">
          <color rgb="FF0070C0"/>
        </left>
        <right/>
        <top/>
        <bottom/>
      </border>
    </dxf>
    <dxf>
      <numFmt numFmtId="0" formatCode="General"/>
      <border diagonalUp="0" diagonalDown="0">
        <left style="thick">
          <color rgb="FF0070C0"/>
        </left>
        <right/>
        <top/>
        <bottom/>
        <vertical/>
        <horizontal/>
      </border>
    </dxf>
    <dxf>
      <border outline="0">
        <right style="thick">
          <color rgb="FF0070C0"/>
        </right>
      </border>
    </dxf>
    <dxf>
      <numFmt numFmtId="167" formatCode="0.0000"/>
    </dxf>
    <dxf>
      <numFmt numFmtId="167" formatCode="0.0000"/>
    </dxf>
    <dxf>
      <numFmt numFmtId="165" formatCode="_-[$$-409]* #,##0.00_ ;_-[$$-409]* \-#,##0.00\ ;_-[$$-409]* &quot;-&quot;??_ ;_-@_ "/>
    </dxf>
    <dxf>
      <numFmt numFmtId="0" formatCode="General"/>
    </dxf>
    <dxf>
      <numFmt numFmtId="0" formatCode="General"/>
    </dxf>
    <dxf>
      <border outline="0">
        <left style="thick">
          <color rgb="FF0070C0"/>
        </left>
        <right style="thick">
          <color rgb="FF0070C0"/>
        </right>
      </border>
    </dxf>
    <dxf>
      <numFmt numFmtId="165" formatCode="_-[$$-409]* #,##0.00_ ;_-[$$-409]* \-#,##0.00\ ;_-[$$-409]* &quot;-&quot;??_ ;_-@_ "/>
    </dxf>
    <dxf>
      <numFmt numFmtId="165" formatCode="_-[$$-409]* #,##0.00_ ;_-[$$-409]* \-#,##0.00\ ;_-[$$-409]* &quot;-&quot;??_ ;_-@_ "/>
    </dxf>
    <dxf>
      <numFmt numFmtId="165" formatCode="_-[$$-409]* #,##0.00_ ;_-[$$-409]* \-#,##0.00\ ;_-[$$-409]* &quot;-&quot;??_ ;_-@_ "/>
    </dxf>
    <dxf>
      <numFmt numFmtId="165" formatCode="_-[$$-409]* #,##0.00_ ;_-[$$-409]* \-#,##0.00\ ;_-[$$-409]* &quot;-&quot;??_ ;_-@_ "/>
    </dxf>
    <dxf>
      <numFmt numFmtId="165" formatCode="_-[$$-409]* #,##0.00_ ;_-[$$-409]* \-#,##0.00\ ;_-[$$-409]* &quot;-&quot;??_ ;_-@_ "/>
    </dxf>
    <dxf>
      <numFmt numFmtId="165" formatCode="_-[$$-409]* #,##0.00_ ;_-[$$-409]* \-#,##0.00\ ;_-[$$-409]* &quot;-&quot;??_ ;_-@_ "/>
    </dxf>
    <dxf>
      <border outline="0">
        <left style="medium">
          <color rgb="FF000000"/>
        </left>
        <right style="medium">
          <color rgb="FF000000"/>
        </right>
      </border>
    </dxf>
    <dxf>
      <numFmt numFmtId="167" formatCode="0.0000"/>
    </dxf>
    <dxf>
      <numFmt numFmtId="167" formatCode="0.0000"/>
    </dxf>
    <dxf>
      <numFmt numFmtId="165" formatCode="_-[$$-409]* #,##0.00_ ;_-[$$-409]* \-#,##0.00\ ;_-[$$-409]* &quot;-&quot;??_ ;_-@_ "/>
    </dxf>
    <dxf>
      <numFmt numFmtId="0" formatCode="General"/>
    </dxf>
    <dxf>
      <border outline="0">
        <left style="thick">
          <color rgb="FFFF0000"/>
        </left>
        <right style="thick">
          <color rgb="FFFF0000"/>
        </right>
      </border>
    </dxf>
    <dxf>
      <numFmt numFmtId="167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7" formatCode="0.0000"/>
      <fill>
        <patternFill patternType="solid">
          <fgColor indexed="64"/>
          <bgColor theme="1"/>
        </patternFill>
      </fill>
    </dxf>
    <dxf>
      <numFmt numFmtId="167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_-[$$-409]* #,##0.00_ ;_-[$$-409]* \-#,##0.00\ ;_-[$$-409]* &quot;-&quot;??_ ;_-@_ "/>
      <fill>
        <patternFill patternType="solid">
          <fgColor indexed="64"/>
          <bgColor theme="1"/>
        </patternFill>
      </fill>
    </dxf>
    <dxf>
      <numFmt numFmtId="165" formatCode="_-[$$-409]* #,##0.00_ ;_-[$$-409]* \-#,##0.00\ ;_-[$$-409]* &quot;-&quot;??_ ;_-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 patternType="solid">
          <fgColor indexed="64"/>
          <bgColor theme="1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 patternType="solid">
          <fgColor indexed="64"/>
          <bgColor theme="1"/>
        </patternFill>
      </fill>
      <border diagonalUp="0" diagonalDown="0" outline="0">
        <left style="thick">
          <color rgb="FF0070C0"/>
        </left>
        <right/>
        <top/>
        <bottom/>
      </border>
    </dxf>
    <dxf>
      <numFmt numFmtId="0" formatCode="General"/>
    </dxf>
    <dxf>
      <border outline="0">
        <left style="thick">
          <color rgb="FF0070C0"/>
        </left>
        <right style="thick">
          <color rgb="FF0070C0"/>
        </right>
      </border>
    </dxf>
    <dxf>
      <numFmt numFmtId="167" formatCode="0.0000"/>
    </dxf>
    <dxf>
      <numFmt numFmtId="167" formatCode="0.0000"/>
    </dxf>
    <dxf>
      <numFmt numFmtId="165" formatCode="_-[$$-409]* #,##0.00_ ;_-[$$-409]* \-#,##0.00\ ;_-[$$-409]* &quot;-&quot;??_ ;_-@_ "/>
    </dxf>
    <dxf>
      <numFmt numFmtId="0" formatCode="General"/>
      <fill>
        <patternFill patternType="solid">
          <fgColor indexed="64"/>
          <bgColor theme="0"/>
        </patternFill>
      </fill>
    </dxf>
    <dxf>
      <numFmt numFmtId="0" formatCode="General"/>
    </dxf>
    <dxf>
      <border outline="0">
        <left style="thick">
          <color rgb="FF0070C0"/>
        </left>
        <right style="thick">
          <color rgb="FF0070C0"/>
        </right>
      </border>
    </dxf>
    <dxf>
      <numFmt numFmtId="167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7" formatCode="0.0000"/>
      <fill>
        <patternFill patternType="solid">
          <fgColor indexed="64"/>
          <bgColor theme="1"/>
        </patternFill>
      </fill>
    </dxf>
    <dxf>
      <numFmt numFmtId="167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_-[$$-409]* #,##0.00_ ;_-[$$-409]* \-#,##0.00\ ;_-[$$-409]* &quot;-&quot;??_ ;_-@_ "/>
      <fill>
        <patternFill patternType="solid">
          <fgColor indexed="64"/>
          <bgColor theme="1"/>
        </patternFill>
      </fill>
    </dxf>
    <dxf>
      <numFmt numFmtId="165" formatCode="_-[$$-409]* #,##0.00_ ;_-[$$-409]* \-#,##0.00\ ;_-[$$-409]* &quot;-&quot;??_ ;_-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 patternType="solid">
          <fgColor indexed="64"/>
          <bgColor theme="1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 patternType="solid">
          <fgColor indexed="64"/>
          <bgColor theme="1"/>
        </patternFill>
      </fill>
      <border diagonalUp="0" diagonalDown="0" outline="0">
        <left style="thick">
          <color rgb="FF0070C0"/>
        </left>
        <right/>
        <top/>
        <bottom/>
      </border>
    </dxf>
    <dxf>
      <numFmt numFmtId="0" formatCode="General"/>
      <border diagonalUp="0" diagonalDown="0">
        <left style="thick">
          <color rgb="FF0070C0"/>
        </left>
        <right/>
        <top/>
        <bottom/>
        <vertical/>
        <horizontal/>
      </border>
    </dxf>
    <dxf>
      <border outline="0">
        <right style="thick">
          <color rgb="FF0070C0"/>
        </right>
      </border>
    </dxf>
    <dxf>
      <numFmt numFmtId="167" formatCode="0.0000"/>
    </dxf>
    <dxf>
      <numFmt numFmtId="167" formatCode="0.0000"/>
    </dxf>
    <dxf>
      <numFmt numFmtId="165" formatCode="_-[$$-409]* #,##0.00_ ;_-[$$-409]* \-#,##0.00\ ;_-[$$-409]* &quot;-&quot;??_ ;_-@_ "/>
    </dxf>
    <dxf>
      <numFmt numFmtId="0" formatCode="General"/>
    </dxf>
    <dxf>
      <numFmt numFmtId="0" formatCode="General"/>
    </dxf>
    <dxf>
      <border outline="0">
        <left style="thick">
          <color rgb="FF0070C0"/>
        </left>
        <right style="thick">
          <color rgb="FF0070C0"/>
        </right>
      </border>
    </dxf>
    <dxf>
      <numFmt numFmtId="165" formatCode="_-[$$-409]* #,##0.00_ ;_-[$$-409]* \-#,##0.00\ ;_-[$$-409]* &quot;-&quot;??_ ;_-@_ "/>
    </dxf>
    <dxf>
      <numFmt numFmtId="165" formatCode="_-[$$-409]* #,##0.00_ ;_-[$$-409]* \-#,##0.00\ ;_-[$$-409]* &quot;-&quot;??_ ;_-@_ "/>
    </dxf>
    <dxf>
      <numFmt numFmtId="165" formatCode="_-[$$-409]* #,##0.00_ ;_-[$$-409]* \-#,##0.00\ ;_-[$$-409]* &quot;-&quot;??_ ;_-@_ "/>
    </dxf>
    <dxf>
      <numFmt numFmtId="165" formatCode="_-[$$-409]* #,##0.00_ ;_-[$$-409]* \-#,##0.00\ ;_-[$$-409]* &quot;-&quot;??_ ;_-@_ "/>
    </dxf>
    <dxf>
      <numFmt numFmtId="165" formatCode="_-[$$-409]* #,##0.00_ ;_-[$$-409]* \-#,##0.00\ ;_-[$$-409]* &quot;-&quot;??_ ;_-@_ "/>
    </dxf>
    <dxf>
      <numFmt numFmtId="165" formatCode="_-[$$-409]* #,##0.00_ ;_-[$$-409]* \-#,##0.00\ ;_-[$$-409]* &quot;-&quot;??_ ;_-@_ "/>
    </dxf>
    <dxf>
      <border outline="0">
        <left style="medium">
          <color rgb="FF000000"/>
        </left>
        <right style="medium">
          <color rgb="FF000000"/>
        </right>
      </border>
    </dxf>
    <dxf>
      <numFmt numFmtId="167" formatCode="0.0000"/>
    </dxf>
    <dxf>
      <numFmt numFmtId="167" formatCode="0.0000"/>
    </dxf>
    <dxf>
      <numFmt numFmtId="165" formatCode="_-[$$-409]* #,##0.00_ ;_-[$$-409]* \-#,##0.00\ ;_-[$$-409]* &quot;-&quot;??_ ;_-@_ "/>
    </dxf>
    <dxf>
      <numFmt numFmtId="0" formatCode="General"/>
    </dxf>
    <dxf>
      <border outline="0">
        <left style="thick">
          <color rgb="FFFF0000"/>
        </left>
        <right style="thick">
          <color rgb="FFFF0000"/>
        </right>
      </border>
    </dxf>
    <dxf>
      <numFmt numFmtId="167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7" formatCode="0.0000"/>
      <fill>
        <patternFill patternType="solid">
          <fgColor indexed="64"/>
          <bgColor theme="1"/>
        </patternFill>
      </fill>
    </dxf>
    <dxf>
      <numFmt numFmtId="167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_-[$$-409]* #,##0.00_ ;_-[$$-409]* \-#,##0.00\ ;_-[$$-409]* &quot;-&quot;??_ ;_-@_ "/>
      <fill>
        <patternFill patternType="solid">
          <fgColor indexed="64"/>
          <bgColor theme="1"/>
        </patternFill>
      </fill>
    </dxf>
    <dxf>
      <numFmt numFmtId="165" formatCode="_-[$$-409]* #,##0.00_ ;_-[$$-409]* \-#,##0.00\ ;_-[$$-409]* &quot;-&quot;??_ ;_-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 patternType="solid">
          <fgColor indexed="64"/>
          <bgColor theme="1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 patternType="solid">
          <fgColor indexed="64"/>
          <bgColor theme="1"/>
        </patternFill>
      </fill>
      <border diagonalUp="0" diagonalDown="0" outline="0">
        <left style="thick">
          <color rgb="FF0070C0"/>
        </left>
        <right/>
        <top/>
        <bottom/>
      </border>
    </dxf>
    <dxf>
      <numFmt numFmtId="0" formatCode="General"/>
    </dxf>
    <dxf>
      <border outline="0">
        <left style="thick">
          <color rgb="FF0070C0"/>
        </left>
        <right style="thick">
          <color rgb="FF0070C0"/>
        </right>
      </border>
    </dxf>
    <dxf>
      <numFmt numFmtId="167" formatCode="0.0000"/>
    </dxf>
    <dxf>
      <numFmt numFmtId="167" formatCode="0.0000"/>
    </dxf>
    <dxf>
      <numFmt numFmtId="165" formatCode="_-[$$-409]* #,##0.00_ ;_-[$$-409]* \-#,##0.00\ ;_-[$$-409]* &quot;-&quot;??_ ;_-@_ "/>
    </dxf>
    <dxf>
      <numFmt numFmtId="0" formatCode="General"/>
      <fill>
        <patternFill patternType="solid">
          <fgColor indexed="64"/>
          <bgColor theme="0"/>
        </patternFill>
      </fill>
    </dxf>
    <dxf>
      <numFmt numFmtId="0" formatCode="General"/>
    </dxf>
    <dxf>
      <border outline="0">
        <left style="thick">
          <color rgb="FF0070C0"/>
        </left>
        <right style="thick">
          <color rgb="FF0070C0"/>
        </right>
      </border>
    </dxf>
    <dxf>
      <numFmt numFmtId="167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7" formatCode="0.0000"/>
      <fill>
        <patternFill patternType="solid">
          <fgColor indexed="64"/>
          <bgColor theme="1"/>
        </patternFill>
      </fill>
    </dxf>
    <dxf>
      <numFmt numFmtId="167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_-[$$-409]* #,##0.00_ ;_-[$$-409]* \-#,##0.00\ ;_-[$$-409]* &quot;-&quot;??_ ;_-@_ "/>
      <fill>
        <patternFill patternType="solid">
          <fgColor indexed="64"/>
          <bgColor theme="1"/>
        </patternFill>
      </fill>
    </dxf>
    <dxf>
      <numFmt numFmtId="165" formatCode="_-[$$-409]* #,##0.00_ ;_-[$$-409]* \-#,##0.00\ ;_-[$$-409]* &quot;-&quot;??_ ;_-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 patternType="solid">
          <fgColor indexed="64"/>
          <bgColor theme="1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 patternType="solid">
          <fgColor indexed="64"/>
          <bgColor theme="1"/>
        </patternFill>
      </fill>
      <border diagonalUp="0" diagonalDown="0" outline="0">
        <left style="thick">
          <color rgb="FF0070C0"/>
        </left>
        <right/>
        <top/>
        <bottom/>
      </border>
    </dxf>
    <dxf>
      <numFmt numFmtId="0" formatCode="General"/>
      <border diagonalUp="0" diagonalDown="0">
        <left style="thick">
          <color rgb="FF0070C0"/>
        </left>
        <right/>
        <top/>
        <bottom/>
        <vertical/>
        <horizontal/>
      </border>
    </dxf>
    <dxf>
      <border outline="0">
        <right style="thick">
          <color rgb="FF0070C0"/>
        </right>
      </border>
    </dxf>
    <dxf>
      <numFmt numFmtId="167" formatCode="0.0000"/>
    </dxf>
    <dxf>
      <numFmt numFmtId="167" formatCode="0.0000"/>
    </dxf>
    <dxf>
      <numFmt numFmtId="165" formatCode="_-[$$-409]* #,##0.00_ ;_-[$$-409]* \-#,##0.00\ ;_-[$$-409]* &quot;-&quot;??_ ;_-@_ "/>
    </dxf>
    <dxf>
      <numFmt numFmtId="0" formatCode="General"/>
    </dxf>
    <dxf>
      <numFmt numFmtId="0" formatCode="General"/>
    </dxf>
    <dxf>
      <border outline="0">
        <left style="thick">
          <color rgb="FF0070C0"/>
        </left>
        <right style="thick">
          <color rgb="FF0070C0"/>
        </right>
      </border>
    </dxf>
    <dxf>
      <numFmt numFmtId="0" formatCode="General"/>
    </dxf>
    <dxf>
      <numFmt numFmtId="165" formatCode="_-[$$-409]* #,##0.00_ ;_-[$$-409]* \-#,##0.00\ ;_-[$$-409]* &quot;-&quot;??_ ;_-@_ "/>
      <border diagonalUp="0" diagonalDown="0" outline="0">
        <left/>
        <right style="medium">
          <color indexed="64"/>
        </right>
        <top/>
        <bottom/>
      </border>
    </dxf>
    <dxf>
      <numFmt numFmtId="165" formatCode="_-[$$-409]* #,##0.00_ ;_-[$$-409]* \-#,##0.00\ ;_-[$$-409]* &quot;-&quot;??_ ;_-@_ "/>
      <border diagonalUp="0" diagonalDown="0">
        <left/>
        <right style="medium">
          <color indexed="64"/>
        </right>
        <top/>
        <bottom/>
        <vertical/>
        <horizontal/>
      </border>
    </dxf>
    <dxf>
      <numFmt numFmtId="165" formatCode="_-[$$-409]* #,##0.00_ ;_-[$$-409]* \-#,##0.00\ ;_-[$$-409]* &quot;-&quot;??_ ;_-@_ "/>
    </dxf>
    <dxf>
      <numFmt numFmtId="165" formatCode="_-[$$-409]* #,##0.00_ ;_-[$$-409]* \-#,##0.00\ ;_-[$$-409]* &quot;-&quot;??_ ;_-@_ "/>
    </dxf>
    <dxf>
      <numFmt numFmtId="167" formatCode="0.0000"/>
    </dxf>
    <dxf>
      <numFmt numFmtId="167" formatCode="0.0000"/>
    </dxf>
    <dxf>
      <numFmt numFmtId="165" formatCode="_-[$$-409]* #,##0.00_ ;_-[$$-409]* \-#,##0.00\ ;_-[$$-409]* &quot;-&quot;??_ ;_-@_ "/>
      <border diagonalUp="0" diagonalDown="0" outline="0">
        <left style="medium">
          <color indexed="64"/>
        </left>
        <right/>
        <top/>
        <bottom/>
      </border>
    </dxf>
    <dxf>
      <numFmt numFmtId="165" formatCode="_-[$$-409]* #,##0.00_ ;_-[$$-409]* \-#,##0.00\ ;_-[$$-409]* &quot;-&quot;??_ ;_-@_ "/>
      <border diagonalUp="0" diagonalDown="0">
        <left style="medium">
          <color indexed="64"/>
        </left>
        <right/>
        <top/>
        <bottom/>
        <vertical/>
        <horizontal/>
      </border>
    </dxf>
    <dxf>
      <numFmt numFmtId="0" formatCode="General"/>
    </dxf>
    <dxf>
      <numFmt numFmtId="167" formatCode="0.0000"/>
      <border diagonalUp="0" diagonalDown="0" outline="0">
        <left/>
        <right style="thick">
          <color rgb="FFFF0000"/>
        </right>
        <top/>
        <bottom/>
      </border>
    </dxf>
    <dxf>
      <numFmt numFmtId="167" formatCode="0.0000"/>
      <border diagonalUp="0" diagonalDown="0">
        <left/>
        <right style="thick">
          <color rgb="FFFF0000"/>
        </right>
        <top/>
        <bottom/>
        <vertical/>
        <horizontal/>
      </border>
    </dxf>
    <dxf>
      <numFmt numFmtId="165" formatCode="_-[$$-409]* #,##0.00_ ;_-[$$-409]* \-#,##0.00\ ;_-[$$-409]* &quot;-&quot;??_ ;_-@_ "/>
    </dxf>
    <dxf>
      <numFmt numFmtId="165" formatCode="_-[$$-409]* #,##0.00_ ;_-[$$-409]* \-#,##0.00\ ;_-[$$-409]* &quot;-&quot;??_ ;_-@_ "/>
    </dxf>
    <dxf>
      <border diagonalUp="0" diagonalDown="0" outline="0">
        <left style="thick">
          <color rgb="FFFF0000"/>
        </left>
        <right/>
        <top/>
        <bottom/>
      </border>
    </dxf>
    <dxf>
      <border diagonalUp="0" diagonalDown="0">
        <left style="thick">
          <color rgb="FFFF0000"/>
        </left>
        <right/>
        <top/>
        <bottom/>
        <vertical/>
        <horizontal/>
      </border>
    </dxf>
    <dxf>
      <numFmt numFmtId="167" formatCode="0.0000"/>
      <border diagonalUp="0" diagonalDown="0" outline="0">
        <left/>
        <right style="thick">
          <color rgb="FF0070C0"/>
        </right>
        <top/>
        <bottom/>
      </border>
    </dxf>
    <dxf>
      <numFmt numFmtId="167" formatCode="0.0000"/>
      <border diagonalUp="0" diagonalDown="0">
        <left/>
        <right style="thick">
          <color rgb="FF0070C0"/>
        </right>
        <top/>
        <bottom/>
        <vertical/>
        <horizontal/>
      </border>
    </dxf>
    <dxf>
      <numFmt numFmtId="165" formatCode="_-[$$-409]* #,##0.00_ ;_-[$$-409]* \-#,##0.00\ ;_-[$$-409]* &quot;-&quot;??_ ;_-@_ "/>
    </dxf>
    <dxf>
      <numFmt numFmtId="165" formatCode="_-[$$-409]* #,##0.00_ ;_-[$$-409]* \-#,##0.00\ ;_-[$$-409]* &quot;-&quot;??_ ;_-@_ "/>
    </dxf>
    <dxf>
      <border diagonalUp="0" diagonalDown="0" outline="0">
        <left style="thick">
          <color rgb="FF0070C0"/>
        </left>
        <right/>
        <top/>
        <bottom/>
      </border>
    </dxf>
    <dxf>
      <border diagonalUp="0" diagonalDown="0">
        <left style="thick">
          <color rgb="FF0070C0"/>
        </left>
        <right/>
        <top/>
        <bottom/>
        <vertical/>
        <horizontal/>
      </border>
    </dxf>
    <dxf>
      <numFmt numFmtId="165" formatCode="_-[$$-409]* #,##0.00_ ;_-[$$-409]* \-#,##0.00\ ;_-[$$-409]* &quot;-&quot;??_ ;_-@_ "/>
    </dxf>
    <dxf>
      <numFmt numFmtId="167" formatCode="0.0000"/>
    </dxf>
    <dxf>
      <numFmt numFmtId="165" formatCode="_-[$$-409]* #,##0.00_ ;_-[$$-409]* \-#,##0.00\ ;_-[$$-409]* &quot;-&quot;??_ ;_-@_ "/>
    </dxf>
    <dxf>
      <numFmt numFmtId="165" formatCode="_-[$$-409]* #,##0.00_ ;_-[$$-409]* \-#,##0.00\ ;_-[$$-409]* &quot;-&quot;??_ ;_-@_ "/>
    </dxf>
    <dxf>
      <border diagonalUp="0" diagonalDown="0" outline="0">
        <left style="thick">
          <color rgb="FF0070C0"/>
        </left>
        <right/>
        <top/>
        <bottom/>
      </border>
    </dxf>
    <dxf>
      <border diagonalUp="0" diagonalDown="0">
        <left style="thick">
          <color rgb="FF0070C0"/>
        </left>
        <right/>
        <top/>
        <bottom/>
        <vertical/>
        <horizontal/>
      </border>
    </dxf>
  </dxfs>
  <tableStyles count="0" defaultTableStyle="TableStyleMedium2" defaultPivotStyle="PivotStyleLight16"/>
  <colors>
    <mruColors>
      <color rgb="FFF8696B"/>
      <color rgb="FF63BE7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7:V87" totalsRowCount="1">
  <autoFilter ref="A7:V86" xr:uid="{00000000-0009-0000-0100-000002000000}"/>
  <tableColumns count="22">
    <tableColumn id="22" xr3:uid="{606BE3B6-146B-4D73-A0DB-38DC0878C8F6}" name="stack"/>
    <tableColumn id="1" xr3:uid="{00000000-0010-0000-0000-000001000000}" name="hand"/>
    <tableColumn id="2" xr3:uid="{00000000-0010-0000-0000-000002000000}" name="pWin"/>
    <tableColumn id="3" xr3:uid="{00000000-0010-0000-0000-000003000000}" name="stackwin" dataDxfId="751" totalsRowDxfId="750"/>
    <tableColumn id="4" xr3:uid="{00000000-0010-0000-0000-000004000000}" name="EQwin"/>
    <tableColumn id="5" xr3:uid="{00000000-0010-0000-0000-000005000000}" name="ICMwin" dataDxfId="749" totalsRowDxfId="748">
      <calculatedColumnFormula>Table2[[#This Row],[EQwin]]*$E$1</calculatedColumnFormula>
    </tableColumn>
    <tableColumn id="6" xr3:uid="{00000000-0010-0000-0000-000006000000}" name="Kowin" dataDxfId="747" totalsRowDxfId="746">
      <calculatedColumnFormula>2*Table2[[#This Row],[stackwin]]/3000</calculatedColumnFormula>
    </tableColumn>
    <tableColumn id="7" xr3:uid="{00000000-0010-0000-0000-000007000000}" name="stacklose" dataDxfId="745" totalsRowDxfId="744"/>
    <tableColumn id="8" xr3:uid="{00000000-0010-0000-0000-000008000000}" name="EQlose"/>
    <tableColumn id="9" xr3:uid="{00000000-0010-0000-0000-000009000000}" name="ICMlose" dataDxfId="743" totalsRowDxfId="742">
      <calculatedColumnFormula>I8*$E$1</calculatedColumnFormula>
    </tableColumn>
    <tableColumn id="10" xr3:uid="{00000000-0010-0000-0000-00000A000000}" name="Kolose" dataDxfId="741" totalsRowDxfId="740">
      <calculatedColumnFormula>5*Table2[[#This Row],[stacklose]]/3000</calculatedColumnFormula>
    </tableColumn>
    <tableColumn id="11" xr3:uid="{00000000-0010-0000-0000-00000B000000}" name=" 2"/>
    <tableColumn id="12" xr3:uid="{00000000-0010-0000-0000-00000C000000}" name="stackfact" dataDxfId="739" totalsRowDxfId="738"/>
    <tableColumn id="13" xr3:uid="{00000000-0010-0000-0000-00000D000000}" name="Eqfact"/>
    <tableColumn id="14" xr3:uid="{00000000-0010-0000-0000-00000E000000}" name="ICMFact" dataDxfId="737" totalsRowDxfId="736">
      <calculatedColumnFormula>N8*$E$1</calculatedColumnFormula>
    </tableColumn>
    <tableColumn id="15" xr3:uid="{00000000-0010-0000-0000-00000F000000}" name="KOFact" dataDxfId="735" totalsRowDxfId="734">
      <calculatedColumnFormula>5*Table2[[#This Row],[stackfact]]/3000</calculatedColumnFormula>
    </tableColumn>
    <tableColumn id="16" xr3:uid="{00000000-0010-0000-0000-000010000000}" name="eqdiff" dataDxfId="733">
      <calculatedColumnFormula>Table2[[#This Row],[EQwin]]*Table2[[#This Row],[pWin]] + Table2[[#This Row],[EQlose]]*(1-Table2[[#This Row],[pWin]]) - Table2[[#This Row],[Eqfact]]</calculatedColumnFormula>
    </tableColumn>
    <tableColumn id="17" xr3:uid="{00000000-0010-0000-0000-000011000000}" name="ICMdiff" dataDxfId="732" totalsRowDxfId="731">
      <calculatedColumnFormula>Table2[[#This Row],[pWin]]*Table2[[#This Row],[ICMwin]]+(1-Table2[[#This Row],[pWin]])*Table2[[#This Row],[ICMlose]]-Table2[[#This Row],[ICMFact]]</calculatedColumnFormula>
    </tableColumn>
    <tableColumn id="18" xr3:uid="{00000000-0010-0000-0000-000012000000}" name="KODiff" dataDxfId="730" totalsRowDxfId="729">
      <calculatedColumnFormula>Table2[[#This Row],[Kowin]]*Table2[[#This Row],[pWin]]+Table2[[#This Row],[Kolose]]*(1-Table2[[#This Row],[pWin]])-Table2[[#This Row],[KOFact]]</calculatedColumnFormula>
    </tableColumn>
    <tableColumn id="19" xr3:uid="{00000000-0010-0000-0000-000013000000}" name="KOmoneyDiff" dataDxfId="728" totalsRowDxfId="727">
      <calculatedColumnFormula>Table2[[#This Row],[KODiff]]*bounty</calculatedColumnFormula>
    </tableColumn>
    <tableColumn id="20" xr3:uid="{00000000-0010-0000-0000-000014000000}" name="totalDiff" dataDxfId="726" totalsRowDxfId="725">
      <calculatedColumnFormula>Table2[[#This Row],[ICMdiff]]+Table2[[#This Row],[KOmoneyDiff]]</calculatedColumnFormula>
    </tableColumn>
    <tableColumn id="21" xr3:uid="{00000000-0010-0000-0000-000015000000}" name="cEVDiff" dataDxfId="724">
      <calculatedColumnFormula>Table2[[#This Row],[pWin]]*Table2[[#This Row],[stackwin]]+(1-Table2[[#This Row],[pWin]])*Table2[[#This Row],[stacklose]]-Table2[[#This Row],[stackfact]]</calculatedColumnFormula>
    </tableColumn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3" xr:uid="{790CCB3E-AEC8-4230-BBEC-C4F9B80A93C1}" name="T_init2034474" displayName="T_init2034474" ref="A16:D23" totalsRowCount="1">
  <autoFilter ref="A16:D22" xr:uid="{00000000-0009-0000-0100-000021000000}">
    <filterColumn colId="0" hiddenButton="1"/>
    <filterColumn colId="1" hiddenButton="1"/>
    <filterColumn colId="2" hiddenButton="1"/>
    <filterColumn colId="3" hiddenButton="1"/>
  </autoFilter>
  <tableColumns count="4">
    <tableColumn id="1" xr3:uid="{EC70FFFA-ACED-4E57-B10F-6CBAEF2E0116}" name="p" totalsRowLabel="Total"/>
    <tableColumn id="2" xr3:uid="{A8C31D0C-BE76-4EF5-B9D7-118EF97749C8}" name="stack"/>
    <tableColumn id="3" xr3:uid="{C448D7E0-73C3-4D36-AC20-755CA9ED8532}" name="hand"/>
    <tableColumn id="4" xr3:uid="{57E69D97-5E9A-44A2-824E-38695A8F7DBE}" name="anteblinds" totalsRowFunction="sum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4" xr:uid="{CDB94E6E-FE13-45C2-AE58-67B57662223E}" name="T_p121351975" displayName="T_p121351975" ref="F16:K22" totalsRowShown="0" tableBorderDxfId="723">
  <autoFilter ref="F16:K22" xr:uid="{00000000-0009-0000-0100-000022000000}"/>
  <tableColumns count="6">
    <tableColumn id="1" xr3:uid="{5BA62E08-0C0E-421E-A30A-C61A255F4BEF}" name="players" dataDxfId="722">
      <calculatedColumnFormula>COUNTIF(T_p121351975[stack],"&gt;0")</calculatedColumnFormula>
    </tableColumn>
    <tableColumn id="2" xr3:uid="{8BB79E0F-C2BA-46C7-A5DA-2906632B41B4}" name="stack" dataDxfId="721">
      <calculatedColumnFormula>IF(T_init2034474[[#This Row],[p]]=1,mainpot+sidepot1+sidepot2+uncalled,IF(T_init2034474[[#This Row],[p]]&gt;1,0,T_init2034474[[#This Row],[stack]]-T_init2034474[[#This Row],[anteblinds]]))</calculatedColumnFormula>
    </tableColumn>
    <tableColumn id="3" xr3:uid="{BEA10C47-2AF5-4243-9AA1-0381CF00A640}" name="EQ"/>
    <tableColumn id="4" xr3:uid="{AA84D090-BB1D-4F19-8940-0FA0B0582113}" name="ICM" dataDxfId="720">
      <calculatedColumnFormula>T_p121351975[[#This Row],[EQ]]*prize</calculatedColumnFormula>
    </tableColumn>
    <tableColumn id="5" xr3:uid="{CC5F5EE6-5988-4CBF-99B7-DC5E7643FE73}" name="KO" dataDxfId="719">
      <calculatedColumnFormula>IF(T_init2034474[[#This Row],[p]]=1,T_p121351975[[#This Row],[players]]*T_p121351975[[#This Row],[stack]]/chips+COUNTIF(T_p121351975[stack],0),T_p121351975[[#This Row],[players]]*T_p121351975[[#This Row],[stack]]/chips)</calculatedColumnFormula>
    </tableColumn>
    <tableColumn id="6" xr3:uid="{2E50C7A7-D912-469A-9652-C47D594CDF87}" name="$stack" dataDxfId="718">
      <calculatedColumnFormula>T_p121351975[[#This Row],[ICM]]+bounty*T_p121351975[[#This Row],[KO]]</calculatedColumnFormula>
    </tableColumn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5" xr:uid="{001C7F52-0535-46D2-A112-C3A4F48EA8BB}" name="T_p222362576" displayName="T_p222362576" ref="M16:R22" totalsRowShown="0" tableBorderDxfId="717">
  <autoFilter ref="M16:R22" xr:uid="{00000000-0009-0000-0100-000023000000}"/>
  <tableColumns count="6">
    <tableColumn id="1" xr3:uid="{13352B01-651A-487C-B7E0-7C9DCEDFFD2F}" name="players" dataDxfId="716" totalsRowDxfId="715">
      <calculatedColumnFormula>COUNTIF(T_p222362576[stack],"&gt;0")</calculatedColumnFormula>
    </tableColumn>
    <tableColumn id="2" xr3:uid="{EA5F6CF6-0C3D-4D98-ABFB-7E46947A3154}" name="stack" dataDxfId="714" totalsRowDxfId="713">
      <calculatedColumnFormula>IF(T_init2034474[[#This Row],[p]]=1,uncalled,IF(T_init2034474[[#This Row],[p]]=2,mainpot+sidepot1+sidepot2,IF(T_init2034474[[#This Row],[p]]&gt;2,0,T_init2034474[[#This Row],[stack]]-T_init2034474[[#This Row],[anteblinds]])))</calculatedColumnFormula>
    </tableColumn>
    <tableColumn id="3" xr3:uid="{6062F42F-2FAC-4700-AB93-E935A2D19163}" name="EQ" totalsRowDxfId="712"/>
    <tableColumn id="4" xr3:uid="{C4D62F52-AC47-419C-B7F4-E55AE47B54E3}" name="ICM" dataDxfId="711" totalsRowDxfId="710">
      <calculatedColumnFormula>T_p222362576[[#This Row],[EQ]]*prize</calculatedColumnFormula>
    </tableColumn>
    <tableColumn id="5" xr3:uid="{709EC59E-4A4F-499D-AACC-71F238E05628}" name="KO" dataDxfId="709" totalsRowDxfId="708">
      <calculatedColumnFormula>IF(T_init2034474[[#This Row],[p]]=2,T_p222362576[[#This Row],[players]]*T_p222362576[[#This Row],[stack]]/chips+COUNTIF(T_p222362576[stack],0),T_p222362576[[#This Row],[players]]*T_p222362576[[#This Row],[stack]]/chips)</calculatedColumnFormula>
    </tableColumn>
    <tableColumn id="6" xr3:uid="{8AA585C3-14C1-43A4-8710-15B86AB39AA5}" name="$stack" dataDxfId="707">
      <calculatedColumnFormula>T_p222362576[[#This Row],[ICM]]+bounty*T_p222362576[[#This Row],[KO]]</calculatedColumnFormula>
    </tableColumn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6" xr:uid="{A8B0A186-9E1D-4A85-9832-9C7C662C5181}" name="T_p3p123372677" displayName="T_p3p123372677" ref="T16:Y22" totalsRowShown="0" tableBorderDxfId="706">
  <autoFilter ref="T16:Y22" xr:uid="{00000000-0009-0000-0100-000024000000}"/>
  <tableColumns count="6">
    <tableColumn id="1" xr3:uid="{79460FC8-7F29-47A1-8E23-DD54ACFEEB0E}" name="players" dataDxfId="705">
      <calculatedColumnFormula>COUNTIF(T_p3p123372677[stack],"&gt;0")</calculatedColumnFormula>
    </tableColumn>
    <tableColumn id="2" xr3:uid="{D66A619C-D3CC-4AB4-B4E3-97952FF3529D}" name="stack" dataDxfId="704">
      <calculatedColumnFormula>IF(T_init2034474[[#This Row],[p]]=1,sidepot1+uncalled,IF(T_init2034474[[#This Row],[p]]=3,mainpot,IF(ISBLANK(T_init2034474[[#This Row],[p]]),T_init2034474[[#This Row],[stack]]-T_init2034474[[#This Row],[anteblinds]],0)))</calculatedColumnFormula>
    </tableColumn>
    <tableColumn id="3" xr3:uid="{F76F7292-573A-4BDF-8FBC-72C2734D84BC}" name="EQ"/>
    <tableColumn id="4" xr3:uid="{A02145C0-E864-47E0-AB03-FB7F54438834}" name="ICM" dataDxfId="703">
      <calculatedColumnFormula>T_p3p123372677[[#This Row],[EQ]]*prize</calculatedColumnFormula>
    </tableColumn>
    <tableColumn id="5" xr3:uid="{3B4C3394-8833-431E-AFBA-A1987B22CC37}" name="KO" dataDxfId="702">
      <calculatedColumnFormula>IF(T_init2034474[[#This Row],[p]]=1,T_p3p123372677[[#This Row],[players]]*T_p3p123372677[[#This Row],[stack]]/chips+COUNTIF(T_p3p123372677[stack],0),T_p3p123372677[[#This Row],[players]]*T_p3p123372677[[#This Row],[stack]]/chips)</calculatedColumnFormula>
    </tableColumn>
    <tableColumn id="6" xr3:uid="{AB26B688-7CE1-44E6-B9AC-EB6ADFF9CD22}" name="$stack" dataDxfId="701">
      <calculatedColumnFormula>T_p3p123372677[[#This Row],[ICM]]+bounty*T_p3p123372677[[#This Row],[KO]]</calculatedColumnFormula>
    </tableColumn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xr:uid="{7E6AD887-65BF-4223-BA39-B556DD2A47BE}" name="T_p3p224382778" displayName="T_p3p224382778" ref="AA16:AF22" totalsRowShown="0" tableBorderDxfId="700">
  <autoFilter ref="AA16:AF22" xr:uid="{00000000-0009-0000-0100-000025000000}"/>
  <tableColumns count="6">
    <tableColumn id="1" xr3:uid="{3E4470BC-92FB-4505-B144-22696D22746E}" name="players" dataDxfId="699" totalsRowDxfId="698">
      <calculatedColumnFormula>COUNTIF(T_p3p224382778[stack],"&gt;0")</calculatedColumnFormula>
    </tableColumn>
    <tableColumn id="2" xr3:uid="{14A8E0BD-47D4-418F-A1F4-2A1478A54FE8}" name="stack" dataDxfId="697" totalsRowDxfId="696">
      <calculatedColumnFormula>IF(T_init2034474[[#This Row],[p]]=1,uncalled,IF(T_init2034474[[#This Row],[p]]=2,sidepot1,IF(T_init2034474[[#This Row],[p]]=3,mainpot,IF(ISBLANK(T_init2034474[[#This Row],[p]]),T_init2034474[[#This Row],[stack]]-T_init2034474[[#This Row],[anteblinds]],0))))</calculatedColumnFormula>
    </tableColumn>
    <tableColumn id="3" xr3:uid="{5C63B521-3AB8-4084-BD30-26BD138E2287}" name="EQ" totalsRowDxfId="695"/>
    <tableColumn id="4" xr3:uid="{867C43E6-BC21-4A76-8CAF-68025C026F12}" name="ICM" dataDxfId="694" totalsRowDxfId="693">
      <calculatedColumnFormula>T_p3p224382778[[#This Row],[EQ]]*prize</calculatedColumnFormula>
    </tableColumn>
    <tableColumn id="5" xr3:uid="{FE3CCDFD-328A-42C8-9095-EE259B6D6F60}" name="KO" dataDxfId="692" totalsRowDxfId="691">
      <calculatedColumnFormula>IF(T_init2034474[[#This Row],[p]]=2,T_p3p224382778[[#This Row],[players]]*T_p3p224382778[[#This Row],[stack]]/chips+COUNTIF(T_p3p224382778[stack],0),T_p3p224382778[[#This Row],[players]]*T_p3p224382778[[#This Row],[stack]]/chips)</calculatedColumnFormula>
    </tableColumn>
    <tableColumn id="6" xr3:uid="{26E77485-CFC6-4FAA-955C-BD92C045AC13}" name="$stack" dataDxfId="690">
      <calculatedColumnFormula>T_p3p224382778[[#This Row],[ICM]]+bounty*T_p3p224382778[[#This Row],[KO]]</calculatedColumnFormula>
    </tableColumn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8" xr:uid="{3D76DF9D-3192-474D-B604-10C6893769E1}" name="T_fact29392879" displayName="T_fact29392879" ref="AI16:AN22" totalsRowShown="0" tableBorderDxfId="689">
  <autoFilter ref="AI16:AN22" xr:uid="{00000000-0009-0000-0100-000026000000}"/>
  <tableColumns count="6">
    <tableColumn id="1" xr3:uid="{3F96DCC1-D501-4A49-9183-CBB8494C46B3}" name="players">
      <calculatedColumnFormula>COUNTIF(T_fact29392879[stack],"&gt;0")</calculatedColumnFormula>
    </tableColumn>
    <tableColumn id="2" xr3:uid="{97A13B2E-D771-4E9F-BC2D-1AAE8F32A665}" name="stack" dataDxfId="688">
      <calculatedColumnFormula>IF(T_init2034474[[#This Row],[p]]=1,mainpot+sidepot1+sidepot2+uncalled,IF(T_init2034474[[#This Row],[p]]&gt;1,0,T_init2034474[[#This Row],[stack]]))</calculatedColumnFormula>
    </tableColumn>
    <tableColumn id="3" xr3:uid="{71878514-EC68-47E5-B9EE-CA7AFC068A62}" name="EQ"/>
    <tableColumn id="4" xr3:uid="{312B3BB6-7360-4893-A869-A7AEA3A25C6C}" name="ICM" dataDxfId="687">
      <calculatedColumnFormula>T_fact29392879[[#This Row],[EQ]]*prize</calculatedColumnFormula>
    </tableColumn>
    <tableColumn id="5" xr3:uid="{D2ABD332-8E5E-4CCF-BA3D-3440E34BF3AB}" name="KO" dataDxfId="686">
      <calculatedColumnFormula>IF(T_init2034474[[#This Row],[p]]=1,T_fact29392879[[#This Row],[players]]*T_fact29392879[[#This Row],[stack]]/chips+COUNTIF(T_fact29392879[stack],0),T_fact29392879[[#This Row],[players]]*T_fact29392879[[#This Row],[stack]]/chips)</calculatedColumnFormula>
    </tableColumn>
    <tableColumn id="6" xr3:uid="{49DC22AD-7B03-4492-AAAE-30A08C8AE366}" name="$stack" dataDxfId="685">
      <calculatedColumnFormula>T_fact29392879[[#This Row],[ICM]]+bounty*T_fact29392879[[#This Row],[KO]]</calculatedColumnFormula>
    </tableColumn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9" xr:uid="{8DEE00A5-850D-46E4-A4EA-5F73BB6C76FE}" name="T_EV33403080" displayName="T_EV33403080" ref="AQ16:AV22" totalsRowShown="0" tableBorderDxfId="684">
  <autoFilter ref="AQ16:AV22" xr:uid="{00000000-0009-0000-0100-000027000000}"/>
  <tableColumns count="6">
    <tableColumn id="1" xr3:uid="{73DEF20B-97EC-418F-BD19-C1E1AFF45F4A}" name="ICM" dataDxfId="683">
      <calculatedColumnFormula>'3w9h9s шалблон копия'!p3win* ('3w9h9s шалблон копия'!p1sp1win*T_p3p123372677[[#This Row],[ICM]] + '3w9h9s шалблон копия'!p2sp1win*T_p3p224382778[[#This Row],[ICM]])
+'3w9h9s шалблон копия'!p2win*T_p222362576[[#This Row],[ICM]]
+'3w9h9s шалблон копия'!p1win*T_p121351975[[#This Row],[ICM]]</calculatedColumnFormula>
    </tableColumn>
    <tableColumn id="2" xr3:uid="{54BB25D8-C869-4E72-AD33-A98D72242BD1}" name="KO" dataDxfId="682">
      <calculatedColumnFormula>('3w9h9s шалблон копия'!p3win* ('3w9h9s шалблон копия'!p1sp1win*T_p3p123372677[[#This Row],[KO]] + '3w9h9s шалблон копия'!p2sp1win*T_p3p224382778[[#This Row],[KO]])
+'3w9h9s шалблон копия'!p2win*T_p222362576[[#This Row],[KO]]
+'3w9h9s шалблон копия'!p1win*T_p121351975[[#This Row],[KO]])*bounty</calculatedColumnFormula>
    </tableColumn>
    <tableColumn id="3" xr3:uid="{166B50F0-BD08-4278-A7EC-9D1E202BFFF0}" name="EV" dataDxfId="681">
      <calculatedColumnFormula>'3w9h9s шалблон копия'!p3win* ('3w9h9s шалблон копия'!p1sp1win*T_p3p123372677[[#This Row],[$stack]] + '3w9h9s шалблон копия'!p2sp1win*T_p3p224382778[[#This Row],[$stack]])
+'3w9h9s шалблон копия'!p2win*T_p222362576[[#This Row],[$stack]]
+'3w9h9s шалблон копия'!p1win*T_p121351975[[#This Row],[$stack]]</calculatedColumnFormula>
    </tableColumn>
    <tableColumn id="4" xr3:uid="{C8223A44-87F1-440F-95FD-B2AEF39D7949}" name="chipEV" dataDxfId="680">
      <calculatedColumnFormula>'3w9h9s шалблон копия'!p3win* ('3w9h9s шалблон копия'!p1sp1win*T_p3p123372677[[#This Row],[stack]] + '3w9h9s шалблон копия'!p2sp1win*T_p3p224382778[[#This Row],[stack]])
+'3w9h9s шалблон копия'!p2win*T_p222362576[[#This Row],[stack]]
+'3w9h9s шалблон копия'!p1win*T_p121351975[[#This Row],[stack]]</calculatedColumnFormula>
    </tableColumn>
    <tableColumn id="5" xr3:uid="{46529C82-C9CD-4847-805A-3D228A3266AB}" name="cEVdiff" dataDxfId="679">
      <calculatedColumnFormula>T_EV33403080[[#This Row],[chipEV]]-T_fact29392879[[#This Row],[stack]]</calculatedColumnFormula>
    </tableColumn>
    <tableColumn id="6" xr3:uid="{F8ABE3D0-38EB-45FB-A047-FFBB68CD0D48}" name="Evdiff" dataDxfId="678">
      <calculatedColumnFormula>T_EV33403080[[#This Row],[EV]]-(T_fact29392879[[#This Row],[ICM]])</calculatedColumnFormula>
    </tableColumn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9419833-29DC-49CD-94CC-2A0E47CFCCA3}" name="T_init20344" displayName="T_init20344" ref="A16:D23" totalsRowCount="1">
  <autoFilter ref="A16:D22" xr:uid="{00000000-0009-0000-0100-000021000000}">
    <filterColumn colId="0" hiddenButton="1"/>
    <filterColumn colId="1" hiddenButton="1"/>
    <filterColumn colId="2" hiddenButton="1"/>
    <filterColumn colId="3" hiddenButton="1"/>
  </autoFilter>
  <tableColumns count="4">
    <tableColumn id="1" xr3:uid="{A7F9D984-FE4F-441A-A9B5-A17826A8F976}" name="p" totalsRowLabel="Total"/>
    <tableColumn id="2" xr3:uid="{8A4D07BE-0915-452D-AFB6-F83796E9A18A}" name="stack"/>
    <tableColumn id="3" xr3:uid="{3E26AC01-94C3-492A-B313-AB798E3F4667}" name="hand"/>
    <tableColumn id="4" xr3:uid="{238F2B1C-5CC5-4195-BB44-63B9A85BADED}" name="anteblinds" totalsRowFunction="sum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F9B9566E-A9E2-4FF4-B584-34D0E36E5582}" name="T_p1213519" displayName="T_p1213519" ref="F16:K22" totalsRowShown="0" tableBorderDxfId="677">
  <autoFilter ref="F16:K22" xr:uid="{00000000-0009-0000-0100-000022000000}"/>
  <tableColumns count="6">
    <tableColumn id="1" xr3:uid="{1595FEB4-DB0C-4D8E-BEFB-63517CD3084A}" name="players" dataDxfId="676">
      <calculatedColumnFormula>COUNTIF(T_p1213519[stack],"&gt;0")</calculatedColumnFormula>
    </tableColumn>
    <tableColumn id="2" xr3:uid="{199A23D2-DCBD-4D42-9D81-D57F40C7B543}" name="stack" dataDxfId="675">
      <calculatedColumnFormula>IF(T_init20344[[#This Row],[p]]=1,mainpot+sidepot1+sidepot2+uncalled,IF(T_init20344[[#This Row],[p]]&gt;1,0,T_init20344[[#This Row],[stack]]-T_init20344[[#This Row],[anteblinds]]))</calculatedColumnFormula>
    </tableColumn>
    <tableColumn id="3" xr3:uid="{3A547EEF-01FA-484D-93F7-F2093B5E9C6C}" name="EQ"/>
    <tableColumn id="4" xr3:uid="{4B0E555E-B14F-42B6-8568-7D41009862C6}" name="ICM" dataDxfId="674">
      <calculatedColumnFormula>T_p1213519[[#This Row],[EQ]]*prize</calculatedColumnFormula>
    </tableColumn>
    <tableColumn id="5" xr3:uid="{A3B83548-4E2F-4CB9-A09F-0A3DCEB6A118}" name="KO" dataDxfId="673">
      <calculatedColumnFormula>IF(T_init20344[[#This Row],[p]]=1,T_p1213519[[#This Row],[players]]*T_p1213519[[#This Row],[stack]]/chips+COUNTIF(T_p1213519[stack],0),T_p1213519[[#This Row],[players]]*T_p1213519[[#This Row],[stack]]/chips)</calculatedColumnFormula>
    </tableColumn>
    <tableColumn id="6" xr3:uid="{EE485C58-26F2-4D70-90FF-F8B5DAAF4587}" name="$stack" dataDxfId="672">
      <calculatedColumnFormula>T_p1213519[[#This Row],[ICM]]+bounty*T_p1213519[[#This Row],[KO]]</calculatedColumnFormula>
    </tableColumn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B465EEEC-6656-4DC1-822A-9E260BB08366}" name="T_p2223625" displayName="T_p2223625" ref="M16:R22" totalsRowShown="0" tableBorderDxfId="671">
  <autoFilter ref="M16:R22" xr:uid="{00000000-0009-0000-0100-000023000000}"/>
  <tableColumns count="6">
    <tableColumn id="1" xr3:uid="{1ECBFFC8-5DEC-4A21-BA96-92A5B3F350E7}" name="players" dataDxfId="670" totalsRowDxfId="669">
      <calculatedColumnFormula>COUNTIF(T_p2223625[stack],"&gt;0")</calculatedColumnFormula>
    </tableColumn>
    <tableColumn id="2" xr3:uid="{BCA79192-8110-43CE-B7F3-599F427CD104}" name="stack" dataDxfId="668" totalsRowDxfId="667">
      <calculatedColumnFormula>IF(T_init20344[[#This Row],[p]]=1,uncalled,IF(T_init20344[[#This Row],[p]]=2,mainpot+sidepot1+sidepot2,IF(T_init20344[[#This Row],[p]]&gt;2,0,T_init20344[[#This Row],[stack]]-T_init20344[[#This Row],[anteblinds]])))</calculatedColumnFormula>
    </tableColumn>
    <tableColumn id="3" xr3:uid="{E5776BED-1950-4EF1-A23A-F7E9839F4099}" name="EQ" totalsRowDxfId="666"/>
    <tableColumn id="4" xr3:uid="{11B86C41-810E-4653-B6A5-8FA7A7C4F4AF}" name="ICM" dataDxfId="665" totalsRowDxfId="664">
      <calculatedColumnFormula>T_p2223625[[#This Row],[EQ]]*prize</calculatedColumnFormula>
    </tableColumn>
    <tableColumn id="5" xr3:uid="{9607C5FB-4BC3-4117-BC62-AAC2F95250CE}" name="KO" dataDxfId="663" totalsRowDxfId="662">
      <calculatedColumnFormula>IF(T_init20344[[#This Row],[p]]=2,T_p2223625[[#This Row],[players]]*T_p2223625[[#This Row],[stack]]/chips+COUNTIF(T_p2223625[stack],0),T_p2223625[[#This Row],[players]]*T_p2223625[[#This Row],[stack]]/chips)</calculatedColumnFormula>
    </tableColumn>
    <tableColumn id="6" xr3:uid="{C778B3C2-371D-40BA-BE23-5619F1B87053}" name="$stack" dataDxfId="661">
      <calculatedColumnFormula>T_p2223625[[#This Row],[ICM]]+bounty*T_p2223625[[#This Row],[KO]]</calculatedColumnFormula>
    </tableColumn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7F2DAA9D-091F-46B7-9A70-37C4677EF418}" name="T_p3p1233726" displayName="T_p3p1233726" ref="T16:Y22" totalsRowShown="0" tableBorderDxfId="660">
  <autoFilter ref="T16:Y22" xr:uid="{00000000-0009-0000-0100-000024000000}"/>
  <tableColumns count="6">
    <tableColumn id="1" xr3:uid="{36CB2F6B-F332-47BD-BF8F-F653689B4246}" name="players" dataDxfId="659">
      <calculatedColumnFormula>COUNTIF(T_p3p1233726[stack],"&gt;0")</calculatedColumnFormula>
    </tableColumn>
    <tableColumn id="2" xr3:uid="{98BFB29E-0ACC-42E8-A95F-4660696F0AFD}" name="stack" dataDxfId="658">
      <calculatedColumnFormula>IF(T_init20344[[#This Row],[p]]=1,sidepot1+uncalled,IF(T_init20344[[#This Row],[p]]=3,mainpot,IF(ISBLANK(T_init20344[[#This Row],[p]]),T_init20344[[#This Row],[stack]]-T_init20344[[#This Row],[anteblinds]],0)))</calculatedColumnFormula>
    </tableColumn>
    <tableColumn id="3" xr3:uid="{97A452EC-D826-4EA2-9B70-1FFEA679B96E}" name="EQ"/>
    <tableColumn id="4" xr3:uid="{E155931D-D039-4DAA-B499-B763EE8DB56E}" name="ICM" dataDxfId="657">
      <calculatedColumnFormula>T_p3p1233726[[#This Row],[EQ]]*prize</calculatedColumnFormula>
    </tableColumn>
    <tableColumn id="5" xr3:uid="{D7F4D68F-CA1F-420C-92A9-9CCF510D4228}" name="KO" dataDxfId="656">
      <calculatedColumnFormula>IF(T_init20344[[#This Row],[p]]=1,T_p3p1233726[[#This Row],[players]]*T_p3p1233726[[#This Row],[stack]]/chips+COUNTIF(T_p3p1233726[stack],0),T_p3p1233726[[#This Row],[players]]*T_p3p1233726[[#This Row],[stack]]/chips)</calculatedColumnFormula>
    </tableColumn>
    <tableColumn id="6" xr3:uid="{8AE4461A-7DA4-4AF4-B181-24CF81876F9B}" name="$stack" dataDxfId="655">
      <calculatedColumnFormula>T_p3p1233726[[#This Row],[ICM]]+bounty*T_p3p1233726[[#This Row],[KO]]</calculatedColumnFormula>
    </tableColumn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5DE7509A-FEE0-4209-AF57-C6DC07264454}" name="T_p3p2243827" displayName="T_p3p2243827" ref="AA16:AF22" totalsRowShown="0" tableBorderDxfId="654">
  <autoFilter ref="AA16:AF22" xr:uid="{00000000-0009-0000-0100-000025000000}"/>
  <tableColumns count="6">
    <tableColumn id="1" xr3:uid="{9E188A1A-C06B-4875-B100-FB6B1D0B05AA}" name="players" dataDxfId="653" totalsRowDxfId="652">
      <calculatedColumnFormula>COUNTIF(T_p3p2243827[stack],"&gt;0")</calculatedColumnFormula>
    </tableColumn>
    <tableColumn id="2" xr3:uid="{B649CD9E-90BD-4CEE-A8B2-FC31ADBAEC05}" name="stack" dataDxfId="651" totalsRowDxfId="650">
      <calculatedColumnFormula>IF(T_init20344[[#This Row],[p]]=1,uncalled,IF(T_init20344[[#This Row],[p]]=2,sidepot1,IF(T_init20344[[#This Row],[p]]=3,mainpot,IF(ISBLANK(T_init20344[[#This Row],[p]]),T_init20344[[#This Row],[stack]]-T_init20344[[#This Row],[anteblinds]],0))))</calculatedColumnFormula>
    </tableColumn>
    <tableColumn id="3" xr3:uid="{848D3BDB-7E19-4F2D-B047-42A3CFC47B78}" name="EQ" totalsRowDxfId="649"/>
    <tableColumn id="4" xr3:uid="{DB1CFF41-4F58-4D89-A57E-AB86FF7FF64B}" name="ICM" dataDxfId="648" totalsRowDxfId="647">
      <calculatedColumnFormula>T_p3p2243827[[#This Row],[EQ]]*prize</calculatedColumnFormula>
    </tableColumn>
    <tableColumn id="5" xr3:uid="{D89E7B30-1688-46CB-9319-93CA3481FC14}" name="KO" dataDxfId="646" totalsRowDxfId="645">
      <calculatedColumnFormula>IF(T_init20344[[#This Row],[p]]=2,T_p3p2243827[[#This Row],[players]]*T_p3p2243827[[#This Row],[stack]]/chips+COUNTIF(T_p3p2243827[stack],0),T_p3p2243827[[#This Row],[players]]*T_p3p2243827[[#This Row],[stack]]/chips)</calculatedColumnFormula>
    </tableColumn>
    <tableColumn id="6" xr3:uid="{914D9DF9-3B48-48C7-B9D9-A128E529604A}" name="$stack" dataDxfId="644">
      <calculatedColumnFormula>T_p3p2243827[[#This Row],[ICM]]+bounty*T_p3p2243827[[#This Row],[KO]]</calculatedColumnFormula>
    </tableColumn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BE213D52-565A-4486-B736-5843D1BF2536}" name="T_fact293928" displayName="T_fact293928" ref="AI16:AN22" totalsRowShown="0" tableBorderDxfId="643">
  <autoFilter ref="AI16:AN22" xr:uid="{00000000-0009-0000-0100-000026000000}"/>
  <tableColumns count="6">
    <tableColumn id="1" xr3:uid="{61DC4DED-4513-464E-926C-0E9A59FBDFE4}" name="players">
      <calculatedColumnFormula>COUNTIF(T_fact293928[stack],"&gt;0")</calculatedColumnFormula>
    </tableColumn>
    <tableColumn id="2" xr3:uid="{0BFA7326-4B5E-48F8-9CC2-8991D27D2AFF}" name="stack" dataDxfId="642">
      <calculatedColumnFormula>IF(T_init20344[[#This Row],[p]]=1,mainpot+sidepot1+sidepot2+uncalled,IF(T_init20344[[#This Row],[p]]&gt;1,0,T_init20344[[#This Row],[stack]]))</calculatedColumnFormula>
    </tableColumn>
    <tableColumn id="3" xr3:uid="{FEAC847E-D392-4BCD-9B03-A4ADB6F65432}" name="EQ"/>
    <tableColumn id="4" xr3:uid="{2B652390-90F7-4376-98F6-75FE7CEE26F5}" name="ICM" dataDxfId="641">
      <calculatedColumnFormula>T_fact293928[[#This Row],[EQ]]*prize</calculatedColumnFormula>
    </tableColumn>
    <tableColumn id="5" xr3:uid="{E933392D-1C5F-4F57-BC5F-14C28AB15F6F}" name="KO" dataDxfId="640">
      <calculatedColumnFormula>IF(T_init20344[[#This Row],[p]]=1,T_fact293928[[#This Row],[players]]*T_fact293928[[#This Row],[stack]]/chips+COUNTIF(T_fact293928[stack],0),T_fact293928[[#This Row],[players]]*T_fact293928[[#This Row],[stack]]/chips)</calculatedColumnFormula>
    </tableColumn>
    <tableColumn id="6" xr3:uid="{FD09F1D0-3456-42B5-938D-C6935F957E12}" name="$stack" dataDxfId="639">
      <calculatedColumnFormula>T_fact293928[[#This Row],[ICM]]+bounty*T_fact293928[[#This Row],[KO]]</calculatedColumnFormula>
    </tableColumn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58C3E736-1605-40FB-9BF6-26360902D442}" name="T_EV334030" displayName="T_EV334030" ref="AQ16:AV22" totalsRowShown="0" tableBorderDxfId="638">
  <autoFilter ref="AQ16:AV22" xr:uid="{00000000-0009-0000-0100-000027000000}"/>
  <tableColumns count="6">
    <tableColumn id="1" xr3:uid="{1A00DA61-1D9E-4E7D-8134-A3D0242EBD28}" name="ICM" dataDxfId="637">
      <calculatedColumnFormula>'3w9h9s шалблон'!p3win* ('3w9h9s шалблон'!p1sp1win*T_p3p1233726[[#This Row],[ICM]] + '3w9h9s шалблон'!p2sp1win*T_p3p2243827[[#This Row],[ICM]])
+'3w9h9s шалблон'!p2win*T_p2223625[[#This Row],[ICM]]
+'3w9h9s шалблон'!p1win*T_p1213519[[#This Row],[ICM]]</calculatedColumnFormula>
    </tableColumn>
    <tableColumn id="2" xr3:uid="{4E80EA99-1BA5-423F-9FBC-9C3B33EA6551}" name="KO" dataDxfId="636">
      <calculatedColumnFormula>('3w9h9s шалблон'!p3win* ('3w9h9s шалблон'!p1sp1win*T_p3p1233726[[#This Row],[KO]] + '3w9h9s шалблон'!p2sp1win*T_p3p2243827[[#This Row],[KO]])
+'3w9h9s шалблон'!p2win*T_p2223625[[#This Row],[KO]]
+'3w9h9s шалблон'!p1win*T_p1213519[[#This Row],[KO]])*bounty</calculatedColumnFormula>
    </tableColumn>
    <tableColumn id="3" xr3:uid="{A1DE64D1-0120-4485-B45B-CB3190E6B3DC}" name="EV" dataDxfId="635">
      <calculatedColumnFormula>'3w9h9s шалблон'!p3win* ('3w9h9s шалблон'!p1sp1win*T_p3p1233726[[#This Row],[$stack]] + '3w9h9s шалблон'!p2sp1win*T_p3p2243827[[#This Row],[$stack]])
+'3w9h9s шалблон'!p2win*T_p2223625[[#This Row],[$stack]]
+'3w9h9s шалблон'!p1win*T_p1213519[[#This Row],[$stack]]</calculatedColumnFormula>
    </tableColumn>
    <tableColumn id="4" xr3:uid="{27659C87-C099-4A29-A715-F32E53475039}" name="chipEV" dataDxfId="634">
      <calculatedColumnFormula>'3w9h9s шалблон'!p3win* ('3w9h9s шалблон'!p1sp1win*T_p3p1233726[[#This Row],[stack]] + '3w9h9s шалблон'!p2sp1win*T_p3p2243827[[#This Row],[stack]])
+'3w9h9s шалблон'!p2win*T_p2223625[[#This Row],[stack]]
+'3w9h9s шалблон'!p1win*T_p1213519[[#This Row],[stack]]</calculatedColumnFormula>
    </tableColumn>
    <tableColumn id="5" xr3:uid="{F61AE052-F233-43E7-8B48-7E137E0B8060}" name="cEVdiff" dataDxfId="633">
      <calculatedColumnFormula>T_EV334030[[#This Row],[chipEV]]-T_fact293928[[#This Row],[stack]]</calculatedColumnFormula>
    </tableColumn>
    <tableColumn id="6" xr3:uid="{DBFBA412-A485-404B-BE54-2640D8E94F70}" name="Evdiff" dataDxfId="632">
      <calculatedColumnFormula>T_EV334030[[#This Row],[EV]]-(T_fact293928[[#This Row],[ICM]]+bounty*T_fact293928[[#This Row],[KO]])</calculatedColumnFormula>
    </tableColumn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7" xr:uid="{D145246E-7A5A-479C-9EE1-4E581E08220A}" name="T_init203448188" displayName="T_init203448188" ref="A16:D23" totalsRowCount="1">
  <autoFilter ref="A16:D22" xr:uid="{00000000-0009-0000-0100-000021000000}">
    <filterColumn colId="0" hiddenButton="1"/>
    <filterColumn colId="1" hiddenButton="1"/>
    <filterColumn colId="2" hiddenButton="1"/>
    <filterColumn colId="3" hiddenButton="1"/>
  </autoFilter>
  <tableColumns count="4">
    <tableColumn id="1" xr3:uid="{C704E540-8835-4E8A-AD8E-51D10C4733FA}" name="p" totalsRowLabel="Total"/>
    <tableColumn id="2" xr3:uid="{963DE6B7-7B73-474B-A3F2-F1EEA3ADD250}" name="stack"/>
    <tableColumn id="3" xr3:uid="{D0886CD1-B089-4D9E-AD10-1B1049E16605}" name="hand"/>
    <tableColumn id="4" xr3:uid="{505BB439-489E-41D5-9788-F8329D9D7FAF}" name="anteblinds" totalsRowFunction="sum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8" xr:uid="{F6DCCAE9-1314-47AA-AD16-03C4520C6A88}" name="T_p12135198289" displayName="T_p12135198289" ref="F16:K22" totalsRowShown="0" tableBorderDxfId="585">
  <autoFilter ref="F16:K22" xr:uid="{00000000-0009-0000-0100-000022000000}"/>
  <tableColumns count="6">
    <tableColumn id="1" xr3:uid="{4CE0A299-127F-4B38-ADDD-99BB60F31FCF}" name="players" dataDxfId="584">
      <calculatedColumnFormula>COUNTIF(T_p12135198289[stack],"&gt;0")</calculatedColumnFormula>
    </tableColumn>
    <tableColumn id="2" xr3:uid="{7CDB1EC2-6159-47A0-AFFF-C8AE0760F873}" name="stack" dataDxfId="583">
      <calculatedColumnFormula>IF(T_init203448188[[#This Row],[p]]=1,mainpot+sidepot1+sidepot2+uncalled,IF(T_init203448188[[#This Row],[p]]&gt;1,0,T_init203448188[[#This Row],[stack]]-T_init203448188[[#This Row],[anteblinds]]))</calculatedColumnFormula>
    </tableColumn>
    <tableColumn id="3" xr3:uid="{78DD3487-9A6B-493B-A8F4-B783ECD8734E}" name="EQ"/>
    <tableColumn id="4" xr3:uid="{52C2D143-0AFB-40CA-92A5-AC66E0B0DB76}" name="ICM" dataDxfId="582">
      <calculatedColumnFormula>T_p12135198289[[#This Row],[EQ]]*prize</calculatedColumnFormula>
    </tableColumn>
    <tableColumn id="5" xr3:uid="{883DB99B-D8BA-4100-A012-2148B1BA62E6}" name="KO" dataDxfId="581">
      <calculatedColumnFormula>IF(T_init203448188[[#This Row],[p]]=1,T_p12135198289[[#This Row],[players]]*T_p12135198289[[#This Row],[stack]]/chips+COUNTIF(T_p12135198289[stack],0),T_p12135198289[[#This Row],[players]]*T_p12135198289[[#This Row],[stack]]/chips)</calculatedColumnFormula>
    </tableColumn>
    <tableColumn id="6" xr3:uid="{C42F4A6F-10E5-4549-B5B3-C95D8538CD3D}" name="$stack" dataDxfId="580">
      <calculatedColumnFormula>T_p12135198289[[#This Row],[ICM]]+bounty*T_p12135198289[[#This Row],[KO]]</calculatedColumnFormula>
    </tableColumn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9" xr:uid="{C1F6742B-FE1F-49ED-8793-555E798F6DE7}" name="T_p22236258390" displayName="T_p22236258390" ref="M16:R22" totalsRowShown="0" tableBorderDxfId="579">
  <autoFilter ref="M16:R22" xr:uid="{00000000-0009-0000-0100-000023000000}"/>
  <tableColumns count="6">
    <tableColumn id="1" xr3:uid="{CDD656DA-8340-4B60-9EB2-6C060B648F34}" name="players" dataDxfId="578" totalsRowDxfId="577">
      <calculatedColumnFormula>COUNTIF(T_p22236258390[stack],"&gt;0")</calculatedColumnFormula>
    </tableColumn>
    <tableColumn id="2" xr3:uid="{D9AE3949-8A23-4508-9CE4-B212EA57A1BF}" name="stack" dataDxfId="576" totalsRowDxfId="575">
      <calculatedColumnFormula>IF(T_init203448188[[#This Row],[p]]=1,uncalled,IF(T_init203448188[[#This Row],[p]]=2,mainpot+sidepot1+sidepot2,IF(T_init203448188[[#This Row],[p]]&gt;2,0,T_init203448188[[#This Row],[stack]]-T_init203448188[[#This Row],[anteblinds]])))</calculatedColumnFormula>
    </tableColumn>
    <tableColumn id="3" xr3:uid="{2C3E05BD-7DF2-4107-BE85-B99F641E565B}" name="EQ" totalsRowDxfId="574"/>
    <tableColumn id="4" xr3:uid="{1F9689DA-E3D2-414E-BBA1-22247E31BEA4}" name="ICM" dataDxfId="573" totalsRowDxfId="572">
      <calculatedColumnFormula>T_p22236258390[[#This Row],[EQ]]*prize</calculatedColumnFormula>
    </tableColumn>
    <tableColumn id="5" xr3:uid="{6F42D334-3C6E-406C-A18D-AD6277C18CD1}" name="KO" dataDxfId="571" totalsRowDxfId="570">
      <calculatedColumnFormula>IF(T_init203448188[[#This Row],[p]]=2,T_p22236258390[[#This Row],[players]]*T_p22236258390[[#This Row],[stack]]/chips+COUNTIF(T_p22236258390[stack],0),T_p22236258390[[#This Row],[players]]*T_p22236258390[[#This Row],[stack]]/chips)</calculatedColumnFormula>
    </tableColumn>
    <tableColumn id="6" xr3:uid="{11FBEEA7-6AE6-4A0F-8A1F-FE834ECB418F}" name="$stack" dataDxfId="569">
      <calculatedColumnFormula>T_p22236258390[[#This Row],[ICM]]+bounty*T_p22236258390[[#This Row],[KO]]</calculatedColumnFormula>
    </tableColumn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0" xr:uid="{24A48164-3E3F-47A7-9ADB-5CB43A7D1F6B}" name="T_p3p12337268491" displayName="T_p3p12337268491" ref="T16:Y22" totalsRowShown="0" tableBorderDxfId="568">
  <autoFilter ref="T16:Y22" xr:uid="{00000000-0009-0000-0100-000024000000}"/>
  <tableColumns count="6">
    <tableColumn id="1" xr3:uid="{ECB80C6F-0F80-462B-B837-3BAFDEDFCE15}" name="players" dataDxfId="567">
      <calculatedColumnFormula>COUNTIF(T_p3p12337268491[stack],"&gt;0")</calculatedColumnFormula>
    </tableColumn>
    <tableColumn id="2" xr3:uid="{04DD4298-8507-4B6B-9980-E3813A2F0CDE}" name="stack" dataDxfId="566">
      <calculatedColumnFormula>IF(T_init203448188[[#This Row],[p]]=1,sidepot1+uncalled,IF(T_init203448188[[#This Row],[p]]=3,mainpot,IF(ISBLANK(T_init203448188[[#This Row],[p]]),T_init203448188[[#This Row],[stack]]-T_init203448188[[#This Row],[anteblinds]],0)))</calculatedColumnFormula>
    </tableColumn>
    <tableColumn id="3" xr3:uid="{A469490D-3136-4C88-B63C-0A639904A4E8}" name="EQ"/>
    <tableColumn id="4" xr3:uid="{4732BF2F-1BFC-4F16-8AA3-5791BC3A25AB}" name="ICM" dataDxfId="565">
      <calculatedColumnFormula>T_p3p12337268491[[#This Row],[EQ]]*prize</calculatedColumnFormula>
    </tableColumn>
    <tableColumn id="5" xr3:uid="{575E0403-9AE3-45C5-8047-D828A5FD3331}" name="KO" dataDxfId="564">
      <calculatedColumnFormula>IF(T_init203448188[[#This Row],[p]]=1,T_p3p12337268491[[#This Row],[players]]*T_p3p12337268491[[#This Row],[stack]]/chips+COUNTIF(T_p3p12337268491[stack],0),T_p3p12337268491[[#This Row],[players]]*T_p3p12337268491[[#This Row],[stack]]/chips)</calculatedColumnFormula>
    </tableColumn>
    <tableColumn id="6" xr3:uid="{745E9FA7-EDD1-48AA-8A08-1D141D94A360}" name="$stack" dataDxfId="563">
      <calculatedColumnFormula>T_p3p12337268491[[#This Row],[ICM]]+bounty*T_p3p12337268491[[#This Row],[KO]]</calculatedColumnFormula>
    </tableColumn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1" xr:uid="{B145B161-7230-4FF5-8055-0D7D8BBAF48A}" name="T_p3p22438278592" displayName="T_p3p22438278592" ref="AA16:AF22" totalsRowShown="0" tableBorderDxfId="562">
  <autoFilter ref="AA16:AF22" xr:uid="{00000000-0009-0000-0100-000025000000}"/>
  <tableColumns count="6">
    <tableColumn id="1" xr3:uid="{5DD267F9-D30D-47BB-8F4B-03BC6FD41192}" name="players" dataDxfId="561" totalsRowDxfId="560">
      <calculatedColumnFormula>COUNTIF(T_p3p22438278592[stack],"&gt;0")</calculatedColumnFormula>
    </tableColumn>
    <tableColumn id="2" xr3:uid="{90CD2D46-99F1-4B55-AB7A-5442AD5CE508}" name="stack" dataDxfId="559" totalsRowDxfId="558">
      <calculatedColumnFormula>IF(T_init203448188[[#This Row],[p]]=1,uncalled,IF(T_init203448188[[#This Row],[p]]=2,sidepot1,IF(T_init203448188[[#This Row],[p]]=3,mainpot,IF(ISBLANK(T_init203448188[[#This Row],[p]]),T_init203448188[[#This Row],[stack]]-T_init203448188[[#This Row],[anteblinds]],0))))</calculatedColumnFormula>
    </tableColumn>
    <tableColumn id="3" xr3:uid="{8B52E9B9-2099-4939-9D77-A3A09C25135F}" name="EQ" totalsRowDxfId="557"/>
    <tableColumn id="4" xr3:uid="{64F4A9E7-5BAC-4C27-A79D-0F5ACD44B1DA}" name="ICM" dataDxfId="556" totalsRowDxfId="555">
      <calculatedColumnFormula>T_p3p22438278592[[#This Row],[EQ]]*prize</calculatedColumnFormula>
    </tableColumn>
    <tableColumn id="5" xr3:uid="{7F3817FC-BF5D-49B4-871C-A26ED9DF5E6D}" name="KO" dataDxfId="554" totalsRowDxfId="553">
      <calculatedColumnFormula>IF(T_init203448188[[#This Row],[p]]=2,T_p3p22438278592[[#This Row],[players]]*T_p3p22438278592[[#This Row],[stack]]/chips+COUNTIF(T_p3p22438278592[stack],0),T_p3p22438278592[[#This Row],[players]]*T_p3p22438278592[[#This Row],[stack]]/chips)</calculatedColumnFormula>
    </tableColumn>
    <tableColumn id="6" xr3:uid="{1AFD3483-0130-4EB4-9632-3BB6B3946C93}" name="$stack" dataDxfId="552">
      <calculatedColumnFormula>T_p3p22438278592[[#This Row],[ICM]]+bounty*T_p3p22438278592[[#This Row],[KO]]</calculatedColumnFormula>
    </tableColumn>
  </tableColumns>
  <tableStyleInfo name="TableStyleLight1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2" xr:uid="{80D9CC09-23B6-42BF-BC83-0411C9AF63E7}" name="T_fact2939288693" displayName="T_fact2939288693" ref="AI16:AN22" totalsRowShown="0" tableBorderDxfId="551">
  <autoFilter ref="AI16:AN22" xr:uid="{00000000-0009-0000-0100-000026000000}"/>
  <tableColumns count="6">
    <tableColumn id="1" xr3:uid="{0B00ADF7-7C19-4A5A-AE48-671DF21DA9FA}" name="players">
      <calculatedColumnFormula>COUNTIF(T_fact2939288693[stack],"&gt;0")</calculatedColumnFormula>
    </tableColumn>
    <tableColumn id="2" xr3:uid="{5CDDFB9E-B5BD-4467-89B0-B6E7D778A23F}" name="stack" dataDxfId="550">
      <calculatedColumnFormula>IF(T_init203448188[[#This Row],[p]]=1,mainpot+sidepot1+sidepot2+uncalled,IF(T_init203448188[[#This Row],[p]]&gt;1,0,T_init203448188[[#This Row],[stack]]))</calculatedColumnFormula>
    </tableColumn>
    <tableColumn id="3" xr3:uid="{3B12F8B4-F78F-49F8-9B34-D214FEFE2B64}" name="EQ"/>
    <tableColumn id="4" xr3:uid="{A46C86B2-7ADF-4A74-8F14-220CE003818A}" name="ICM" dataDxfId="549">
      <calculatedColumnFormula>T_fact2939288693[[#This Row],[EQ]]*prize</calculatedColumnFormula>
    </tableColumn>
    <tableColumn id="5" xr3:uid="{2AD5422D-D524-47B1-8283-5021DF766B1E}" name="KO" dataDxfId="548">
      <calculatedColumnFormula>IF(T_init203448188[[#This Row],[p]]=1,T_fact2939288693[[#This Row],[players]]*T_fact2939288693[[#This Row],[stack]]/chips+COUNTIF(T_fact2939288693[stack],0),T_fact2939288693[[#This Row],[players]]*T_fact2939288693[[#This Row],[stack]]/chips)</calculatedColumnFormula>
    </tableColumn>
    <tableColumn id="6" xr3:uid="{A829FDC4-F2FB-456D-B2C7-BF613834892B}" name="$stack" dataDxfId="547">
      <calculatedColumnFormula>T_fact2939288693[[#This Row],[ICM]]+bounty*T_fact2939288693[[#This Row],[KO]]</calculatedColumnFormula>
    </tableColumn>
  </tableColumns>
  <tableStyleInfo name="TableStyleLight1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3" xr:uid="{982CBAE8-CB3A-4894-85E7-6C9454B83DEB}" name="T_EV3340308794" displayName="T_EV3340308794" ref="AQ16:AV22" totalsRowShown="0" tableBorderDxfId="546">
  <autoFilter ref="AQ16:AV22" xr:uid="{00000000-0009-0000-0100-000027000000}"/>
  <tableColumns count="6">
    <tableColumn id="1" xr3:uid="{248ABB28-A9EE-4E4C-916D-DDE131D765FF}" name="ICM" dataDxfId="545">
      <calculatedColumnFormula>'3wKs2s Ден v2'!p3win* ('3wKs2s Ден v2'!p1sp1win*T_p3p12337268491[[#This Row],[ICM]] + '3wKs2s Ден v2'!p2sp1win*T_p3p22438278592[[#This Row],[ICM]])
+'3wKs2s Ден v2'!p2win*T_p22236258390[[#This Row],[ICM]]
+'3wKs2s Ден v2'!p1win*T_p12135198289[[#This Row],[ICM]]</calculatedColumnFormula>
    </tableColumn>
    <tableColumn id="2" xr3:uid="{DC94038E-BDF6-4645-9D8B-7D6A825B65F5}" name="KO" dataDxfId="544">
      <calculatedColumnFormula>('3wKs2s Ден v2'!p3win* ('3wKs2s Ден v2'!p1sp1win*T_p3p12337268491[[#This Row],[KO]] + '3wKs2s Ден v2'!p2sp1win*T_p3p22438278592[[#This Row],[KO]])
+'3wKs2s Ден v2'!p2win*T_p22236258390[[#This Row],[KO]]
+'3wKs2s Ден v2'!p1win*T_p12135198289[[#This Row],[KO]])*bounty</calculatedColumnFormula>
    </tableColumn>
    <tableColumn id="3" xr3:uid="{42E596E0-4178-468D-A3DF-23E68F392B40}" name="EV" dataDxfId="543">
      <calculatedColumnFormula>'3wKs2s Ден v2'!p3win* ('3wKs2s Ден v2'!p1sp1win*T_p3p12337268491[[#This Row],[$stack]] + '3wKs2s Ден v2'!p2sp1win*T_p3p22438278592[[#This Row],[$stack]])
+'3wKs2s Ден v2'!p2win*T_p22236258390[[#This Row],[$stack]]
+'3wKs2s Ден v2'!p1win*T_p12135198289[[#This Row],[$stack]]</calculatedColumnFormula>
    </tableColumn>
    <tableColumn id="4" xr3:uid="{A75603FA-A397-4A98-9A79-C0BDB6924F16}" name="chipEV" dataDxfId="542">
      <calculatedColumnFormula>'3wKs2s Ден v2'!p3win* ('3wKs2s Ден v2'!p1sp1win*T_p3p12337268491[[#This Row],[stack]] + '3wKs2s Ден v2'!p2sp1win*T_p3p22438278592[[#This Row],[stack]])
+'3wKs2s Ден v2'!p2win*T_p22236258390[[#This Row],[stack]]
+'3wKs2s Ден v2'!p1win*T_p12135198289[[#This Row],[stack]]</calculatedColumnFormula>
    </tableColumn>
    <tableColumn id="5" xr3:uid="{DF407671-32AF-41D9-8B51-E1B2635027B6}" name="cEVdiff" dataDxfId="541">
      <calculatedColumnFormula>T_EV3340308794[[#This Row],[chipEV]]-T_fact2939288693[[#This Row],[stack]]</calculatedColumnFormula>
    </tableColumn>
    <tableColumn id="6" xr3:uid="{DF352717-F9DF-452C-AD1B-96CEDEB2ED75}" name="Evdiff" dataDxfId="540">
      <calculatedColumnFormula>T_EV3340308794[[#This Row],[EV]]-(T_fact2939288693[[#This Row],[ICM]]+bounty*T_fact2939288693[[#This Row],[KO]])</calculatedColumnFormula>
    </tableColumn>
  </tableColumns>
  <tableStyleInfo name="TableStyleLight11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9" xr:uid="{2536FBE5-9516-47F4-9E2C-6EAA48DC988B}" name="T_init20344818895116123130" displayName="T_init20344818895116123130" ref="A16:D23" totalsRowCount="1">
  <autoFilter ref="A16:D22" xr:uid="{00000000-0009-0000-0100-000021000000}">
    <filterColumn colId="0" hiddenButton="1"/>
    <filterColumn colId="1" hiddenButton="1"/>
    <filterColumn colId="2" hiddenButton="1"/>
    <filterColumn colId="3" hiddenButton="1"/>
  </autoFilter>
  <tableColumns count="4">
    <tableColumn id="1" xr3:uid="{51FD678E-F5ED-45E6-B190-D85AE19EC605}" name="p" totalsRowLabel="Total"/>
    <tableColumn id="2" xr3:uid="{2E7EEBC4-A6FD-40E8-8A1F-155879F7E8B8}" name="stack"/>
    <tableColumn id="3" xr3:uid="{C074323C-1C02-4974-9122-FF36AD9FA039}" name="hand"/>
    <tableColumn id="4" xr3:uid="{E30C5E76-83C4-4BCB-AFA2-F99B8CC3F0A6}" name="anteblinds" totalsRowFunction="sum"/>
  </tableColumns>
  <tableStyleInfo name="TableStyleLight11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0" xr:uid="{DB6892F0-F7FF-417E-9781-F1B2DBC51294}" name="T_p1213519828996117124131" displayName="T_p1213519828996117124131" ref="F16:K22" totalsRowShown="0" tableBorderDxfId="355">
  <autoFilter ref="F16:K22" xr:uid="{00000000-0009-0000-0100-000022000000}"/>
  <tableColumns count="6">
    <tableColumn id="1" xr3:uid="{0E961711-94DF-4C6E-84B8-4750586E34E8}" name="players" dataDxfId="354">
      <calculatedColumnFormula>COUNTIF(T_p1213519828996117124131[stack],"&gt;0")</calculatedColumnFormula>
    </tableColumn>
    <tableColumn id="2" xr3:uid="{BDA7C987-1990-4C69-8CA8-51DFE4DB6C3D}" name="stack" dataDxfId="353">
      <calculatedColumnFormula>IF(T_init20344818895116123130[[#This Row],[p]]=1,mainpot+sidepot1+sidepot2+uncalled,IF(T_init20344818895116123130[[#This Row],[p]]&gt;1,0,T_init20344818895116123130[[#This Row],[stack]]-T_init20344818895116123130[[#This Row],[anteblinds]]))</calculatedColumnFormula>
    </tableColumn>
    <tableColumn id="3" xr3:uid="{54CC7FAA-5050-44D7-843D-10E591A82E44}" name="EQ"/>
    <tableColumn id="4" xr3:uid="{F837AEA8-342C-42C6-8438-7DE37827AEA3}" name="ICM" dataDxfId="352">
      <calculatedColumnFormula>T_p1213519828996117124131[[#This Row],[EQ]]*prize</calculatedColumnFormula>
    </tableColumn>
    <tableColumn id="5" xr3:uid="{36AE1B30-89BD-46D7-9906-E7541A2C0BC2}" name="KO" dataDxfId="351">
      <calculatedColumnFormula>IF(T_init20344818895116123130[[#This Row],[p]]=1,T_p1213519828996117124131[[#This Row],[players]]*T_p1213519828996117124131[[#This Row],[stack]]/chips+COUNTIF(T_p1213519828996117124131[stack],0),T_p1213519828996117124131[[#This Row],[players]]*T_p1213519828996117124131[[#This Row],[stack]]/chips)</calculatedColumnFormula>
    </tableColumn>
    <tableColumn id="6" xr3:uid="{302F209C-BF0C-438F-8E5F-8EDEC6924554}" name="$stack" dataDxfId="350">
      <calculatedColumnFormula>T_p1213519828996117124131[[#This Row],[ICM]]+bounty*T_p1213519828996117124131[[#This Row],[KO]]</calculatedColumnFormula>
    </tableColumn>
  </tableColumns>
  <tableStyleInfo name="TableStyleLight11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1" xr:uid="{DCCA1A19-3A69-40A2-9969-8D7E2AAA4280}" name="T_p2223625839097118125132" displayName="T_p2223625839097118125132" ref="M16:R22" totalsRowShown="0" tableBorderDxfId="349">
  <autoFilter ref="M16:R22" xr:uid="{00000000-0009-0000-0100-000023000000}"/>
  <tableColumns count="6">
    <tableColumn id="1" xr3:uid="{81316131-E393-423F-B423-FFB649977EF7}" name="players" dataDxfId="348" totalsRowDxfId="347">
      <calculatedColumnFormula>COUNTIF(T_p2223625839097118125132[stack],"&gt;0")</calculatedColumnFormula>
    </tableColumn>
    <tableColumn id="2" xr3:uid="{58981D8A-2665-4238-A29B-B6B9E33538EB}" name="stack" dataDxfId="346" totalsRowDxfId="345">
      <calculatedColumnFormula>IF(T_init20344818895116123130[[#This Row],[p]]=1,uncalled,IF(T_init20344818895116123130[[#This Row],[p]]=2,mainpot+sidepot1+sidepot2,IF(T_init20344818895116123130[[#This Row],[p]]&gt;2,0,T_init20344818895116123130[[#This Row],[stack]]-T_init20344818895116123130[[#This Row],[anteblinds]])))</calculatedColumnFormula>
    </tableColumn>
    <tableColumn id="3" xr3:uid="{2AE164DC-69CC-4E06-9361-4EA9FA061839}" name="EQ" totalsRowDxfId="344"/>
    <tableColumn id="4" xr3:uid="{CD0476D1-D12C-4D7B-994C-2BEB64DAA9F4}" name="ICM" dataDxfId="343" totalsRowDxfId="342">
      <calculatedColumnFormula>T_p2223625839097118125132[[#This Row],[EQ]]*prize</calculatedColumnFormula>
    </tableColumn>
    <tableColumn id="5" xr3:uid="{8F1FE12D-8EED-42DA-B2D6-3D6BF44EADF4}" name="KO" dataDxfId="341" totalsRowDxfId="340">
      <calculatedColumnFormula>IF(T_init20344818895116123130[[#This Row],[p]]=2,T_p2223625839097118125132[[#This Row],[players]]*T_p2223625839097118125132[[#This Row],[stack]]/chips+COUNTIF(T_p2223625839097118125132[stack],0),T_p2223625839097118125132[[#This Row],[players]]*T_p2223625839097118125132[[#This Row],[stack]]/chips)</calculatedColumnFormula>
    </tableColumn>
    <tableColumn id="6" xr3:uid="{DC9B8CDF-A585-49B5-B4F6-8B451D33F1C4}" name="$stack" dataDxfId="339">
      <calculatedColumnFormula>T_p2223625839097118125132[[#This Row],[ICM]]+bounty*T_p2223625839097118125132[[#This Row],[KO]]</calculatedColumnFormula>
    </tableColumn>
  </tableColumns>
  <tableStyleInfo name="TableStyleLight11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2" xr:uid="{0B08C09F-B4BC-4C6C-8894-6D19C4917AA4}" name="T_p3p1233726849198119126133" displayName="T_p3p1233726849198119126133" ref="T16:Y22" totalsRowShown="0" tableBorderDxfId="338">
  <autoFilter ref="T16:Y22" xr:uid="{00000000-0009-0000-0100-000024000000}"/>
  <tableColumns count="6">
    <tableColumn id="1" xr3:uid="{CDB62C0F-FF9C-49ED-B552-44BEFFA85097}" name="players" dataDxfId="337">
      <calculatedColumnFormula>COUNTIF(T_p3p1233726849198119126133[stack],"&gt;0")</calculatedColumnFormula>
    </tableColumn>
    <tableColumn id="2" xr3:uid="{4867BBF0-0742-4265-8132-B36FD9AF124F}" name="stack" dataDxfId="336">
      <calculatedColumnFormula>IF(T_init20344818895116123130[[#This Row],[p]]=1,sidepot1+uncalled,IF(T_init20344818895116123130[[#This Row],[p]]=3,mainpot,IF(ISBLANK(T_init20344818895116123130[[#This Row],[p]]),T_init20344818895116123130[[#This Row],[stack]]-T_init20344818895116123130[[#This Row],[anteblinds]],0)))</calculatedColumnFormula>
    </tableColumn>
    <tableColumn id="3" xr3:uid="{804737C0-A667-4677-B174-A850E2736447}" name="EQ"/>
    <tableColumn id="4" xr3:uid="{8321B11D-CF1B-4A0C-8C6D-12F77A1198FD}" name="ICM" dataDxfId="335">
      <calculatedColumnFormula>T_p3p1233726849198119126133[[#This Row],[EQ]]*prize</calculatedColumnFormula>
    </tableColumn>
    <tableColumn id="5" xr3:uid="{BD8B0DD3-5F63-4A91-ADE8-11521E9E9D22}" name="KO" dataDxfId="334">
      <calculatedColumnFormula>IF(T_init20344818895116123130[[#This Row],[p]]=1,T_p3p1233726849198119126133[[#This Row],[players]]*T_p3p1233726849198119126133[[#This Row],[stack]]/chips+COUNTIF(T_p3p1233726849198119126133[stack],0),T_p3p1233726849198119126133[[#This Row],[players]]*T_p3p1233726849198119126133[[#This Row],[stack]]/chips)</calculatedColumnFormula>
    </tableColumn>
    <tableColumn id="6" xr3:uid="{0232B03A-B4CF-4AD0-957B-F84140CA836C}" name="$stack" dataDxfId="333">
      <calculatedColumnFormula>T_p3p1233726849198119126133[[#This Row],[ICM]]+bounty*T_p3p1233726849198119126133[[#This Row],[KO]]</calculatedColumnFormula>
    </tableColumn>
  </tableColumns>
  <tableStyleInfo name="TableStyleLight11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3" xr:uid="{2F26F51D-B0B1-4C18-9E29-97F68DF0B67F}" name="T_p3p2243827859299120127134" displayName="T_p3p2243827859299120127134" ref="AA16:AF22" totalsRowShown="0" tableBorderDxfId="332">
  <autoFilter ref="AA16:AF22" xr:uid="{00000000-0009-0000-0100-000025000000}"/>
  <tableColumns count="6">
    <tableColumn id="1" xr3:uid="{66A998DA-5EEA-4E29-BB7C-818CE3D37928}" name="players" dataDxfId="331" totalsRowDxfId="330">
      <calculatedColumnFormula>COUNTIF(T_p3p2243827859299120127134[stack],"&gt;0")</calculatedColumnFormula>
    </tableColumn>
    <tableColumn id="2" xr3:uid="{DFA7DCD3-784B-4487-8C46-F1FD991C24D0}" name="stack" dataDxfId="329" totalsRowDxfId="328">
      <calculatedColumnFormula>IF(T_init20344818895116123130[[#This Row],[p]]=1,uncalled,IF(T_init20344818895116123130[[#This Row],[p]]=2,sidepot1,IF(T_init20344818895116123130[[#This Row],[p]]=3,mainpot,IF(ISBLANK(T_init20344818895116123130[[#This Row],[p]]),T_init20344818895116123130[[#This Row],[stack]]-T_init20344818895116123130[[#This Row],[anteblinds]],0))))</calculatedColumnFormula>
    </tableColumn>
    <tableColumn id="3" xr3:uid="{5085B68F-0592-48B2-B42D-9766264FBF3A}" name="EQ" totalsRowDxfId="327"/>
    <tableColumn id="4" xr3:uid="{BC9E2762-6D50-4543-8BB2-EEA654E109F9}" name="ICM" dataDxfId="326" totalsRowDxfId="325">
      <calculatedColumnFormula>T_p3p2243827859299120127134[[#This Row],[EQ]]*prize</calculatedColumnFormula>
    </tableColumn>
    <tableColumn id="5" xr3:uid="{046947B2-0EF7-4F02-A5AB-935781973818}" name="KO" dataDxfId="324" totalsRowDxfId="323">
      <calculatedColumnFormula>IF(T_init20344818895116123130[[#This Row],[p]]=2,T_p3p2243827859299120127134[[#This Row],[players]]*T_p3p2243827859299120127134[[#This Row],[stack]]/chips+COUNTIF(T_p3p2243827859299120127134[stack],0),T_p3p2243827859299120127134[[#This Row],[players]]*T_p3p2243827859299120127134[[#This Row],[stack]]/chips)</calculatedColumnFormula>
    </tableColumn>
    <tableColumn id="6" xr3:uid="{18A61D52-A44A-4068-9D70-8C6ACB8F5C95}" name="$stack" dataDxfId="322">
      <calculatedColumnFormula>T_p3p2243827859299120127134[[#This Row],[ICM]]+bounty*T_p3p2243827859299120127134[[#This Row],[KO]]</calculatedColumnFormula>
    </tableColumn>
  </tableColumns>
  <tableStyleInfo name="TableStyleLight11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4" xr:uid="{D339705E-6672-4DE0-8243-07DA154EC526}" name="T_fact2939288693100121128135" displayName="T_fact2939288693100121128135" ref="AI16:AN22" totalsRowShown="0" tableBorderDxfId="321">
  <autoFilter ref="AI16:AN22" xr:uid="{00000000-0009-0000-0100-000026000000}"/>
  <tableColumns count="6">
    <tableColumn id="1" xr3:uid="{870ED4BA-DAE0-4874-96F8-31AD9EDBEF57}" name="players">
      <calculatedColumnFormula>COUNTIF(T_fact2939288693100121128135[stack],"&gt;0")</calculatedColumnFormula>
    </tableColumn>
    <tableColumn id="2" xr3:uid="{8D5A2137-5F42-4F66-B511-D9393C37E5C7}" name="stack" dataDxfId="320">
      <calculatedColumnFormula>IF(T_init20344818895116123130[[#This Row],[p]]=1,mainpot+sidepot1+sidepot2+uncalled,IF(T_init20344818895116123130[[#This Row],[p]]&gt;1,0,T_init20344818895116123130[[#This Row],[stack]]))</calculatedColumnFormula>
    </tableColumn>
    <tableColumn id="3" xr3:uid="{7B2D9E2E-5CD3-442B-9A51-8B579A9F4837}" name="EQ"/>
    <tableColumn id="4" xr3:uid="{2AC16D7F-3653-4641-A791-2FAD589D3889}" name="ICM" dataDxfId="319">
      <calculatedColumnFormula>T_fact2939288693100121128135[[#This Row],[EQ]]*prize</calculatedColumnFormula>
    </tableColumn>
    <tableColumn id="5" xr3:uid="{C2030132-8077-4B7A-9BD9-BD41F3B030E1}" name="KO" dataDxfId="318">
      <calculatedColumnFormula>IF(T_init20344818895116123130[[#This Row],[p]]=1,T_fact2939288693100121128135[[#This Row],[players]]*T_fact2939288693100121128135[[#This Row],[stack]]/chips+COUNTIF(T_fact2939288693100121128135[stack],0),T_fact2939288693100121128135[[#This Row],[players]]*T_fact2939288693100121128135[[#This Row],[stack]]/chips)</calculatedColumnFormula>
    </tableColumn>
    <tableColumn id="6" xr3:uid="{D635533F-0804-4A32-9CEC-9E94F853B3C5}" name="$stack" dataDxfId="317">
      <calculatedColumnFormula>T_fact2939288693100121128135[[#This Row],[ICM]]+bounty*T_fact2939288693100121128135[[#This Row],[KO]]</calculatedColumnFormula>
    </tableColumn>
  </tableColumns>
  <tableStyleInfo name="TableStyleLight11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5" xr:uid="{EDD425F2-D495-4C19-A454-7F8CD4CD92C8}" name="T_EV3340308794101122129136" displayName="T_EV3340308794101122129136" ref="AQ16:AV22" totalsRowShown="0" tableBorderDxfId="316">
  <autoFilter ref="AQ16:AV22" xr:uid="{00000000-0009-0000-0100-000027000000}"/>
  <tableColumns count="6">
    <tableColumn id="1" xr3:uid="{CEBDF757-5DE1-4F3C-891C-7A5CD0BBE286}" name="ICM" dataDxfId="315">
      <calculatedColumnFormula>'3w Ac5c Ден'!p3win* ('3w Ac5c Ден'!p1sp1win*T_p3p1233726849198119126133[[#This Row],[ICM]] + '3w Ac5c Ден'!p2sp1win*T_p3p2243827859299120127134[[#This Row],[ICM]])
+'3w Ac5c Ден'!p2win*T_p2223625839097118125132[[#This Row],[ICM]]
+'3w Ac5c Ден'!p1win*T_p1213519828996117124131[[#This Row],[ICM]]</calculatedColumnFormula>
    </tableColumn>
    <tableColumn id="2" xr3:uid="{B862A5A4-FEC8-4D8F-9D43-3D7E09F415A1}" name="KO" dataDxfId="314">
      <calculatedColumnFormula>('3w Ac5c Ден'!p3win* ('3w Ac5c Ден'!p1sp1win*T_p3p1233726849198119126133[[#This Row],[KO]] + '3w Ac5c Ден'!p2sp1win*T_p3p2243827859299120127134[[#This Row],[KO]])
+'3w Ac5c Ден'!p2win*T_p2223625839097118125132[[#This Row],[KO]]
+'3w Ac5c Ден'!p1win*T_p1213519828996117124131[[#This Row],[KO]])*bounty</calculatedColumnFormula>
    </tableColumn>
    <tableColumn id="3" xr3:uid="{536F2890-BFE6-48D1-8C60-9BB02A7DB7D8}" name="EV" dataDxfId="313">
      <calculatedColumnFormula>'3w Ac5c Ден'!p3win* ('3w Ac5c Ден'!p1sp1win*T_p3p1233726849198119126133[[#This Row],[$stack]] + '3w Ac5c Ден'!p2sp1win*T_p3p2243827859299120127134[[#This Row],[$stack]])
+'3w Ac5c Ден'!p2win*T_p2223625839097118125132[[#This Row],[$stack]]
+'3w Ac5c Ден'!p1win*T_p1213519828996117124131[[#This Row],[$stack]]</calculatedColumnFormula>
    </tableColumn>
    <tableColumn id="4" xr3:uid="{7BE4E9A1-9B3F-44BE-8F7B-8B06FDC1A26B}" name="chipEV" dataDxfId="312">
      <calculatedColumnFormula>'3w Ac5c Ден'!p3win* ('3w Ac5c Ден'!p1sp1win*T_p3p1233726849198119126133[[#This Row],[stack]] + '3w Ac5c Ден'!p2sp1win*T_p3p2243827859299120127134[[#This Row],[stack]])
+'3w Ac5c Ден'!p2win*T_p2223625839097118125132[[#This Row],[stack]]
+'3w Ac5c Ден'!p1win*T_p1213519828996117124131[[#This Row],[stack]]</calculatedColumnFormula>
    </tableColumn>
    <tableColumn id="5" xr3:uid="{568D433F-A2A3-45E5-85DF-F7F6718323F6}" name="cEVdiff" dataDxfId="311">
      <calculatedColumnFormula>T_EV3340308794101122129136[[#This Row],[chipEV]]-T_fact2939288693100121128135[[#This Row],[stack]]</calculatedColumnFormula>
    </tableColumn>
    <tableColumn id="6" xr3:uid="{FD384CE2-85A4-4734-8DE9-67AC2A36332E}" name="Evdiff" dataDxfId="310">
      <calculatedColumnFormula>T_EV3340308794101122129136[[#This Row],[EV]]-(T_fact2939288693100121128135[[#This Row],[ICM]]+bounty*T_fact2939288693100121128135[[#This Row],[KO]])</calculatedColumnFormula>
    </tableColumn>
  </tableColumns>
  <tableStyleInfo name="TableStyleLight11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0" xr:uid="{AD686A3F-B332-44CF-81FB-7EA4146AC8FD}" name="T_init2034481" displayName="T_init2034481" ref="A16:D23" totalsRowCount="1">
  <autoFilter ref="A16:D22" xr:uid="{00000000-0009-0000-0100-000021000000}">
    <filterColumn colId="0" hiddenButton="1"/>
    <filterColumn colId="1" hiddenButton="1"/>
    <filterColumn colId="2" hiddenButton="1"/>
    <filterColumn colId="3" hiddenButton="1"/>
  </autoFilter>
  <tableColumns count="4">
    <tableColumn id="1" xr3:uid="{9C4C44D8-B93E-4086-B6F4-CEC356527D4F}" name="p" totalsRowLabel="Total"/>
    <tableColumn id="2" xr3:uid="{6EE2BA4A-E6A6-4027-AA41-022D96F3F068}" name="stack"/>
    <tableColumn id="3" xr3:uid="{04A1B1A7-0817-4CBE-A600-75C1D71FD53D}" name="hand"/>
    <tableColumn id="4" xr3:uid="{C0380ADD-017E-45BD-852D-79B0E2703150}" name="anteblinds" totalsRowFunction="sum"/>
  </tableColumns>
  <tableStyleInfo name="TableStyleLight11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1" xr:uid="{7667402B-9F91-46A0-B029-20AF2AC6692E}" name="T_p121351982" displayName="T_p121351982" ref="F16:K22" totalsRowShown="0" tableBorderDxfId="631">
  <autoFilter ref="F16:K22" xr:uid="{00000000-0009-0000-0100-000022000000}"/>
  <tableColumns count="6">
    <tableColumn id="1" xr3:uid="{0F198E1A-25A5-4ACB-AA80-464802F1C843}" name="players" dataDxfId="630">
      <calculatedColumnFormula>COUNTIF(T_p121351982[stack],"&gt;0")</calculatedColumnFormula>
    </tableColumn>
    <tableColumn id="2" xr3:uid="{159D55E8-3719-4B4D-B0A5-5DFE020501AC}" name="stack" dataDxfId="629">
      <calculatedColumnFormula>IF(T_init2034481[[#This Row],[p]]=1,mainpot+sidepot1+sidepot2+uncalled,IF(T_init2034481[[#This Row],[p]]&gt;1,0,T_init2034481[[#This Row],[stack]]-T_init2034481[[#This Row],[anteblinds]]))</calculatedColumnFormula>
    </tableColumn>
    <tableColumn id="3" xr3:uid="{97C85245-57F7-47FD-8FA5-CB77159CA35D}" name="EQ"/>
    <tableColumn id="4" xr3:uid="{B0C73421-45E8-4176-9C0C-73AE1DBF61E5}" name="ICM" dataDxfId="628">
      <calculatedColumnFormula>T_p121351982[[#This Row],[EQ]]*prize</calculatedColumnFormula>
    </tableColumn>
    <tableColumn id="5" xr3:uid="{55E25247-F084-4829-8D84-321BD2EA6D6D}" name="KO" dataDxfId="627">
      <calculatedColumnFormula>IF(T_init2034481[[#This Row],[p]]=1,T_p121351982[[#This Row],[players]]*T_p121351982[[#This Row],[stack]]/chips+COUNTIF(T_p121351982[stack],0),T_p121351982[[#This Row],[players]]*T_p121351982[[#This Row],[stack]]/chips)</calculatedColumnFormula>
    </tableColumn>
    <tableColumn id="6" xr3:uid="{DC869908-073B-4151-B088-95FBEE36F7EF}" name="$stack" dataDxfId="626">
      <calculatedColumnFormula>T_p121351982[[#This Row],[ICM]]+bounty*T_p121351982[[#This Row],[KO]]</calculatedColumnFormula>
    </tableColumn>
  </tableColumns>
  <tableStyleInfo name="TableStyleLight11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2" xr:uid="{D3F8613B-574D-4080-8FAF-BA36CC1D579E}" name="T_p222362583" displayName="T_p222362583" ref="M16:R22" totalsRowShown="0" tableBorderDxfId="625">
  <autoFilter ref="M16:R22" xr:uid="{00000000-0009-0000-0100-000023000000}"/>
  <tableColumns count="6">
    <tableColumn id="1" xr3:uid="{BBB9DF55-1582-4A6A-982E-78A5167700BC}" name="players" dataDxfId="624" totalsRowDxfId="623">
      <calculatedColumnFormula>COUNTIF(T_p222362583[stack],"&gt;0")</calculatedColumnFormula>
    </tableColumn>
    <tableColumn id="2" xr3:uid="{D23195CF-B6F3-4F38-9CE0-709FDFBECA80}" name="stack" dataDxfId="622" totalsRowDxfId="621">
      <calculatedColumnFormula>IF(T_init2034481[[#This Row],[p]]=1,uncalled,IF(T_init2034481[[#This Row],[p]]=2,mainpot+sidepot1+sidepot2,IF(T_init2034481[[#This Row],[p]]&gt;2,0,T_init2034481[[#This Row],[stack]]-T_init2034481[[#This Row],[anteblinds]])))</calculatedColumnFormula>
    </tableColumn>
    <tableColumn id="3" xr3:uid="{48CF7556-0FB6-4E38-8FEB-4C886098921F}" name="EQ" totalsRowDxfId="620"/>
    <tableColumn id="4" xr3:uid="{FBB59148-7097-48EB-85E8-B9CA134C590B}" name="ICM" dataDxfId="619" totalsRowDxfId="618">
      <calculatedColumnFormula>T_p222362583[[#This Row],[EQ]]*prize</calculatedColumnFormula>
    </tableColumn>
    <tableColumn id="5" xr3:uid="{ED6973CE-A867-4E36-9E7A-B673E47B4111}" name="KO" dataDxfId="617" totalsRowDxfId="616">
      <calculatedColumnFormula>IF(T_init2034481[[#This Row],[p]]=2,T_p222362583[[#This Row],[players]]*T_p222362583[[#This Row],[stack]]/chips+COUNTIF(T_p222362583[stack],0),T_p222362583[[#This Row],[players]]*T_p222362583[[#This Row],[stack]]/chips)</calculatedColumnFormula>
    </tableColumn>
    <tableColumn id="6" xr3:uid="{647E0406-A7E4-4179-BE56-39DD12A3F528}" name="$stack" dataDxfId="615">
      <calculatedColumnFormula>T_p222362583[[#This Row],[ICM]]+bounty*T_p222362583[[#This Row],[KO]]</calculatedColumnFormula>
    </tableColumn>
  </tableColumns>
  <tableStyleInfo name="TableStyleLight11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3" xr:uid="{E4D651E0-234F-4D39-BE54-6FDCCBAE461D}" name="T_p3p123372684" displayName="T_p3p123372684" ref="T16:Y22" totalsRowShown="0" tableBorderDxfId="614">
  <autoFilter ref="T16:Y22" xr:uid="{00000000-0009-0000-0100-000024000000}"/>
  <tableColumns count="6">
    <tableColumn id="1" xr3:uid="{A9CBB43A-EE94-4AA9-900E-E21EB0BA77EF}" name="players" dataDxfId="613">
      <calculatedColumnFormula>COUNTIF(T_p3p123372684[stack],"&gt;0")</calculatedColumnFormula>
    </tableColumn>
    <tableColumn id="2" xr3:uid="{561D878E-DBFB-4784-B2BC-0C1400ACA135}" name="stack" dataDxfId="612">
      <calculatedColumnFormula>IF(T_init2034481[[#This Row],[p]]=1,sidepot1+uncalled,IF(T_init2034481[[#This Row],[p]]=3,mainpot,IF(ISBLANK(T_init2034481[[#This Row],[p]]),T_init2034481[[#This Row],[stack]]-T_init2034481[[#This Row],[anteblinds]],0)))</calculatedColumnFormula>
    </tableColumn>
    <tableColumn id="3" xr3:uid="{00973B27-5330-4A58-B834-9CEDB5518F62}" name="EQ"/>
    <tableColumn id="4" xr3:uid="{6872C2EC-97F0-4F01-88DB-26689CD973E6}" name="ICM" dataDxfId="611">
      <calculatedColumnFormula>T_p3p123372684[[#This Row],[EQ]]*prize</calculatedColumnFormula>
    </tableColumn>
    <tableColumn id="5" xr3:uid="{CAE250B4-4925-45FE-995F-33F7EDDFD720}" name="KO" dataDxfId="610">
      <calculatedColumnFormula>IF(T_init2034481[[#This Row],[p]]=1,T_p3p123372684[[#This Row],[players]]*T_p3p123372684[[#This Row],[stack]]/chips+COUNTIF(T_p3p123372684[stack],0),T_p3p123372684[[#This Row],[players]]*T_p3p123372684[[#This Row],[stack]]/chips)</calculatedColumnFormula>
    </tableColumn>
    <tableColumn id="6" xr3:uid="{FE15796E-2380-4D72-973D-7BBF40067D5D}" name="$stack" dataDxfId="609">
      <calculatedColumnFormula>T_p3p123372684[[#This Row],[ICM]]+bounty*T_p3p123372684[[#This Row],[KO]]</calculatedColumnFormula>
    </tableColumn>
  </tableColumns>
  <tableStyleInfo name="TableStyleLight11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4" xr:uid="{D62BD7EF-E25B-43B9-B706-CB48609F1EC4}" name="T_p3p224382785" displayName="T_p3p224382785" ref="AA16:AF22" totalsRowShown="0" tableBorderDxfId="608">
  <autoFilter ref="AA16:AF22" xr:uid="{00000000-0009-0000-0100-000025000000}"/>
  <tableColumns count="6">
    <tableColumn id="1" xr3:uid="{F1AC1FE6-8466-4C39-B32E-420C9BC9CB0C}" name="players" dataDxfId="607" totalsRowDxfId="606">
      <calculatedColumnFormula>COUNTIF(T_p3p224382785[stack],"&gt;0")</calculatedColumnFormula>
    </tableColumn>
    <tableColumn id="2" xr3:uid="{F40A6A19-D707-4FF1-9F16-1FF37811D67D}" name="stack" dataDxfId="605" totalsRowDxfId="604">
      <calculatedColumnFormula>IF(T_init2034481[[#This Row],[p]]=1,uncalled,IF(T_init2034481[[#This Row],[p]]=2,sidepot1,IF(T_init2034481[[#This Row],[p]]=3,mainpot,IF(ISBLANK(T_init2034481[[#This Row],[p]]),T_init2034481[[#This Row],[stack]]-T_init2034481[[#This Row],[anteblinds]],0))))</calculatedColumnFormula>
    </tableColumn>
    <tableColumn id="3" xr3:uid="{4238D857-048F-41B8-A5D3-F83E75674C28}" name="EQ" totalsRowDxfId="603"/>
    <tableColumn id="4" xr3:uid="{8DEAF03C-764E-4205-BC42-50AC3EDE557E}" name="ICM" dataDxfId="602" totalsRowDxfId="601">
      <calculatedColumnFormula>T_p3p224382785[[#This Row],[EQ]]*prize</calculatedColumnFormula>
    </tableColumn>
    <tableColumn id="5" xr3:uid="{161EEDD5-94EB-4677-8113-B07F526CC9FC}" name="KO" dataDxfId="600" totalsRowDxfId="599">
      <calculatedColumnFormula>IF(T_init2034481[[#This Row],[p]]=2,T_p3p224382785[[#This Row],[players]]*T_p3p224382785[[#This Row],[stack]]/chips+COUNTIF(T_p3p224382785[stack],0),T_p3p224382785[[#This Row],[players]]*T_p3p224382785[[#This Row],[stack]]/chips)</calculatedColumnFormula>
    </tableColumn>
    <tableColumn id="6" xr3:uid="{DBD0403C-CE84-48D4-B863-7801DC6AAB14}" name="$stack" dataDxfId="598">
      <calculatedColumnFormula>T_p3p224382785[[#This Row],[ICM]]+bounty*T_p3p224382785[[#This Row],[KO]]</calculatedColumnFormula>
    </tableColumn>
  </tableColumns>
  <tableStyleInfo name="TableStyleLight11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5" xr:uid="{5BDD3355-2F34-4325-818B-590FA3E88CE8}" name="T_fact29392886" displayName="T_fact29392886" ref="AI16:AN22" totalsRowShown="0" tableBorderDxfId="597">
  <autoFilter ref="AI16:AN22" xr:uid="{00000000-0009-0000-0100-000026000000}"/>
  <tableColumns count="6">
    <tableColumn id="1" xr3:uid="{07996CA1-8560-43DC-A169-6DE54B99154A}" name="players">
      <calculatedColumnFormula>COUNTIF(T_fact29392886[stack],"&gt;0")</calculatedColumnFormula>
    </tableColumn>
    <tableColumn id="2" xr3:uid="{CBD528DC-C715-4756-A8C3-0E4D41252E7A}" name="stack" dataDxfId="596">
      <calculatedColumnFormula>IF(T_init2034481[[#This Row],[p]]=1,mainpot+sidepot1+sidepot2+uncalled,IF(T_init2034481[[#This Row],[p]]&gt;1,0,T_init2034481[[#This Row],[stack]]))</calculatedColumnFormula>
    </tableColumn>
    <tableColumn id="3" xr3:uid="{67AA54C1-5075-4DD4-A8FC-9EDF224E1598}" name="EQ"/>
    <tableColumn id="4" xr3:uid="{A90AF8C4-A96C-4721-BA77-15F9A4828343}" name="ICM" dataDxfId="595">
      <calculatedColumnFormula>T_fact29392886[[#This Row],[EQ]]*prize</calculatedColumnFormula>
    </tableColumn>
    <tableColumn id="5" xr3:uid="{DCF1DB47-AE4D-4CC8-BA09-6B3BED90B32B}" name="KO" dataDxfId="594">
      <calculatedColumnFormula>IF(T_init2034481[[#This Row],[p]]=1,T_fact29392886[[#This Row],[players]]*T_fact29392886[[#This Row],[stack]]/chips+COUNTIF(T_fact29392886[stack],0),T_fact29392886[[#This Row],[players]]*T_fact29392886[[#This Row],[stack]]/chips)</calculatedColumnFormula>
    </tableColumn>
    <tableColumn id="6" xr3:uid="{36391343-F905-43F5-8B3B-F3CA514A2E25}" name="$stack" dataDxfId="593">
      <calculatedColumnFormula>T_fact29392886[[#This Row],[ICM]]+bounty*T_fact29392886[[#This Row],[KO]]</calculatedColumnFormula>
    </tableColumn>
  </tableColumns>
  <tableStyleInfo name="TableStyleLight11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6" xr:uid="{61F7E0C3-D171-4B64-B70D-9C4F6BE2425F}" name="T_EV33403087" displayName="T_EV33403087" ref="AQ16:AV22" totalsRowShown="0" tableBorderDxfId="592">
  <autoFilter ref="AQ16:AV22" xr:uid="{00000000-0009-0000-0100-000027000000}"/>
  <tableColumns count="6">
    <tableColumn id="1" xr3:uid="{36E8C5E5-2318-4D47-8DC2-037C1AD1D321}" name="ICM" dataDxfId="591">
      <calculatedColumnFormula>'3w 98s v2'!p3win* ('3w 98s v2'!p1sp1win*T_p3p123372684[[#This Row],[ICM]] + '3w 98s v2'!p2sp1win*T_p3p224382785[[#This Row],[ICM]])
+'3w 98s v2'!p2win*T_p222362583[[#This Row],[ICM]]
+'3w 98s v2'!p1win*T_p121351982[[#This Row],[ICM]]</calculatedColumnFormula>
    </tableColumn>
    <tableColumn id="2" xr3:uid="{F624C168-EF41-4360-BECD-0AB6721BC333}" name="KO" dataDxfId="590">
      <calculatedColumnFormula>('3w 98s v2'!p3win* ('3w 98s v2'!p1sp1win*T_p3p123372684[[#This Row],[KO]] + '3w 98s v2'!p2sp1win*T_p3p224382785[[#This Row],[KO]])
+'3w 98s v2'!p2win*T_p222362583[[#This Row],[KO]]
+'3w 98s v2'!p1win*T_p121351982[[#This Row],[KO]])*bounty</calculatedColumnFormula>
    </tableColumn>
    <tableColumn id="3" xr3:uid="{93B33DEC-875E-4DE9-B4B6-32969608E6F1}" name="EV" dataDxfId="589">
      <calculatedColumnFormula>'3w 98s v2'!p3win* ('3w 98s v2'!p1sp1win*T_p3p123372684[[#This Row],[$stack]] + '3w 98s v2'!p2sp1win*T_p3p224382785[[#This Row],[$stack]])
+'3w 98s v2'!p2win*T_p222362583[[#This Row],[$stack]]
+'3w 98s v2'!p1win*T_p121351982[[#This Row],[$stack]]</calculatedColumnFormula>
    </tableColumn>
    <tableColumn id="4" xr3:uid="{5293520B-77BA-44EA-BF56-78723B5815E6}" name="chipEV" dataDxfId="588">
      <calculatedColumnFormula>'3w 98s v2'!p3win* ('3w 98s v2'!p1sp1win*T_p3p123372684[[#This Row],[stack]] + '3w 98s v2'!p2sp1win*T_p3p224382785[[#This Row],[stack]])
+'3w 98s v2'!p2win*T_p222362583[[#This Row],[stack]]
+'3w 98s v2'!p1win*T_p121351982[[#This Row],[stack]]</calculatedColumnFormula>
    </tableColumn>
    <tableColumn id="5" xr3:uid="{ECBBC878-DD7E-4F12-B205-615B1D1B6360}" name="cEVdiff" dataDxfId="587">
      <calculatedColumnFormula>T_EV33403087[[#This Row],[chipEV]]-T_fact29392886[[#This Row],[stack]]</calculatedColumnFormula>
    </tableColumn>
    <tableColumn id="6" xr3:uid="{57B88202-2BE4-4420-B4C8-2FC7B4D00674}" name="Evdiff" dataDxfId="586">
      <calculatedColumnFormula>T_EV33403087[[#This Row],[EV]]-(T_fact29392886[[#This Row],[ICM]]+bounty*T_fact29392886[[#This Row],[KO]])</calculatedColumnFormula>
    </tableColumn>
  </tableColumns>
  <tableStyleInfo name="TableStyleLight11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4" xr:uid="{B28C5810-5394-4617-8C9C-66BC4445E917}" name="T_init20344818895" displayName="T_init20344818895" ref="A16:D23" totalsRowCount="1">
  <autoFilter ref="A16:D22" xr:uid="{00000000-0009-0000-0100-000021000000}">
    <filterColumn colId="0" hiddenButton="1"/>
    <filterColumn colId="1" hiddenButton="1"/>
    <filterColumn colId="2" hiddenButton="1"/>
    <filterColumn colId="3" hiddenButton="1"/>
  </autoFilter>
  <tableColumns count="4">
    <tableColumn id="1" xr3:uid="{0D324D50-DBB3-4950-9657-605CD0B90451}" name="p" totalsRowLabel="Total"/>
    <tableColumn id="2" xr3:uid="{D42BE5BF-D008-4656-9BF9-58217FD1DC30}" name="stack"/>
    <tableColumn id="3" xr3:uid="{3BD8F66D-CA40-49EB-AE94-8A301BC20718}" name="hand"/>
    <tableColumn id="4" xr3:uid="{63CB3E51-0DC8-4327-8D37-C927F844D048}" name="anteblinds" totalsRowFunction="sum"/>
  </tableColumns>
  <tableStyleInfo name="TableStyleLight11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5" xr:uid="{AF97D724-06B4-4B9F-95C6-30C20D354717}" name="T_p1213519828996" displayName="T_p1213519828996" ref="F16:K22" totalsRowShown="0" tableBorderDxfId="447">
  <autoFilter ref="F16:K22" xr:uid="{00000000-0009-0000-0100-000022000000}"/>
  <tableColumns count="6">
    <tableColumn id="1" xr3:uid="{40E4E3E7-9AA9-40C6-A838-F937BA0ADAC0}" name="players" dataDxfId="446">
      <calculatedColumnFormula>COUNTIF(T_p1213519828996[stack],"&gt;0")</calculatedColumnFormula>
    </tableColumn>
    <tableColumn id="2" xr3:uid="{E2BECD14-10C4-4D71-8888-77607C261357}" name="stack" dataDxfId="445">
      <calculatedColumnFormula>IF(T_init20344818895[[#This Row],[p]]=1,mainpot+sidepot1+sidepot2+uncalled,IF(T_init20344818895[[#This Row],[p]]&gt;1,0,T_init20344818895[[#This Row],[stack]]-T_init20344818895[[#This Row],[anteblinds]]))</calculatedColumnFormula>
    </tableColumn>
    <tableColumn id="3" xr3:uid="{5EC2E7E6-7088-43EB-BEB3-9EBCAC2F010F}" name="EQ"/>
    <tableColumn id="4" xr3:uid="{EBF5D68E-B557-40CF-BAA2-B1668C517B8D}" name="ICM" dataDxfId="444">
      <calculatedColumnFormula>T_p1213519828996[[#This Row],[EQ]]*prize</calculatedColumnFormula>
    </tableColumn>
    <tableColumn id="5" xr3:uid="{833DB940-AC1D-4843-92A2-41EC2711F84E}" name="KO" dataDxfId="443">
      <calculatedColumnFormula>IF(T_init20344818895[[#This Row],[p]]=1,T_p1213519828996[[#This Row],[players]]*T_p1213519828996[[#This Row],[stack]]/chips+COUNTIF(T_p1213519828996[stack],0),T_p1213519828996[[#This Row],[players]]*T_p1213519828996[[#This Row],[stack]]/chips)</calculatedColumnFormula>
    </tableColumn>
    <tableColumn id="6" xr3:uid="{221C747D-BC61-4E2D-B096-2EC989BDDC5D}" name="$stack" dataDxfId="442">
      <calculatedColumnFormula>T_p1213519828996[[#This Row],[ICM]]+bounty*T_p1213519828996[[#This Row],[KO]]</calculatedColumnFormula>
    </tableColumn>
  </tableColumns>
  <tableStyleInfo name="TableStyleLight11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6" xr:uid="{21B1C9D5-5180-4B38-B6BE-C98F35F42792}" name="T_p2223625839097" displayName="T_p2223625839097" ref="M16:R22" totalsRowShown="0" tableBorderDxfId="441">
  <autoFilter ref="M16:R22" xr:uid="{00000000-0009-0000-0100-000023000000}"/>
  <tableColumns count="6">
    <tableColumn id="1" xr3:uid="{78277492-B386-4213-87C3-E6D5B7B04832}" name="players" dataDxfId="440" totalsRowDxfId="439">
      <calculatedColumnFormula>COUNTIF(T_p2223625839097[stack],"&gt;0")</calculatedColumnFormula>
    </tableColumn>
    <tableColumn id="2" xr3:uid="{012E2092-F9B2-4330-B22D-D81FBAD88645}" name="stack" dataDxfId="438" totalsRowDxfId="437">
      <calculatedColumnFormula>IF(T_init20344818895[[#This Row],[p]]=1,uncalled,IF(T_init20344818895[[#This Row],[p]]=2,mainpot+sidepot1+sidepot2,IF(T_init20344818895[[#This Row],[p]]&gt;2,0,T_init20344818895[[#This Row],[stack]]-T_init20344818895[[#This Row],[anteblinds]])))</calculatedColumnFormula>
    </tableColumn>
    <tableColumn id="3" xr3:uid="{6699CFFD-7276-4C3F-89CE-1F24DB689160}" name="EQ" totalsRowDxfId="436"/>
    <tableColumn id="4" xr3:uid="{AB6CE529-BB34-4152-8CD5-4FE4CA30D4B4}" name="ICM" dataDxfId="435" totalsRowDxfId="434">
      <calculatedColumnFormula>T_p2223625839097[[#This Row],[EQ]]*prize</calculatedColumnFormula>
    </tableColumn>
    <tableColumn id="5" xr3:uid="{C7E1ABA2-9212-4FD5-9E37-93C38098DCD4}" name="KO" dataDxfId="433" totalsRowDxfId="432">
      <calculatedColumnFormula>IF(T_init20344818895[[#This Row],[p]]=2,T_p2223625839097[[#This Row],[players]]*T_p2223625839097[[#This Row],[stack]]/chips+COUNTIF(T_p2223625839097[stack],0),T_p2223625839097[[#This Row],[players]]*T_p2223625839097[[#This Row],[stack]]/chips)</calculatedColumnFormula>
    </tableColumn>
    <tableColumn id="6" xr3:uid="{14457CCC-CB03-4C4C-8202-68F392BFAD41}" name="$stack" dataDxfId="431">
      <calculatedColumnFormula>T_p2223625839097[[#This Row],[ICM]]+bounty*T_p2223625839097[[#This Row],[KO]]</calculatedColumnFormula>
    </tableColumn>
  </tableColumns>
  <tableStyleInfo name="TableStyleLight11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7" xr:uid="{F5A3AF75-B9EA-432F-84D4-9BB6CF0597B1}" name="T_p3p1233726849198" displayName="T_p3p1233726849198" ref="T16:Y22" totalsRowShown="0" tableBorderDxfId="430">
  <autoFilter ref="T16:Y22" xr:uid="{00000000-0009-0000-0100-000024000000}"/>
  <tableColumns count="6">
    <tableColumn id="1" xr3:uid="{86EF24B3-955B-4DFB-8FFF-972DA3A16C86}" name="players" dataDxfId="429">
      <calculatedColumnFormula>COUNTIF(T_p3p1233726849198[stack],"&gt;0")</calculatedColumnFormula>
    </tableColumn>
    <tableColumn id="2" xr3:uid="{0544C5F0-A09E-450D-8C91-EDE3A3D6C528}" name="stack" dataDxfId="428">
      <calculatedColumnFormula>IF(T_init20344818895[[#This Row],[p]]=1,sidepot1+uncalled,IF(T_init20344818895[[#This Row],[p]]=3,mainpot,IF(ISBLANK(T_init20344818895[[#This Row],[p]]),T_init20344818895[[#This Row],[stack]]-T_init20344818895[[#This Row],[anteblinds]],0)))</calculatedColumnFormula>
    </tableColumn>
    <tableColumn id="3" xr3:uid="{E02DD00B-2526-4D98-942F-2781DF73187D}" name="EQ"/>
    <tableColumn id="4" xr3:uid="{603FB625-36FE-4FC3-A081-A9D7BA5F9F69}" name="ICM" dataDxfId="427">
      <calculatedColumnFormula>T_p3p1233726849198[[#This Row],[EQ]]*prize</calculatedColumnFormula>
    </tableColumn>
    <tableColumn id="5" xr3:uid="{DFB00E87-9AF4-47F3-B04E-F9B5C13AF8ED}" name="KO" dataDxfId="426">
      <calculatedColumnFormula>IF(T_init20344818895[[#This Row],[p]]=1,T_p3p1233726849198[[#This Row],[players]]*T_p3p1233726849198[[#This Row],[stack]]/chips+COUNTIF(T_p3p1233726849198[stack],0),T_p3p1233726849198[[#This Row],[players]]*T_p3p1233726849198[[#This Row],[stack]]/chips)</calculatedColumnFormula>
    </tableColumn>
    <tableColumn id="6" xr3:uid="{E1145213-A71C-420A-894F-FF19BB429F6E}" name="$stack" dataDxfId="425">
      <calculatedColumnFormula>T_p3p1233726849198[[#This Row],[ICM]]+bounty*T_p3p1233726849198[[#This Row],[KO]]</calculatedColumnFormula>
    </tableColumn>
  </tableColumns>
  <tableStyleInfo name="TableStyleLight11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8" xr:uid="{4ABCDECC-F3A7-47F4-B14D-FFBBF52174DA}" name="T_p3p2243827859299" displayName="T_p3p2243827859299" ref="AA16:AF22" totalsRowShown="0" tableBorderDxfId="424">
  <autoFilter ref="AA16:AF22" xr:uid="{00000000-0009-0000-0100-000025000000}"/>
  <tableColumns count="6">
    <tableColumn id="1" xr3:uid="{89BE778C-7E00-4116-9085-41B9A0C7C55B}" name="players" dataDxfId="423" totalsRowDxfId="422">
      <calculatedColumnFormula>COUNTIF(T_p3p2243827859299[stack],"&gt;0")</calculatedColumnFormula>
    </tableColumn>
    <tableColumn id="2" xr3:uid="{684F1000-E016-4A7E-8654-88F9D1524F5A}" name="stack" dataDxfId="421" totalsRowDxfId="420">
      <calculatedColumnFormula>IF(T_init20344818895[[#This Row],[p]]=1,uncalled,IF(T_init20344818895[[#This Row],[p]]=2,sidepot1,IF(T_init20344818895[[#This Row],[p]]=3,mainpot,IF(ISBLANK(T_init20344818895[[#This Row],[p]]),T_init20344818895[[#This Row],[stack]]-T_init20344818895[[#This Row],[anteblinds]],0))))</calculatedColumnFormula>
    </tableColumn>
    <tableColumn id="3" xr3:uid="{064C8C1C-F47C-41A7-99F5-D744733C54E2}" name="EQ" totalsRowDxfId="419"/>
    <tableColumn id="4" xr3:uid="{D7AAD993-085A-49E1-982A-D07F119479B1}" name="ICM" dataDxfId="418" totalsRowDxfId="417">
      <calculatedColumnFormula>T_p3p2243827859299[[#This Row],[EQ]]*prize</calculatedColumnFormula>
    </tableColumn>
    <tableColumn id="5" xr3:uid="{25B3D8AC-10CF-4459-83F9-B4C1ADA13F60}" name="KO" dataDxfId="416" totalsRowDxfId="415">
      <calculatedColumnFormula>IF(T_init20344818895[[#This Row],[p]]=2,T_p3p2243827859299[[#This Row],[players]]*T_p3p2243827859299[[#This Row],[stack]]/chips+COUNTIF(T_p3p2243827859299[stack],0),T_p3p2243827859299[[#This Row],[players]]*T_p3p2243827859299[[#This Row],[stack]]/chips)</calculatedColumnFormula>
    </tableColumn>
    <tableColumn id="6" xr3:uid="{362381F2-63E6-40FC-884D-524ABD9B21FB}" name="$stack" dataDxfId="414">
      <calculatedColumnFormula>T_p3p2243827859299[[#This Row],[ICM]]+bounty*T_p3p2243827859299[[#This Row],[KO]]</calculatedColumnFormula>
    </tableColumn>
  </tableColumns>
  <tableStyleInfo name="TableStyleLight11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9" xr:uid="{63E8C85D-B115-471C-BA52-1028CA9556C6}" name="T_fact2939288693100" displayName="T_fact2939288693100" ref="AI16:AN22" totalsRowShown="0" tableBorderDxfId="413">
  <autoFilter ref="AI16:AN22" xr:uid="{00000000-0009-0000-0100-000026000000}"/>
  <tableColumns count="6">
    <tableColumn id="1" xr3:uid="{CB393635-546A-469A-BC8D-9EE97E7CAFD6}" name="players">
      <calculatedColumnFormula>COUNTIF(T_fact2939288693100[stack],"&gt;0")</calculatedColumnFormula>
    </tableColumn>
    <tableColumn id="2" xr3:uid="{2C01BC7B-6DC8-44D3-A0AB-D317E0D1BCB4}" name="stack" dataDxfId="412">
      <calculatedColumnFormula>IF(T_init20344818895[[#This Row],[p]]=1,mainpot+sidepot1+sidepot2+uncalled,IF(T_init20344818895[[#This Row],[p]]&gt;1,0,T_init20344818895[[#This Row],[stack]]))</calculatedColumnFormula>
    </tableColumn>
    <tableColumn id="3" xr3:uid="{0BA9421C-B8CA-4C08-8DB2-AFF2B3AF2869}" name="EQ"/>
    <tableColumn id="4" xr3:uid="{364082FD-0CE9-4770-9F39-D7BEC55D8328}" name="ICM" dataDxfId="411">
      <calculatedColumnFormula>T_fact2939288693100[[#This Row],[EQ]]*prize</calculatedColumnFormula>
    </tableColumn>
    <tableColumn id="5" xr3:uid="{6169E9DA-6FF8-43F5-85C2-0BA4BA3448D4}" name="KO" dataDxfId="410">
      <calculatedColumnFormula>IF(T_init20344818895[[#This Row],[p]]=1,T_fact2939288693100[[#This Row],[players]]*T_fact2939288693100[[#This Row],[stack]]/chips+COUNTIF(T_fact2939288693100[stack],0),T_fact2939288693100[[#This Row],[players]]*T_fact2939288693100[[#This Row],[stack]]/chips)</calculatedColumnFormula>
    </tableColumn>
    <tableColumn id="6" xr3:uid="{853DD6FD-673C-4192-8582-973B9702010C}" name="$stack" dataDxfId="409">
      <calculatedColumnFormula>T_fact2939288693100[[#This Row],[ICM]]+bounty*T_fact2939288693100[[#This Row],[KO]]</calculatedColumnFormula>
    </tableColumn>
  </tableColumns>
  <tableStyleInfo name="TableStyleLight11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0" xr:uid="{AE7F73E1-8518-4A35-A9A4-F516C14D53AF}" name="T_EV3340308794101" displayName="T_EV3340308794101" ref="AQ16:AV22" totalsRowShown="0" tableBorderDxfId="408">
  <autoFilter ref="AQ16:AV22" xr:uid="{00000000-0009-0000-0100-000027000000}"/>
  <tableColumns count="6">
    <tableColumn id="1" xr3:uid="{70C27DEE-F533-4471-8E20-7FC4FB3894AD}" name="ICM" dataDxfId="407">
      <calculatedColumnFormula>'3w KsJs Ден v2 '!p3win* ('3w KsJs Ден v2 '!p1sp1win*T_p3p1233726849198[[#This Row],[ICM]] + '3w KsJs Ден v2 '!p2sp1win*T_p3p2243827859299[[#This Row],[ICM]])
+'3w KsJs Ден v2 '!p2win*T_p2223625839097[[#This Row],[ICM]]
+'3w KsJs Ден v2 '!p1win*T_p1213519828996[[#This Row],[ICM]]</calculatedColumnFormula>
    </tableColumn>
    <tableColumn id="2" xr3:uid="{E305A3C3-6014-4F6F-922A-121CA12ACE7B}" name="KO" dataDxfId="406">
      <calculatedColumnFormula>('3w KsJs Ден v2 '!p3win* ('3w KsJs Ден v2 '!p1sp1win*T_p3p1233726849198[[#This Row],[KO]] + '3w KsJs Ден v2 '!p2sp1win*T_p3p2243827859299[[#This Row],[KO]])
+'3w KsJs Ден v2 '!p2win*T_p2223625839097[[#This Row],[KO]]
+'3w KsJs Ден v2 '!p1win*T_p1213519828996[[#This Row],[KO]])*bounty</calculatedColumnFormula>
    </tableColumn>
    <tableColumn id="3" xr3:uid="{E0ED4F3E-D1ED-4ABF-A19B-AE01E2FD7918}" name="EV" dataDxfId="405">
      <calculatedColumnFormula>'3w KsJs Ден v2 '!p3win* ('3w KsJs Ден v2 '!p1sp1win*T_p3p1233726849198[[#This Row],[$stack]] + '3w KsJs Ден v2 '!p2sp1win*T_p3p2243827859299[[#This Row],[$stack]])
+'3w KsJs Ден v2 '!p2win*T_p2223625839097[[#This Row],[$stack]]
+'3w KsJs Ден v2 '!p1win*T_p1213519828996[[#This Row],[$stack]]</calculatedColumnFormula>
    </tableColumn>
    <tableColumn id="4" xr3:uid="{EE11E3D1-19AB-4668-857E-047D727782BA}" name="chipEV" dataDxfId="404">
      <calculatedColumnFormula>'3w KsJs Ден v2 '!p3win* ('3w KsJs Ден v2 '!p1sp1win*T_p3p1233726849198[[#This Row],[stack]] + '3w KsJs Ден v2 '!p2sp1win*T_p3p2243827859299[[#This Row],[stack]])
+'3w KsJs Ден v2 '!p2win*T_p2223625839097[[#This Row],[stack]]
+'3w KsJs Ден v2 '!p1win*T_p1213519828996[[#This Row],[stack]]</calculatedColumnFormula>
    </tableColumn>
    <tableColumn id="5" xr3:uid="{B4427A8C-C88F-429A-9960-02842B66AED7}" name="cEVdiff" dataDxfId="403">
      <calculatedColumnFormula>T_EV3340308794101[[#This Row],[chipEV]]-T_fact2939288693100[[#This Row],[stack]]</calculatedColumnFormula>
    </tableColumn>
    <tableColumn id="6" xr3:uid="{FB0B329F-B304-454F-93AA-FCCD72F35074}" name="Evdiff" dataDxfId="402">
      <calculatedColumnFormula>T_EV3340308794101[[#This Row],[EV]]-(T_fact2939288693100[[#This Row],[ICM]]+bounty*T_fact2939288693100[[#This Row],[KO]])</calculatedColumnFormula>
    </tableColumn>
  </tableColumns>
  <tableStyleInfo name="TableStyleLight11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5" xr:uid="{70F76E7E-E1A7-4F91-A6FF-F3A1C3638642}" name="T_init20344818895116" displayName="T_init20344818895116" ref="A16:D23" totalsRowCount="1">
  <autoFilter ref="A16:D22" xr:uid="{00000000-0009-0000-0100-000021000000}">
    <filterColumn colId="0" hiddenButton="1"/>
    <filterColumn colId="1" hiddenButton="1"/>
    <filterColumn colId="2" hiddenButton="1"/>
    <filterColumn colId="3" hiddenButton="1"/>
  </autoFilter>
  <tableColumns count="4">
    <tableColumn id="1" xr3:uid="{D4EED593-05AA-4E1B-ACBD-7094BE59E41F}" name="p" totalsRowLabel="Total"/>
    <tableColumn id="2" xr3:uid="{4D500884-A2C1-48FE-89D1-662B4EB0012D}" name="stack"/>
    <tableColumn id="3" xr3:uid="{B4990F3D-C1DD-4F2C-BA4C-734E0E613768}" name="hand"/>
    <tableColumn id="4" xr3:uid="{23D41C54-248D-4881-BF36-7579A61A6142}" name="anteblinds" totalsRowFunction="sum"/>
  </tableColumns>
  <tableStyleInfo name="TableStyleLight11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6" xr:uid="{1810FD0E-C293-4B19-929E-15CE10B66516}" name="T_p1213519828996117" displayName="T_p1213519828996117" ref="F16:K22" totalsRowShown="0" tableBorderDxfId="539">
  <autoFilter ref="F16:K22" xr:uid="{00000000-0009-0000-0100-000022000000}"/>
  <tableColumns count="6">
    <tableColumn id="1" xr3:uid="{1FDEAE02-E513-4A94-AEC3-3D1E2B62449D}" name="players" dataDxfId="538">
      <calculatedColumnFormula>COUNTIF(T_p1213519828996117[stack],"&gt;0")</calculatedColumnFormula>
    </tableColumn>
    <tableColumn id="2" xr3:uid="{8E4D9725-E265-4C3B-98C4-51870BCE288A}" name="stack" dataDxfId="537">
      <calculatedColumnFormula>IF(T_init20344818895116[[#This Row],[p]]=1,mainpot+sidepot1+sidepot2+uncalled,IF(T_init20344818895116[[#This Row],[p]]&gt;1,0,T_init20344818895116[[#This Row],[stack]]-T_init20344818895116[[#This Row],[anteblinds]]))</calculatedColumnFormula>
    </tableColumn>
    <tableColumn id="3" xr3:uid="{65A88950-E1F4-4EB1-9467-A1E56C7D40FD}" name="EQ"/>
    <tableColumn id="4" xr3:uid="{1E8899C1-46BB-43D8-B113-02DF1EEF0949}" name="ICM" dataDxfId="536">
      <calculatedColumnFormula>T_p1213519828996117[[#This Row],[EQ]]*prize</calculatedColumnFormula>
    </tableColumn>
    <tableColumn id="5" xr3:uid="{5B831BA4-F30B-4620-AC4E-1C5D872772B2}" name="KO" dataDxfId="535">
      <calculatedColumnFormula>IF(T_init20344818895116[[#This Row],[p]]=1,T_p1213519828996117[[#This Row],[players]]*T_p1213519828996117[[#This Row],[stack]]/chips+COUNTIF(T_p1213519828996117[stack],0),T_p1213519828996117[[#This Row],[players]]*T_p1213519828996117[[#This Row],[stack]]/chips)</calculatedColumnFormula>
    </tableColumn>
    <tableColumn id="6" xr3:uid="{4B28E692-C086-48EC-83D5-C99AEB8181EB}" name="$stack" dataDxfId="534">
      <calculatedColumnFormula>T_p1213519828996117[[#This Row],[ICM]]+bounty*T_p1213519828996117[[#This Row],[KO]]</calculatedColumnFormula>
    </tableColumn>
  </tableColumns>
  <tableStyleInfo name="TableStyleLight11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7" xr:uid="{58726173-4C55-46B4-8720-ABD5BD99BCAB}" name="T_p2223625839097118" displayName="T_p2223625839097118" ref="M16:R22" totalsRowShown="0" tableBorderDxfId="533">
  <autoFilter ref="M16:R22" xr:uid="{00000000-0009-0000-0100-000023000000}"/>
  <tableColumns count="6">
    <tableColumn id="1" xr3:uid="{80AECA69-AA7F-4903-9183-443C1F9BE6AA}" name="players" dataDxfId="532" totalsRowDxfId="531">
      <calculatedColumnFormula>COUNTIF(T_p2223625839097118[stack],"&gt;0")</calculatedColumnFormula>
    </tableColumn>
    <tableColumn id="2" xr3:uid="{C772B2CD-8A5A-4CDE-90DA-3F0CBD83805F}" name="stack" dataDxfId="530" totalsRowDxfId="529">
      <calculatedColumnFormula>IF(T_init20344818895116[[#This Row],[p]]=1,uncalled,IF(T_init20344818895116[[#This Row],[p]]=2,mainpot+sidepot1+sidepot2,IF(T_init20344818895116[[#This Row],[p]]&gt;2,0,T_init20344818895116[[#This Row],[stack]]-T_init20344818895116[[#This Row],[anteblinds]])))</calculatedColumnFormula>
    </tableColumn>
    <tableColumn id="3" xr3:uid="{8305E7C8-4922-44A5-831B-1D6C76EFB197}" name="EQ" totalsRowDxfId="528"/>
    <tableColumn id="4" xr3:uid="{13BF7732-D078-4EEE-B653-FC74B6EE8DF9}" name="ICM" dataDxfId="527" totalsRowDxfId="526">
      <calculatedColumnFormula>T_p2223625839097118[[#This Row],[EQ]]*prize</calculatedColumnFormula>
    </tableColumn>
    <tableColumn id="5" xr3:uid="{F4F6A4BB-2EF0-40DC-8156-C5024FE2D2A7}" name="KO" dataDxfId="525" totalsRowDxfId="524">
      <calculatedColumnFormula>IF(T_init20344818895116[[#This Row],[p]]=2,T_p2223625839097118[[#This Row],[players]]*T_p2223625839097118[[#This Row],[stack]]/chips+COUNTIF(T_p2223625839097118[stack],0),T_p2223625839097118[[#This Row],[players]]*T_p2223625839097118[[#This Row],[stack]]/chips)</calculatedColumnFormula>
    </tableColumn>
    <tableColumn id="6" xr3:uid="{FBE3E340-1A73-4562-B04F-CC3C5AF03157}" name="$stack" dataDxfId="523">
      <calculatedColumnFormula>T_p2223625839097118[[#This Row],[ICM]]+bounty*T_p2223625839097118[[#This Row],[KO]]</calculatedColumnFormula>
    </tableColumn>
  </tableColumns>
  <tableStyleInfo name="TableStyleLight11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8" xr:uid="{5D2D4ACD-E020-4B05-9DBE-A4D2905CB5A1}" name="T_p3p1233726849198119" displayName="T_p3p1233726849198119" ref="T16:Y22" totalsRowShown="0" tableBorderDxfId="522">
  <autoFilter ref="T16:Y22" xr:uid="{00000000-0009-0000-0100-000024000000}"/>
  <tableColumns count="6">
    <tableColumn id="1" xr3:uid="{D505E900-F9CC-4623-A425-F589AD4D4CFD}" name="players" dataDxfId="521">
      <calculatedColumnFormula>COUNTIF(T_p3p1233726849198119[stack],"&gt;0")</calculatedColumnFormula>
    </tableColumn>
    <tableColumn id="2" xr3:uid="{1E6C6453-44B6-4F52-859F-813D9FA09C53}" name="stack" dataDxfId="520">
      <calculatedColumnFormula>IF(T_init20344818895116[[#This Row],[p]]=1,sidepot1+uncalled,IF(T_init20344818895116[[#This Row],[p]]=3,mainpot,IF(ISBLANK(T_init20344818895116[[#This Row],[p]]),T_init20344818895116[[#This Row],[stack]]-T_init20344818895116[[#This Row],[anteblinds]],0)))</calculatedColumnFormula>
    </tableColumn>
    <tableColumn id="3" xr3:uid="{FB0F1B98-1940-4734-A02F-081281AFBEE6}" name="EQ"/>
    <tableColumn id="4" xr3:uid="{71D43E6D-2077-427F-90AA-FD1F377BD30A}" name="ICM" dataDxfId="519">
      <calculatedColumnFormula>T_p3p1233726849198119[[#This Row],[EQ]]*prize</calculatedColumnFormula>
    </tableColumn>
    <tableColumn id="5" xr3:uid="{8B06251F-5A16-405E-8018-E890ED71B097}" name="KO" dataDxfId="518">
      <calculatedColumnFormula>IF(T_init20344818895116[[#This Row],[p]]=1,T_p3p1233726849198119[[#This Row],[players]]*T_p3p1233726849198119[[#This Row],[stack]]/chips+COUNTIF(T_p3p1233726849198119[stack],0),T_p3p1233726849198119[[#This Row],[players]]*T_p3p1233726849198119[[#This Row],[stack]]/chips)</calculatedColumnFormula>
    </tableColumn>
    <tableColumn id="6" xr3:uid="{26DEF39C-EC07-411D-BB30-9BE8F8D6C69C}" name="$stack" dataDxfId="517">
      <calculatedColumnFormula>T_p3p1233726849198119[[#This Row],[ICM]]+bounty*T_p3p1233726849198119[[#This Row],[KO]]</calculatedColumnFormula>
    </tableColumn>
  </tableColumns>
  <tableStyleInfo name="TableStyleLight11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9" xr:uid="{9CB7AF86-BDC9-4154-8242-040ED447057A}" name="T_p3p2243827859299120" displayName="T_p3p2243827859299120" ref="AA16:AF22" totalsRowShown="0" tableBorderDxfId="516">
  <autoFilter ref="AA16:AF22" xr:uid="{00000000-0009-0000-0100-000025000000}"/>
  <tableColumns count="6">
    <tableColumn id="1" xr3:uid="{F2A608D5-00EF-4818-8A34-11BDB6881AC2}" name="players" dataDxfId="515" totalsRowDxfId="514">
      <calculatedColumnFormula>COUNTIF(T_p3p2243827859299120[stack],"&gt;0")</calculatedColumnFormula>
    </tableColumn>
    <tableColumn id="2" xr3:uid="{F57AB33A-B3EB-46F5-B425-2BAAB42D4617}" name="stack" dataDxfId="513" totalsRowDxfId="512">
      <calculatedColumnFormula>IF(T_init20344818895116[[#This Row],[p]]=1,uncalled,IF(T_init20344818895116[[#This Row],[p]]=2,sidepot1,IF(T_init20344818895116[[#This Row],[p]]=3,mainpot,IF(ISBLANK(T_init20344818895116[[#This Row],[p]]),T_init20344818895116[[#This Row],[stack]]-T_init20344818895116[[#This Row],[anteblinds]],0))))</calculatedColumnFormula>
    </tableColumn>
    <tableColumn id="3" xr3:uid="{B3029EF6-49D7-43A7-86D3-D47E75E6DE91}" name="EQ" totalsRowDxfId="511"/>
    <tableColumn id="4" xr3:uid="{DBFF2098-9687-4256-AF7A-25FCB4054142}" name="ICM" dataDxfId="510" totalsRowDxfId="509">
      <calculatedColumnFormula>T_p3p2243827859299120[[#This Row],[EQ]]*prize</calculatedColumnFormula>
    </tableColumn>
    <tableColumn id="5" xr3:uid="{9AB3CA01-1519-45E7-B21E-D666DDC155BE}" name="KO" dataDxfId="508" totalsRowDxfId="507">
      <calculatedColumnFormula>IF(T_init20344818895116[[#This Row],[p]]=2,T_p3p2243827859299120[[#This Row],[players]]*T_p3p2243827859299120[[#This Row],[stack]]/chips+COUNTIF(T_p3p2243827859299120[stack],0),T_p3p2243827859299120[[#This Row],[players]]*T_p3p2243827859299120[[#This Row],[stack]]/chips)</calculatedColumnFormula>
    </tableColumn>
    <tableColumn id="6" xr3:uid="{4C765A3C-DE0E-4536-952C-CAB3C4CF7D7C}" name="$stack" dataDxfId="506">
      <calculatedColumnFormula>T_p3p2243827859299120[[#This Row],[ICM]]+bounty*T_p3p2243827859299120[[#This Row],[KO]]</calculatedColumnFormula>
    </tableColumn>
  </tableColumns>
  <tableStyleInfo name="TableStyleLight11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0" xr:uid="{869B61CE-64A9-4F0C-AD7E-150E8CFAA94F}" name="T_fact2939288693100121" displayName="T_fact2939288693100121" ref="AI16:AN22" totalsRowShown="0" tableBorderDxfId="505">
  <autoFilter ref="AI16:AN22" xr:uid="{00000000-0009-0000-0100-000026000000}"/>
  <tableColumns count="6">
    <tableColumn id="1" xr3:uid="{156F9A3C-521E-4BBC-A4BD-C52C0F6A8CD3}" name="players">
      <calculatedColumnFormula>COUNTIF(T_fact2939288693100121[stack],"&gt;0")</calculatedColumnFormula>
    </tableColumn>
    <tableColumn id="2" xr3:uid="{5DD35C0B-1C5A-4EFD-85F7-8F07D17F615F}" name="stack" dataDxfId="504">
      <calculatedColumnFormula>IF(T_init20344818895116[[#This Row],[p]]=1,mainpot+sidepot1+sidepot2+uncalled,IF(T_init20344818895116[[#This Row],[p]]&gt;1,0,T_init20344818895116[[#This Row],[stack]]))</calculatedColumnFormula>
    </tableColumn>
    <tableColumn id="3" xr3:uid="{5F9A7333-0601-4361-8128-4E3F37A86710}" name="EQ"/>
    <tableColumn id="4" xr3:uid="{43349AD6-5756-4F07-8B99-F8590611D5CC}" name="ICM" dataDxfId="503">
      <calculatedColumnFormula>T_fact2939288693100121[[#This Row],[EQ]]*prize</calculatedColumnFormula>
    </tableColumn>
    <tableColumn id="5" xr3:uid="{1A6CE003-940B-4FCD-ADC1-AA9DA01D048F}" name="KO" dataDxfId="502">
      <calculatedColumnFormula>IF(T_init20344818895116[[#This Row],[p]]=1,T_fact2939288693100121[[#This Row],[players]]*T_fact2939288693100121[[#This Row],[stack]]/chips+COUNTIF(T_fact2939288693100121[stack],0),T_fact2939288693100121[[#This Row],[players]]*T_fact2939288693100121[[#This Row],[stack]]/chips)</calculatedColumnFormula>
    </tableColumn>
    <tableColumn id="6" xr3:uid="{8730C942-6F00-4F07-85AA-E602D5601B1C}" name="$stack" dataDxfId="501">
      <calculatedColumnFormula>T_fact2939288693100121[[#This Row],[ICM]]+bounty*T_fact2939288693100121[[#This Row],[KO]]</calculatedColumnFormula>
    </tableColumn>
  </tableColumns>
  <tableStyleInfo name="TableStyleLight11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1" xr:uid="{3DB6B2E1-3D89-4B07-974F-B8BB53A03982}" name="T_EV3340308794101122" displayName="T_EV3340308794101122" ref="AQ16:AV22" totalsRowShown="0" tableBorderDxfId="500">
  <autoFilter ref="AQ16:AV22" xr:uid="{00000000-0009-0000-0100-000027000000}"/>
  <tableColumns count="6">
    <tableColumn id="1" xr3:uid="{D0E093EA-0903-43F7-80B2-A186795C0E77}" name="ICM" dataDxfId="499">
      <calculatedColumnFormula>'3w 8h8c Ден'!p3win* ('3w 8h8c Ден'!p1sp1win*T_p3p1233726849198119[[#This Row],[ICM]] + '3w 8h8c Ден'!p2sp1win*T_p3p2243827859299120[[#This Row],[ICM]])
+'3w 8h8c Ден'!p2win*T_p2223625839097118[[#This Row],[ICM]]
+'3w 8h8c Ден'!p1win*T_p1213519828996117[[#This Row],[ICM]]</calculatedColumnFormula>
    </tableColumn>
    <tableColumn id="2" xr3:uid="{24BE975E-DE2B-4A78-A102-C070641019E8}" name="KO" dataDxfId="498">
      <calculatedColumnFormula>('3w 8h8c Ден'!p3win* ('3w 8h8c Ден'!p1sp1win*T_p3p1233726849198119[[#This Row],[KO]] + '3w 8h8c Ден'!p2sp1win*T_p3p2243827859299120[[#This Row],[KO]])
+'3w 8h8c Ден'!p2win*T_p2223625839097118[[#This Row],[KO]]
+'3w 8h8c Ден'!p1win*T_p1213519828996117[[#This Row],[KO]])*bounty</calculatedColumnFormula>
    </tableColumn>
    <tableColumn id="3" xr3:uid="{1114D912-0B4A-4AF2-8F0B-AAC76D01C9EB}" name="EV" dataDxfId="497">
      <calculatedColumnFormula>'3w 8h8c Ден'!p3win* ('3w 8h8c Ден'!p1sp1win*T_p3p1233726849198119[[#This Row],[$stack]] + '3w 8h8c Ден'!p2sp1win*T_p3p2243827859299120[[#This Row],[$stack]])
+'3w 8h8c Ден'!p2win*T_p2223625839097118[[#This Row],[$stack]]
+'3w 8h8c Ден'!p1win*T_p1213519828996117[[#This Row],[$stack]]</calculatedColumnFormula>
    </tableColumn>
    <tableColumn id="4" xr3:uid="{905145F5-9A19-408E-9302-E279CC5BF159}" name="chipEV" dataDxfId="496">
      <calculatedColumnFormula>'3w 8h8c Ден'!p3win* ('3w 8h8c Ден'!p1sp1win*T_p3p1233726849198119[[#This Row],[stack]] + '3w 8h8c Ден'!p2sp1win*T_p3p2243827859299120[[#This Row],[stack]])
+'3w 8h8c Ден'!p2win*T_p2223625839097118[[#This Row],[stack]]
+'3w 8h8c Ден'!p1win*T_p1213519828996117[[#This Row],[stack]]</calculatedColumnFormula>
    </tableColumn>
    <tableColumn id="5" xr3:uid="{CC0801D3-3536-4D19-BD6E-9A180607DF91}" name="cEVdiff" dataDxfId="495">
      <calculatedColumnFormula>T_EV3340308794101122[[#This Row],[chipEV]]-T_fact2939288693100121[[#This Row],[stack]]</calculatedColumnFormula>
    </tableColumn>
    <tableColumn id="6" xr3:uid="{7C0233FD-2D31-4C46-A55F-3ECF90A8ED08}" name="Evdiff" dataDxfId="494">
      <calculatedColumnFormula>T_EV3340308794101122[[#This Row],[EV]]-(T_fact2939288693100121[[#This Row],[ICM]]+bounty*T_fact2939288693100121[[#This Row],[KO]])</calculatedColumnFormula>
    </tableColumn>
  </tableColumns>
  <tableStyleInfo name="TableStyleLight11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2" xr:uid="{48BC1986-0260-4344-874E-6E33E2ED3D5B}" name="T_init20344818895116123" displayName="T_init20344818895116123" ref="A16:D23" totalsRowCount="1">
  <autoFilter ref="A16:D22" xr:uid="{00000000-0009-0000-0100-000021000000}">
    <filterColumn colId="0" hiddenButton="1"/>
    <filterColumn colId="1" hiddenButton="1"/>
    <filterColumn colId="2" hiddenButton="1"/>
    <filterColumn colId="3" hiddenButton="1"/>
  </autoFilter>
  <tableColumns count="4">
    <tableColumn id="1" xr3:uid="{FE2101F9-1FC8-4BF4-84C2-18671C36CC5B}" name="p" totalsRowLabel="Total"/>
    <tableColumn id="2" xr3:uid="{950E2B0F-0EAB-4EDF-BDC4-BFAD0080D05B}" name="stack"/>
    <tableColumn id="3" xr3:uid="{8CD5F2DB-A823-41C4-A1A9-1E7400C6248E}" name="hand"/>
    <tableColumn id="4" xr3:uid="{F31F1847-210B-4CC7-A392-BDC2E3A861A4}" name="anteblinds" totalsRowFunction="sum"/>
  </tableColumns>
  <tableStyleInfo name="TableStyleLight11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3" xr:uid="{883D7EE7-082B-4425-BF57-25031E4F36FD}" name="T_p1213519828996117124" displayName="T_p1213519828996117124" ref="F16:K22" totalsRowShown="0" tableBorderDxfId="493">
  <autoFilter ref="F16:K22" xr:uid="{00000000-0009-0000-0100-000022000000}"/>
  <tableColumns count="6">
    <tableColumn id="1" xr3:uid="{88101900-106C-4D23-AFAC-1E5FA4526C51}" name="players" dataDxfId="492">
      <calculatedColumnFormula>COUNTIF(T_p1213519828996117124[stack],"&gt;0")</calculatedColumnFormula>
    </tableColumn>
    <tableColumn id="2" xr3:uid="{DA39ACFE-BE87-4781-A3A2-B378F272B159}" name="stack" dataDxfId="491">
      <calculatedColumnFormula>IF(T_init20344818895116123[[#This Row],[p]]=1,mainpot+sidepot1+sidepot2+uncalled,IF(T_init20344818895116123[[#This Row],[p]]&gt;1,0,T_init20344818895116123[[#This Row],[stack]]-T_init20344818895116123[[#This Row],[anteblinds]]))</calculatedColumnFormula>
    </tableColumn>
    <tableColumn id="3" xr3:uid="{549509BA-D677-463E-93A4-3FCD5B324307}" name="EQ"/>
    <tableColumn id="4" xr3:uid="{66AFBE71-F620-4659-A857-F7D452B2D37C}" name="ICM" dataDxfId="490">
      <calculatedColumnFormula>T_p1213519828996117124[[#This Row],[EQ]]*prize</calculatedColumnFormula>
    </tableColumn>
    <tableColumn id="5" xr3:uid="{82145DC7-8946-43CE-B56C-A25E5E2A1798}" name="KO" dataDxfId="489">
      <calculatedColumnFormula>IF(T_init20344818895116123[[#This Row],[p]]=1,T_p1213519828996117124[[#This Row],[players]]*T_p1213519828996117124[[#This Row],[stack]]/chips+COUNTIF(T_p1213519828996117124[stack],0),T_p1213519828996117124[[#This Row],[players]]*T_p1213519828996117124[[#This Row],[stack]]/chips)</calculatedColumnFormula>
    </tableColumn>
    <tableColumn id="6" xr3:uid="{80D29B23-872F-4258-8218-4F77C9E2CD66}" name="$stack" dataDxfId="488">
      <calculatedColumnFormula>T_p1213519828996117124[[#This Row],[ICM]]+bounty*T_p1213519828996117124[[#This Row],[KO]]</calculatedColumnFormula>
    </tableColumn>
  </tableColumns>
  <tableStyleInfo name="TableStyleLight11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4" xr:uid="{1728DA29-3A25-41CE-B504-ED639A7E56FA}" name="T_p2223625839097118125" displayName="T_p2223625839097118125" ref="M16:R22" totalsRowShown="0" tableBorderDxfId="487">
  <autoFilter ref="M16:R22" xr:uid="{00000000-0009-0000-0100-000023000000}"/>
  <tableColumns count="6">
    <tableColumn id="1" xr3:uid="{59730F80-0B3A-49EC-A996-AA8D8920876E}" name="players" dataDxfId="486" totalsRowDxfId="485">
      <calculatedColumnFormula>COUNTIF(T_p2223625839097118125[stack],"&gt;0")</calculatedColumnFormula>
    </tableColumn>
    <tableColumn id="2" xr3:uid="{08731005-848B-43DB-86B3-56528C5C8DC7}" name="stack" dataDxfId="484" totalsRowDxfId="483">
      <calculatedColumnFormula>IF(T_init20344818895116123[[#This Row],[p]]=1,uncalled,IF(T_init20344818895116123[[#This Row],[p]]=2,mainpot+sidepot1+sidepot2,IF(T_init20344818895116123[[#This Row],[p]]&gt;2,0,T_init20344818895116123[[#This Row],[stack]]-T_init20344818895116123[[#This Row],[anteblinds]])))</calculatedColumnFormula>
    </tableColumn>
    <tableColumn id="3" xr3:uid="{8D85DC43-1DBE-4432-853D-12999F5094F7}" name="EQ" totalsRowDxfId="482"/>
    <tableColumn id="4" xr3:uid="{E20A4BCF-B6D2-45DF-81BD-F6F3A6BEF19F}" name="ICM" dataDxfId="481" totalsRowDxfId="480">
      <calculatedColumnFormula>T_p2223625839097118125[[#This Row],[EQ]]*prize</calculatedColumnFormula>
    </tableColumn>
    <tableColumn id="5" xr3:uid="{A47F74E7-D2F3-4DB6-B3F8-4397F15071E0}" name="KO" dataDxfId="479" totalsRowDxfId="478">
      <calculatedColumnFormula>IF(T_init20344818895116123[[#This Row],[p]]=2,T_p2223625839097118125[[#This Row],[players]]*T_p2223625839097118125[[#This Row],[stack]]/chips+COUNTIF(T_p2223625839097118125[stack],0),T_p2223625839097118125[[#This Row],[players]]*T_p2223625839097118125[[#This Row],[stack]]/chips)</calculatedColumnFormula>
    </tableColumn>
    <tableColumn id="6" xr3:uid="{CBC23322-B23D-46CE-9D8E-A3196BA0D8FD}" name="$stack" dataDxfId="477">
      <calculatedColumnFormula>T_p2223625839097118125[[#This Row],[ICM]]+bounty*T_p2223625839097118125[[#This Row],[KO]]</calculatedColumnFormula>
    </tableColumn>
  </tableColumns>
  <tableStyleInfo name="TableStyleLight11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5" xr:uid="{8783C4D3-6E18-4911-A461-9084C7205D84}" name="T_p3p1233726849198119126" displayName="T_p3p1233726849198119126" ref="T16:Y22" totalsRowShown="0" tableBorderDxfId="476">
  <autoFilter ref="T16:Y22" xr:uid="{00000000-0009-0000-0100-000024000000}"/>
  <tableColumns count="6">
    <tableColumn id="1" xr3:uid="{135C1BB4-240C-49CC-A702-D94E4CBDEA42}" name="players" dataDxfId="475">
      <calculatedColumnFormula>COUNTIF(T_p3p1233726849198119126[stack],"&gt;0")</calculatedColumnFormula>
    </tableColumn>
    <tableColumn id="2" xr3:uid="{4F8DADBB-5AAE-4BE2-8EC0-C03E97AB9969}" name="stack" dataDxfId="474">
      <calculatedColumnFormula>IF(T_init20344818895116123[[#This Row],[p]]=1,sidepot1+uncalled,IF(T_init20344818895116123[[#This Row],[p]]=3,mainpot,IF(ISBLANK(T_init20344818895116123[[#This Row],[p]]),T_init20344818895116123[[#This Row],[stack]]-T_init20344818895116123[[#This Row],[anteblinds]],0)))</calculatedColumnFormula>
    </tableColumn>
    <tableColumn id="3" xr3:uid="{CDC35923-0717-4E19-94A3-B0B180CC41C3}" name="EQ"/>
    <tableColumn id="4" xr3:uid="{7E0513F7-AA03-43D6-8605-CAE97C1A8435}" name="ICM" dataDxfId="473">
      <calculatedColumnFormula>T_p3p1233726849198119126[[#This Row],[EQ]]*prize</calculatedColumnFormula>
    </tableColumn>
    <tableColumn id="5" xr3:uid="{FCFCB5C0-6D19-4269-9BCD-D9ABC165756B}" name="KO" dataDxfId="472">
      <calculatedColumnFormula>IF(T_init20344818895116123[[#This Row],[p]]=1,T_p3p1233726849198119126[[#This Row],[players]]*T_p3p1233726849198119126[[#This Row],[stack]]/chips+COUNTIF(T_p3p1233726849198119126[stack],0),T_p3p1233726849198119126[[#This Row],[players]]*T_p3p1233726849198119126[[#This Row],[stack]]/chips)</calculatedColumnFormula>
    </tableColumn>
    <tableColumn id="6" xr3:uid="{9D2D5904-D7F8-45E7-B730-5087DF17FF56}" name="$stack" dataDxfId="471">
      <calculatedColumnFormula>T_p3p1233726849198119126[[#This Row],[ICM]]+bounty*T_p3p1233726849198119126[[#This Row],[KO]]</calculatedColumnFormula>
    </tableColumn>
  </tableColumns>
  <tableStyleInfo name="TableStyleLight11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6" xr:uid="{0D9E1A0B-D9CC-4500-80CA-F47D8D076D1D}" name="T_p3p2243827859299120127" displayName="T_p3p2243827859299120127" ref="AA16:AF22" totalsRowShown="0" tableBorderDxfId="470">
  <autoFilter ref="AA16:AF22" xr:uid="{00000000-0009-0000-0100-000025000000}"/>
  <tableColumns count="6">
    <tableColumn id="1" xr3:uid="{CB5F630E-8AB8-417C-B359-1F5C7F1B6635}" name="players" dataDxfId="469" totalsRowDxfId="468">
      <calculatedColumnFormula>COUNTIF(T_p3p2243827859299120127[stack],"&gt;0")</calculatedColumnFormula>
    </tableColumn>
    <tableColumn id="2" xr3:uid="{432C360C-3C2F-427D-893D-10182DE4BE8A}" name="stack" dataDxfId="467" totalsRowDxfId="466">
      <calculatedColumnFormula>IF(T_init20344818895116123[[#This Row],[p]]=1,uncalled,IF(T_init20344818895116123[[#This Row],[p]]=2,sidepot1,IF(T_init20344818895116123[[#This Row],[p]]=3,mainpot,IF(ISBLANK(T_init20344818895116123[[#This Row],[p]]),T_init20344818895116123[[#This Row],[stack]]-T_init20344818895116123[[#This Row],[anteblinds]],0))))</calculatedColumnFormula>
    </tableColumn>
    <tableColumn id="3" xr3:uid="{51B56E54-1720-45D6-B420-B51CF6B07F6F}" name="EQ" totalsRowDxfId="465"/>
    <tableColumn id="4" xr3:uid="{6D1310F6-0D7D-4BCB-83ED-48D87434AA85}" name="ICM" dataDxfId="464" totalsRowDxfId="463">
      <calculatedColumnFormula>T_p3p2243827859299120127[[#This Row],[EQ]]*prize</calculatedColumnFormula>
    </tableColumn>
    <tableColumn id="5" xr3:uid="{5BD61BAF-7713-48AD-855C-C776C8D27F6A}" name="KO" dataDxfId="462" totalsRowDxfId="461">
      <calculatedColumnFormula>IF(T_init20344818895116123[[#This Row],[p]]=2,T_p3p2243827859299120127[[#This Row],[players]]*T_p3p2243827859299120127[[#This Row],[stack]]/chips+COUNTIF(T_p3p2243827859299120127[stack],0),T_p3p2243827859299120127[[#This Row],[players]]*T_p3p2243827859299120127[[#This Row],[stack]]/chips)</calculatedColumnFormula>
    </tableColumn>
    <tableColumn id="6" xr3:uid="{FCA87D34-C132-40B1-8E04-70079C263A15}" name="$stack" dataDxfId="460">
      <calculatedColumnFormula>T_p3p2243827859299120127[[#This Row],[ICM]]+bounty*T_p3p2243827859299120127[[#This Row],[KO]]</calculatedColumnFormula>
    </tableColumn>
  </tableColumns>
  <tableStyleInfo name="TableStyleLight11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7" xr:uid="{979CA06F-BF8C-44F9-8CA6-89BFC50446DF}" name="T_fact2939288693100121128" displayName="T_fact2939288693100121128" ref="AI16:AN22" totalsRowShown="0" tableBorderDxfId="459">
  <autoFilter ref="AI16:AN22" xr:uid="{00000000-0009-0000-0100-000026000000}"/>
  <tableColumns count="6">
    <tableColumn id="1" xr3:uid="{A240C95F-A7E3-401E-A6FE-4DC9BD23B92C}" name="players">
      <calculatedColumnFormula>COUNTIF(T_fact2939288693100121128[stack],"&gt;0")</calculatedColumnFormula>
    </tableColumn>
    <tableColumn id="2" xr3:uid="{825FEC45-9F71-4ED8-8AE9-C2057271F545}" name="stack" dataDxfId="458">
      <calculatedColumnFormula>IF(T_init20344818895116123[[#This Row],[p]]=1,mainpot+sidepot1+sidepot2+uncalled,IF(T_init20344818895116123[[#This Row],[p]]&gt;1,0,T_init20344818895116123[[#This Row],[stack]]))</calculatedColumnFormula>
    </tableColumn>
    <tableColumn id="3" xr3:uid="{92EF4B59-C992-4D0B-AC8A-7E1659BAB0AC}" name="EQ"/>
    <tableColumn id="4" xr3:uid="{BB942024-7165-4B72-8269-C011699BF1CD}" name="ICM" dataDxfId="457">
      <calculatedColumnFormula>T_fact2939288693100121128[[#This Row],[EQ]]*prize</calculatedColumnFormula>
    </tableColumn>
    <tableColumn id="5" xr3:uid="{BD6D34AD-89A5-40F8-B933-A0707AEAA91D}" name="KO" dataDxfId="456">
      <calculatedColumnFormula>IF(T_init20344818895116123[[#This Row],[p]]=1,T_fact2939288693100121128[[#This Row],[players]]*T_fact2939288693100121128[[#This Row],[stack]]/chips+COUNTIF(T_fact2939288693100121128[stack],0),T_fact2939288693100121128[[#This Row],[players]]*T_fact2939288693100121128[[#This Row],[stack]]/chips)</calculatedColumnFormula>
    </tableColumn>
    <tableColumn id="6" xr3:uid="{EFB9C609-8E7C-47DF-8202-2816C4E4332A}" name="$stack" dataDxfId="455">
      <calculatedColumnFormula>T_fact2939288693100121128[[#This Row],[ICM]]+bounty*T_fact2939288693100121128[[#This Row],[KO]]</calculatedColumnFormula>
    </tableColumn>
  </tableColumns>
  <tableStyleInfo name="TableStyleLight11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8" xr:uid="{87054737-A741-48D5-A421-A593E3886529}" name="T_EV3340308794101122129" displayName="T_EV3340308794101122129" ref="AQ16:AV22" totalsRowShown="0" tableBorderDxfId="454">
  <autoFilter ref="AQ16:AV22" xr:uid="{00000000-0009-0000-0100-000027000000}"/>
  <tableColumns count="6">
    <tableColumn id="1" xr3:uid="{225CBDD4-B309-48C5-A3A2-5087F502C993}" name="ICM" dataDxfId="453">
      <calculatedColumnFormula>'3w 5h5c Ден'!p3win* ('3w 5h5c Ден'!p1sp1win*T_p3p1233726849198119126[[#This Row],[ICM]] + '3w 5h5c Ден'!p2sp1win*T_p3p2243827859299120127[[#This Row],[ICM]])
+'3w 5h5c Ден'!p2win*T_p2223625839097118125[[#This Row],[ICM]]
+'3w 5h5c Ден'!p1win*T_p1213519828996117124[[#This Row],[ICM]]</calculatedColumnFormula>
    </tableColumn>
    <tableColumn id="2" xr3:uid="{B5CFC3B7-EA8D-41E1-BC52-773D17EFBDFD}" name="KO" dataDxfId="452">
      <calculatedColumnFormula>('3w 5h5c Ден'!p3win* ('3w 5h5c Ден'!p1sp1win*T_p3p1233726849198119126[[#This Row],[KO]] + '3w 5h5c Ден'!p2sp1win*T_p3p2243827859299120127[[#This Row],[KO]])
+'3w 5h5c Ден'!p2win*T_p2223625839097118125[[#This Row],[KO]]
+'3w 5h5c Ден'!p1win*T_p1213519828996117124[[#This Row],[KO]])*bounty</calculatedColumnFormula>
    </tableColumn>
    <tableColumn id="3" xr3:uid="{0D2AA944-9593-47EA-BB07-D46E1FD955B2}" name="EV" dataDxfId="451">
      <calculatedColumnFormula>'3w 5h5c Ден'!p3win* ('3w 5h5c Ден'!p1sp1win*T_p3p1233726849198119126[[#This Row],[$stack]] + '3w 5h5c Ден'!p2sp1win*T_p3p2243827859299120127[[#This Row],[$stack]])
+'3w 5h5c Ден'!p2win*T_p2223625839097118125[[#This Row],[$stack]]
+'3w 5h5c Ден'!p1win*T_p1213519828996117124[[#This Row],[$stack]]</calculatedColumnFormula>
    </tableColumn>
    <tableColumn id="4" xr3:uid="{FD9A9E81-0DCC-415B-829A-C30D580815CC}" name="chipEV" dataDxfId="450">
      <calculatedColumnFormula>'3w 5h5c Ден'!p3win* ('3w 5h5c Ден'!p1sp1win*T_p3p1233726849198119126[[#This Row],[stack]] + '3w 5h5c Ден'!p2sp1win*T_p3p2243827859299120127[[#This Row],[stack]])
+'3w 5h5c Ден'!p2win*T_p2223625839097118125[[#This Row],[stack]]
+'3w 5h5c Ден'!p1win*T_p1213519828996117124[[#This Row],[stack]]</calculatedColumnFormula>
    </tableColumn>
    <tableColumn id="5" xr3:uid="{C51F46A5-BB2A-4E89-9E1B-9606B0DBD92E}" name="cEVdiff" dataDxfId="449">
      <calculatedColumnFormula>T_EV3340308794101122129[[#This Row],[chipEV]]-T_fact2939288693100121128[[#This Row],[stack]]</calculatedColumnFormula>
    </tableColumn>
    <tableColumn id="6" xr3:uid="{A517E14A-4331-4894-9310-929BBEDF0F4D}" name="Evdiff" dataDxfId="448">
      <calculatedColumnFormula>T_EV3340308794101122129[[#This Row],[EV]]-(T_fact2939288693100121128[[#This Row],[ICM]]+bounty*T_fact2939288693100121128[[#This Row],[KO]])</calculatedColumnFormula>
    </tableColumn>
  </tableColumns>
  <tableStyleInfo name="TableStyleLight11"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6" xr:uid="{38B2203D-BD9F-4DAA-96DE-D6005175BD54}" name="T_init20344818895116123130137" displayName="T_init20344818895116123130137" ref="A16:D23" totalsRowCount="1">
  <autoFilter ref="A16:D22" xr:uid="{00000000-0009-0000-0100-000021000000}">
    <filterColumn colId="0" hiddenButton="1"/>
    <filterColumn colId="1" hiddenButton="1"/>
    <filterColumn colId="2" hiddenButton="1"/>
    <filterColumn colId="3" hiddenButton="1"/>
  </autoFilter>
  <tableColumns count="4">
    <tableColumn id="1" xr3:uid="{7B6873B0-C4B6-4417-9722-44B0116EB36D}" name="p" totalsRowLabel="Total"/>
    <tableColumn id="2" xr3:uid="{774DA3C5-4311-4AE6-81DC-94C2283D5B69}" name="stack"/>
    <tableColumn id="3" xr3:uid="{D53A5E9A-EA93-4A14-B090-0B45B3A46453}" name="hand"/>
    <tableColumn id="4" xr3:uid="{0434E128-6FCA-465A-AFF6-0A58456BF366}" name="anteblinds" totalsRowFunction="sum"/>
  </tableColumns>
  <tableStyleInfo name="TableStyleLight11"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7" xr:uid="{2637607C-B5D2-4EDE-BA79-61BFE00A9A6D}" name="T_p1213519828996117124131138" displayName="T_p1213519828996117124131138" ref="F16:K22" totalsRowShown="0" tableBorderDxfId="401">
  <autoFilter ref="F16:K22" xr:uid="{00000000-0009-0000-0100-000022000000}"/>
  <tableColumns count="6">
    <tableColumn id="1" xr3:uid="{3AAF046A-2A17-4BBA-B709-E8A7F90D0332}" name="players" dataDxfId="400">
      <calculatedColumnFormula>COUNTIF(T_p1213519828996117124131138[stack],"&gt;0")</calculatedColumnFormula>
    </tableColumn>
    <tableColumn id="2" xr3:uid="{B5705E44-B3AB-4760-A595-69A615BA6B7B}" name="stack" dataDxfId="399">
      <calculatedColumnFormula>IF(T_init20344818895116123130137[[#This Row],[p]]=1,mainpot+sidepot1+sidepot2+uncalled,IF(T_init20344818895116123130137[[#This Row],[p]]&gt;1,0,T_init20344818895116123130137[[#This Row],[stack]]-T_init20344818895116123130137[[#This Row],[anteblinds]]))</calculatedColumnFormula>
    </tableColumn>
    <tableColumn id="3" xr3:uid="{3CDBE918-916D-4104-91FE-01BE730A5253}" name="EQ"/>
    <tableColumn id="4" xr3:uid="{208F4A44-FE86-4037-B037-32117355DADC}" name="ICM" dataDxfId="398">
      <calculatedColumnFormula>T_p1213519828996117124131138[[#This Row],[EQ]]*prize</calculatedColumnFormula>
    </tableColumn>
    <tableColumn id="5" xr3:uid="{B2BAEA2A-119D-4446-97B9-D0C65149497E}" name="KO" dataDxfId="397">
      <calculatedColumnFormula>IF(T_init20344818895116123130137[[#This Row],[p]]=1,T_p1213519828996117124131138[[#This Row],[players]]*T_p1213519828996117124131138[[#This Row],[stack]]/chips+COUNTIF(T_p1213519828996117124131138[stack],0),T_p1213519828996117124131138[[#This Row],[players]]*T_p1213519828996117124131138[[#This Row],[stack]]/chips)</calculatedColumnFormula>
    </tableColumn>
    <tableColumn id="6" xr3:uid="{4F69D86F-0E2C-4172-A334-D85B92710D45}" name="$stack" dataDxfId="396">
      <calculatedColumnFormula>T_p1213519828996117124131138[[#This Row],[ICM]]+bounty*T_p1213519828996117124131138[[#This Row],[KO]]</calculatedColumnFormula>
    </tableColumn>
  </tableColumns>
  <tableStyleInfo name="TableStyleLight11" showFirstColumn="0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8" xr:uid="{02122CA1-E0EC-4267-82D2-BECAE4AAF93E}" name="T_p2223625839097118125132139" displayName="T_p2223625839097118125132139" ref="M16:R22" totalsRowShown="0" tableBorderDxfId="395">
  <autoFilter ref="M16:R22" xr:uid="{00000000-0009-0000-0100-000023000000}"/>
  <tableColumns count="6">
    <tableColumn id="1" xr3:uid="{42045526-8833-4031-A4F1-B0D5DAFFA13E}" name="players" dataDxfId="394" totalsRowDxfId="393">
      <calculatedColumnFormula>COUNTIF(T_p2223625839097118125132139[stack],"&gt;0")</calculatedColumnFormula>
    </tableColumn>
    <tableColumn id="2" xr3:uid="{81A105B5-1705-4E03-B369-041A86A715A1}" name="stack" dataDxfId="392" totalsRowDxfId="391">
      <calculatedColumnFormula>IF(T_init20344818895116123130137[[#This Row],[p]]=1,uncalled,IF(T_init20344818895116123130137[[#This Row],[p]]=2,mainpot+sidepot1+sidepot2,IF(T_init20344818895116123130137[[#This Row],[p]]&gt;2,0,T_init20344818895116123130137[[#This Row],[stack]]-T_init20344818895116123130137[[#This Row],[anteblinds]])))</calculatedColumnFormula>
    </tableColumn>
    <tableColumn id="3" xr3:uid="{52C4EBA7-2820-455F-ACB2-21AC3F03C772}" name="EQ" totalsRowDxfId="390"/>
    <tableColumn id="4" xr3:uid="{ACB7E6B0-A273-4E10-98AC-B2D6D2E32039}" name="ICM" dataDxfId="389" totalsRowDxfId="388">
      <calculatedColumnFormula>T_p2223625839097118125132139[[#This Row],[EQ]]*prize</calculatedColumnFormula>
    </tableColumn>
    <tableColumn id="5" xr3:uid="{2F191302-E3E5-48A1-BD77-08322EA1A55D}" name="KO" dataDxfId="387" totalsRowDxfId="386">
      <calculatedColumnFormula>IF(T_init20344818895116123130137[[#This Row],[p]]=2,T_p2223625839097118125132139[[#This Row],[players]]*T_p2223625839097118125132139[[#This Row],[stack]]/chips+COUNTIF(T_p2223625839097118125132139[stack],0),T_p2223625839097118125132139[[#This Row],[players]]*T_p2223625839097118125132139[[#This Row],[stack]]/chips)</calculatedColumnFormula>
    </tableColumn>
    <tableColumn id="6" xr3:uid="{53EFDF7E-D172-4C9F-85A6-0E58C651CA82}" name="$stack" dataDxfId="385">
      <calculatedColumnFormula>T_p2223625839097118125132139[[#This Row],[ICM]]+bounty*T_p2223625839097118125132139[[#This Row],[KO]]</calculatedColumnFormula>
    </tableColumn>
  </tableColumns>
  <tableStyleInfo name="TableStyleLight11" showFirstColumn="0" showLastColumn="0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9" xr:uid="{DCE902B5-B7B1-4581-BBD3-D4F942335C6D}" name="T_p3p1233726849198119126133140" displayName="T_p3p1233726849198119126133140" ref="T16:Y22" totalsRowShown="0" tableBorderDxfId="384">
  <autoFilter ref="T16:Y22" xr:uid="{00000000-0009-0000-0100-000024000000}"/>
  <tableColumns count="6">
    <tableColumn id="1" xr3:uid="{2D64E550-8127-4170-9582-16A40E3EB280}" name="players" dataDxfId="383">
      <calculatedColumnFormula>COUNTIF(T_p3p1233726849198119126133140[stack],"&gt;0")</calculatedColumnFormula>
    </tableColumn>
    <tableColumn id="2" xr3:uid="{A7744FEA-4D2C-4BAF-88B1-9322DA2FA1A2}" name="stack" dataDxfId="382">
      <calculatedColumnFormula>IF(T_init20344818895116123130137[[#This Row],[p]]=1,sidepot1+uncalled,IF(T_init20344818895116123130137[[#This Row],[p]]=3,mainpot,IF(ISBLANK(T_init20344818895116123130137[[#This Row],[p]]),T_init20344818895116123130137[[#This Row],[stack]]-T_init20344818895116123130137[[#This Row],[anteblinds]],0)))</calculatedColumnFormula>
    </tableColumn>
    <tableColumn id="3" xr3:uid="{D6267434-7C41-4593-95CA-E9ED17CCBD24}" name="EQ"/>
    <tableColumn id="4" xr3:uid="{E9A42E8C-A5EA-46EA-8C23-506560C9C10F}" name="ICM" dataDxfId="381">
      <calculatedColumnFormula>T_p3p1233726849198119126133140[[#This Row],[EQ]]*prize</calculatedColumnFormula>
    </tableColumn>
    <tableColumn id="5" xr3:uid="{6A1A24A4-D23D-462F-BCB0-434270DCE2D8}" name="KO" dataDxfId="380">
      <calculatedColumnFormula>IF(T_init20344818895116123130137[[#This Row],[p]]=1,T_p3p1233726849198119126133140[[#This Row],[players]]*T_p3p1233726849198119126133140[[#This Row],[stack]]/chips+COUNTIF(T_p3p1233726849198119126133140[stack],0),T_p3p1233726849198119126133140[[#This Row],[players]]*T_p3p1233726849198119126133140[[#This Row],[stack]]/chips)</calculatedColumnFormula>
    </tableColumn>
    <tableColumn id="6" xr3:uid="{7794AB83-66BB-4870-A5FD-7D290848802D}" name="$stack" dataDxfId="379">
      <calculatedColumnFormula>T_p3p1233726849198119126133140[[#This Row],[ICM]]+bounty*T_p3p1233726849198119126133140[[#This Row],[KO]]</calculatedColumnFormula>
    </tableColumn>
  </tableColumns>
  <tableStyleInfo name="TableStyleLight11" showFirstColumn="0" showLastColumn="0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0" xr:uid="{53C64BA3-888F-441C-93FA-455FB2CE003A}" name="T_p3p2243827859299120127134141" displayName="T_p3p2243827859299120127134141" ref="AA16:AF22" totalsRowShown="0" tableBorderDxfId="378">
  <autoFilter ref="AA16:AF22" xr:uid="{00000000-0009-0000-0100-000025000000}"/>
  <tableColumns count="6">
    <tableColumn id="1" xr3:uid="{F2EDCC1E-5442-4539-A024-9E971673EE5A}" name="players" dataDxfId="377" totalsRowDxfId="376">
      <calculatedColumnFormula>COUNTIF(T_p3p2243827859299120127134141[stack],"&gt;0")</calculatedColumnFormula>
    </tableColumn>
    <tableColumn id="2" xr3:uid="{0DA20F1E-D1A1-4865-85C7-C6FFB86A93C1}" name="stack" dataDxfId="375" totalsRowDxfId="374">
      <calculatedColumnFormula>IF(T_init20344818895116123130137[[#This Row],[p]]=1,uncalled,IF(T_init20344818895116123130137[[#This Row],[p]]=2,sidepot1,IF(T_init20344818895116123130137[[#This Row],[p]]=3,mainpot,IF(ISBLANK(T_init20344818895116123130137[[#This Row],[p]]),T_init20344818895116123130137[[#This Row],[stack]]-T_init20344818895116123130137[[#This Row],[anteblinds]],0))))</calculatedColumnFormula>
    </tableColumn>
    <tableColumn id="3" xr3:uid="{86A16C17-FD5F-40C6-A82F-6A69E9FFAF53}" name="EQ" totalsRowDxfId="373"/>
    <tableColumn id="4" xr3:uid="{A846D66D-F4BB-49AF-BCFC-E172D67F1DB3}" name="ICM" dataDxfId="372" totalsRowDxfId="371">
      <calculatedColumnFormula>T_p3p2243827859299120127134141[[#This Row],[EQ]]*prize</calculatedColumnFormula>
    </tableColumn>
    <tableColumn id="5" xr3:uid="{B2AA4FB9-BB8E-45A5-9091-E2CD19FDB544}" name="KO" dataDxfId="370" totalsRowDxfId="369">
      <calculatedColumnFormula>IF(T_init20344818895116123130137[[#This Row],[p]]=2,T_p3p2243827859299120127134141[[#This Row],[players]]*T_p3p2243827859299120127134141[[#This Row],[stack]]/chips+COUNTIF(T_p3p2243827859299120127134141[stack],0),T_p3p2243827859299120127134141[[#This Row],[players]]*T_p3p2243827859299120127134141[[#This Row],[stack]]/chips)</calculatedColumnFormula>
    </tableColumn>
    <tableColumn id="6" xr3:uid="{F842625C-8398-4292-B32B-BAB91C83D60B}" name="$stack" dataDxfId="368">
      <calculatedColumnFormula>T_p3p2243827859299120127134141[[#This Row],[ICM]]+bounty*T_p3p2243827859299120127134141[[#This Row],[KO]]</calculatedColumnFormula>
    </tableColumn>
  </tableColumns>
  <tableStyleInfo name="TableStyleLight11" showFirstColumn="0" showLastColumn="0" showRowStripes="1" showColumnStripes="0"/>
</table>
</file>

<file path=xl/tables/table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1" xr:uid="{18BE6C64-5027-497D-9369-7AF90FC2E414}" name="T_fact2939288693100121128135142" displayName="T_fact2939288693100121128135142" ref="AI16:AN22" totalsRowShown="0" tableBorderDxfId="367">
  <autoFilter ref="AI16:AN22" xr:uid="{00000000-0009-0000-0100-000026000000}"/>
  <tableColumns count="6">
    <tableColumn id="1" xr3:uid="{57299110-A452-4E0E-B856-C26D12A2869D}" name="players">
      <calculatedColumnFormula>COUNTIF(T_fact2939288693100121128135142[stack],"&gt;0")</calculatedColumnFormula>
    </tableColumn>
    <tableColumn id="2" xr3:uid="{74744DDC-28ED-4A8A-8826-AC6C1E2610C1}" name="stack" dataDxfId="366">
      <calculatedColumnFormula>IF(T_init20344818895116123130137[[#This Row],[p]]=1,mainpot+sidepot1+sidepot2+uncalled,IF(T_init20344818895116123130137[[#This Row],[p]]&gt;1,0,T_init20344818895116123130137[[#This Row],[stack]]))</calculatedColumnFormula>
    </tableColumn>
    <tableColumn id="3" xr3:uid="{D55E9663-FEF3-4A0A-B638-16FBFFF62B41}" name="EQ"/>
    <tableColumn id="4" xr3:uid="{64F328EA-CF0B-4020-8445-3328CE1DDDCF}" name="ICM" dataDxfId="365">
      <calculatedColumnFormula>T_fact2939288693100121128135142[[#This Row],[EQ]]*prize</calculatedColumnFormula>
    </tableColumn>
    <tableColumn id="5" xr3:uid="{B71F5928-BF90-4377-B1D7-8BE5C8571F36}" name="KO" dataDxfId="364">
      <calculatedColumnFormula>IF(T_init20344818895116123130137[[#This Row],[p]]=1,T_fact2939288693100121128135142[[#This Row],[players]]*T_fact2939288693100121128135142[[#This Row],[stack]]/chips+COUNTIF(T_fact2939288693100121128135142[stack],0),T_fact2939288693100121128135142[[#This Row],[players]]*T_fact2939288693100121128135142[[#This Row],[stack]]/chips)</calculatedColumnFormula>
    </tableColumn>
    <tableColumn id="6" xr3:uid="{722B323D-6384-48A9-B6C8-837554BAF0CB}" name="$stack" dataDxfId="363">
      <calculatedColumnFormula>T_fact2939288693100121128135142[[#This Row],[ICM]]+bounty*T_fact2939288693100121128135142[[#This Row],[KO]]</calculatedColumnFormula>
    </tableColumn>
  </tableColumns>
  <tableStyleInfo name="TableStyleLight11" showFirstColumn="0" showLastColumn="0" showRowStripes="1" showColumnStripes="0"/>
</table>
</file>

<file path=xl/tables/table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2" xr:uid="{60A366BC-70C9-4D79-B4A0-477763544444}" name="T_EV3340308794101122129136143" displayName="T_EV3340308794101122129136143" ref="AQ16:AV22" totalsRowShown="0" tableBorderDxfId="362">
  <autoFilter ref="AQ16:AV22" xr:uid="{00000000-0009-0000-0100-000027000000}"/>
  <tableColumns count="6">
    <tableColumn id="1" xr3:uid="{AA4123F2-3FA4-4EA7-9B61-45EDBB78BAC2}" name="ICM" dataDxfId="361">
      <calculatedColumnFormula>'3w Kc5c Ден'!p3win* ('3w Kc5c Ден'!p1sp1win*T_p3p1233726849198119126133140[[#This Row],[ICM]] + '3w Kc5c Ден'!p2sp1win*T_p3p2243827859299120127134141[[#This Row],[ICM]])
+'3w Kc5c Ден'!p2win*T_p2223625839097118125132139[[#This Row],[ICM]]
+'3w Kc5c Ден'!p1win*T_p1213519828996117124131138[[#This Row],[ICM]]</calculatedColumnFormula>
    </tableColumn>
    <tableColumn id="2" xr3:uid="{DE1887E5-3228-4F89-B2A9-8D058AD35F86}" name="KO" dataDxfId="360">
      <calculatedColumnFormula>('3w Kc5c Ден'!p3win* ('3w Kc5c Ден'!p1sp1win*T_p3p1233726849198119126133140[[#This Row],[KO]] + '3w Kc5c Ден'!p2sp1win*T_p3p2243827859299120127134141[[#This Row],[KO]])
+'3w Kc5c Ден'!p2win*T_p2223625839097118125132139[[#This Row],[KO]]
+'3w Kc5c Ден'!p1win*T_p1213519828996117124131138[[#This Row],[KO]])*bounty</calculatedColumnFormula>
    </tableColumn>
    <tableColumn id="3" xr3:uid="{A9C7926D-D45B-44AE-BF92-62BB01364164}" name="EV" dataDxfId="359">
      <calculatedColumnFormula>'3w Kc5c Ден'!p3win* ('3w Kc5c Ден'!p1sp1win*T_p3p1233726849198119126133140[[#This Row],[$stack]] + '3w Kc5c Ден'!p2sp1win*T_p3p2243827859299120127134141[[#This Row],[$stack]])
+'3w Kc5c Ден'!p2win*T_p2223625839097118125132139[[#This Row],[$stack]]
+'3w Kc5c Ден'!p1win*T_p1213519828996117124131138[[#This Row],[$stack]]</calculatedColumnFormula>
    </tableColumn>
    <tableColumn id="4" xr3:uid="{6F707C98-B680-4DBD-ABF8-9346FA3442B2}" name="chipEV" dataDxfId="358">
      <calculatedColumnFormula>'3w Kc5c Ден'!p3win* ('3w Kc5c Ден'!p1sp1win*T_p3p1233726849198119126133140[[#This Row],[stack]] + '3w Kc5c Ден'!p2sp1win*T_p3p2243827859299120127134141[[#This Row],[stack]])
+'3w Kc5c Ден'!p2win*T_p2223625839097118125132139[[#This Row],[stack]]
+'3w Kc5c Ден'!p1win*T_p1213519828996117124131138[[#This Row],[stack]]</calculatedColumnFormula>
    </tableColumn>
    <tableColumn id="5" xr3:uid="{7DACE9FD-109A-4D44-A3F5-B3C57DF6ABDA}" name="cEVdiff" dataDxfId="357">
      <calculatedColumnFormula>T_EV3340308794101122129136143[[#This Row],[chipEV]]-T_fact2939288693100121128135142[[#This Row],[stack]]</calculatedColumnFormula>
    </tableColumn>
    <tableColumn id="6" xr3:uid="{586EB5FD-92A1-4932-B2CF-20C36070225A}" name="Evdiff" dataDxfId="356">
      <calculatedColumnFormula>T_EV3340308794101122129136143[[#This Row],[EV]]-(T_fact2939288693100121128135142[[#This Row],[ICM]]+bounty*T_fact2939288693100121128135142[[#This Row],[KO]])</calculatedColumnFormula>
    </tableColumn>
  </tableColumns>
  <tableStyleInfo name="TableStyleLight11" showFirstColumn="0" showLastColumn="0" showRowStripes="1" showColumnStripes="0"/>
</table>
</file>

<file path=xl/tables/table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1" xr:uid="{1C1DFEBE-E051-4264-9CB3-D77AC8FE7E4E}" name="T_init20344818895102" displayName="T_init20344818895102" ref="A16:D23" totalsRowCount="1">
  <autoFilter ref="A16:D22" xr:uid="{00000000-0009-0000-0100-000021000000}">
    <filterColumn colId="0" hiddenButton="1"/>
    <filterColumn colId="1" hiddenButton="1"/>
    <filterColumn colId="2" hiddenButton="1"/>
    <filterColumn colId="3" hiddenButton="1"/>
  </autoFilter>
  <tableColumns count="4">
    <tableColumn id="1" xr3:uid="{1A98CDE6-AEAB-43F5-B4BA-AB76FFBF0C52}" name="p" totalsRowLabel="Total"/>
    <tableColumn id="2" xr3:uid="{78BE1F33-2815-44A3-81F7-58C183C74EFE}" name="stack"/>
    <tableColumn id="3" xr3:uid="{5460D74B-002A-4E25-A15B-4D2B09A1C3BF}" name="hand"/>
    <tableColumn id="4" xr3:uid="{1BDFD9F4-803F-48BE-8E2E-6ADC12299C9E}" name="anteblinds" totalsRowFunction="sum"/>
  </tableColumns>
  <tableStyleInfo name="TableStyleLight11" showFirstColumn="0" showLastColumn="0" showRowStripes="1" showColumnStripes="0"/>
</table>
</file>

<file path=xl/tables/table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2" xr:uid="{5E046478-9605-4302-B451-C0D875202E9C}" name="T_p1213519828996103" displayName="T_p1213519828996103" ref="F16:K22" totalsRowShown="0" tableBorderDxfId="309">
  <autoFilter ref="F16:K22" xr:uid="{00000000-0009-0000-0100-000022000000}"/>
  <tableColumns count="6">
    <tableColumn id="1" xr3:uid="{E3595BD5-5B6A-4A2C-8215-FDCBCFD750A7}" name="players" dataDxfId="308">
      <calculatedColumnFormula>COUNTIF(T_p1213519828996103[stack],"&gt;0")</calculatedColumnFormula>
    </tableColumn>
    <tableColumn id="2" xr3:uid="{DB967143-F4F9-4881-AB9B-94DDE8D65385}" name="stack" dataDxfId="307">
      <calculatedColumnFormula>IF(T_init20344818895102[[#This Row],[p]]=1,mainpot+sidepot1+sidepot2+uncalled,IF(T_init20344818895102[[#This Row],[p]]&gt;1,0,T_init20344818895102[[#This Row],[stack]]-T_init20344818895102[[#This Row],[anteblinds]]))</calculatedColumnFormula>
    </tableColumn>
    <tableColumn id="3" xr3:uid="{3A78BCBD-6509-4815-8D5D-1275B28638D3}" name="EQ"/>
    <tableColumn id="4" xr3:uid="{D358498E-E18A-4799-8958-75EDFF405DDA}" name="ICM" dataDxfId="306">
      <calculatedColumnFormula>T_p1213519828996103[[#This Row],[EQ]]*prize</calculatedColumnFormula>
    </tableColumn>
    <tableColumn id="5" xr3:uid="{8FB580D4-BC71-4E36-801B-70F3995560FE}" name="KO" dataDxfId="305">
      <calculatedColumnFormula>IF(T_init20344818895102[[#This Row],[p]]=1,T_p1213519828996103[[#This Row],[players]]*T_p1213519828996103[[#This Row],[stack]]/chips+COUNTIF(T_p1213519828996103[stack],0),T_p1213519828996103[[#This Row],[players]]*T_p1213519828996103[[#This Row],[stack]]/chips)</calculatedColumnFormula>
    </tableColumn>
    <tableColumn id="6" xr3:uid="{C197AC1B-3EC9-4253-9FC6-D554FFF5E284}" name="$stack" dataDxfId="304">
      <calculatedColumnFormula>T_p1213519828996103[[#This Row],[ICM]]+bounty*T_p1213519828996103[[#This Row],[KO]]</calculatedColumnFormula>
    </tableColumn>
  </tableColumns>
  <tableStyleInfo name="TableStyleLight11" showFirstColumn="0" showLastColumn="0" showRowStripes="1" showColumnStripes="0"/>
</table>
</file>

<file path=xl/tables/table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3" xr:uid="{7D068999-E7B8-4800-B728-8EA9701B8BB3}" name="T_p2223625839097104" displayName="T_p2223625839097104" ref="M16:R22" totalsRowShown="0" tableBorderDxfId="303">
  <autoFilter ref="M16:R22" xr:uid="{00000000-0009-0000-0100-000023000000}"/>
  <tableColumns count="6">
    <tableColumn id="1" xr3:uid="{9C903FFE-8957-48F3-B399-B1EACF91BC50}" name="players" dataDxfId="302" totalsRowDxfId="301">
      <calculatedColumnFormula>COUNTIF(T_p2223625839097104[stack],"&gt;0")</calculatedColumnFormula>
    </tableColumn>
    <tableColumn id="2" xr3:uid="{48E9E158-D3DA-45F5-99BA-A4C383C644F7}" name="stack" dataDxfId="300" totalsRowDxfId="299">
      <calculatedColumnFormula>IF(T_init20344818895102[[#This Row],[p]]=1,uncalled,IF(T_init20344818895102[[#This Row],[p]]=2,mainpot+sidepot1+sidepot2,IF(T_init20344818895102[[#This Row],[p]]&gt;2,0,T_init20344818895102[[#This Row],[stack]]-T_init20344818895102[[#This Row],[anteblinds]])))</calculatedColumnFormula>
    </tableColumn>
    <tableColumn id="3" xr3:uid="{37A1EB22-8479-4102-83A8-D24BBA9C452E}" name="EQ" totalsRowDxfId="298"/>
    <tableColumn id="4" xr3:uid="{0F5B7EA5-BE46-4B6B-99DD-A72B8D83C5FB}" name="ICM" dataDxfId="297" totalsRowDxfId="296">
      <calculatedColumnFormula>T_p2223625839097104[[#This Row],[EQ]]*prize</calculatedColumnFormula>
    </tableColumn>
    <tableColumn id="5" xr3:uid="{7D66A5CB-33DB-4564-977C-7FEFDB956C2F}" name="KO" dataDxfId="295" totalsRowDxfId="294">
      <calculatedColumnFormula>IF(T_init20344818895102[[#This Row],[p]]=2,T_p2223625839097104[[#This Row],[players]]*T_p2223625839097104[[#This Row],[stack]]/chips+COUNTIF(T_p2223625839097104[stack],0),T_p2223625839097104[[#This Row],[players]]*T_p2223625839097104[[#This Row],[stack]]/chips)</calculatedColumnFormula>
    </tableColumn>
    <tableColumn id="6" xr3:uid="{E12C1F75-81C7-4BF4-8A9C-4AD0D1A3B76E}" name="$stack" dataDxfId="293">
      <calculatedColumnFormula>T_p2223625839097104[[#This Row],[ICM]]+bounty*T_p2223625839097104[[#This Row],[KO]]</calculatedColumnFormula>
    </tableColumn>
  </tableColumns>
  <tableStyleInfo name="TableStyleLight11" showFirstColumn="0" showLastColumn="0" showRowStripes="1" showColumnStripes="0"/>
</table>
</file>

<file path=xl/tables/table6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4" xr:uid="{E994F363-5758-417E-9392-989F1795A95D}" name="T_p3p1233726849198105" displayName="T_p3p1233726849198105" ref="T16:Y22" totalsRowShown="0" tableBorderDxfId="292">
  <autoFilter ref="T16:Y22" xr:uid="{00000000-0009-0000-0100-000024000000}"/>
  <tableColumns count="6">
    <tableColumn id="1" xr3:uid="{C901A4B6-181B-4DD5-953C-A725E840F955}" name="players" dataDxfId="291">
      <calculatedColumnFormula>COUNTIF(T_p3p1233726849198105[stack],"&gt;0")</calculatedColumnFormula>
    </tableColumn>
    <tableColumn id="2" xr3:uid="{060417F9-D34B-4963-90AE-4C5B86B270C8}" name="stack" dataDxfId="290">
      <calculatedColumnFormula>IF(T_init20344818895102[[#This Row],[p]]=1,sidepot1+uncalled,IF(T_init20344818895102[[#This Row],[p]]=3,mainpot,IF(ISBLANK(T_init20344818895102[[#This Row],[p]]),T_init20344818895102[[#This Row],[stack]]-T_init20344818895102[[#This Row],[anteblinds]],0)))</calculatedColumnFormula>
    </tableColumn>
    <tableColumn id="3" xr3:uid="{CEA7A0A9-3802-44CE-8592-F95DCD054090}" name="EQ"/>
    <tableColumn id="4" xr3:uid="{795D3E27-90FB-444E-85B4-EEE23833B8C5}" name="ICM" dataDxfId="289">
      <calculatedColumnFormula>T_p3p1233726849198105[[#This Row],[EQ]]*prize</calculatedColumnFormula>
    </tableColumn>
    <tableColumn id="5" xr3:uid="{DB4CF394-1353-491F-823C-2323B5E91CE6}" name="KO" dataDxfId="288">
      <calculatedColumnFormula>IF(T_init20344818895102[[#This Row],[p]]=1,T_p3p1233726849198105[[#This Row],[players]]*T_p3p1233726849198105[[#This Row],[stack]]/chips+COUNTIF(T_p3p1233726849198105[stack],0),T_p3p1233726849198105[[#This Row],[players]]*T_p3p1233726849198105[[#This Row],[stack]]/chips)</calculatedColumnFormula>
    </tableColumn>
    <tableColumn id="6" xr3:uid="{6FE1414E-31C9-43E8-9DB5-9241FCFC371F}" name="$stack" dataDxfId="287">
      <calculatedColumnFormula>T_p3p1233726849198105[[#This Row],[ICM]]+bounty*T_p3p1233726849198105[[#This Row],[KO]]</calculatedColumnFormula>
    </tableColumn>
  </tableColumns>
  <tableStyleInfo name="TableStyleLight11" showFirstColumn="0" showLastColumn="0" showRowStripes="1" showColumnStripes="0"/>
</table>
</file>

<file path=xl/tables/table6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5" xr:uid="{5EE18FDC-042C-4D27-B399-EB5F03639F7E}" name="T_p3p2243827859299106" displayName="T_p3p2243827859299106" ref="AA16:AF22" totalsRowShown="0" tableBorderDxfId="286">
  <autoFilter ref="AA16:AF22" xr:uid="{00000000-0009-0000-0100-000025000000}"/>
  <tableColumns count="6">
    <tableColumn id="1" xr3:uid="{6794048C-F824-4AA4-842B-0F154A59B543}" name="players" dataDxfId="285" totalsRowDxfId="284">
      <calculatedColumnFormula>COUNTIF(T_p3p2243827859299106[stack],"&gt;0")</calculatedColumnFormula>
    </tableColumn>
    <tableColumn id="2" xr3:uid="{BC066957-86B8-4921-BEF6-6B67D1CCB3D9}" name="stack" dataDxfId="283" totalsRowDxfId="282">
      <calculatedColumnFormula>IF(T_init20344818895102[[#This Row],[p]]=1,uncalled,IF(T_init20344818895102[[#This Row],[p]]=2,sidepot1,IF(T_init20344818895102[[#This Row],[p]]=3,mainpot,IF(ISBLANK(T_init20344818895102[[#This Row],[p]]),T_init20344818895102[[#This Row],[stack]]-T_init20344818895102[[#This Row],[anteblinds]],0))))</calculatedColumnFormula>
    </tableColumn>
    <tableColumn id="3" xr3:uid="{70FE019B-9EFD-4A74-8581-F966E54F3456}" name="EQ" totalsRowDxfId="281"/>
    <tableColumn id="4" xr3:uid="{2A4D4315-7D4A-4D53-B42A-585D05D53FAA}" name="ICM" dataDxfId="280" totalsRowDxfId="279">
      <calculatedColumnFormula>T_p3p2243827859299106[[#This Row],[EQ]]*prize</calculatedColumnFormula>
    </tableColumn>
    <tableColumn id="5" xr3:uid="{0D9EDCB5-5AF7-408A-81E4-E4DA4816305B}" name="KO" dataDxfId="278" totalsRowDxfId="277">
      <calculatedColumnFormula>IF(T_init20344818895102[[#This Row],[p]]=2,T_p3p2243827859299106[[#This Row],[players]]*T_p3p2243827859299106[[#This Row],[stack]]/chips+COUNTIF(T_p3p2243827859299106[stack],0),T_p3p2243827859299106[[#This Row],[players]]*T_p3p2243827859299106[[#This Row],[stack]]/chips)</calculatedColumnFormula>
    </tableColumn>
    <tableColumn id="6" xr3:uid="{E494A601-930C-4569-9DA1-0FC145B33471}" name="$stack" dataDxfId="276">
      <calculatedColumnFormula>T_p3p2243827859299106[[#This Row],[ICM]]+bounty*T_p3p2243827859299106[[#This Row],[KO]]</calculatedColumnFormula>
    </tableColumn>
  </tableColumns>
  <tableStyleInfo name="TableStyleLight11" showFirstColumn="0" showLastColumn="0" showRowStripes="1" showColumnStripes="0"/>
</table>
</file>

<file path=xl/tables/table7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6" xr:uid="{A6BFA24A-6310-4C54-9AFB-D5CC87C2674C}" name="T_fact2939288693100107" displayName="T_fact2939288693100107" ref="AI16:AN22" totalsRowShown="0" tableBorderDxfId="275">
  <autoFilter ref="AI16:AN22" xr:uid="{00000000-0009-0000-0100-000026000000}"/>
  <tableColumns count="6">
    <tableColumn id="1" xr3:uid="{D62D8978-28AF-432D-8415-5C54A4E41E61}" name="players">
      <calculatedColumnFormula>COUNTIF(T_fact2939288693100107[stack],"&gt;0")</calculatedColumnFormula>
    </tableColumn>
    <tableColumn id="2" xr3:uid="{CDFB3D26-10A6-4955-AA9F-1C0C329CD5F3}" name="stack" dataDxfId="274">
      <calculatedColumnFormula>IF(T_init20344818895102[[#This Row],[p]]=1,mainpot+sidepot1+sidepot2+uncalled,IF(T_init20344818895102[[#This Row],[p]]&gt;1,0,T_init20344818895102[[#This Row],[stack]]))</calculatedColumnFormula>
    </tableColumn>
    <tableColumn id="3" xr3:uid="{64E7A323-889B-4D6A-A6E1-E45D15898F69}" name="EQ"/>
    <tableColumn id="4" xr3:uid="{CB869F53-F212-40DB-B536-A8E5CB096A4C}" name="ICM" dataDxfId="273">
      <calculatedColumnFormula>T_fact2939288693100107[[#This Row],[EQ]]*prize</calculatedColumnFormula>
    </tableColumn>
    <tableColumn id="5" xr3:uid="{6761593A-95D7-4846-AFC2-59467A82366C}" name="KO" dataDxfId="272">
      <calculatedColumnFormula>IF(T_init20344818895102[[#This Row],[p]]=1,T_fact2939288693100107[[#This Row],[players]]*T_fact2939288693100107[[#This Row],[stack]]/chips+COUNTIF(T_fact2939288693100107[stack],0),T_fact2939288693100107[[#This Row],[players]]*T_fact2939288693100107[[#This Row],[stack]]/chips)</calculatedColumnFormula>
    </tableColumn>
    <tableColumn id="6" xr3:uid="{EB94DD04-CAE3-472A-8D29-558D1742831F}" name="$stack" dataDxfId="271">
      <calculatedColumnFormula>T_fact2939288693100107[[#This Row],[ICM]]+bounty*T_fact2939288693100107[[#This Row],[KO]]</calculatedColumnFormula>
    </tableColumn>
  </tableColumns>
  <tableStyleInfo name="TableStyleLight11" showFirstColumn="0" showLastColumn="0" showRowStripes="1" showColumnStripes="0"/>
</table>
</file>

<file path=xl/tables/table7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7" xr:uid="{CDE8D8DF-C8A2-4FF4-A5C6-2C356CD378A2}" name="T_EV3340308794101108" displayName="T_EV3340308794101108" ref="AQ16:AV22" totalsRowShown="0" tableBorderDxfId="270">
  <autoFilter ref="AQ16:AV22" xr:uid="{00000000-0009-0000-0100-000027000000}"/>
  <tableColumns count="6">
    <tableColumn id="1" xr3:uid="{F3B1AFED-865C-4CF6-8716-3725F7AE9175}" name="ICM" dataDxfId="269">
      <calculatedColumnFormula>'3w postflop 9c7s Ден v2'!p3win* ('3w postflop 9c7s Ден v2'!p1sp1win*T_p3p1233726849198105[[#This Row],[ICM]] + '3w postflop 9c7s Ден v2'!p2sp1win*T_p3p2243827859299106[[#This Row],[ICM]])
+'3w postflop 9c7s Ден v2'!p2win*T_p2223625839097104[[#This Row],[ICM]]
+'3w postflop 9c7s Ден v2'!p1win*T_p1213519828996103[[#This Row],[ICM]]</calculatedColumnFormula>
    </tableColumn>
    <tableColumn id="2" xr3:uid="{11E11D56-FD96-4E8C-A2F1-C1E6FDD75792}" name="KO" dataDxfId="268">
      <calculatedColumnFormula>('3w postflop 9c7s Ден v2'!p3win* ('3w postflop 9c7s Ден v2'!p1sp1win*T_p3p1233726849198105[[#This Row],[KO]] + '3w postflop 9c7s Ден v2'!p2sp1win*T_p3p2243827859299106[[#This Row],[KO]])
+'3w postflop 9c7s Ден v2'!p2win*T_p2223625839097104[[#This Row],[KO]]
+'3w postflop 9c7s Ден v2'!p1win*T_p1213519828996103[[#This Row],[KO]])*bounty</calculatedColumnFormula>
    </tableColumn>
    <tableColumn id="3" xr3:uid="{8D7F32E8-924A-4318-A889-C2F802A0297D}" name="EV" dataDxfId="267">
      <calculatedColumnFormula>'3w postflop 9c7s Ден v2'!p3win* ('3w postflop 9c7s Ден v2'!p1sp1win*T_p3p1233726849198105[[#This Row],[$stack]] + '3w postflop 9c7s Ден v2'!p2sp1win*T_p3p2243827859299106[[#This Row],[$stack]])
+'3w postflop 9c7s Ден v2'!p2win*T_p2223625839097104[[#This Row],[$stack]]
+'3w postflop 9c7s Ден v2'!p1win*T_p1213519828996103[[#This Row],[$stack]]</calculatedColumnFormula>
    </tableColumn>
    <tableColumn id="4" xr3:uid="{94EFB6B4-668A-4DD8-9C45-FF34500957D0}" name="chipEV" dataDxfId="266">
      <calculatedColumnFormula>'3w postflop 9c7s Ден v2'!p3win* ('3w postflop 9c7s Ден v2'!p1sp1win*T_p3p1233726849198105[[#This Row],[stack]] + '3w postflop 9c7s Ден v2'!p2sp1win*T_p3p2243827859299106[[#This Row],[stack]])
+'3w postflop 9c7s Ден v2'!p2win*T_p2223625839097104[[#This Row],[stack]]
+'3w postflop 9c7s Ден v2'!p1win*T_p1213519828996103[[#This Row],[stack]]</calculatedColumnFormula>
    </tableColumn>
    <tableColumn id="5" xr3:uid="{3B9E157A-7E89-42C4-B330-BD5FF2FE3940}" name="cEVdiff" dataDxfId="265">
      <calculatedColumnFormula>T_EV3340308794101108[[#This Row],[chipEV]]-T_fact2939288693100107[[#This Row],[stack]]</calculatedColumnFormula>
    </tableColumn>
    <tableColumn id="6" xr3:uid="{2CEB13B7-B650-4F25-B283-6737649B9097}" name="Evdiff" dataDxfId="264">
      <calculatedColumnFormula>T_EV3340308794101108[[#This Row],[EV]]-(T_fact2939288693100107[[#This Row],[ICM]]+bounty*T_fact2939288693100107[[#This Row],[KO]])</calculatedColumnFormula>
    </tableColumn>
  </tableColumns>
  <tableStyleInfo name="TableStyleLight11" showFirstColumn="0" showLastColumn="0" showRowStripes="1" showColumnStripes="0"/>
</table>
</file>

<file path=xl/tables/table7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0000000-000C-0000-FFFF-FFFF10000000}" name="T_init2034" displayName="T_init2034" ref="A15:D22" totalsRowCount="1">
  <autoFilter ref="A15:D21" xr:uid="{00000000-0009-0000-0100-000021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1000-000001000000}" name="p" totalsRowLabel="Total"/>
    <tableColumn id="2" xr3:uid="{00000000-0010-0000-1000-000002000000}" name="stack"/>
    <tableColumn id="3" xr3:uid="{00000000-0010-0000-1000-000003000000}" name="hand"/>
    <tableColumn id="4" xr3:uid="{00000000-0010-0000-1000-000004000000}" name="pWin" totalsRowFunction="sum"/>
  </tableColumns>
  <tableStyleInfo name="TableStyleLight11" showFirstColumn="0" showLastColumn="0" showRowStripes="1" showColumnStripes="0"/>
</table>
</file>

<file path=xl/tables/table7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00000000-000C-0000-FFFF-FFFF11000000}" name="T_p12135" displayName="T_p12135" ref="F15:K21" totalsRowShown="0" tableBorderDxfId="263">
  <autoFilter ref="F15:K21" xr:uid="{00000000-0009-0000-0100-000022000000}"/>
  <tableColumns count="6">
    <tableColumn id="1" xr3:uid="{00000000-0010-0000-1100-000001000000}" name="players" dataDxfId="262">
      <calculatedColumnFormula>COUNTIF(T_p12135[stack],"&gt;0")</calculatedColumnFormula>
    </tableColumn>
    <tableColumn id="2" xr3:uid="{00000000-0010-0000-1100-000002000000}" name="stack" dataDxfId="261">
      <calculatedColumnFormula>IF(T_init2034[[#This Row],[p]]=1,mainpot+sidepot1+sidepot2+uncalled,IF(T_init2034[[#This Row],[p]]&gt;1,0,T_init2034[[#This Row],[stack]]))</calculatedColumnFormula>
    </tableColumn>
    <tableColumn id="3" xr3:uid="{00000000-0010-0000-1100-000003000000}" name="EQ"/>
    <tableColumn id="4" xr3:uid="{00000000-0010-0000-1100-000004000000}" name="ICM" dataDxfId="260">
      <calculatedColumnFormula>T_p12135[[#This Row],[EQ]]*prize</calculatedColumnFormula>
    </tableColumn>
    <tableColumn id="5" xr3:uid="{00000000-0010-0000-1100-000005000000}" name="KO" dataDxfId="259">
      <calculatedColumnFormula>IF(T_init2034[[#This Row],[p]]=1,T_p12135[[#This Row],[players]]*T_p12135[[#This Row],[stack]]/chips+COUNTIF(T_p12135[stack],0),T_p12135[[#This Row],[players]]*T_p12135[[#This Row],[stack]]/chips)</calculatedColumnFormula>
    </tableColumn>
    <tableColumn id="6" xr3:uid="{00000000-0010-0000-1100-000006000000}" name="$stack" dataDxfId="258">
      <calculatedColumnFormula>T_p12135[[#This Row],[ICM]]+bounty*T_p12135[[#This Row],[KO]]</calculatedColumnFormula>
    </tableColumn>
  </tableColumns>
  <tableStyleInfo name="TableStyleLight11" showFirstColumn="0" showLastColumn="0" showRowStripes="1" showColumnStripes="0"/>
</table>
</file>

<file path=xl/tables/table7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00000000-000C-0000-FFFF-FFFF12000000}" name="T_p22236" displayName="T_p22236" ref="M15:R21" totalsRowShown="0" tableBorderDxfId="257">
  <autoFilter ref="M15:R21" xr:uid="{00000000-0009-0000-0100-000023000000}"/>
  <tableColumns count="6">
    <tableColumn id="1" xr3:uid="{00000000-0010-0000-1200-000001000000}" name="players" dataDxfId="256" totalsRowDxfId="255">
      <calculatedColumnFormula>COUNTIF(T_p22236[stack],"&gt;0")</calculatedColumnFormula>
    </tableColumn>
    <tableColumn id="2" xr3:uid="{00000000-0010-0000-1200-000002000000}" name="stack" dataDxfId="254" totalsRowDxfId="253">
      <calculatedColumnFormula>IF(T_init2034[[#This Row],[p]]=1,uncalled,IF(T_init2034[[#This Row],[p]]=2,mainpot+sidepot1+sidepot2,IF(T_init2034[[#This Row],[p]]&gt;2,0,T_init2034[[#This Row],[stack]])))</calculatedColumnFormula>
    </tableColumn>
    <tableColumn id="3" xr3:uid="{00000000-0010-0000-1200-000003000000}" name="EQ" totalsRowDxfId="252"/>
    <tableColumn id="4" xr3:uid="{00000000-0010-0000-1200-000004000000}" name="ICM" dataDxfId="251" totalsRowDxfId="250">
      <calculatedColumnFormula>T_p22236[[#This Row],[EQ]]*prize</calculatedColumnFormula>
    </tableColumn>
    <tableColumn id="5" xr3:uid="{00000000-0010-0000-1200-000005000000}" name="KO" dataDxfId="249" totalsRowDxfId="248">
      <calculatedColumnFormula>IF(T_init2034[[#This Row],[p]]=2,T_p22236[[#This Row],[players]]*T_p22236[[#This Row],[stack]]/chips+COUNTIF(T_p22236[stack],0),T_p22236[[#This Row],[players]]*T_p22236[[#This Row],[stack]]/chips)</calculatedColumnFormula>
    </tableColumn>
    <tableColumn id="6" xr3:uid="{00000000-0010-0000-1200-000006000000}" name="$stack" dataDxfId="247">
      <calculatedColumnFormula>T_p22236[[#This Row],[ICM]]+bounty*T_p22236[[#This Row],[KO]]</calculatedColumnFormula>
    </tableColumn>
  </tableColumns>
  <tableStyleInfo name="TableStyleLight11" showFirstColumn="0" showLastColumn="0" showRowStripes="1" showColumnStripes="0"/>
</table>
</file>

<file path=xl/tables/table7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00000000-000C-0000-FFFF-FFFF13000000}" name="T_p3p12337" displayName="T_p3p12337" ref="T15:Y21" totalsRowShown="0" tableBorderDxfId="246">
  <autoFilter ref="T15:Y21" xr:uid="{00000000-0009-0000-0100-000024000000}"/>
  <tableColumns count="6">
    <tableColumn id="1" xr3:uid="{00000000-0010-0000-1300-000001000000}" name="players" dataDxfId="245">
      <calculatedColumnFormula>COUNTIF(T_p3p12337[stack],"&gt;0")</calculatedColumnFormula>
    </tableColumn>
    <tableColumn id="2" xr3:uid="{00000000-0010-0000-1300-000002000000}" name="stack" dataDxfId="244">
      <calculatedColumnFormula>IF(T_init2034[[#This Row],[p]]=1,sidepot1+uncalled,IF(T_init2034[[#This Row],[p]]=3,mainpot,IF(ISBLANK(T_init2034[[#This Row],[p]]),T_init2034[[#This Row],[stack]],0)))</calculatedColumnFormula>
    </tableColumn>
    <tableColumn id="3" xr3:uid="{00000000-0010-0000-1300-000003000000}" name="EQ"/>
    <tableColumn id="4" xr3:uid="{00000000-0010-0000-1300-000004000000}" name="ICM" dataDxfId="243">
      <calculatedColumnFormula>T_p3p12337[[#This Row],[EQ]]*prize</calculatedColumnFormula>
    </tableColumn>
    <tableColumn id="5" xr3:uid="{00000000-0010-0000-1300-000005000000}" name="KO" dataDxfId="242">
      <calculatedColumnFormula>IF(T_init2034[[#This Row],[p]]=1,T_p3p12337[[#This Row],[players]]*T_p3p12337[[#This Row],[stack]]/chips+COUNTIF(T_p3p12337[stack],0),T_p3p12337[[#This Row],[players]]*T_p3p12337[[#This Row],[stack]]/chips)</calculatedColumnFormula>
    </tableColumn>
    <tableColumn id="6" xr3:uid="{00000000-0010-0000-1300-000006000000}" name="$stack" dataDxfId="241">
      <calculatedColumnFormula>T_p3p12337[[#This Row],[ICM]]+bounty*T_p3p12337[[#This Row],[KO]]</calculatedColumnFormula>
    </tableColumn>
  </tableColumns>
  <tableStyleInfo name="TableStyleLight11" showFirstColumn="0" showLastColumn="0" showRowStripes="1" showColumnStripes="0"/>
</table>
</file>

<file path=xl/tables/table7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00000000-000C-0000-FFFF-FFFF14000000}" name="T_p3p22438" displayName="T_p3p22438" ref="AA15:AF21" totalsRowShown="0" tableBorderDxfId="240">
  <autoFilter ref="AA15:AF21" xr:uid="{00000000-0009-0000-0100-000025000000}"/>
  <tableColumns count="6">
    <tableColumn id="1" xr3:uid="{00000000-0010-0000-1400-000001000000}" name="players" dataDxfId="239" totalsRowDxfId="238">
      <calculatedColumnFormula>COUNTIF(T_p3p22438[stack],"&gt;0")</calculatedColumnFormula>
    </tableColumn>
    <tableColumn id="2" xr3:uid="{00000000-0010-0000-1400-000002000000}" name="stack" dataDxfId="237" totalsRowDxfId="236">
      <calculatedColumnFormula>IF(T_init2034[[#This Row],[p]]=1,uncalled,IF(T_init2034[[#This Row],[p]]=2,sidepot1,IF(T_init2034[[#This Row],[p]]=3,mainpot,IF(ISBLANK(T_init2034[[#This Row],[p]]),T_init2034[[#This Row],[stack]],0))))</calculatedColumnFormula>
    </tableColumn>
    <tableColumn id="3" xr3:uid="{00000000-0010-0000-1400-000003000000}" name="EQ" totalsRowDxfId="235"/>
    <tableColumn id="4" xr3:uid="{00000000-0010-0000-1400-000004000000}" name="ICM" dataDxfId="234" totalsRowDxfId="233">
      <calculatedColumnFormula>T_p3p22438[[#This Row],[EQ]]*prize</calculatedColumnFormula>
    </tableColumn>
    <tableColumn id="5" xr3:uid="{00000000-0010-0000-1400-000005000000}" name="KO" dataDxfId="232" totalsRowDxfId="231">
      <calculatedColumnFormula>IF(T_init2034[[#This Row],[p]]=2,T_p3p22438[[#This Row],[players]]*T_p3p22438[[#This Row],[stack]]/chips+COUNTIF(T_p3p22438[stack],0),T_p3p22438[[#This Row],[players]]*T_p3p22438[[#This Row],[stack]]/chips)</calculatedColumnFormula>
    </tableColumn>
    <tableColumn id="6" xr3:uid="{00000000-0010-0000-1400-000006000000}" name="$stack" dataDxfId="230">
      <calculatedColumnFormula>T_p3p22438[[#This Row],[ICM]]+bounty*T_p3p22438[[#This Row],[KO]]</calculatedColumnFormula>
    </tableColumn>
  </tableColumns>
  <tableStyleInfo name="TableStyleLight11" showFirstColumn="0" showLastColumn="0" showRowStripes="1" showColumnStripes="0"/>
</table>
</file>

<file path=xl/tables/table7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00000000-000C-0000-FFFF-FFFF15000000}" name="T_fact2939" displayName="T_fact2939" ref="AI15:AN21" totalsRowShown="0" tableBorderDxfId="229">
  <autoFilter ref="AI15:AN21" xr:uid="{00000000-0009-0000-0100-000026000000}"/>
  <tableColumns count="6">
    <tableColumn id="1" xr3:uid="{00000000-0010-0000-1500-000001000000}" name="players">
      <calculatedColumnFormula>COUNTIF(T_fact2939[stack],"&gt;0")</calculatedColumnFormula>
    </tableColumn>
    <tableColumn id="2" xr3:uid="{00000000-0010-0000-1500-000002000000}" name="stack" dataDxfId="228">
      <calculatedColumnFormula>IF(T_init2034[[#This Row],[p]]=1,mainpot+sidepot1+sidepot2+uncalled,IF(T_init2034[[#This Row],[p]]&gt;1,0,T_init2034[[#This Row],[stack]]))</calculatedColumnFormula>
    </tableColumn>
    <tableColumn id="3" xr3:uid="{00000000-0010-0000-1500-000003000000}" name="EQ"/>
    <tableColumn id="4" xr3:uid="{00000000-0010-0000-1500-000004000000}" name="ICM" dataDxfId="227">
      <calculatedColumnFormula>T_fact2939[[#This Row],[EQ]]*prize</calculatedColumnFormula>
    </tableColumn>
    <tableColumn id="5" xr3:uid="{00000000-0010-0000-1500-000005000000}" name="KO" dataDxfId="226">
      <calculatedColumnFormula>IF(T_init2034[[#This Row],[p]]=1,T_fact2939[[#This Row],[players]]*T_fact2939[[#This Row],[stack]]/chips+COUNTIF(T_fact2939[stack],0),T_fact2939[[#This Row],[players]]*T_fact2939[[#This Row],[stack]]/chips)</calculatedColumnFormula>
    </tableColumn>
    <tableColumn id="6" xr3:uid="{00000000-0010-0000-1500-000006000000}" name="$stack" dataDxfId="225">
      <calculatedColumnFormula>T_fact2939[[#This Row],[ICM]]+bounty*T_fact2939[[#This Row],[KO]]</calculatedColumnFormula>
    </tableColumn>
  </tableColumns>
  <tableStyleInfo name="TableStyleLight11" showFirstColumn="0" showLastColumn="0" showRowStripes="1" showColumnStripes="0"/>
</table>
</file>

<file path=xl/tables/table7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00000000-000C-0000-FFFF-FFFF16000000}" name="T_EV3340" displayName="T_EV3340" ref="AQ15:AV21" totalsRowShown="0" tableBorderDxfId="224">
  <autoFilter ref="AQ15:AV21" xr:uid="{00000000-0009-0000-0100-000027000000}"/>
  <tableColumns count="6">
    <tableColumn id="1" xr3:uid="{00000000-0010-0000-1600-000001000000}" name="ICM" dataDxfId="223">
      <calculatedColumnFormula>'3wKhQs'!p3win* ('3wKhQs'!p1sp1win*T_p3p12337[[#This Row],[ICM]] + '3wKhQs'!p2sp1win*T_p3p22438[[#This Row],[ICM]])
+'3wKhQs'!p2win*T_p22236[[#This Row],[ICM]]
+'3wKhQs'!p1win*T_p12135[[#This Row],[ICM]]</calculatedColumnFormula>
    </tableColumn>
    <tableColumn id="2" xr3:uid="{00000000-0010-0000-1600-000002000000}" name="KO" dataDxfId="222">
      <calculatedColumnFormula>('3wKhQs'!p3win* ('3wKhQs'!p1sp1win*T_p3p12337[[#This Row],[KO]] + '3wKhQs'!p2sp1win*T_p3p22438[[#This Row],[KO]])
+'3wKhQs'!p2win*T_p22236[[#This Row],[KO]]
+'3wKhQs'!p1win*T_p12135[[#This Row],[KO]])*bounty</calculatedColumnFormula>
    </tableColumn>
    <tableColumn id="3" xr3:uid="{00000000-0010-0000-1600-000003000000}" name="EV" dataDxfId="221">
      <calculatedColumnFormula>'3wKhQs'!p3win* ('3wKhQs'!p1sp1win*T_p3p12337[[#This Row],[$stack]] + '3wKhQs'!p2sp1win*T_p3p22438[[#This Row],[$stack]])
+'3wKhQs'!p2win*T_p22236[[#This Row],[$stack]]
+'3wKhQs'!p1win*T_p12135[[#This Row],[$stack]]</calculatedColumnFormula>
    </tableColumn>
    <tableColumn id="4" xr3:uid="{00000000-0010-0000-1600-000004000000}" name="chipEV" dataDxfId="220">
      <calculatedColumnFormula>'3wKhQs'!p3win* ('3wKhQs'!p1sp1win*T_p3p12337[[#This Row],[stack]] + '3wKhQs'!p2sp1win*T_p3p22438[[#This Row],[stack]])
+'3wKhQs'!p2win*T_p22236[[#This Row],[stack]]
+'3wKhQs'!p1win*T_p12135[[#This Row],[stack]]</calculatedColumnFormula>
    </tableColumn>
    <tableColumn id="5" xr3:uid="{00000000-0010-0000-1600-000005000000}" name="cEVdiff" dataDxfId="219">
      <calculatedColumnFormula>T_EV3340[[#This Row],[chipEV]]-T_fact2939[[#This Row],[stack]]</calculatedColumnFormula>
    </tableColumn>
    <tableColumn id="6" xr3:uid="{00000000-0010-0000-1600-000006000000}" name="Evdiff" dataDxfId="218">
      <calculatedColumnFormula>T_EV3340[[#This Row],[EV]]-(T_fact2939[[#This Row],[ICM]]+bounty*T_fact2939[[#This Row],[KO]])</calculatedColumnFormula>
    </tableColumn>
  </tableColumns>
  <tableStyleInfo name="TableStyleLight11" showFirstColumn="0" showLastColumn="0" showRowStripes="1" showColumnStripes="0"/>
</table>
</file>

<file path=xl/tables/table7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7000000}" name="T_init20" displayName="T_init20" ref="A15:D22" totalsRowCount="1">
  <autoFilter ref="A15:D21" xr:uid="{00000000-0009-0000-0100-000013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1700-000001000000}" name="p" totalsRowLabel="Total"/>
    <tableColumn id="2" xr3:uid="{00000000-0010-0000-1700-000002000000}" name="stack"/>
    <tableColumn id="3" xr3:uid="{00000000-0010-0000-1700-000003000000}" name="hand"/>
    <tableColumn id="4" xr3:uid="{00000000-0010-0000-1700-000004000000}" name="pWin" totalsRowFunction="sum"/>
  </tableColumns>
  <tableStyleInfo name="TableStyleLight11" showFirstColumn="0" showLastColumn="0" showRowStripes="1" showColumnStripes="0"/>
</table>
</file>

<file path=xl/tables/table8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8000000}" name="T_p121" displayName="T_p121" ref="F15:K21" totalsRowShown="0" tableBorderDxfId="217">
  <autoFilter ref="F15:K21" xr:uid="{00000000-0009-0000-0100-000014000000}"/>
  <tableColumns count="6">
    <tableColumn id="1" xr3:uid="{00000000-0010-0000-1800-000001000000}" name="players" dataDxfId="216">
      <calculatedColumnFormula>COUNTIF(T_p121[stack],"&gt;0")</calculatedColumnFormula>
    </tableColumn>
    <tableColumn id="2" xr3:uid="{00000000-0010-0000-1800-000002000000}" name="stack" dataDxfId="215">
      <calculatedColumnFormula>IF(T_init20[[#This Row],[p]]=1,mainpot+sidepot1+sidepot2+uncalled,IF(T_init20[[#This Row],[p]]&gt;1,0,T_init20[[#This Row],[stack]]))</calculatedColumnFormula>
    </tableColumn>
    <tableColumn id="3" xr3:uid="{00000000-0010-0000-1800-000003000000}" name="EQ"/>
    <tableColumn id="4" xr3:uid="{00000000-0010-0000-1800-000004000000}" name="ICM" dataDxfId="214">
      <calculatedColumnFormula>T_p121[[#This Row],[EQ]]*prize</calculatedColumnFormula>
    </tableColumn>
    <tableColumn id="5" xr3:uid="{00000000-0010-0000-1800-000005000000}" name="KO" dataDxfId="213">
      <calculatedColumnFormula>IF(T_init20[[#This Row],[p]]=1,T_p121[[#This Row],[players]]*T_p121[[#This Row],[stack]]/chips+COUNTIF(T_p121[stack],0),T_p121[[#This Row],[players]]*T_p121[[#This Row],[stack]]/chips)</calculatedColumnFormula>
    </tableColumn>
    <tableColumn id="6" xr3:uid="{00000000-0010-0000-1800-000006000000}" name="$stack" dataDxfId="212">
      <calculatedColumnFormula>T_p121[[#This Row],[ICM]]+bounty*T_p121[[#This Row],[KO]]</calculatedColumnFormula>
    </tableColumn>
  </tableColumns>
  <tableStyleInfo name="TableStyleLight11" showFirstColumn="0" showLastColumn="0" showRowStripes="1" showColumnStripes="0"/>
</table>
</file>

<file path=xl/tables/table8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19000000}" name="T_p222" displayName="T_p222" ref="M15:R21" totalsRowShown="0" tableBorderDxfId="211">
  <autoFilter ref="M15:R21" xr:uid="{00000000-0009-0000-0100-000015000000}"/>
  <tableColumns count="6">
    <tableColumn id="1" xr3:uid="{00000000-0010-0000-1900-000001000000}" name="players" dataDxfId="210" totalsRowDxfId="209">
      <calculatedColumnFormula>COUNTIF(T_p222[stack],"&gt;0")</calculatedColumnFormula>
    </tableColumn>
    <tableColumn id="2" xr3:uid="{00000000-0010-0000-1900-000002000000}" name="stack" dataDxfId="208" totalsRowDxfId="207">
      <calculatedColumnFormula>IF(T_init20[[#This Row],[p]]=1,uncalled,IF(T_init20[[#This Row],[p]]=2,mainpot+sidepot1+sidepot2,IF(T_init20[[#This Row],[p]]&gt;2,0,T_init20[[#This Row],[stack]])))</calculatedColumnFormula>
    </tableColumn>
    <tableColumn id="3" xr3:uid="{00000000-0010-0000-1900-000003000000}" name="EQ" totalsRowDxfId="206"/>
    <tableColumn id="4" xr3:uid="{00000000-0010-0000-1900-000004000000}" name="ICM" dataDxfId="205" totalsRowDxfId="204">
      <calculatedColumnFormula>T_p222[[#This Row],[EQ]]*prize</calculatedColumnFormula>
    </tableColumn>
    <tableColumn id="5" xr3:uid="{00000000-0010-0000-1900-000005000000}" name="KO" dataDxfId="203" totalsRowDxfId="202">
      <calculatedColumnFormula>IF(T_init20[[#This Row],[p]]=2,T_p222[[#This Row],[players]]*T_p222[[#This Row],[stack]]/chips+COUNTIF(T_p222[stack],0),T_p222[[#This Row],[players]]*T_p222[[#This Row],[stack]]/chips)</calculatedColumnFormula>
    </tableColumn>
    <tableColumn id="6" xr3:uid="{00000000-0010-0000-1900-000006000000}" name="$stack" dataDxfId="201">
      <calculatedColumnFormula>T_p222[[#This Row],[ICM]]+bounty*T_p222[[#This Row],[KO]]</calculatedColumnFormula>
    </tableColumn>
  </tableColumns>
  <tableStyleInfo name="TableStyleLight11" showFirstColumn="0" showLastColumn="0" showRowStripes="1" showColumnStripes="0"/>
</table>
</file>

<file path=xl/tables/table8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A000000}" name="T_p3p123" displayName="T_p3p123" ref="T15:Y21" totalsRowShown="0" tableBorderDxfId="200">
  <autoFilter ref="T15:Y21" xr:uid="{00000000-0009-0000-0100-000016000000}"/>
  <tableColumns count="6">
    <tableColumn id="1" xr3:uid="{00000000-0010-0000-1A00-000001000000}" name="players" dataDxfId="199">
      <calculatedColumnFormula>COUNTIF(T_p3p123[stack],"&gt;0")</calculatedColumnFormula>
    </tableColumn>
    <tableColumn id="2" xr3:uid="{00000000-0010-0000-1A00-000002000000}" name="stack" dataDxfId="198">
      <calculatedColumnFormula>IF(T_init20[[#This Row],[p]]=1,sidepot1+uncalled,IF(T_init20[[#This Row],[p]]=3,mainpot,IF(ISBLANK(T_init20[[#This Row],[p]]),T_init20[[#This Row],[stack]],0)))</calculatedColumnFormula>
    </tableColumn>
    <tableColumn id="3" xr3:uid="{00000000-0010-0000-1A00-000003000000}" name="EQ"/>
    <tableColumn id="4" xr3:uid="{00000000-0010-0000-1A00-000004000000}" name="ICM" dataDxfId="197">
      <calculatedColumnFormula>T_p3p123[[#This Row],[EQ]]*prize</calculatedColumnFormula>
    </tableColumn>
    <tableColumn id="5" xr3:uid="{00000000-0010-0000-1A00-000005000000}" name="KO" dataDxfId="196">
      <calculatedColumnFormula>IF(T_init20[[#This Row],[p]]=1,T_p3p123[[#This Row],[players]]*T_p3p123[[#This Row],[stack]]/chips+COUNTIF(T_p3p123[stack],0),T_p3p123[[#This Row],[players]]*T_p3p123[[#This Row],[stack]]/chips)</calculatedColumnFormula>
    </tableColumn>
    <tableColumn id="6" xr3:uid="{00000000-0010-0000-1A00-000006000000}" name="$stack" dataDxfId="195">
      <calculatedColumnFormula>T_p3p123[[#This Row],[ICM]]+bounty*T_p3p123[[#This Row],[KO]]</calculatedColumnFormula>
    </tableColumn>
  </tableColumns>
  <tableStyleInfo name="TableStyleLight11" showFirstColumn="0" showLastColumn="0" showRowStripes="1" showColumnStripes="0"/>
</table>
</file>

<file path=xl/tables/table8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B000000}" name="T_p3p224" displayName="T_p3p224" ref="AA15:AF21" totalsRowShown="0" tableBorderDxfId="194">
  <autoFilter ref="AA15:AF21" xr:uid="{00000000-0009-0000-0100-000017000000}"/>
  <tableColumns count="6">
    <tableColumn id="1" xr3:uid="{00000000-0010-0000-1B00-000001000000}" name="players" dataDxfId="193" totalsRowDxfId="192">
      <calculatedColumnFormula>COUNTIF(T_p3p224[stack],"&gt;0")</calculatedColumnFormula>
    </tableColumn>
    <tableColumn id="2" xr3:uid="{00000000-0010-0000-1B00-000002000000}" name="stack" dataDxfId="191" totalsRowDxfId="190">
      <calculatedColumnFormula>IF(T_init20[[#This Row],[p]]=1,uncalled,IF(T_init20[[#This Row],[p]]=2,sidepot1,IF(T_init20[[#This Row],[p]]=3,mainpot,IF(ISBLANK(T_init20[[#This Row],[p]]),T_init20[[#This Row],[stack]],0))))</calculatedColumnFormula>
    </tableColumn>
    <tableColumn id="3" xr3:uid="{00000000-0010-0000-1B00-000003000000}" name="EQ" totalsRowDxfId="189"/>
    <tableColumn id="4" xr3:uid="{00000000-0010-0000-1B00-000004000000}" name="ICM" dataDxfId="188" totalsRowDxfId="187">
      <calculatedColumnFormula>T_p3p224[[#This Row],[EQ]]*prize</calculatedColumnFormula>
    </tableColumn>
    <tableColumn id="5" xr3:uid="{00000000-0010-0000-1B00-000005000000}" name="KO" dataDxfId="186" totalsRowDxfId="185">
      <calculatedColumnFormula>IF(T_init20[[#This Row],[p]]=2,T_p3p224[[#This Row],[players]]*T_p3p224[[#This Row],[stack]]/chips+COUNTIF(T_p3p224[stack],0),T_p3p224[[#This Row],[players]]*T_p3p224[[#This Row],[stack]]/chips)</calculatedColumnFormula>
    </tableColumn>
    <tableColumn id="6" xr3:uid="{00000000-0010-0000-1B00-000006000000}" name="$stack" dataDxfId="184">
      <calculatedColumnFormula>T_p3p224[[#This Row],[ICM]]+bounty*T_p3p224[[#This Row],[KO]]</calculatedColumnFormula>
    </tableColumn>
  </tableColumns>
  <tableStyleInfo name="TableStyleLight11" showFirstColumn="0" showLastColumn="0" showRowStripes="1" showColumnStripes="0"/>
</table>
</file>

<file path=xl/tables/table8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1C000000}" name="T_fact29" displayName="T_fact29" ref="AI15:AN21" totalsRowShown="0" tableBorderDxfId="183">
  <autoFilter ref="AI15:AN21" xr:uid="{00000000-0009-0000-0100-00001C000000}"/>
  <tableColumns count="6">
    <tableColumn id="1" xr3:uid="{00000000-0010-0000-1C00-000001000000}" name="players">
      <calculatedColumnFormula>COUNTIF(T_fact29[stack],"&gt;0")</calculatedColumnFormula>
    </tableColumn>
    <tableColumn id="2" xr3:uid="{00000000-0010-0000-1C00-000002000000}" name="stack" dataDxfId="182">
      <calculatedColumnFormula>IF(T_init20[[#This Row],[p]]=1,mainpot+sidepot1+sidepot2+uncalled,IF(T_init20[[#This Row],[p]]&gt;1,0,T_init20[[#This Row],[stack]]))</calculatedColumnFormula>
    </tableColumn>
    <tableColumn id="3" xr3:uid="{00000000-0010-0000-1C00-000003000000}" name="EQ"/>
    <tableColumn id="4" xr3:uid="{00000000-0010-0000-1C00-000004000000}" name="ICM" dataDxfId="181">
      <calculatedColumnFormula>T_fact29[[#This Row],[EQ]]*prize</calculatedColumnFormula>
    </tableColumn>
    <tableColumn id="5" xr3:uid="{00000000-0010-0000-1C00-000005000000}" name="KO" dataDxfId="180">
      <calculatedColumnFormula>IF(T_init20[[#This Row],[p]]=1,T_fact29[[#This Row],[players]]*T_fact29[[#This Row],[stack]]/chips+COUNTIF(T_fact29[stack],0),T_fact29[[#This Row],[players]]*T_fact29[[#This Row],[stack]]/chips)</calculatedColumnFormula>
    </tableColumn>
    <tableColumn id="6" xr3:uid="{00000000-0010-0000-1C00-000006000000}" name="$stack" dataDxfId="179">
      <calculatedColumnFormula>T_fact29[[#This Row],[ICM]]+bounty*T_fact29[[#This Row],[KO]]</calculatedColumnFormula>
    </tableColumn>
  </tableColumns>
  <tableStyleInfo name="TableStyleLight11" showFirstColumn="0" showLastColumn="0" showRowStripes="1" showColumnStripes="0"/>
</table>
</file>

<file path=xl/tables/table8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00000000-000C-0000-FFFF-FFFF1D000000}" name="T_EV33" displayName="T_EV33" ref="AQ15:AV21" totalsRowShown="0" tableBorderDxfId="178">
  <autoFilter ref="AQ15:AV21" xr:uid="{00000000-0009-0000-0100-000020000000}"/>
  <tableColumns count="6">
    <tableColumn id="1" xr3:uid="{00000000-0010-0000-1D00-000001000000}" name="ICM" dataDxfId="177">
      <calculatedColumnFormula>'3wAdKd'!p3win* ('3wAdKd'!p1sp1win*T_p3p123[[#This Row],[ICM]] + '3wAdKd'!p2sp1win*T_p3p224[[#This Row],[ICM]])
+'3wAdKd'!p2win*T_p222[[#This Row],[ICM]]
+'3wAdKd'!p1win*T_p121[[#This Row],[ICM]]</calculatedColumnFormula>
    </tableColumn>
    <tableColumn id="2" xr3:uid="{00000000-0010-0000-1D00-000002000000}" name="KO" dataDxfId="176">
      <calculatedColumnFormula>('3wAdKd'!p3win* ('3wAdKd'!p1sp1win*T_p3p123[[#This Row],[KO]] + '3wAdKd'!p2sp1win*T_p3p224[[#This Row],[KO]])
+'3wAdKd'!p2win*T_p222[[#This Row],[KO]]
+'3wAdKd'!p1win*T_p121[[#This Row],[KO]])*bounty</calculatedColumnFormula>
    </tableColumn>
    <tableColumn id="3" xr3:uid="{00000000-0010-0000-1D00-000003000000}" name="EV" dataDxfId="175">
      <calculatedColumnFormula>'3wAdKd'!p3win* ('3wAdKd'!p1sp1win*T_p3p123[[#This Row],[$stack]] + '3wAdKd'!p2sp1win*T_p3p224[[#This Row],[$stack]])
+'3wAdKd'!p2win*T_p222[[#This Row],[$stack]]
+'3wAdKd'!p1win*T_p121[[#This Row],[$stack]]</calculatedColumnFormula>
    </tableColumn>
    <tableColumn id="4" xr3:uid="{00000000-0010-0000-1D00-000004000000}" name="chipEV" dataDxfId="174">
      <calculatedColumnFormula>'3wAdKd'!p3win* ('3wAdKd'!p1sp1win*T_p3p123[[#This Row],[stack]] + '3wAdKd'!p2sp1win*T_p3p224[[#This Row],[stack]])
+'3wAdKd'!p2win*T_p222[[#This Row],[stack]]
+'3wAdKd'!p1win*T_p121[[#This Row],[stack]]</calculatedColumnFormula>
    </tableColumn>
    <tableColumn id="5" xr3:uid="{00000000-0010-0000-1D00-000005000000}" name="cEVdiff" dataDxfId="173">
      <calculatedColumnFormula>T_EV33[[#This Row],[chipEV]]-T_fact29[[#This Row],[stack]]</calculatedColumnFormula>
    </tableColumn>
    <tableColumn id="6" xr3:uid="{00000000-0010-0000-1D00-000006000000}" name="Evdiff" dataDxfId="172">
      <calculatedColumnFormula>T_EV33[[#This Row],[EV]]-(T_fact29[[#This Row],[ICM]]+bounty*T_fact29[[#This Row],[KO]])</calculatedColumnFormula>
    </tableColumn>
  </tableColumns>
  <tableStyleInfo name="TableStyleLight11" showFirstColumn="0" showLastColumn="0" showRowStripes="1" showColumnStripes="0"/>
</table>
</file>

<file path=xl/tables/table8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00000000-000C-0000-FFFF-FFFF1E000000}" name="T_init2041" displayName="T_init2041" ref="A15:D19" totalsRowCount="1">
  <autoFilter ref="A15:D18" xr:uid="{00000000-0009-0000-0100-000028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1E00-000001000000}" name="p" totalsRowLabel="Total"/>
    <tableColumn id="2" xr3:uid="{00000000-0010-0000-1E00-000002000000}" name="stack"/>
    <tableColumn id="3" xr3:uid="{00000000-0010-0000-1E00-000003000000}" name="hand"/>
    <tableColumn id="4" xr3:uid="{00000000-0010-0000-1E00-000004000000}" name="pWin" totalsRowFunction="sum"/>
  </tableColumns>
  <tableStyleInfo name="TableStyleLight11" showFirstColumn="0" showLastColumn="0" showRowStripes="1" showColumnStripes="0"/>
</table>
</file>

<file path=xl/tables/table8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00000000-000C-0000-FFFF-FFFF1F000000}" name="T_p12142" displayName="T_p12142" ref="F15:K18" totalsRowShown="0" tableBorderDxfId="171">
  <autoFilter ref="F15:K18" xr:uid="{00000000-0009-0000-0100-000029000000}"/>
  <tableColumns count="6">
    <tableColumn id="1" xr3:uid="{00000000-0010-0000-1F00-000001000000}" name="players" dataDxfId="170">
      <calculatedColumnFormula>COUNTIF(T_p12142[stack],"&gt;0")</calculatedColumnFormula>
    </tableColumn>
    <tableColumn id="2" xr3:uid="{00000000-0010-0000-1F00-000002000000}" name="stack" dataDxfId="169">
      <calculatedColumnFormula>IF(T_init2041[[#This Row],[p]]=1,mainpot+sidepot1+sidepot2+uncalled,IF(T_init2041[[#This Row],[p]]&gt;1,0,T_init2041[[#This Row],[stack]]))</calculatedColumnFormula>
    </tableColumn>
    <tableColumn id="3" xr3:uid="{00000000-0010-0000-1F00-000003000000}" name="EQ"/>
    <tableColumn id="4" xr3:uid="{00000000-0010-0000-1F00-000004000000}" name="ICM" dataDxfId="168">
      <calculatedColumnFormula>T_p12142[[#This Row],[EQ]]*prize</calculatedColumnFormula>
    </tableColumn>
    <tableColumn id="5" xr3:uid="{00000000-0010-0000-1F00-000005000000}" name="KO" dataDxfId="167">
      <calculatedColumnFormula>IF(T_init2041[[#This Row],[p]]=1,T_p12142[[#This Row],[players]]*T_p12142[[#This Row],[stack]]/chips+COUNTIF(T_p12142[stack],0),T_p12142[[#This Row],[players]]*T_p12142[[#This Row],[stack]]/chips)</calculatedColumnFormula>
    </tableColumn>
    <tableColumn id="6" xr3:uid="{00000000-0010-0000-1F00-000006000000}" name="$stack" dataDxfId="166">
      <calculatedColumnFormula>T_p12142[[#This Row],[ICM]]+bounty*T_p12142[[#This Row],[KO]]</calculatedColumnFormula>
    </tableColumn>
  </tableColumns>
  <tableStyleInfo name="TableStyleLight11" showFirstColumn="0" showLastColumn="0" showRowStripes="1" showColumnStripes="0"/>
</table>
</file>

<file path=xl/tables/table8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00000000-000C-0000-FFFF-FFFF20000000}" name="T_p22243" displayName="T_p22243" ref="M15:R18" totalsRowShown="0" tableBorderDxfId="165">
  <autoFilter ref="M15:R18" xr:uid="{00000000-0009-0000-0100-00002A000000}"/>
  <tableColumns count="6">
    <tableColumn id="1" xr3:uid="{00000000-0010-0000-2000-000001000000}" name="players" dataDxfId="164" totalsRowDxfId="163">
      <calculatedColumnFormula>COUNTIF(T_p22243[stack],"&gt;0")</calculatedColumnFormula>
    </tableColumn>
    <tableColumn id="2" xr3:uid="{00000000-0010-0000-2000-000002000000}" name="stack" dataDxfId="162" totalsRowDxfId="161">
      <calculatedColumnFormula>IF(T_init2041[[#This Row],[p]]=1,uncalled,IF(T_init2041[[#This Row],[p]]=2,mainpot+sidepot1+sidepot2,IF(T_init2041[[#This Row],[p]]&gt;2,0,T_init2041[[#This Row],[stack]])))</calculatedColumnFormula>
    </tableColumn>
    <tableColumn id="3" xr3:uid="{00000000-0010-0000-2000-000003000000}" name="EQ" totalsRowDxfId="160"/>
    <tableColumn id="4" xr3:uid="{00000000-0010-0000-2000-000004000000}" name="ICM" dataDxfId="159" totalsRowDxfId="158">
      <calculatedColumnFormula>T_p22243[[#This Row],[EQ]]*prize</calculatedColumnFormula>
    </tableColumn>
    <tableColumn id="5" xr3:uid="{00000000-0010-0000-2000-000005000000}" name="KO" dataDxfId="157" totalsRowDxfId="156">
      <calculatedColumnFormula>IF(T_init2041[[#This Row],[p]]=2,T_p22243[[#This Row],[players]]*T_p22243[[#This Row],[stack]]/chips+COUNTIF(T_p22243[stack],0),T_p22243[[#This Row],[players]]*T_p22243[[#This Row],[stack]]/chips)</calculatedColumnFormula>
    </tableColumn>
    <tableColumn id="6" xr3:uid="{00000000-0010-0000-2000-000006000000}" name="$stack" dataDxfId="155">
      <calculatedColumnFormula>T_p22243[[#This Row],[ICM]]+bounty*T_p22243[[#This Row],[KO]]</calculatedColumnFormula>
    </tableColumn>
  </tableColumns>
  <tableStyleInfo name="TableStyleLight11" showFirstColumn="0" showLastColumn="0" showRowStripes="1" showColumnStripes="0"/>
</table>
</file>

<file path=xl/tables/table8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00000000-000C-0000-FFFF-FFFF21000000}" name="T_p3p12344" displayName="T_p3p12344" ref="T15:Y18" totalsRowShown="0" tableBorderDxfId="154">
  <autoFilter ref="T15:Y18" xr:uid="{00000000-0009-0000-0100-00002B000000}"/>
  <tableColumns count="6">
    <tableColumn id="1" xr3:uid="{00000000-0010-0000-2100-000001000000}" name="players" dataDxfId="153">
      <calculatedColumnFormula>COUNTIF(T_p3p12344[stack],"&gt;0")</calculatedColumnFormula>
    </tableColumn>
    <tableColumn id="2" xr3:uid="{00000000-0010-0000-2100-000002000000}" name="stack" dataDxfId="152">
      <calculatedColumnFormula>IF(T_init2041[[#This Row],[p]]=1,sidepot1+uncalled,IF(T_init2041[[#This Row],[p]]=3,mainpot,IF(ISBLANK(T_init2041[[#This Row],[p]]),T_init2041[[#This Row],[stack]],0)))</calculatedColumnFormula>
    </tableColumn>
    <tableColumn id="3" xr3:uid="{00000000-0010-0000-2100-000003000000}" name="EQ"/>
    <tableColumn id="4" xr3:uid="{00000000-0010-0000-2100-000004000000}" name="ICM" dataDxfId="151">
      <calculatedColumnFormula>T_p3p12344[[#This Row],[EQ]]*prize</calculatedColumnFormula>
    </tableColumn>
    <tableColumn id="5" xr3:uid="{00000000-0010-0000-2100-000005000000}" name="KO" dataDxfId="150">
      <calculatedColumnFormula>IF(T_init2041[[#This Row],[p]]=1,T_p3p12344[[#This Row],[players]]*T_p3p12344[[#This Row],[stack]]/chips+COUNTIF(T_p3p12344[stack],0),T_p3p12344[[#This Row],[players]]*T_p3p12344[[#This Row],[stack]]/chips)</calculatedColumnFormula>
    </tableColumn>
    <tableColumn id="6" xr3:uid="{00000000-0010-0000-2100-000006000000}" name="$stack" dataDxfId="149">
      <calculatedColumnFormula>T_p3p12344[[#This Row],[ICM]]+bounty*T_p3p12344[[#This Row],[KO]]</calculatedColumnFormula>
    </tableColumn>
  </tableColumns>
  <tableStyleInfo name="TableStyleLight11" showFirstColumn="0" showLastColumn="0" showRowStripes="1" showColumnStripes="0"/>
</table>
</file>

<file path=xl/tables/table9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00000000-000C-0000-FFFF-FFFF22000000}" name="T_p3p22445" displayName="T_p3p22445" ref="AA15:AF18" totalsRowShown="0" tableBorderDxfId="148">
  <autoFilter ref="AA15:AF18" xr:uid="{00000000-0009-0000-0100-00002C000000}"/>
  <tableColumns count="6">
    <tableColumn id="1" xr3:uid="{00000000-0010-0000-2200-000001000000}" name="players" dataDxfId="147" totalsRowDxfId="146">
      <calculatedColumnFormula>COUNTIF(T_p3p22445[stack],"&gt;0")</calculatedColumnFormula>
    </tableColumn>
    <tableColumn id="2" xr3:uid="{00000000-0010-0000-2200-000002000000}" name="stack" dataDxfId="145" totalsRowDxfId="144">
      <calculatedColumnFormula>IF(T_init2041[[#This Row],[p]]=1,uncalled,IF(T_init2041[[#This Row],[p]]=2,sidepot1,IF(T_init2041[[#This Row],[p]]=3,mainpot,IF(ISBLANK(T_init2041[[#This Row],[p]]),T_init2041[[#This Row],[stack]],0))))</calculatedColumnFormula>
    </tableColumn>
    <tableColumn id="3" xr3:uid="{00000000-0010-0000-2200-000003000000}" name="EQ" totalsRowDxfId="143"/>
    <tableColumn id="4" xr3:uid="{00000000-0010-0000-2200-000004000000}" name="ICM" dataDxfId="142" totalsRowDxfId="141">
      <calculatedColumnFormula>T_p3p22445[[#This Row],[EQ]]*prize</calculatedColumnFormula>
    </tableColumn>
    <tableColumn id="5" xr3:uid="{00000000-0010-0000-2200-000005000000}" name="KO" dataDxfId="140" totalsRowDxfId="139">
      <calculatedColumnFormula>IF(T_init2041[[#This Row],[p]]=2,T_p3p22445[[#This Row],[players]]*T_p3p22445[[#This Row],[stack]]/chips+COUNTIF(T_p3p22445[stack],0),T_p3p22445[[#This Row],[players]]*T_p3p22445[[#This Row],[stack]]/chips)</calculatedColumnFormula>
    </tableColumn>
    <tableColumn id="6" xr3:uid="{00000000-0010-0000-2200-000006000000}" name="$stack" dataDxfId="138">
      <calculatedColumnFormula>T_p3p22445[[#This Row],[ICM]]+bounty*T_p3p22445[[#This Row],[KO]]</calculatedColumnFormula>
    </tableColumn>
  </tableColumns>
  <tableStyleInfo name="TableStyleLight11" showFirstColumn="0" showLastColumn="0" showRowStripes="1" showColumnStripes="0"/>
</table>
</file>

<file path=xl/tables/table9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00000000-000C-0000-FFFF-FFFF23000000}" name="T_fact2946" displayName="T_fact2946" ref="AI15:AN18" totalsRowShown="0" tableBorderDxfId="137">
  <autoFilter ref="AI15:AN18" xr:uid="{00000000-0009-0000-0100-00002D000000}"/>
  <tableColumns count="6">
    <tableColumn id="1" xr3:uid="{00000000-0010-0000-2300-000001000000}" name="players">
      <calculatedColumnFormula>COUNTIF(T_fact2946[stack],"&gt;0")</calculatedColumnFormula>
    </tableColumn>
    <tableColumn id="2" xr3:uid="{00000000-0010-0000-2300-000002000000}" name="stack" dataDxfId="136">
      <calculatedColumnFormula>IF(T_init2041[[#This Row],[p]]=1,sidepot1+uncalled,IF(T_init2041[[#This Row],[p]]=3,mainpot,IF(ISBLANK(T_init2041[[#This Row],[p]]),T_init2041[[#This Row],[stack]],0)))</calculatedColumnFormula>
    </tableColumn>
    <tableColumn id="3" xr3:uid="{00000000-0010-0000-2300-000003000000}" name="EQ"/>
    <tableColumn id="4" xr3:uid="{00000000-0010-0000-2300-000004000000}" name="ICM" dataDxfId="135">
      <calculatedColumnFormula>T_fact2946[[#This Row],[EQ]]*prize</calculatedColumnFormula>
    </tableColumn>
    <tableColumn id="5" xr3:uid="{00000000-0010-0000-2300-000005000000}" name="KO" dataDxfId="134">
      <calculatedColumnFormula>IF(T_init2041[[#This Row],[p]]=1,T_fact2946[[#This Row],[players]]*T_fact2946[[#This Row],[stack]]/chips+COUNTIF(T_fact2946[stack],0),T_fact2946[[#This Row],[players]]*T_fact2946[[#This Row],[stack]]/chips)</calculatedColumnFormula>
    </tableColumn>
    <tableColumn id="6" xr3:uid="{00000000-0010-0000-2300-000006000000}" name="$stack" dataDxfId="133">
      <calculatedColumnFormula>T_fact2946[[#This Row],[ICM]]+bounty*T_fact2946[[#This Row],[KO]]</calculatedColumnFormula>
    </tableColumn>
  </tableColumns>
  <tableStyleInfo name="TableStyleLight11" showFirstColumn="0" showLastColumn="0" showRowStripes="1" showColumnStripes="0"/>
</table>
</file>

<file path=xl/tables/table9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00000000-000C-0000-FFFF-FFFF24000000}" name="T_EV3347" displayName="T_EV3347" ref="AQ15:AV18" totalsRowShown="0" tableBorderDxfId="132">
  <autoFilter ref="AQ15:AV18" xr:uid="{00000000-0009-0000-0100-00002E000000}"/>
  <tableColumns count="6">
    <tableColumn id="1" xr3:uid="{00000000-0010-0000-2400-000001000000}" name="ICM" dataDxfId="131">
      <calculatedColumnFormula>'3wAh9s'!p3win* ('3wAh9s'!p1sp1win*T_p3p12344[[#This Row],[ICM]] + '3wAh9s'!p2sp1win*T_p3p22445[[#This Row],[ICM]])
+'3wAh9s'!p2win*T_p22243[[#This Row],[ICM]]
+'3wAh9s'!p1win*T_p12142[[#This Row],[ICM]]</calculatedColumnFormula>
    </tableColumn>
    <tableColumn id="2" xr3:uid="{00000000-0010-0000-2400-000002000000}" name="KO" dataDxfId="130">
      <calculatedColumnFormula>('3wAh9s'!p3win* ('3wAh9s'!p1sp1win*T_p3p12344[[#This Row],[KO]] + '3wAh9s'!p2sp1win*T_p3p22445[[#This Row],[KO]])
+'3wAh9s'!p2win*T_p22243[[#This Row],[KO]]
+'3wAh9s'!p1win*T_p12142[[#This Row],[KO]])*bounty</calculatedColumnFormula>
    </tableColumn>
    <tableColumn id="3" xr3:uid="{00000000-0010-0000-2400-000003000000}" name="EV" dataDxfId="129">
      <calculatedColumnFormula>'3wAh9s'!p3win* ('3wAh9s'!p1sp1win*T_p3p12344[[#This Row],[$stack]] + '3wAh9s'!p2sp1win*T_p3p22445[[#This Row],[$stack]])
+'3wAh9s'!p2win*T_p22243[[#This Row],[$stack]]
+'3wAh9s'!p1win*T_p12142[[#This Row],[$stack]]</calculatedColumnFormula>
    </tableColumn>
    <tableColumn id="4" xr3:uid="{00000000-0010-0000-2400-000004000000}" name="chipEV" dataDxfId="128">
      <calculatedColumnFormula>'3wAh9s'!p3win* ('3wAh9s'!p1sp1win*T_p3p12344[[#This Row],[stack]] + '3wAh9s'!p2sp1win*T_p3p22445[[#This Row],[stack]])
+'3wAh9s'!p2win*T_p22243[[#This Row],[stack]]
+'3wAh9s'!p1win*T_p12142[[#This Row],[stack]]</calculatedColumnFormula>
    </tableColumn>
    <tableColumn id="5" xr3:uid="{00000000-0010-0000-2400-000005000000}" name="cEVdiff" dataDxfId="127">
      <calculatedColumnFormula>T_EV3347[[#This Row],[chipEV]]-T_fact2946[[#This Row],[stack]]</calculatedColumnFormula>
    </tableColumn>
    <tableColumn id="6" xr3:uid="{00000000-0010-0000-2400-000006000000}" name="Evdiff" dataDxfId="126">
      <calculatedColumnFormula>T_EV3347[[#This Row],[EV]]-(T_fact2946[[#This Row],[ICM]]+bounty*T_fact2946[[#This Row],[KO]])</calculatedColumnFormula>
    </tableColumn>
  </tableColumns>
  <tableStyleInfo name="TableStyleLight11" showFirstColumn="0" showLastColumn="0" showRowStripes="1" showColumnStripes="0"/>
</table>
</file>

<file path=xl/tables/table9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8:AK14" tableBorderDxfId="125">
  <autoFilter ref="A8:AK14" xr:uid="{00000000-0009-0000-0100-000001000000}">
    <filterColumn colId="1" hiddenButton="1"/>
    <filterColumn colId="2" hiddenButton="1"/>
    <filterColumn colId="3" hiddenButton="1"/>
    <filterColumn colId="5" hiddenButton="1"/>
    <filterColumn colId="6" hiddenButton="1"/>
    <filterColumn colId="7" hiddenButton="1"/>
    <filterColumn colId="8" hiddenButton="1"/>
    <filterColumn colId="10" hiddenButton="1"/>
    <filterColumn colId="11" hiddenButton="1"/>
    <filterColumn colId="12" hiddenButton="1"/>
    <filterColumn colId="13" hiddenButton="1"/>
    <filterColumn colId="20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</autoFilter>
  <tableColumns count="37">
    <tableColumn id="35" xr3:uid="{00000000-0010-0000-0100-000023000000}" name="players" totalsRowLabel="Total"/>
    <tableColumn id="1" xr3:uid="{00000000-0010-0000-0100-000001000000}" name="stack"/>
    <tableColumn id="2" xr3:uid="{00000000-0010-0000-0100-000002000000}" name="hand"/>
    <tableColumn id="3" xr3:uid="{00000000-0010-0000-0100-000003000000}" name="pWin"/>
    <tableColumn id="30" xr3:uid="{00000000-0010-0000-0100-00001E000000}" name="players1"/>
    <tableColumn id="4" xr3:uid="{00000000-0010-0000-0100-000004000000}" name="stack1" dataDxfId="124" totalsRowDxfId="123"/>
    <tableColumn id="5" xr3:uid="{00000000-0010-0000-0100-000005000000}" name="EQ1"/>
    <tableColumn id="6" xr3:uid="{00000000-0010-0000-0100-000006000000}" name="ICM1" dataDxfId="122">
      <calculatedColumnFormula>Table1[[#This Row],[EQ1]]*prize</calculatedColumnFormula>
    </tableColumn>
    <tableColumn id="7" xr3:uid="{00000000-0010-0000-0100-000007000000}" name="KO1" dataDxfId="121"/>
    <tableColumn id="31" xr3:uid="{00000000-0010-0000-0100-00001F000000}" name="players2" dataDxfId="120"/>
    <tableColumn id="8" xr3:uid="{00000000-0010-0000-0100-000008000000}" name="stack2" dataDxfId="119" totalsRowDxfId="118"/>
    <tableColumn id="9" xr3:uid="{00000000-0010-0000-0100-000009000000}" name="EQ2"/>
    <tableColumn id="10" xr3:uid="{00000000-0010-0000-0100-00000A000000}" name="ICM2" dataDxfId="117">
      <calculatedColumnFormula>Table1[[#This Row],[EQ2]]*prize</calculatedColumnFormula>
    </tableColumn>
    <tableColumn id="11" xr3:uid="{00000000-0010-0000-0100-00000B000000}" name="KO2" dataDxfId="116" totalsRowDxfId="115">
      <calculatedColumnFormula>5*Table2[[#This Row],[stacklose]]/3000</calculatedColumnFormula>
    </tableColumn>
    <tableColumn id="32" xr3:uid="{00000000-0010-0000-0100-000020000000}" name="KO22" dataDxfId="114"/>
    <tableColumn id="40" xr3:uid="{00000000-0010-0000-0100-000028000000}" name="playersside1" dataDxfId="113" totalsRowDxfId="112"/>
    <tableColumn id="39" xr3:uid="{00000000-0010-0000-0100-000027000000}" name="stackside1" dataDxfId="111"/>
    <tableColumn id="38" xr3:uid="{00000000-0010-0000-0100-000026000000}" name="EQside1" dataDxfId="110"/>
    <tableColumn id="37" xr3:uid="{00000000-0010-0000-0100-000025000000}" name="ICMside1" dataDxfId="109">
      <calculatedColumnFormula>Table1[[#This Row],[EQside1]]*prize</calculatedColumnFormula>
    </tableColumn>
    <tableColumn id="36" xr3:uid="{00000000-0010-0000-0100-000024000000}" name="KOside1" dataDxfId="108" totalsRowDxfId="107">
      <calculatedColumnFormula>Table1[[#This Row],[playersside1]]*Table1[[#This Row],[stackside1]]/3000</calculatedColumnFormula>
    </tableColumn>
    <tableColumn id="16" xr3:uid="{00000000-0010-0000-0100-000010000000}" name=" 2"/>
    <tableColumn id="47" xr3:uid="{00000000-0010-0000-0100-00002F000000}" name="playersside2" dataDxfId="106" totalsRowDxfId="105"/>
    <tableColumn id="46" xr3:uid="{00000000-0010-0000-0100-00002E000000}" name="stackside2"/>
    <tableColumn id="45" xr3:uid="{00000000-0010-0000-0100-00002D000000}" name="EQside2"/>
    <tableColumn id="44" xr3:uid="{00000000-0010-0000-0100-00002C000000}" name="ICMside2" dataDxfId="104">
      <calculatedColumnFormula>Table1[[#This Row],[EQside2]]*prize</calculatedColumnFormula>
    </tableColumn>
    <tableColumn id="43" xr3:uid="{00000000-0010-0000-0100-00002B000000}" name="KOside2" dataDxfId="103" totalsRowDxfId="102">
      <calculatedColumnFormula>Table1[[#This Row],[playersside2]]*Table1[[#This Row],[stackside2]]/3000</calculatedColumnFormula>
    </tableColumn>
    <tableColumn id="42" xr3:uid="{00000000-0010-0000-0100-00002A000000}" name=" 3"/>
    <tableColumn id="34" xr3:uid="{00000000-0010-0000-0100-000022000000}" name="playersf" dataDxfId="101" totalsRowDxfId="100"/>
    <tableColumn id="17" xr3:uid="{00000000-0010-0000-0100-000011000000}" name="stackf" dataDxfId="99" totalsRowDxfId="98"/>
    <tableColumn id="18" xr3:uid="{00000000-0010-0000-0100-000012000000}" name="EQf"/>
    <tableColumn id="19" xr3:uid="{00000000-0010-0000-0100-000013000000}" name="ICMf" dataDxfId="97">
      <calculatedColumnFormula>Table1[[#This Row],[EQf]]*prize</calculatedColumnFormula>
    </tableColumn>
    <tableColumn id="20" xr3:uid="{00000000-0010-0000-0100-000014000000}" name="KOf" dataDxfId="96" totalsRowDxfId="95">
      <calculatedColumnFormula>Table1[[#This Row],[playersf]]*Table1[[#This Row],[stackf]]/3000</calculatedColumnFormula>
    </tableColumn>
    <tableColumn id="21" xr3:uid="{00000000-0010-0000-0100-000015000000}" name="eqdiff" dataDxfId="94">
      <calculatedColumnFormula>Table2[[#This Row],[EQwin]]*Table2[[#This Row],[pWin]] + Table2[[#This Row],[EQlose]]*(1-Table2[[#This Row],[pWin]]) - Table2[[#This Row],[Eqfact]]</calculatedColumnFormula>
    </tableColumn>
    <tableColumn id="22" xr3:uid="{00000000-0010-0000-0100-000016000000}" name="ICMd" dataDxfId="93" totalsRowDxfId="92">
      <calculatedColumnFormula>p1win*Table1[[#This Row],[ICM1]]+(1-p1win)*(p2win*Table1[[#This Row],[ICM2]]+(1-p2win)*(p1spwin*Table1[[#This Row],[ICMside1]]+(1-p1spwin)*Table1[[#This Row],[ICMside2]])) -Table1[[#This Row],[ICMf]]</calculatedColumnFormula>
    </tableColumn>
    <tableColumn id="23" xr3:uid="{00000000-0010-0000-0100-000017000000}" name="KOd" dataDxfId="91">
      <calculatedColumnFormula>p3win*(p1spwin*Table1[[#This Row],[KOside1]]+(1-p1spwin)*Table1[[#This Row],[KOside2]])+p2win*Table1[[#This Row],[KO2]]+p1win*Table1[[#This Row],[KO1]] -Table1[[#This Row],[KOf]]</calculatedColumnFormula>
    </tableColumn>
    <tableColumn id="25" xr3:uid="{00000000-0010-0000-0100-000019000000}" name="totald" totalsRowFunction="sum" dataDxfId="90">
      <calculatedColumnFormula>Table1[[#This Row],[ICMd]]+Table1[[#This Row],[KOd]]</calculatedColumnFormula>
    </tableColumn>
    <tableColumn id="12" xr3:uid="{00000000-0010-0000-0100-00000C000000}" name="cEVdiff" dataDxfId="89">
      <calculatedColumnFormula>p3win*(p1spwin*Table1[[#This Row],[stackside1]]+(1-p1spwin)*Table1[[#This Row],[stackside2]])+p2win*Table1[[#This Row],[stack2]]+p1win*Table1[[#This Row],[stack1]] -Table1[[#This Row],[stackf]]</calculatedColumnFormula>
    </tableColumn>
  </tableColumns>
  <tableStyleInfo name="TableStyleMedium4" showFirstColumn="0" showLastColumn="0" showRowStripes="1" showColumnStripes="0"/>
</table>
</file>

<file path=xl/tables/table9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_init" displayName="T_init" ref="A15:D22" totalsRowCount="1">
  <autoFilter ref="A15:D21" xr:uid="{00000000-0009-0000-0100-000004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200-000001000000}" name="p" totalsRowLabel="Total"/>
    <tableColumn id="2" xr3:uid="{00000000-0010-0000-0200-000002000000}" name="stack"/>
    <tableColumn id="3" xr3:uid="{00000000-0010-0000-0200-000003000000}" name="hand"/>
    <tableColumn id="4" xr3:uid="{00000000-0010-0000-0200-000004000000}" name="pWin" totalsRowFunction="sum"/>
  </tableColumns>
  <tableStyleInfo name="TableStyleLight11" showFirstColumn="0" showLastColumn="0" showRowStripes="1" showColumnStripes="0"/>
</table>
</file>

<file path=xl/tables/table9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_p1" displayName="T_p1" ref="F15:K21" totalsRowShown="0" tableBorderDxfId="88">
  <autoFilter ref="F15:K21" xr:uid="{00000000-0009-0000-0100-000005000000}"/>
  <tableColumns count="6">
    <tableColumn id="1" xr3:uid="{00000000-0010-0000-0300-000001000000}" name="players" dataDxfId="87">
      <calculatedColumnFormula>COUNTIF(T_p1[stack],"&gt;0")</calculatedColumnFormula>
    </tableColumn>
    <tableColumn id="2" xr3:uid="{00000000-0010-0000-0300-000002000000}" name="stack" dataDxfId="86">
      <calculatedColumnFormula>IF(T_init[[#This Row],[p]]=1,mainpot+sidepot1+sidepot2+uncalled,IF(T_init[[#This Row],[p]]&gt;1,0,T_init[[#This Row],[stack]]))</calculatedColumnFormula>
    </tableColumn>
    <tableColumn id="3" xr3:uid="{00000000-0010-0000-0300-000003000000}" name="EQ"/>
    <tableColumn id="4" xr3:uid="{00000000-0010-0000-0300-000004000000}" name="ICM" dataDxfId="85">
      <calculatedColumnFormula>T_p1[[#This Row],[EQ]]*prize</calculatedColumnFormula>
    </tableColumn>
    <tableColumn id="5" xr3:uid="{00000000-0010-0000-0300-000005000000}" name="KO" dataDxfId="84">
      <calculatedColumnFormula>IF(T_init[[#This Row],[p]]=1,T_p1[[#This Row],[players]]*T_p1[[#This Row],[stack]]/chips+COUNTIF(T_p1[stack],0),T_p1[[#This Row],[players]]*T_p1[[#This Row],[stack]]/chips)</calculatedColumnFormula>
    </tableColumn>
    <tableColumn id="6" xr3:uid="{00000000-0010-0000-0300-000006000000}" name="$stack" dataDxfId="83">
      <calculatedColumnFormula>T_p1[[#This Row],[ICM]]+bounty*T_p1[[#This Row],[KO]]</calculatedColumnFormula>
    </tableColumn>
  </tableColumns>
  <tableStyleInfo name="TableStyleLight11" showFirstColumn="0" showLastColumn="0" showRowStripes="1" showColumnStripes="0"/>
</table>
</file>

<file path=xl/tables/table9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_p2" displayName="T_p2" ref="M15:R21" totalsRowShown="0" tableBorderDxfId="82">
  <autoFilter ref="M15:R21" xr:uid="{00000000-0009-0000-0100-000006000000}"/>
  <tableColumns count="6">
    <tableColumn id="1" xr3:uid="{00000000-0010-0000-0400-000001000000}" name="players" dataDxfId="81" totalsRowDxfId="80">
      <calculatedColumnFormula>COUNTIF(T_p2[stack],"&gt;0")</calculatedColumnFormula>
    </tableColumn>
    <tableColumn id="2" xr3:uid="{00000000-0010-0000-0400-000002000000}" name="stack" dataDxfId="79" totalsRowDxfId="78">
      <calculatedColumnFormula>IF(T_init[[#This Row],[p]]=1,uncalled,IF(T_init[[#This Row],[p]]=2,mainpot+sidepot1+sidepot2,IF(T_init[[#This Row],[p]]&gt;2,0,T_init[[#This Row],[stack]])))</calculatedColumnFormula>
    </tableColumn>
    <tableColumn id="3" xr3:uid="{00000000-0010-0000-0400-000003000000}" name="EQ" totalsRowDxfId="77"/>
    <tableColumn id="4" xr3:uid="{00000000-0010-0000-0400-000004000000}" name="ICM" dataDxfId="76" totalsRowDxfId="75">
      <calculatedColumnFormula>T_p2[[#This Row],[EQ]]*prize</calculatedColumnFormula>
    </tableColumn>
    <tableColumn id="5" xr3:uid="{00000000-0010-0000-0400-000005000000}" name="KO" dataDxfId="74" totalsRowDxfId="73">
      <calculatedColumnFormula>IF(T_init[[#This Row],[p]]=2,T_p2[[#This Row],[players]]*T_p2[[#This Row],[stack]]/chips+COUNTIF(T_p2[stack],0),T_p2[[#This Row],[players]]*T_p2[[#This Row],[stack]]/chips)</calculatedColumnFormula>
    </tableColumn>
    <tableColumn id="6" xr3:uid="{00000000-0010-0000-0400-000006000000}" name="$stack" dataDxfId="72">
      <calculatedColumnFormula>T_p2[[#This Row],[ICM]]+bounty*T_p2[[#This Row],[KO]]</calculatedColumnFormula>
    </tableColumn>
  </tableColumns>
  <tableStyleInfo name="TableStyleLight11" showFirstColumn="0" showLastColumn="0" showRowStripes="1" showColumnStripes="0"/>
</table>
</file>

<file path=xl/tables/table9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_p3p1" displayName="T_p3p1" ref="T15:Y21" totalsRowShown="0" tableBorderDxfId="71">
  <autoFilter ref="T15:Y21" xr:uid="{00000000-0009-0000-0100-000007000000}"/>
  <tableColumns count="6">
    <tableColumn id="1" xr3:uid="{00000000-0010-0000-0500-000001000000}" name="players" dataDxfId="70">
      <calculatedColumnFormula>COUNTIF(T_p3p1[stack],"&gt;0")</calculatedColumnFormula>
    </tableColumn>
    <tableColumn id="2" xr3:uid="{00000000-0010-0000-0500-000002000000}" name="stack" dataDxfId="69">
      <calculatedColumnFormula>IF(T_init[[#This Row],[p]]=1,sidepot2+uncalled,IF(T_init[[#This Row],[p]]=3,mainpot+sidepot1,IF(ISBLANK(T_init[[#This Row],[p]]),T_init[[#This Row],[stack]],0)))</calculatedColumnFormula>
    </tableColumn>
    <tableColumn id="3" xr3:uid="{00000000-0010-0000-0500-000003000000}" name="EQ"/>
    <tableColumn id="4" xr3:uid="{00000000-0010-0000-0500-000004000000}" name="ICM" dataDxfId="68">
      <calculatedColumnFormula>T_p3p1[[#This Row],[EQ]]*prize</calculatedColumnFormula>
    </tableColumn>
    <tableColumn id="5" xr3:uid="{00000000-0010-0000-0500-000005000000}" name="KO" dataDxfId="67">
      <calculatedColumnFormula>IF(OR(T_init[[#This Row],[p]]=1, T_init[[#This Row],[p]]=3),T_p3p1[[#This Row],[players]]*T_p3p1[[#This Row],[stack]]/chips+1,T_p3p1[[#This Row],[players]]*T_p3p1[[#This Row],[stack]]/chips)</calculatedColumnFormula>
    </tableColumn>
    <tableColumn id="6" xr3:uid="{00000000-0010-0000-0500-000006000000}" name="$stack" dataDxfId="66">
      <calculatedColumnFormula>T_p3p1[[#This Row],[ICM]]+bounty*T_p3p1[[#This Row],[KO]]</calculatedColumnFormula>
    </tableColumn>
  </tableColumns>
  <tableStyleInfo name="TableStyleLight11" showFirstColumn="0" showLastColumn="0" showRowStripes="1" showColumnStripes="0"/>
</table>
</file>

<file path=xl/tables/table9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_p3p2" displayName="T_p3p2" ref="AA15:AF21" totalsRowShown="0" tableBorderDxfId="65">
  <autoFilter ref="AA15:AF21" xr:uid="{00000000-0009-0000-0100-000008000000}"/>
  <tableColumns count="6">
    <tableColumn id="1" xr3:uid="{00000000-0010-0000-0600-000001000000}" name="players" dataDxfId="64" totalsRowDxfId="63">
      <calculatedColumnFormula>COUNTIF(T_p3p2[stack],"&gt;0")</calculatedColumnFormula>
    </tableColumn>
    <tableColumn id="2" xr3:uid="{00000000-0010-0000-0600-000002000000}" name="stack" dataDxfId="62" totalsRowDxfId="61">
      <calculatedColumnFormula>IF(T_init[[#This Row],[p]]=1,uncalled,IF(T_init[[#This Row],[p]]=2,sidepot2,IF(T_init[[#This Row],[p]]=3,mainpot+sidepot1,IF(ISBLANK(T_init[[#This Row],[p]]),T_init[[#This Row],[stack]],0))))</calculatedColumnFormula>
    </tableColumn>
    <tableColumn id="3" xr3:uid="{00000000-0010-0000-0600-000003000000}" name="EQ" totalsRowDxfId="60"/>
    <tableColumn id="4" xr3:uid="{00000000-0010-0000-0600-000004000000}" name="ICM" dataDxfId="59" totalsRowDxfId="58">
      <calculatedColumnFormula>T_p3p2[[#This Row],[EQ]]*prize</calculatedColumnFormula>
    </tableColumn>
    <tableColumn id="5" xr3:uid="{00000000-0010-0000-0600-000005000000}" name="KO" dataDxfId="57" totalsRowDxfId="56">
      <calculatedColumnFormula>IF(T_init[[#This Row],[p]]=3,T_p3p2[[#This Row],[players]]*T_p3p2[[#This Row],[stack]]/chips+1,T_p3p2[[#This Row],[players]]*T_p3p2[[#This Row],[stack]]/chips)</calculatedColumnFormula>
    </tableColumn>
    <tableColumn id="6" xr3:uid="{00000000-0010-0000-0600-000006000000}" name="$stack" dataDxfId="55">
      <calculatedColumnFormula>T_p3p2[[#This Row],[ICM]]+bounty*T_p3p2[[#This Row],[KO]]</calculatedColumnFormula>
    </tableColumn>
  </tableColumns>
  <tableStyleInfo name="TableStyleLight11" showFirstColumn="0" showLastColumn="0" showRowStripes="1" showColumnStripes="0"/>
</table>
</file>

<file path=xl/tables/table9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_p4p1" displayName="T_p4p1" ref="AH15:AM21" totalsRowShown="0" tableBorderDxfId="54">
  <autoFilter ref="AH15:AM21" xr:uid="{00000000-0009-0000-0100-000009000000}"/>
  <tableColumns count="6">
    <tableColumn id="1" xr3:uid="{00000000-0010-0000-0700-000001000000}" name="players" dataDxfId="53" totalsRowDxfId="52">
      <calculatedColumnFormula>COUNTIF(T_p4p1[stack],"&gt;0")</calculatedColumnFormula>
    </tableColumn>
    <tableColumn id="2" xr3:uid="{00000000-0010-0000-0700-000002000000}" name="stack" dataDxfId="51" totalsRowDxfId="50">
      <calculatedColumnFormula>IF(T_init[[#This Row],[p]]=4,mainpot,IF(T_init[[#This Row],[p]]=1,sidepot1+sidepot2+uncalled,IF(ISBLANK(T_init[[#This Row],[p]]),T_init[[#This Row],[stack]],0)))</calculatedColumnFormula>
    </tableColumn>
    <tableColumn id="3" xr3:uid="{00000000-0010-0000-0700-000003000000}" name="EQ" totalsRowDxfId="49"/>
    <tableColumn id="4" xr3:uid="{00000000-0010-0000-0700-000004000000}" name="ICM" dataDxfId="48" totalsRowDxfId="47">
      <calculatedColumnFormula>T_p4p1[[#This Row],[EQ]]*prize</calculatedColumnFormula>
    </tableColumn>
    <tableColumn id="5" xr3:uid="{00000000-0010-0000-0700-000005000000}" name="KO" dataDxfId="46" totalsRowDxfId="45">
      <calculatedColumnFormula>IF(T_init[[#This Row],[p]]=1,T_p4p1[[#This Row],[players]]*T_p4p1[[#This Row],[stack]]/chips+2,T_p4p1[[#This Row],[players]]*T_p4p1[[#This Row],[stack]]/chips)</calculatedColumnFormula>
    </tableColumn>
    <tableColumn id="6" xr3:uid="{00000000-0010-0000-0700-000006000000}" name="$stack" dataDxfId="44">
      <calculatedColumnFormula>T_p4p1[[#This Row],[ICM]]+bounty*T_p4p1[[#This Row],[KO]]</calculatedColumnFormula>
    </tableColumn>
  </tableColumns>
  <tableStyleInfo name="TableStyleLight11" showFirstColumn="0" showLastColumn="0" showRowStripes="1" showColumnStripes="0"/>
</table>
</file>

<file path=xl/tables/table10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_p4p2" displayName="T_p4p2" ref="AO15:AT21" totalsRowShown="0" tableBorderDxfId="43">
  <autoFilter ref="AO15:AT21" xr:uid="{00000000-0009-0000-0100-00000A000000}"/>
  <tableColumns count="6">
    <tableColumn id="1" xr3:uid="{00000000-0010-0000-0800-000001000000}" name="players" dataDxfId="42">
      <calculatedColumnFormula>COUNTIF(T_p4p2[stack],"&gt;0")</calculatedColumnFormula>
    </tableColumn>
    <tableColumn id="2" xr3:uid="{00000000-0010-0000-0800-000002000000}" name="stack" dataDxfId="41">
      <calculatedColumnFormula>IF(T_init[[#This Row],[p]]=1,uncalled,IF(T_init[[#This Row],[p]]=2,sidepot1+sidepot2,IF(T_init[[#This Row],[p]]=4,mainpot,IF(ISBLANK(T_init[[#This Row],[p]]),T_init[[#This Row],[stack]],0))))</calculatedColumnFormula>
    </tableColumn>
    <tableColumn id="3" xr3:uid="{00000000-0010-0000-0800-000003000000}" name="EQ"/>
    <tableColumn id="4" xr3:uid="{00000000-0010-0000-0800-000004000000}" name="ICM" dataDxfId="40">
      <calculatedColumnFormula>T_p4p2[[#This Row],[EQ]]*prize</calculatedColumnFormula>
    </tableColumn>
    <tableColumn id="5" xr3:uid="{00000000-0010-0000-0800-000005000000}" name="KO" dataDxfId="39">
      <calculatedColumnFormula>IF(T_init[[#This Row],[p]]=2,T_p4p2[[#This Row],[players]]*T_p4p2[[#This Row],[stack]]/chips+1,T_p4p2[[#This Row],[players]]*T_p4p2[[#This Row],[stack]]/chips)</calculatedColumnFormula>
    </tableColumn>
    <tableColumn id="6" xr3:uid="{00000000-0010-0000-0800-000006000000}" name="$stack" dataDxfId="38">
      <calculatedColumnFormula>T_p4p2[[#This Row],[ICM]]+bounty*T_p4p2[[#This Row],[KO]]</calculatedColumnFormula>
    </tableColumn>
  </tableColumns>
  <tableStyleInfo name="TableStyleLight11" showFirstColumn="0" showLastColumn="0" showRowStripes="1" showColumnStripes="0"/>
</table>
</file>

<file path=xl/tables/table10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_p4p3p1" displayName="T_p4p3p1" ref="AV15:BA21" totalsRowShown="0" tableBorderDxfId="37">
  <autoFilter ref="AV15:BA21" xr:uid="{00000000-0009-0000-0100-00000B000000}"/>
  <tableColumns count="6">
    <tableColumn id="1" xr3:uid="{00000000-0010-0000-0900-000001000000}" name="players" dataDxfId="36">
      <calculatedColumnFormula>COUNTIF(T_p4p3p1[stack],"&gt;0")</calculatedColumnFormula>
    </tableColumn>
    <tableColumn id="2" xr3:uid="{00000000-0010-0000-0900-000002000000}" name="stack" dataDxfId="35">
      <calculatedColumnFormula>IF(T_init[[#This Row],[p]]=1,uncalled+sidepot2,IF(T_init[[#This Row],[p]]=3,sidepot1,IF(T_init[[#This Row],[p]]=4,mainpot,IF(ISBLANK(T_init[[#This Row],[p]]),T_init[[#This Row],[stack]],0))))</calculatedColumnFormula>
    </tableColumn>
    <tableColumn id="3" xr3:uid="{00000000-0010-0000-0900-000003000000}" name="EQ"/>
    <tableColumn id="4" xr3:uid="{00000000-0010-0000-0900-000004000000}" name="ICM" dataDxfId="34">
      <calculatedColumnFormula>T_p4p3p1[[#This Row],[EQ]]*prize</calculatedColumnFormula>
    </tableColumn>
    <tableColumn id="5" xr3:uid="{00000000-0010-0000-0900-000005000000}" name="KO" dataDxfId="33">
      <calculatedColumnFormula>IF(T_init[[#This Row],[p]]=1,T_p4p3p1[[#This Row],[players]]*T_p4p3p1[[#This Row],[stack]]/chips+1,T_p4p3p1[[#This Row],[players]]*T_p4p3p1[[#This Row],[stack]]/chips)</calculatedColumnFormula>
    </tableColumn>
    <tableColumn id="6" xr3:uid="{00000000-0010-0000-0900-000006000000}" name="$stack" dataDxfId="32">
      <calculatedColumnFormula>T_p4p3p1[[#This Row],[ICM]]+bounty*T_p4p3p1[[#This Row],[KO]]</calculatedColumnFormula>
    </tableColumn>
  </tableColumns>
  <tableStyleInfo name="TableStyleLight11" showFirstColumn="0" showLastColumn="0" showRowStripes="1" showColumnStripes="0"/>
</table>
</file>

<file path=xl/tables/table10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_p4p3p2" displayName="T_p4p3p2" ref="BC15:BH21" totalsRowShown="0" tableBorderDxfId="31">
  <autoFilter ref="BC15:BH21" xr:uid="{00000000-0009-0000-0100-00000C000000}"/>
  <tableColumns count="6">
    <tableColumn id="1" xr3:uid="{00000000-0010-0000-0A00-000001000000}" name="players" dataDxfId="30">
      <calculatedColumnFormula>COUNTIF(T_p4p3p2[stack],"&gt;0")</calculatedColumnFormula>
    </tableColumn>
    <tableColumn id="2" xr3:uid="{00000000-0010-0000-0A00-000002000000}" name="stack" dataDxfId="29">
      <calculatedColumnFormula>IF(T_init[[#This Row],[p]]=1,uncalled,IF(T_init[[#This Row],[p]]=2,sidepot2,IF(T_init[[#This Row],[p]]=3,sidepot1,IF(T_init[[#This Row],[p]]=4,mainpot,IF(ISBLANK(T_init[[#This Row],[p]]),T_init[[#This Row],[stack]],0)))))</calculatedColumnFormula>
    </tableColumn>
    <tableColumn id="3" xr3:uid="{00000000-0010-0000-0A00-000003000000}" name="EQ"/>
    <tableColumn id="4" xr3:uid="{00000000-0010-0000-0A00-000004000000}" name="ICM" dataDxfId="28">
      <calculatedColumnFormula>T_p4p3p2[[#This Row],[EQ]]*prize</calculatedColumnFormula>
    </tableColumn>
    <tableColumn id="5" xr3:uid="{00000000-0010-0000-0A00-000005000000}" name="KO" dataDxfId="27">
      <calculatedColumnFormula>T_p4p3p2[[#This Row],[players]]*T_p4p3p2[[#This Row],[stack]]/chips</calculatedColumnFormula>
    </tableColumn>
    <tableColumn id="6" xr3:uid="{00000000-0010-0000-0A00-000006000000}" name="$stack" dataDxfId="26">
      <calculatedColumnFormula>T_p4p3p2[[#This Row],[ICM]]+bounty*T_p4p3p2[[#This Row],[KO]]</calculatedColumnFormula>
    </tableColumn>
  </tableColumns>
  <tableStyleInfo name="TableStyleLight11" showFirstColumn="0" showLastColumn="0" showRowStripes="1" showColumnStripes="0"/>
</table>
</file>

<file path=xl/tables/table10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_fact" displayName="T_fact" ref="BJ15:BO21" totalsRowShown="0" tableBorderDxfId="25">
  <autoFilter ref="BJ15:BO21" xr:uid="{00000000-0009-0000-0100-00000D000000}"/>
  <tableColumns count="6">
    <tableColumn id="1" xr3:uid="{00000000-0010-0000-0B00-000001000000}" name="players"/>
    <tableColumn id="2" xr3:uid="{00000000-0010-0000-0B00-000002000000}" name="stack"/>
    <tableColumn id="3" xr3:uid="{00000000-0010-0000-0B00-000003000000}" name="EQ"/>
    <tableColumn id="4" xr3:uid="{00000000-0010-0000-0B00-000004000000}" name="ICM" dataDxfId="24">
      <calculatedColumnFormula>T_fact[[#This Row],[EQ]]*prize</calculatedColumnFormula>
    </tableColumn>
    <tableColumn id="5" xr3:uid="{00000000-0010-0000-0B00-000005000000}" name="KO" dataDxfId="23">
      <calculatedColumnFormula>IF(OR(T_init[[#This Row],[p]]=1, T_init[[#This Row],[p]]=3),T_fact[[#This Row],[players]]*T_fact[[#This Row],[stack]]/chips+1,T_fact[[#This Row],[players]]*T_fact[[#This Row],[stack]]/chips)</calculatedColumnFormula>
    </tableColumn>
    <tableColumn id="6" xr3:uid="{00000000-0010-0000-0B00-000006000000}" name="$stack" dataDxfId="22">
      <calculatedColumnFormula>T_fact[[#This Row],[ICM]]+bounty*T_fact[[#This Row],[KO]]</calculatedColumnFormula>
    </tableColumn>
  </tableColumns>
  <tableStyleInfo name="TableStyleLight11" showFirstColumn="0" showLastColumn="0" showRowStripes="1" showColumnStripes="0"/>
</table>
</file>

<file path=xl/tables/table10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_EV_p3sp2" displayName="T_EV_p3sp2" ref="BQ15:BT21" totalsRowShown="0" tableBorderDxfId="21">
  <autoFilter ref="BQ15:BT21" xr:uid="{00000000-0009-0000-0100-00000E000000}"/>
  <tableColumns count="4">
    <tableColumn id="1" xr3:uid="{00000000-0010-0000-0C00-000001000000}" name="ICM" dataDxfId="20">
      <calculatedColumnFormula>p1sp2win*T_p3p1[[#This Row],[ICM]]+p2sp2win*T_p3p2[[#This Row],[ICM]]</calculatedColumnFormula>
    </tableColumn>
    <tableColumn id="2" xr3:uid="{00000000-0010-0000-0C00-000002000000}" name="KO" dataDxfId="19">
      <calculatedColumnFormula>bounty*(p1sp2win*T_p3p1[[#This Row],[KO]]+p2sp2win*T_p3p2[[#This Row],[KO]])</calculatedColumnFormula>
    </tableColumn>
    <tableColumn id="3" xr3:uid="{00000000-0010-0000-0C00-000003000000}" name="EV" dataDxfId="18">
      <calculatedColumnFormula>T_EV_p3sp2[[#This Row],[ICM]]+T_EV_p3sp2[[#This Row],[KO]]</calculatedColumnFormula>
    </tableColumn>
    <tableColumn id="4" xr3:uid="{00000000-0010-0000-0C00-000004000000}" name="chipEV" dataDxfId="17">
      <calculatedColumnFormula>p1sp2win*T_p3p1[[#This Row],[stack]]+p2sp2win*T_p3p2[[#This Row],[stack]]</calculatedColumnFormula>
    </tableColumn>
  </tableColumns>
  <tableStyleInfo name="TableStyleLight11" showFirstColumn="0" showLastColumn="0" showRowStripes="1" showColumnStripes="0"/>
</table>
</file>

<file path=xl/tables/table10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_EV_p4p3sp2" displayName="T_EV_p4p3sp2" ref="BW15:BZ21" totalsRowShown="0" tableBorderDxfId="16">
  <autoFilter ref="BW15:BZ21" xr:uid="{00000000-0009-0000-0100-00000F000000}"/>
  <tableColumns count="4">
    <tableColumn id="1" xr3:uid="{00000000-0010-0000-0D00-000001000000}" name="ICM" dataDxfId="15">
      <calculatedColumnFormula>p1sp2win*T_p4p3p1[[#This Row],[ICM]]+p2sp2win*T_p4p3p2[[#This Row],[ICM]]</calculatedColumnFormula>
    </tableColumn>
    <tableColumn id="2" xr3:uid="{00000000-0010-0000-0D00-000002000000}" name="KO" dataDxfId="14">
      <calculatedColumnFormula>bounty*(p1sp2win*T_p4p3p1[[#This Row],[KO]]+p2sp2win*T_p4p3p2[[#This Row],[KO]])</calculatedColumnFormula>
    </tableColumn>
    <tableColumn id="3" xr3:uid="{00000000-0010-0000-0D00-000003000000}" name="EV" dataDxfId="13">
      <calculatedColumnFormula>T_EV_p4p3sp2[[#This Row],[ICM]]+T_EV_p4p3sp2[[#This Row],[KO]]</calculatedColumnFormula>
    </tableColumn>
    <tableColumn id="4" xr3:uid="{00000000-0010-0000-0D00-000004000000}" name="chipEV" dataDxfId="12">
      <calculatedColumnFormula>p1sp2win*T_p4p3p1[[#This Row],[stack]]+p2sp2win*T_p4p3p2[[#This Row],[stack]]</calculatedColumnFormula>
    </tableColumn>
  </tableColumns>
  <tableStyleInfo name="TableStyleLight11" showFirstColumn="0" showLastColumn="0" showRowStripes="1" showColumnStripes="0"/>
</table>
</file>

<file path=xl/tables/table10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_EV_p4sp1" displayName="T_EV_p4sp1" ref="CC15:CF21" totalsRowShown="0" tableBorderDxfId="11">
  <autoFilter ref="CC15:CF21" xr:uid="{00000000-0009-0000-0100-000010000000}"/>
  <tableColumns count="4">
    <tableColumn id="1" xr3:uid="{00000000-0010-0000-0E00-000001000000}" name="ICM" dataDxfId="10">
      <calculatedColumnFormula>p1sp1win*T_p4p1[[#This Row],[ICM]]+p2sp1win*T_p4p2[[#This Row],[ICM]]+p3sp1win*T_EV_p4p3sp2[[#This Row],[ICM]]</calculatedColumnFormula>
    </tableColumn>
    <tableColumn id="2" xr3:uid="{00000000-0010-0000-0E00-000002000000}" name="KO" dataDxfId="9">
      <calculatedColumnFormula>bounty*(p1sp1win*T_p4p1[[#This Row],[KO]]+p2sp1win*T_p4p2[[#This Row],[KO]])+p3sp1win*T_EV_p4p3sp2[[#This Row],[KO]]</calculatedColumnFormula>
    </tableColumn>
    <tableColumn id="3" xr3:uid="{00000000-0010-0000-0E00-000003000000}" name="EV" dataDxfId="8">
      <calculatedColumnFormula>T_EV_p4sp1[[#This Row],[ICM]]+T_EV_p4sp1[[#This Row],[KO]]</calculatedColumnFormula>
    </tableColumn>
    <tableColumn id="4" xr3:uid="{00000000-0010-0000-0E00-000004000000}" name="chipEV" dataDxfId="7">
      <calculatedColumnFormula>p1sp1win*T_p4p1[[#This Row],[stack]]+p2sp1win*T_p4p2[[#This Row],[stack]]+p3sp1win*T_EV_p4p3sp2[[#This Row],[chipEV]]</calculatedColumnFormula>
    </tableColumn>
  </tableColumns>
  <tableStyleInfo name="TableStyleLight11" showFirstColumn="0" showLastColumn="0" showRowStripes="1" showColumnStripes="0"/>
</table>
</file>

<file path=xl/tables/table10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_EV" displayName="T_EV" ref="CI15:CN21" totalsRowShown="0" tableBorderDxfId="6">
  <autoFilter ref="CI15:CN21" xr:uid="{00000000-0009-0000-0100-000011000000}"/>
  <tableColumns count="6">
    <tableColumn id="1" xr3:uid="{00000000-0010-0000-0F00-000001000000}" name="ICM" dataDxfId="5">
      <calculatedColumnFormula>p4win*(T_EV_p4sp1[[#This Row],[ICM]])+'4way'!p3win*T_EV_p3sp2[[#This Row],[ICM]]+'4way'!p2win*T_p2[[#This Row],[ICM]]+'4way'!p1win*T_p1[[#This Row],[ICM]]</calculatedColumnFormula>
    </tableColumn>
    <tableColumn id="2" xr3:uid="{00000000-0010-0000-0F00-000002000000}" name="KO" dataDxfId="4">
      <calculatedColumnFormula>p4win*(T_EV_p4sp1[[#This Row],[KO]])+'4way'!p3win*T_EV_p3sp2[[#This Row],[KO]]+bounty*('4way'!p2win*T_p2[[#This Row],[KO]]+'4way'!p1win*T_p1[[#This Row],[KO]])</calculatedColumnFormula>
    </tableColumn>
    <tableColumn id="3" xr3:uid="{00000000-0010-0000-0F00-000003000000}" name="EV" dataDxfId="3">
      <calculatedColumnFormula>T_EV[[#This Row],[ICM]]+T_EV[[#This Row],[KO]]</calculatedColumnFormula>
    </tableColumn>
    <tableColumn id="4" xr3:uid="{00000000-0010-0000-0F00-000004000000}" name="chipEV" dataDxfId="2">
      <calculatedColumnFormula>'4way'!p1win*T_p1[[#This Row],[stack]]+
'4way'!p2win*T_p2[[#This Row],[stack]]+
'4way'!p3win*(p1sp2win*T_p3p1[[#This Row],[stack]]+p2sp2win*T_p3p2[[#This Row],[stack]])+
p4win*(p1sp1win*T_p4p1[[#This Row],[stack]]+p2sp1win*T_p4p2[[#This Row],[stack]]+p3sp1win*(p1sp2win*T_p4p3p1[[#This Row],[stack]]+p2sp2win*T_p4p3p2[[#This Row],[stack]]))</calculatedColumnFormula>
    </tableColumn>
    <tableColumn id="5" xr3:uid="{00000000-0010-0000-0F00-000005000000}" name="cEVdiff" dataDxfId="1">
      <calculatedColumnFormula>T_EV[[#This Row],[chipEV]]-T_fact[[#This Row],[stack]]</calculatedColumnFormula>
    </tableColumn>
    <tableColumn id="6" xr3:uid="{00000000-0010-0000-0F00-000006000000}" name="Evdiff" dataDxfId="0">
      <calculatedColumnFormula>T_EV[[#This Row],[EV]]-(T_fact[[#This Row],[ICM]]+bounty*T_fact[[#This Row],[KO]])</calculatedColumnFormula>
    </tableColumn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10" Type="http://schemas.openxmlformats.org/officeDocument/2006/relationships/comments" Target="../comments2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4.xml"/><Relationship Id="rId3" Type="http://schemas.openxmlformats.org/officeDocument/2006/relationships/table" Target="../tables/table9.xml"/><Relationship Id="rId7" Type="http://schemas.openxmlformats.org/officeDocument/2006/relationships/table" Target="../tables/table1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12.xml"/><Relationship Id="rId5" Type="http://schemas.openxmlformats.org/officeDocument/2006/relationships/table" Target="../tables/table11.xml"/><Relationship Id="rId10" Type="http://schemas.openxmlformats.org/officeDocument/2006/relationships/comments" Target="../comments3.xml"/><Relationship Id="rId4" Type="http://schemas.openxmlformats.org/officeDocument/2006/relationships/table" Target="../tables/table10.xml"/><Relationship Id="rId9" Type="http://schemas.openxmlformats.org/officeDocument/2006/relationships/table" Target="../tables/table15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1.xml"/><Relationship Id="rId3" Type="http://schemas.openxmlformats.org/officeDocument/2006/relationships/table" Target="../tables/table16.xml"/><Relationship Id="rId7" Type="http://schemas.openxmlformats.org/officeDocument/2006/relationships/table" Target="../tables/table20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9.xml"/><Relationship Id="rId5" Type="http://schemas.openxmlformats.org/officeDocument/2006/relationships/table" Target="../tables/table18.xml"/><Relationship Id="rId10" Type="http://schemas.openxmlformats.org/officeDocument/2006/relationships/comments" Target="../comments4.xml"/><Relationship Id="rId4" Type="http://schemas.openxmlformats.org/officeDocument/2006/relationships/table" Target="../tables/table17.xml"/><Relationship Id="rId9" Type="http://schemas.openxmlformats.org/officeDocument/2006/relationships/table" Target="../tables/table22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8.xml"/><Relationship Id="rId3" Type="http://schemas.openxmlformats.org/officeDocument/2006/relationships/table" Target="../tables/table23.xml"/><Relationship Id="rId7" Type="http://schemas.openxmlformats.org/officeDocument/2006/relationships/table" Target="../tables/table27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Relationship Id="rId6" Type="http://schemas.openxmlformats.org/officeDocument/2006/relationships/table" Target="../tables/table26.xml"/><Relationship Id="rId5" Type="http://schemas.openxmlformats.org/officeDocument/2006/relationships/table" Target="../tables/table25.xml"/><Relationship Id="rId10" Type="http://schemas.openxmlformats.org/officeDocument/2006/relationships/comments" Target="../comments5.xml"/><Relationship Id="rId4" Type="http://schemas.openxmlformats.org/officeDocument/2006/relationships/table" Target="../tables/table24.xml"/><Relationship Id="rId9" Type="http://schemas.openxmlformats.org/officeDocument/2006/relationships/table" Target="../tables/table29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5.xml"/><Relationship Id="rId3" Type="http://schemas.openxmlformats.org/officeDocument/2006/relationships/table" Target="../tables/table30.xml"/><Relationship Id="rId7" Type="http://schemas.openxmlformats.org/officeDocument/2006/relationships/table" Target="../tables/table34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Relationship Id="rId6" Type="http://schemas.openxmlformats.org/officeDocument/2006/relationships/table" Target="../tables/table33.xml"/><Relationship Id="rId5" Type="http://schemas.openxmlformats.org/officeDocument/2006/relationships/table" Target="../tables/table32.xml"/><Relationship Id="rId10" Type="http://schemas.openxmlformats.org/officeDocument/2006/relationships/comments" Target="../comments6.xml"/><Relationship Id="rId4" Type="http://schemas.openxmlformats.org/officeDocument/2006/relationships/table" Target="../tables/table31.xml"/><Relationship Id="rId9" Type="http://schemas.openxmlformats.org/officeDocument/2006/relationships/table" Target="../tables/table36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table" Target="../tables/table42.xml"/><Relationship Id="rId3" Type="http://schemas.openxmlformats.org/officeDocument/2006/relationships/table" Target="../tables/table37.xml"/><Relationship Id="rId7" Type="http://schemas.openxmlformats.org/officeDocument/2006/relationships/table" Target="../tables/table41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Relationship Id="rId6" Type="http://schemas.openxmlformats.org/officeDocument/2006/relationships/table" Target="../tables/table40.xml"/><Relationship Id="rId5" Type="http://schemas.openxmlformats.org/officeDocument/2006/relationships/table" Target="../tables/table39.xml"/><Relationship Id="rId10" Type="http://schemas.openxmlformats.org/officeDocument/2006/relationships/comments" Target="../comments7.xml"/><Relationship Id="rId4" Type="http://schemas.openxmlformats.org/officeDocument/2006/relationships/table" Target="../tables/table38.xml"/><Relationship Id="rId9" Type="http://schemas.openxmlformats.org/officeDocument/2006/relationships/table" Target="../tables/table43.x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table" Target="../tables/table49.xml"/><Relationship Id="rId3" Type="http://schemas.openxmlformats.org/officeDocument/2006/relationships/table" Target="../tables/table44.xml"/><Relationship Id="rId7" Type="http://schemas.openxmlformats.org/officeDocument/2006/relationships/table" Target="../tables/table4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Relationship Id="rId6" Type="http://schemas.openxmlformats.org/officeDocument/2006/relationships/table" Target="../tables/table47.xml"/><Relationship Id="rId5" Type="http://schemas.openxmlformats.org/officeDocument/2006/relationships/table" Target="../tables/table46.xml"/><Relationship Id="rId10" Type="http://schemas.openxmlformats.org/officeDocument/2006/relationships/comments" Target="../comments8.xml"/><Relationship Id="rId4" Type="http://schemas.openxmlformats.org/officeDocument/2006/relationships/table" Target="../tables/table45.xml"/><Relationship Id="rId9" Type="http://schemas.openxmlformats.org/officeDocument/2006/relationships/table" Target="../tables/table50.xm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table" Target="../tables/table56.xml"/><Relationship Id="rId3" Type="http://schemas.openxmlformats.org/officeDocument/2006/relationships/table" Target="../tables/table51.xml"/><Relationship Id="rId7" Type="http://schemas.openxmlformats.org/officeDocument/2006/relationships/table" Target="../tables/table55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Relationship Id="rId6" Type="http://schemas.openxmlformats.org/officeDocument/2006/relationships/table" Target="../tables/table54.xml"/><Relationship Id="rId5" Type="http://schemas.openxmlformats.org/officeDocument/2006/relationships/table" Target="../tables/table53.xml"/><Relationship Id="rId10" Type="http://schemas.openxmlformats.org/officeDocument/2006/relationships/comments" Target="../comments9.xml"/><Relationship Id="rId4" Type="http://schemas.openxmlformats.org/officeDocument/2006/relationships/table" Target="../tables/table52.xml"/><Relationship Id="rId9" Type="http://schemas.openxmlformats.org/officeDocument/2006/relationships/table" Target="../tables/table57.xm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3.xml"/><Relationship Id="rId3" Type="http://schemas.openxmlformats.org/officeDocument/2006/relationships/table" Target="../tables/table58.xml"/><Relationship Id="rId7" Type="http://schemas.openxmlformats.org/officeDocument/2006/relationships/table" Target="../tables/table62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Relationship Id="rId6" Type="http://schemas.openxmlformats.org/officeDocument/2006/relationships/table" Target="../tables/table61.xml"/><Relationship Id="rId5" Type="http://schemas.openxmlformats.org/officeDocument/2006/relationships/table" Target="../tables/table60.xml"/><Relationship Id="rId10" Type="http://schemas.openxmlformats.org/officeDocument/2006/relationships/comments" Target="../comments10.xml"/><Relationship Id="rId4" Type="http://schemas.openxmlformats.org/officeDocument/2006/relationships/table" Target="../tables/table59.xml"/><Relationship Id="rId9" Type="http://schemas.openxmlformats.org/officeDocument/2006/relationships/table" Target="../tables/table64.xm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0.xml"/><Relationship Id="rId3" Type="http://schemas.openxmlformats.org/officeDocument/2006/relationships/table" Target="../tables/table65.xml"/><Relationship Id="rId7" Type="http://schemas.openxmlformats.org/officeDocument/2006/relationships/table" Target="../tables/table69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Relationship Id="rId6" Type="http://schemas.openxmlformats.org/officeDocument/2006/relationships/table" Target="../tables/table68.xml"/><Relationship Id="rId5" Type="http://schemas.openxmlformats.org/officeDocument/2006/relationships/table" Target="../tables/table67.xml"/><Relationship Id="rId10" Type="http://schemas.openxmlformats.org/officeDocument/2006/relationships/comments" Target="../comments11.xml"/><Relationship Id="rId4" Type="http://schemas.openxmlformats.org/officeDocument/2006/relationships/table" Target="../tables/table66.xml"/><Relationship Id="rId9" Type="http://schemas.openxmlformats.org/officeDocument/2006/relationships/table" Target="../tables/table71.xm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7.xml"/><Relationship Id="rId3" Type="http://schemas.openxmlformats.org/officeDocument/2006/relationships/table" Target="../tables/table72.xml"/><Relationship Id="rId7" Type="http://schemas.openxmlformats.org/officeDocument/2006/relationships/table" Target="../tables/table76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2.bin"/><Relationship Id="rId6" Type="http://schemas.openxmlformats.org/officeDocument/2006/relationships/table" Target="../tables/table75.xml"/><Relationship Id="rId5" Type="http://schemas.openxmlformats.org/officeDocument/2006/relationships/table" Target="../tables/table74.xml"/><Relationship Id="rId10" Type="http://schemas.openxmlformats.org/officeDocument/2006/relationships/comments" Target="../comments12.xml"/><Relationship Id="rId4" Type="http://schemas.openxmlformats.org/officeDocument/2006/relationships/table" Target="../tables/table73.xml"/><Relationship Id="rId9" Type="http://schemas.openxmlformats.org/officeDocument/2006/relationships/table" Target="../tables/table78.xm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4.xml"/><Relationship Id="rId3" Type="http://schemas.openxmlformats.org/officeDocument/2006/relationships/table" Target="../tables/table79.xml"/><Relationship Id="rId7" Type="http://schemas.openxmlformats.org/officeDocument/2006/relationships/table" Target="../tables/table8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3.bin"/><Relationship Id="rId6" Type="http://schemas.openxmlformats.org/officeDocument/2006/relationships/table" Target="../tables/table82.xml"/><Relationship Id="rId5" Type="http://schemas.openxmlformats.org/officeDocument/2006/relationships/table" Target="../tables/table81.xml"/><Relationship Id="rId10" Type="http://schemas.openxmlformats.org/officeDocument/2006/relationships/comments" Target="../comments13.xml"/><Relationship Id="rId4" Type="http://schemas.openxmlformats.org/officeDocument/2006/relationships/table" Target="../tables/table80.xml"/><Relationship Id="rId9" Type="http://schemas.openxmlformats.org/officeDocument/2006/relationships/table" Target="../tables/table85.xm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91.xml"/><Relationship Id="rId3" Type="http://schemas.openxmlformats.org/officeDocument/2006/relationships/table" Target="../tables/table86.xml"/><Relationship Id="rId7" Type="http://schemas.openxmlformats.org/officeDocument/2006/relationships/table" Target="../tables/table90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4.bin"/><Relationship Id="rId6" Type="http://schemas.openxmlformats.org/officeDocument/2006/relationships/table" Target="../tables/table89.xml"/><Relationship Id="rId5" Type="http://schemas.openxmlformats.org/officeDocument/2006/relationships/table" Target="../tables/table88.xml"/><Relationship Id="rId10" Type="http://schemas.openxmlformats.org/officeDocument/2006/relationships/comments" Target="../comments14.xml"/><Relationship Id="rId4" Type="http://schemas.openxmlformats.org/officeDocument/2006/relationships/table" Target="../tables/table87.xml"/><Relationship Id="rId9" Type="http://schemas.openxmlformats.org/officeDocument/2006/relationships/table" Target="../tables/table92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5.xml"/><Relationship Id="rId2" Type="http://schemas.openxmlformats.org/officeDocument/2006/relationships/table" Target="../tables/table93.xml"/><Relationship Id="rId1" Type="http://schemas.openxmlformats.org/officeDocument/2006/relationships/vmlDrawing" Target="../drawings/vmlDrawing15.vm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table" Target="../tables/table99.xml"/><Relationship Id="rId13" Type="http://schemas.openxmlformats.org/officeDocument/2006/relationships/table" Target="../tables/table104.xml"/><Relationship Id="rId3" Type="http://schemas.openxmlformats.org/officeDocument/2006/relationships/table" Target="../tables/table94.xml"/><Relationship Id="rId7" Type="http://schemas.openxmlformats.org/officeDocument/2006/relationships/table" Target="../tables/table98.xml"/><Relationship Id="rId12" Type="http://schemas.openxmlformats.org/officeDocument/2006/relationships/table" Target="../tables/table103.xml"/><Relationship Id="rId17" Type="http://schemas.openxmlformats.org/officeDocument/2006/relationships/comments" Target="../comments16.xml"/><Relationship Id="rId2" Type="http://schemas.openxmlformats.org/officeDocument/2006/relationships/vmlDrawing" Target="../drawings/vmlDrawing16.vml"/><Relationship Id="rId16" Type="http://schemas.openxmlformats.org/officeDocument/2006/relationships/table" Target="../tables/table107.xml"/><Relationship Id="rId1" Type="http://schemas.openxmlformats.org/officeDocument/2006/relationships/printerSettings" Target="../printerSettings/printerSettings15.bin"/><Relationship Id="rId6" Type="http://schemas.openxmlformats.org/officeDocument/2006/relationships/table" Target="../tables/table97.xml"/><Relationship Id="rId11" Type="http://schemas.openxmlformats.org/officeDocument/2006/relationships/table" Target="../tables/table102.xml"/><Relationship Id="rId5" Type="http://schemas.openxmlformats.org/officeDocument/2006/relationships/table" Target="../tables/table96.xml"/><Relationship Id="rId15" Type="http://schemas.openxmlformats.org/officeDocument/2006/relationships/table" Target="../tables/table106.xml"/><Relationship Id="rId10" Type="http://schemas.openxmlformats.org/officeDocument/2006/relationships/table" Target="../tables/table101.xml"/><Relationship Id="rId4" Type="http://schemas.openxmlformats.org/officeDocument/2006/relationships/table" Target="../tables/table95.xml"/><Relationship Id="rId9" Type="http://schemas.openxmlformats.org/officeDocument/2006/relationships/table" Target="../tables/table100.xml"/><Relationship Id="rId14" Type="http://schemas.openxmlformats.org/officeDocument/2006/relationships/table" Target="../tables/table10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48505"/>
  <sheetViews>
    <sheetView topLeftCell="A49" workbookViewId="0">
      <selection activeCell="X75" sqref="X75"/>
    </sheetView>
  </sheetViews>
  <sheetFormatPr defaultRowHeight="15" x14ac:dyDescent="0.25"/>
  <cols>
    <col min="2" max="2" width="6" customWidth="1"/>
    <col min="3" max="3" width="7.28515625" customWidth="1"/>
    <col min="4" max="4" width="9.7109375" customWidth="1"/>
    <col min="7" max="7" width="9.28515625" customWidth="1"/>
    <col min="8" max="8" width="7.85546875" customWidth="1"/>
    <col min="9" max="9" width="9.5703125" customWidth="1"/>
    <col min="10" max="10" width="9.5703125" bestFit="1" customWidth="1"/>
    <col min="11" max="11" width="8.28515625" customWidth="1"/>
    <col min="12" max="12" width="3.5703125" customWidth="1"/>
    <col min="13" max="13" width="7.42578125" customWidth="1"/>
    <col min="16" max="17" width="8.5703125" customWidth="1"/>
    <col min="18" max="18" width="9.42578125" customWidth="1"/>
    <col min="20" max="20" width="9.7109375" customWidth="1"/>
    <col min="21" max="21" width="11.7109375" customWidth="1"/>
  </cols>
  <sheetData>
    <row r="1" spans="1:22" x14ac:dyDescent="0.25">
      <c r="D1" t="s">
        <v>0</v>
      </c>
      <c r="E1" s="1">
        <f>22.36*4</f>
        <v>89.44</v>
      </c>
      <c r="Q1" s="3"/>
    </row>
    <row r="2" spans="1:22" x14ac:dyDescent="0.25">
      <c r="D2" t="s">
        <v>1</v>
      </c>
      <c r="E2" s="1">
        <v>0</v>
      </c>
      <c r="F2" t="s">
        <v>2</v>
      </c>
      <c r="G2" s="36" t="s">
        <v>3</v>
      </c>
      <c r="Q2" s="3"/>
    </row>
    <row r="3" spans="1:22" x14ac:dyDescent="0.25">
      <c r="E3" s="1"/>
      <c r="F3" t="s">
        <v>4</v>
      </c>
      <c r="G3" t="s">
        <v>5</v>
      </c>
      <c r="M3" t="s">
        <v>6</v>
      </c>
      <c r="Q3" s="3"/>
    </row>
    <row r="4" spans="1:22" x14ac:dyDescent="0.25">
      <c r="E4" s="1"/>
      <c r="Q4" s="3"/>
    </row>
    <row r="5" spans="1:22" ht="15.75" thickBot="1" x14ac:dyDescent="0.3">
      <c r="E5" s="1"/>
      <c r="I5" t="s">
        <v>7</v>
      </c>
      <c r="Q5" s="3"/>
    </row>
    <row r="6" spans="1:22" ht="19.5" thickTop="1" x14ac:dyDescent="0.3">
      <c r="D6" s="88" t="s">
        <v>8</v>
      </c>
      <c r="E6" s="89"/>
      <c r="F6" s="89"/>
      <c r="G6" s="90"/>
      <c r="H6" s="88" t="s">
        <v>9</v>
      </c>
      <c r="I6" s="89"/>
      <c r="J6" s="89"/>
      <c r="K6" s="90"/>
      <c r="M6" s="85" t="s">
        <v>10</v>
      </c>
      <c r="N6" s="86"/>
      <c r="O6" s="86"/>
      <c r="P6" s="87"/>
      <c r="Q6" s="3"/>
      <c r="R6" s="91" t="s">
        <v>11</v>
      </c>
      <c r="S6" s="92"/>
      <c r="T6" s="92"/>
      <c r="U6" s="93"/>
    </row>
    <row r="7" spans="1:22" x14ac:dyDescent="0.25">
      <c r="A7" t="s">
        <v>12</v>
      </c>
      <c r="B7" t="s">
        <v>13</v>
      </c>
      <c r="C7" t="s">
        <v>14</v>
      </c>
      <c r="D7" s="10" t="s">
        <v>15</v>
      </c>
      <c r="E7" t="s">
        <v>16</v>
      </c>
      <c r="F7" t="s">
        <v>17</v>
      </c>
      <c r="G7" s="11" t="s">
        <v>18</v>
      </c>
      <c r="H7" s="10" t="s">
        <v>19</v>
      </c>
      <c r="I7" s="5" t="s">
        <v>20</v>
      </c>
      <c r="J7" s="5" t="s">
        <v>21</v>
      </c>
      <c r="K7" s="11" t="s">
        <v>22</v>
      </c>
      <c r="L7" t="s">
        <v>23</v>
      </c>
      <c r="M7" s="8" t="s">
        <v>24</v>
      </c>
      <c r="N7" s="5" t="s">
        <v>25</v>
      </c>
      <c r="O7" s="5" t="s">
        <v>26</v>
      </c>
      <c r="P7" s="9" t="s">
        <v>27</v>
      </c>
      <c r="Q7" t="s">
        <v>28</v>
      </c>
      <c r="R7" s="4" t="s">
        <v>29</v>
      </c>
      <c r="S7" s="5" t="s">
        <v>30</v>
      </c>
      <c r="T7" s="5" t="s">
        <v>31</v>
      </c>
      <c r="U7" s="6" t="s">
        <v>32</v>
      </c>
      <c r="V7" t="s">
        <v>33</v>
      </c>
    </row>
    <row r="8" spans="1:22" x14ac:dyDescent="0.25">
      <c r="A8">
        <v>500</v>
      </c>
      <c r="C8">
        <v>0.25829999999999997</v>
      </c>
      <c r="D8" s="10">
        <v>478</v>
      </c>
      <c r="E8">
        <v>0.16900000000000001</v>
      </c>
      <c r="F8" s="2">
        <f>Table2[[#This Row],[EQwin]]*$E$1</f>
        <v>15.115360000000001</v>
      </c>
      <c r="G8" s="16">
        <f>5*Table2[[#This Row],[stackwin]]/3000</f>
        <v>0.79666666666666663</v>
      </c>
      <c r="H8" s="10">
        <v>478</v>
      </c>
      <c r="I8">
        <v>0.16900000000000001</v>
      </c>
      <c r="J8" s="2">
        <f t="shared" ref="J8:J19" si="0">I8*$E$1</f>
        <v>15.115360000000001</v>
      </c>
      <c r="K8" s="14">
        <f>5*Table2[[#This Row],[stacklose]]/3000</f>
        <v>0.79666666666666663</v>
      </c>
      <c r="M8" s="8">
        <v>478</v>
      </c>
      <c r="N8">
        <v>0.16900000000000001</v>
      </c>
      <c r="O8" s="2">
        <f t="shared" ref="O8:O19" si="1">N8*$E$1</f>
        <v>15.115360000000001</v>
      </c>
      <c r="P8" s="15">
        <f>5*Table2[[#This Row],[stackfact]]/3000</f>
        <v>0.79666666666666663</v>
      </c>
      <c r="Q8" s="38">
        <f>Table2[[#This Row],[EQwin]]*Table2[[#This Row],[pWin]] + Table2[[#This Row],[EQlose]]*(1-Table2[[#This Row],[pWin]]) - Table2[[#This Row],[Eqfact]]</f>
        <v>0</v>
      </c>
      <c r="R8" s="12">
        <f>Table2[[#This Row],[pWin]]*Table2[[#This Row],[ICMwin]]+(1-Table2[[#This Row],[pWin]])*Table2[[#This Row],[ICMlose]]-Table2[[#This Row],[ICMFact]]</f>
        <v>0</v>
      </c>
      <c r="S8" s="16">
        <f>Table2[[#This Row],[Kowin]]*Table2[[#This Row],[pWin]]+Table2[[#This Row],[Kolose]]*(1-Table2[[#This Row],[pWin]])-Table2[[#This Row],[KOFact]]</f>
        <v>0</v>
      </c>
      <c r="T8" s="2">
        <f>Table2[[#This Row],[KODiff]]*bounty</f>
        <v>0</v>
      </c>
      <c r="U8" s="7">
        <f>Table2[[#This Row],[ICMdiff]]+Table2[[#This Row],[KOmoneyDiff]]</f>
        <v>0</v>
      </c>
      <c r="V8">
        <f>Table2[[#This Row],[pWin]]*Table2[[#This Row],[stackwin]]+(1-Table2[[#This Row],[pWin]])*Table2[[#This Row],[stacklose]]-Table2[[#This Row],[stackfact]]</f>
        <v>0</v>
      </c>
    </row>
    <row r="9" spans="1:22" x14ac:dyDescent="0.25">
      <c r="A9">
        <v>500</v>
      </c>
      <c r="C9">
        <v>0.25829999999999997</v>
      </c>
      <c r="D9" s="10">
        <v>488</v>
      </c>
      <c r="E9">
        <v>0.17219999999999999</v>
      </c>
      <c r="F9" s="2">
        <f>Table2[[#This Row],[EQwin]]*$E$1</f>
        <v>15.401567999999999</v>
      </c>
      <c r="G9" s="16">
        <f>5*Table2[[#This Row],[stackwin]]/3000</f>
        <v>0.81333333333333335</v>
      </c>
      <c r="H9" s="10">
        <v>488</v>
      </c>
      <c r="I9">
        <v>0.17219999999999999</v>
      </c>
      <c r="J9" s="2">
        <f t="shared" si="0"/>
        <v>15.401567999999999</v>
      </c>
      <c r="K9" s="14">
        <f>5*Table2[[#This Row],[stacklose]]/3000</f>
        <v>0.81333333333333335</v>
      </c>
      <c r="M9" s="8">
        <v>488</v>
      </c>
      <c r="N9">
        <v>0.17219999999999999</v>
      </c>
      <c r="O9" s="2">
        <f t="shared" si="1"/>
        <v>15.401567999999999</v>
      </c>
      <c r="P9" s="15">
        <f>5*Table2[[#This Row],[stackfact]]/3000</f>
        <v>0.81333333333333335</v>
      </c>
      <c r="Q9" s="38">
        <f>Table2[[#This Row],[EQwin]]*Table2[[#This Row],[pWin]] + Table2[[#This Row],[EQlose]]*(1-Table2[[#This Row],[pWin]]) - Table2[[#This Row],[Eqfact]]</f>
        <v>0</v>
      </c>
      <c r="R9" s="12">
        <f>Table2[[#This Row],[pWin]]*Table2[[#This Row],[ICMwin]]+(1-Table2[[#This Row],[pWin]])*Table2[[#This Row],[ICMlose]]-Table2[[#This Row],[ICMFact]]</f>
        <v>0</v>
      </c>
      <c r="S9" s="16">
        <f>Table2[[#This Row],[Kowin]]*Table2[[#This Row],[pWin]]+Table2[[#This Row],[Kolose]]*(1-Table2[[#This Row],[pWin]])-Table2[[#This Row],[KOFact]]</f>
        <v>0</v>
      </c>
      <c r="T9" s="2">
        <f>Table2[[#This Row],[KODiff]]*bounty</f>
        <v>0</v>
      </c>
      <c r="U9" s="7">
        <f>Table2[[#This Row],[ICMdiff]]+Table2[[#This Row],[KOmoneyDiff]]</f>
        <v>0</v>
      </c>
      <c r="V9">
        <f>Table2[[#This Row],[pWin]]*Table2[[#This Row],[stackwin]]+(1-Table2[[#This Row],[pWin]])*Table2[[#This Row],[stacklose]]-Table2[[#This Row],[stackfact]]</f>
        <v>0</v>
      </c>
    </row>
    <row r="10" spans="1:22" x14ac:dyDescent="0.25">
      <c r="A10">
        <v>500</v>
      </c>
      <c r="C10">
        <v>0.25829999999999997</v>
      </c>
      <c r="D10" s="10">
        <v>498</v>
      </c>
      <c r="E10">
        <v>0.17530000000000001</v>
      </c>
      <c r="F10" s="2">
        <f>Table2[[#This Row],[EQwin]]*$E$1</f>
        <v>15.678832</v>
      </c>
      <c r="G10" s="16">
        <f>5*Table2[[#This Row],[stackwin]]/3000</f>
        <v>0.83</v>
      </c>
      <c r="H10" s="10">
        <v>498</v>
      </c>
      <c r="I10">
        <v>0.17530000000000001</v>
      </c>
      <c r="J10" s="2">
        <f t="shared" si="0"/>
        <v>15.678832</v>
      </c>
      <c r="K10" s="14">
        <f>5*Table2[[#This Row],[stacklose]]/3000</f>
        <v>0.83</v>
      </c>
      <c r="M10" s="8">
        <v>498</v>
      </c>
      <c r="N10">
        <v>0.17530000000000001</v>
      </c>
      <c r="O10" s="2">
        <f t="shared" si="1"/>
        <v>15.678832</v>
      </c>
      <c r="P10" s="15">
        <f>5*Table2[[#This Row],[stackfact]]/3000</f>
        <v>0.83</v>
      </c>
      <c r="Q10" s="38">
        <f>Table2[[#This Row],[EQwin]]*Table2[[#This Row],[pWin]] + Table2[[#This Row],[EQlose]]*(1-Table2[[#This Row],[pWin]]) - Table2[[#This Row],[Eqfact]]</f>
        <v>0</v>
      </c>
      <c r="R10" s="12">
        <f>Table2[[#This Row],[pWin]]*Table2[[#This Row],[ICMwin]]+(1-Table2[[#This Row],[pWin]])*Table2[[#This Row],[ICMlose]]-Table2[[#This Row],[ICMFact]]</f>
        <v>0</v>
      </c>
      <c r="S10" s="16">
        <f>Table2[[#This Row],[Kowin]]*Table2[[#This Row],[pWin]]+Table2[[#This Row],[Kolose]]*(1-Table2[[#This Row],[pWin]])-Table2[[#This Row],[KOFact]]</f>
        <v>0</v>
      </c>
      <c r="T10" s="2">
        <f>Table2[[#This Row],[KODiff]]*bounty</f>
        <v>0</v>
      </c>
      <c r="U10" s="7">
        <f>Table2[[#This Row],[ICMdiff]]+Table2[[#This Row],[KOmoneyDiff]]</f>
        <v>0</v>
      </c>
      <c r="V10">
        <f>Table2[[#This Row],[pWin]]*Table2[[#This Row],[stackwin]]+(1-Table2[[#This Row],[pWin]])*Table2[[#This Row],[stacklose]]-Table2[[#This Row],[stackfact]]</f>
        <v>0</v>
      </c>
    </row>
    <row r="11" spans="1:22" x14ac:dyDescent="0.25">
      <c r="A11">
        <v>500</v>
      </c>
      <c r="B11" t="s">
        <v>34</v>
      </c>
      <c r="C11">
        <v>0.25829999999999997</v>
      </c>
      <c r="D11" s="10">
        <v>0</v>
      </c>
      <c r="E11">
        <v>0</v>
      </c>
      <c r="F11" s="2">
        <f>Table2[[#This Row],[EQwin]]*$E$1</f>
        <v>0</v>
      </c>
      <c r="G11" s="16">
        <f>5*Table2[[#This Row],[stackwin]]/3000</f>
        <v>0</v>
      </c>
      <c r="H11" s="10">
        <v>1038</v>
      </c>
      <c r="I11">
        <v>0.30830000000000002</v>
      </c>
      <c r="J11" s="2">
        <f t="shared" si="0"/>
        <v>27.574352000000001</v>
      </c>
      <c r="K11" s="14">
        <f>5*Table2[[#This Row],[stacklose]]/3000+1</f>
        <v>2.73</v>
      </c>
      <c r="M11" s="8">
        <v>1038</v>
      </c>
      <c r="N11">
        <v>0.30830000000000002</v>
      </c>
      <c r="O11" s="2">
        <f t="shared" si="1"/>
        <v>27.574352000000001</v>
      </c>
      <c r="P11" s="15">
        <f>5*Table2[[#This Row],[stackfact]]/3000+1</f>
        <v>2.73</v>
      </c>
      <c r="Q11" s="38">
        <f>Table2[[#This Row],[EQwin]]*Table2[[#This Row],[pWin]] + Table2[[#This Row],[EQlose]]*(1-Table2[[#This Row],[pWin]]) - Table2[[#This Row],[Eqfact]]</f>
        <v>-7.9633889999999985E-2</v>
      </c>
      <c r="R11" s="12">
        <f>Table2[[#This Row],[pWin]]*Table2[[#This Row],[ICMwin]]+(1-Table2[[#This Row],[pWin]])*Table2[[#This Row],[ICMlose]]-Table2[[#This Row],[ICMFact]]</f>
        <v>-7.1224551215999981</v>
      </c>
      <c r="S11" s="16">
        <f>Table2[[#This Row],[Kowin]]*Table2[[#This Row],[pWin]]+Table2[[#This Row],[Kolose]]*(1-Table2[[#This Row],[pWin]])-Table2[[#This Row],[KOFact]]</f>
        <v>-0.70515900000000009</v>
      </c>
      <c r="T11" s="2">
        <f>Table2[[#This Row],[KODiff]]*bounty</f>
        <v>0</v>
      </c>
      <c r="U11" s="7">
        <f>Table2[[#This Row],[ICMdiff]]+Table2[[#This Row],[KOmoneyDiff]]</f>
        <v>-7.1224551215999981</v>
      </c>
      <c r="V11">
        <f>Table2[[#This Row],[pWin]]*Table2[[#This Row],[stackwin]]+(1-Table2[[#This Row],[pWin]])*Table2[[#This Row],[stacklose]]-Table2[[#This Row],[stackfact]]</f>
        <v>-268.11540000000002</v>
      </c>
    </row>
    <row r="12" spans="1:22" s="17" customFormat="1" x14ac:dyDescent="0.25">
      <c r="A12" s="17">
        <v>500</v>
      </c>
      <c r="B12" s="17" t="s">
        <v>35</v>
      </c>
      <c r="C12" s="17">
        <v>0.25829999999999997</v>
      </c>
      <c r="D12" s="19">
        <v>1038</v>
      </c>
      <c r="E12" s="17">
        <v>0.30830000000000002</v>
      </c>
      <c r="F12" s="18">
        <f>Table2[[#This Row],[EQwin]]*$E$1</f>
        <v>27.574352000000001</v>
      </c>
      <c r="G12" s="24">
        <f>5*Table2[[#This Row],[stackwin]]/3000+1</f>
        <v>2.73</v>
      </c>
      <c r="H12" s="19">
        <v>0</v>
      </c>
      <c r="I12" s="17">
        <v>0</v>
      </c>
      <c r="J12" s="18">
        <f t="shared" si="0"/>
        <v>0</v>
      </c>
      <c r="K12" s="20">
        <f>5*Table2[[#This Row],[stacklose]]/3000</f>
        <v>0</v>
      </c>
      <c r="M12" s="21">
        <v>0</v>
      </c>
      <c r="N12" s="17">
        <v>0</v>
      </c>
      <c r="O12" s="18">
        <f t="shared" si="1"/>
        <v>0</v>
      </c>
      <c r="P12" s="22">
        <f>5*Table2[[#This Row],[stackfact]]/3000</f>
        <v>0</v>
      </c>
      <c r="Q12" s="35">
        <f>Table2[[#This Row],[EQwin]]*Table2[[#This Row],[pWin]] + Table2[[#This Row],[EQlose]]*(1-Table2[[#This Row],[pWin]]) - Table2[[#This Row],[Eqfact]]</f>
        <v>7.9633889999999999E-2</v>
      </c>
      <c r="R12" s="23">
        <f>Table2[[#This Row],[pWin]]*Table2[[#This Row],[ICMwin]]+(1-Table2[[#This Row],[pWin]])*Table2[[#This Row],[ICMlose]]-Table2[[#This Row],[ICMFact]]</f>
        <v>7.1224551215999998</v>
      </c>
      <c r="S12" s="24">
        <f>Table2[[#This Row],[Kowin]]*Table2[[#This Row],[pWin]]+Table2[[#This Row],[Kolose]]*(1-Table2[[#This Row],[pWin]])-Table2[[#This Row],[KOFact]]</f>
        <v>0.70515899999999987</v>
      </c>
      <c r="T12" s="18">
        <f>Table2[[#This Row],[KODiff]]*bounty</f>
        <v>0</v>
      </c>
      <c r="U12" s="25">
        <f>Table2[[#This Row],[ICMdiff]]+Table2[[#This Row],[KOmoneyDiff]]</f>
        <v>7.1224551215999998</v>
      </c>
      <c r="V12" s="17">
        <f>Table2[[#This Row],[pWin]]*Table2[[#This Row],[stackwin]]+(1-Table2[[#This Row],[pWin]])*Table2[[#This Row],[stacklose]]-Table2[[#This Row],[stackfact]]</f>
        <v>268.11539999999997</v>
      </c>
    </row>
    <row r="13" spans="1:22" x14ac:dyDescent="0.25">
      <c r="A13">
        <v>500</v>
      </c>
      <c r="C13">
        <v>0.25829999999999997</v>
      </c>
      <c r="D13" s="10">
        <v>498</v>
      </c>
      <c r="E13">
        <v>0.17530000000000001</v>
      </c>
      <c r="F13" s="2">
        <f>Table2[[#This Row],[EQwin]]*$E$1</f>
        <v>15.678832</v>
      </c>
      <c r="G13" s="16">
        <f>5*Table2[[#This Row],[stackwin]]/3000</f>
        <v>0.83</v>
      </c>
      <c r="H13" s="10">
        <v>498</v>
      </c>
      <c r="I13">
        <v>0.17530000000000001</v>
      </c>
      <c r="J13" s="2">
        <f t="shared" si="0"/>
        <v>15.678832</v>
      </c>
      <c r="K13" s="14">
        <f>5*Table2[[#This Row],[stacklose]]/3000</f>
        <v>0.83</v>
      </c>
      <c r="M13" s="8">
        <v>498</v>
      </c>
      <c r="N13">
        <v>0.17530000000000001</v>
      </c>
      <c r="O13" s="2">
        <f t="shared" si="1"/>
        <v>15.678832</v>
      </c>
      <c r="P13" s="15">
        <f>5*Table2[[#This Row],[stackfact]]/3000</f>
        <v>0.83</v>
      </c>
      <c r="Q13" s="38">
        <f>Table2[[#This Row],[EQwin]]*Table2[[#This Row],[pWin]] + Table2[[#This Row],[EQlose]]*(1-Table2[[#This Row],[pWin]]) - Table2[[#This Row],[Eqfact]]</f>
        <v>0</v>
      </c>
      <c r="R13" s="12">
        <f>Table2[[#This Row],[pWin]]*Table2[[#This Row],[ICMwin]]+(1-Table2[[#This Row],[pWin]])*Table2[[#This Row],[ICMlose]]-Table2[[#This Row],[ICMFact]]</f>
        <v>0</v>
      </c>
      <c r="S13" s="16">
        <f>Table2[[#This Row],[Kowin]]*Table2[[#This Row],[pWin]]+Table2[[#This Row],[Kolose]]*(1-Table2[[#This Row],[pWin]])-Table2[[#This Row],[KOFact]]</f>
        <v>0</v>
      </c>
      <c r="T13" s="2">
        <f>Table2[[#This Row],[KODiff]]*bounty</f>
        <v>0</v>
      </c>
      <c r="U13" s="7">
        <f>Table2[[#This Row],[ICMdiff]]+Table2[[#This Row],[KOmoneyDiff]]</f>
        <v>0</v>
      </c>
      <c r="V13">
        <f>Table2[[#This Row],[pWin]]*Table2[[#This Row],[stackwin]]+(1-Table2[[#This Row],[pWin]])*Table2[[#This Row],[stacklose]]-Table2[[#This Row],[stackfact]]</f>
        <v>0</v>
      </c>
    </row>
    <row r="14" spans="1:22" s="56" customFormat="1" x14ac:dyDescent="0.25">
      <c r="D14" s="59"/>
      <c r="F14" s="57">
        <f>Table2[[#This Row],[EQwin]]*$E$1</f>
        <v>0</v>
      </c>
      <c r="G14" s="58">
        <f>2*Table2[[#This Row],[stackwin]]/3000</f>
        <v>0</v>
      </c>
      <c r="H14" s="59"/>
      <c r="J14" s="57">
        <f t="shared" si="0"/>
        <v>0</v>
      </c>
      <c r="K14" s="60">
        <f>5*Table2[[#This Row],[stacklose]]/3000</f>
        <v>0</v>
      </c>
      <c r="M14" s="61"/>
      <c r="O14" s="57">
        <f t="shared" si="1"/>
        <v>0</v>
      </c>
      <c r="P14" s="62">
        <f>5*Table2[[#This Row],[stackfact]]/3000</f>
        <v>0</v>
      </c>
      <c r="Q14" s="63">
        <f>Table2[[#This Row],[EQwin]]*Table2[[#This Row],[pWin]] + Table2[[#This Row],[EQlose]]*(1-Table2[[#This Row],[pWin]]) - Table2[[#This Row],[Eqfact]]</f>
        <v>0</v>
      </c>
      <c r="R14" s="64">
        <f>Table2[[#This Row],[pWin]]*Table2[[#This Row],[ICMwin]]+(1-Table2[[#This Row],[pWin]])*Table2[[#This Row],[ICMlose]]-Table2[[#This Row],[ICMFact]]</f>
        <v>0</v>
      </c>
      <c r="S14" s="58">
        <f>Table2[[#This Row],[Kowin]]*Table2[[#This Row],[pWin]]+Table2[[#This Row],[Kolose]]*(1-Table2[[#This Row],[pWin]])-Table2[[#This Row],[KOFact]]</f>
        <v>0</v>
      </c>
      <c r="T14" s="57">
        <f>Table2[[#This Row],[KODiff]]*bounty</f>
        <v>0</v>
      </c>
      <c r="U14" s="65">
        <f>Table2[[#This Row],[ICMdiff]]+Table2[[#This Row],[KOmoneyDiff]]</f>
        <v>0</v>
      </c>
      <c r="V14" s="56">
        <f>Table2[[#This Row],[pWin]]*Table2[[#This Row],[stackwin]]+(1-Table2[[#This Row],[pWin]])*Table2[[#This Row],[stacklose]]-Table2[[#This Row],[stackfact]]</f>
        <v>0</v>
      </c>
    </row>
    <row r="15" spans="1:22" x14ac:dyDescent="0.25">
      <c r="A15">
        <v>496</v>
      </c>
      <c r="B15" t="s">
        <v>36</v>
      </c>
      <c r="C15">
        <v>0.78</v>
      </c>
      <c r="D15" s="10">
        <v>146</v>
      </c>
      <c r="E15">
        <v>5.3199999999999997E-2</v>
      </c>
      <c r="F15" s="2">
        <f>Table2[[#This Row],[EQwin]]*$E$1</f>
        <v>4.7582079999999998</v>
      </c>
      <c r="G15" s="16">
        <f>6*Table2[[#This Row],[stackwin]]/3000</f>
        <v>0.29199999999999998</v>
      </c>
      <c r="H15" s="10">
        <v>884</v>
      </c>
      <c r="I15">
        <v>0.27389999999999998</v>
      </c>
      <c r="J15" s="2">
        <f t="shared" si="0"/>
        <v>24.497615999999997</v>
      </c>
      <c r="K15" s="14">
        <f>5*Table2[[#This Row],[stacklose]]/3000+1</f>
        <v>2.4733333333333336</v>
      </c>
      <c r="M15" s="8">
        <v>884</v>
      </c>
      <c r="N15">
        <v>0.27389999999999998</v>
      </c>
      <c r="O15" s="2">
        <f t="shared" si="1"/>
        <v>24.497615999999997</v>
      </c>
      <c r="P15" s="15">
        <f>5*Table2[[#This Row],[stackfact]]/3000+1</f>
        <v>2.4733333333333336</v>
      </c>
      <c r="Q15" s="38">
        <f>Table2[[#This Row],[EQwin]]*Table2[[#This Row],[pWin]] + Table2[[#This Row],[EQlose]]*(1-Table2[[#This Row],[pWin]]) - Table2[[#This Row],[Eqfact]]</f>
        <v>-0.17214599999999999</v>
      </c>
      <c r="R15" s="12">
        <f>Table2[[#This Row],[pWin]]*Table2[[#This Row],[ICMwin]]+(1-Table2[[#This Row],[pWin]])*Table2[[#This Row],[ICMlose]]-Table2[[#This Row],[ICMFact]]</f>
        <v>-15.396738239999998</v>
      </c>
      <c r="S15" s="16">
        <f>Table2[[#This Row],[Kowin]]*Table2[[#This Row],[pWin]]+Table2[[#This Row],[Kolose]]*(1-Table2[[#This Row],[pWin]])-Table2[[#This Row],[KOFact]]</f>
        <v>-1.7014400000000003</v>
      </c>
      <c r="T15" s="2">
        <f>Table2[[#This Row],[KODiff]]*bounty</f>
        <v>0</v>
      </c>
      <c r="U15" s="7">
        <f>Table2[[#This Row],[ICMdiff]]+Table2[[#This Row],[KOmoneyDiff]]</f>
        <v>-15.396738239999998</v>
      </c>
      <c r="V15">
        <f>Table2[[#This Row],[pWin]]*Table2[[#This Row],[stackwin]]+(1-Table2[[#This Row],[pWin]])*Table2[[#This Row],[stacklose]]-Table2[[#This Row],[stackfact]]</f>
        <v>-575.64</v>
      </c>
    </row>
    <row r="16" spans="1:22" x14ac:dyDescent="0.25">
      <c r="A16">
        <v>538</v>
      </c>
      <c r="C16">
        <v>0.78</v>
      </c>
      <c r="D16" s="10">
        <v>536</v>
      </c>
      <c r="E16">
        <v>0.1804</v>
      </c>
      <c r="F16" s="2">
        <f>Table2[[#This Row],[EQwin]]*$E$1</f>
        <v>16.134976000000002</v>
      </c>
      <c r="G16" s="16">
        <f>6*Table2[[#This Row],[stackwin]]/3000</f>
        <v>1.0720000000000001</v>
      </c>
      <c r="H16" s="10">
        <v>536</v>
      </c>
      <c r="I16">
        <v>0.184</v>
      </c>
      <c r="J16" s="2">
        <f t="shared" si="0"/>
        <v>16.456959999999999</v>
      </c>
      <c r="K16" s="14">
        <f>5*Table2[[#This Row],[stacklose]]/3000</f>
        <v>0.89333333333333331</v>
      </c>
      <c r="M16" s="8">
        <v>536</v>
      </c>
      <c r="N16">
        <v>0.184</v>
      </c>
      <c r="O16" s="2">
        <f t="shared" si="1"/>
        <v>16.456959999999999</v>
      </c>
      <c r="P16" s="15">
        <f>5*Table2[[#This Row],[stackfact]]/3000</f>
        <v>0.89333333333333331</v>
      </c>
      <c r="Q16" s="38">
        <f>Table2[[#This Row],[EQwin]]*Table2[[#This Row],[pWin]] + Table2[[#This Row],[EQlose]]*(1-Table2[[#This Row],[pWin]]) - Table2[[#This Row],[Eqfact]]</f>
        <v>-2.8080000000000049E-3</v>
      </c>
      <c r="R16" s="12">
        <f>Table2[[#This Row],[pWin]]*Table2[[#This Row],[ICMwin]]+(1-Table2[[#This Row],[pWin]])*Table2[[#This Row],[ICMlose]]-Table2[[#This Row],[ICMFact]]</f>
        <v>-0.2511475199999964</v>
      </c>
      <c r="S16" s="16">
        <f>Table2[[#This Row],[Kowin]]*Table2[[#This Row],[pWin]]+Table2[[#This Row],[Kolose]]*(1-Table2[[#This Row],[pWin]])-Table2[[#This Row],[KOFact]]</f>
        <v>0.13936000000000015</v>
      </c>
      <c r="T16" s="2">
        <f>Table2[[#This Row],[KODiff]]*bounty</f>
        <v>0</v>
      </c>
      <c r="U16" s="7">
        <f>Table2[[#This Row],[ICMdiff]]+Table2[[#This Row],[KOmoneyDiff]]</f>
        <v>-0.2511475199999964</v>
      </c>
      <c r="V16">
        <f>Table2[[#This Row],[pWin]]*Table2[[#This Row],[stackwin]]+(1-Table2[[#This Row],[pWin]])*Table2[[#This Row],[stacklose]]-Table2[[#This Row],[stackfact]]</f>
        <v>0</v>
      </c>
    </row>
    <row r="17" spans="1:22" x14ac:dyDescent="0.25">
      <c r="A17">
        <v>486</v>
      </c>
      <c r="C17">
        <v>0.78</v>
      </c>
      <c r="D17" s="10">
        <v>484</v>
      </c>
      <c r="E17">
        <v>0.16489999999999999</v>
      </c>
      <c r="F17" s="2">
        <f>Table2[[#This Row],[EQwin]]*$E$1</f>
        <v>14.748655999999999</v>
      </c>
      <c r="G17" s="16">
        <f>6*Table2[[#This Row],[stackwin]]/3000</f>
        <v>0.96799999999999997</v>
      </c>
      <c r="H17" s="10">
        <v>484</v>
      </c>
      <c r="I17">
        <v>0.16819999999999999</v>
      </c>
      <c r="J17" s="2">
        <f t="shared" si="0"/>
        <v>15.043807999999999</v>
      </c>
      <c r="K17" s="14">
        <f>5*Table2[[#This Row],[stacklose]]/3000</f>
        <v>0.80666666666666664</v>
      </c>
      <c r="M17" s="8">
        <v>484</v>
      </c>
      <c r="N17">
        <v>0.16819999999999999</v>
      </c>
      <c r="O17" s="2">
        <f t="shared" si="1"/>
        <v>15.043807999999999</v>
      </c>
      <c r="P17" s="15">
        <f>5*Table2[[#This Row],[stackfact]]/3000</f>
        <v>0.80666666666666664</v>
      </c>
      <c r="Q17" s="38">
        <f>Table2[[#This Row],[EQwin]]*Table2[[#This Row],[pWin]] + Table2[[#This Row],[EQlose]]*(1-Table2[[#This Row],[pWin]]) - Table2[[#This Row],[Eqfact]]</f>
        <v>-2.573999999999993E-3</v>
      </c>
      <c r="R17" s="12">
        <f>Table2[[#This Row],[pWin]]*Table2[[#This Row],[ICMwin]]+(1-Table2[[#This Row],[pWin]])*Table2[[#This Row],[ICMlose]]-Table2[[#This Row],[ICMFact]]</f>
        <v>-0.23021855999999907</v>
      </c>
      <c r="S17" s="16">
        <f>Table2[[#This Row],[Kowin]]*Table2[[#This Row],[pWin]]+Table2[[#This Row],[Kolose]]*(1-Table2[[#This Row],[pWin]])-Table2[[#This Row],[KOFact]]</f>
        <v>0.12584000000000006</v>
      </c>
      <c r="T17" s="2">
        <f>Table2[[#This Row],[KODiff]]*bounty</f>
        <v>0</v>
      </c>
      <c r="U17" s="7">
        <f>Table2[[#This Row],[ICMdiff]]+Table2[[#This Row],[KOmoneyDiff]]</f>
        <v>-0.23021855999999907</v>
      </c>
      <c r="V17">
        <f>Table2[[#This Row],[pWin]]*Table2[[#This Row],[stackwin]]+(1-Table2[[#This Row],[pWin]])*Table2[[#This Row],[stacklose]]-Table2[[#This Row],[stackfact]]</f>
        <v>0</v>
      </c>
    </row>
    <row r="18" spans="1:22" s="17" customFormat="1" x14ac:dyDescent="0.25">
      <c r="A18" s="17">
        <v>350</v>
      </c>
      <c r="B18" s="17" t="s">
        <v>37</v>
      </c>
      <c r="C18" s="17">
        <v>0.78</v>
      </c>
      <c r="D18" s="19">
        <v>738</v>
      </c>
      <c r="E18" s="17">
        <v>0.23499999999999999</v>
      </c>
      <c r="F18" s="18">
        <f>Table2[[#This Row],[EQwin]]*$E$1</f>
        <v>21.0184</v>
      </c>
      <c r="G18" s="24">
        <f>6*Table2[[#This Row],[stackwin]]/3000</f>
        <v>1.476</v>
      </c>
      <c r="H18" s="19">
        <v>0</v>
      </c>
      <c r="J18" s="18">
        <f t="shared" si="0"/>
        <v>0</v>
      </c>
      <c r="K18" s="20">
        <f>5*Table2[[#This Row],[stacklose]]/3000</f>
        <v>0</v>
      </c>
      <c r="M18" s="21">
        <v>0</v>
      </c>
      <c r="O18" s="18">
        <f t="shared" si="1"/>
        <v>0</v>
      </c>
      <c r="P18" s="22">
        <f>5*Table2[[#This Row],[stackfact]]/3000</f>
        <v>0</v>
      </c>
      <c r="Q18" s="35">
        <f>Table2[[#This Row],[EQwin]]*Table2[[#This Row],[pWin]] + Table2[[#This Row],[EQlose]]*(1-Table2[[#This Row],[pWin]]) - Table2[[#This Row],[Eqfact]]</f>
        <v>0.18329999999999999</v>
      </c>
      <c r="R18" s="23">
        <f>Table2[[#This Row],[pWin]]*Table2[[#This Row],[ICMwin]]+(1-Table2[[#This Row],[pWin]])*Table2[[#This Row],[ICMlose]]-Table2[[#This Row],[ICMFact]]</f>
        <v>16.394352000000001</v>
      </c>
      <c r="S18" s="24">
        <f>Table2[[#This Row],[Kowin]]*Table2[[#This Row],[pWin]]+Table2[[#This Row],[Kolose]]*(1-Table2[[#This Row],[pWin]])-Table2[[#This Row],[KOFact]]</f>
        <v>1.1512800000000001</v>
      </c>
      <c r="T18" s="18">
        <f>Table2[[#This Row],[KODiff]]*bounty</f>
        <v>0</v>
      </c>
      <c r="U18" s="25">
        <f>Table2[[#This Row],[ICMdiff]]+Table2[[#This Row],[KOmoneyDiff]]</f>
        <v>16.394352000000001</v>
      </c>
      <c r="V18" s="17">
        <f>Table2[[#This Row],[pWin]]*Table2[[#This Row],[stackwin]]+(1-Table2[[#This Row],[pWin]])*Table2[[#This Row],[stacklose]]-Table2[[#This Row],[stackfact]]</f>
        <v>575.64</v>
      </c>
    </row>
    <row r="19" spans="1:22" s="26" customFormat="1" x14ac:dyDescent="0.25">
      <c r="A19" s="26">
        <v>634</v>
      </c>
      <c r="C19" s="26">
        <v>0.78</v>
      </c>
      <c r="D19" s="10">
        <v>622</v>
      </c>
      <c r="E19" s="26">
        <v>0.20469999999999999</v>
      </c>
      <c r="F19" s="27">
        <f>Table2[[#This Row],[EQwin]]*$E$1</f>
        <v>18.308367999999998</v>
      </c>
      <c r="G19" s="16">
        <f>6*Table2[[#This Row],[stackwin]]/3000</f>
        <v>1.244</v>
      </c>
      <c r="H19" s="10">
        <v>622</v>
      </c>
      <c r="I19" s="26">
        <v>0.2089</v>
      </c>
      <c r="J19" s="27">
        <f t="shared" si="0"/>
        <v>18.684016</v>
      </c>
      <c r="K19" s="30">
        <f>5*Table2[[#This Row],[stacklose]]/3000</f>
        <v>1.0366666666666666</v>
      </c>
      <c r="M19" s="31">
        <v>622</v>
      </c>
      <c r="N19" s="26">
        <v>0.2089</v>
      </c>
      <c r="O19" s="27">
        <f t="shared" si="1"/>
        <v>18.684016</v>
      </c>
      <c r="P19" s="32">
        <f>5*Table2[[#This Row],[stackfact]]/3000</f>
        <v>1.0366666666666666</v>
      </c>
      <c r="Q19" s="39">
        <f>Table2[[#This Row],[EQwin]]*Table2[[#This Row],[pWin]] + Table2[[#This Row],[EQlose]]*(1-Table2[[#This Row],[pWin]]) - Table2[[#This Row],[Eqfact]]</f>
        <v>-3.2760000000000011E-3</v>
      </c>
      <c r="R19" s="33">
        <f>Table2[[#This Row],[pWin]]*Table2[[#This Row],[ICMwin]]+(1-Table2[[#This Row],[pWin]])*Table2[[#This Row],[ICMlose]]-Table2[[#This Row],[ICMFact]]</f>
        <v>-0.29300544000000173</v>
      </c>
      <c r="S19" s="28">
        <f>Table2[[#This Row],[Kowin]]*Table2[[#This Row],[pWin]]+Table2[[#This Row],[Kolose]]*(1-Table2[[#This Row],[pWin]])-Table2[[#This Row],[KOFact]]</f>
        <v>0.16172000000000009</v>
      </c>
      <c r="T19" s="27">
        <f>Table2[[#This Row],[KODiff]]*bounty</f>
        <v>0</v>
      </c>
      <c r="U19" s="34">
        <f>Table2[[#This Row],[ICMdiff]]+Table2[[#This Row],[KOmoneyDiff]]</f>
        <v>-0.29300544000000173</v>
      </c>
      <c r="V19" s="26">
        <f>Table2[[#This Row],[pWin]]*Table2[[#This Row],[stackwin]]+(1-Table2[[#This Row],[pWin]])*Table2[[#This Row],[stacklose]]-Table2[[#This Row],[stackfact]]</f>
        <v>0</v>
      </c>
    </row>
    <row r="20" spans="1:22" x14ac:dyDescent="0.25">
      <c r="A20">
        <v>496</v>
      </c>
      <c r="C20">
        <v>0.78</v>
      </c>
      <c r="D20" s="10">
        <v>474</v>
      </c>
      <c r="E20">
        <v>0.16189999999999999</v>
      </c>
      <c r="F20" s="2">
        <f>Table2[[#This Row],[EQwin]]*$E$1</f>
        <v>14.480335999999999</v>
      </c>
      <c r="G20" s="16">
        <f>6*Table2[[#This Row],[stackwin]]/3000</f>
        <v>0.94799999999999995</v>
      </c>
      <c r="H20" s="10">
        <v>474</v>
      </c>
      <c r="I20">
        <v>0.16500000000000001</v>
      </c>
      <c r="J20" s="2">
        <f t="shared" ref="J20:J21" si="2">I20*$E$1</f>
        <v>14.7576</v>
      </c>
      <c r="K20" s="14">
        <f>5*Table2[[#This Row],[stacklose]]/3000</f>
        <v>0.79</v>
      </c>
      <c r="M20" s="8">
        <v>474</v>
      </c>
      <c r="N20">
        <v>0.16500000000000001</v>
      </c>
      <c r="O20" s="2">
        <f t="shared" ref="O20:O21" si="3">N20*$E$1</f>
        <v>14.7576</v>
      </c>
      <c r="P20" s="15">
        <f>5*Table2[[#This Row],[stackfact]]/3000</f>
        <v>0.79</v>
      </c>
      <c r="Q20" s="38">
        <f>Table2[[#This Row],[EQwin]]*Table2[[#This Row],[pWin]] + Table2[[#This Row],[EQlose]]*(1-Table2[[#This Row],[pWin]]) - Table2[[#This Row],[Eqfact]]</f>
        <v>-2.4180000000000035E-3</v>
      </c>
      <c r="R20" s="12">
        <f>Table2[[#This Row],[pWin]]*Table2[[#This Row],[ICMwin]]+(1-Table2[[#This Row],[pWin]])*Table2[[#This Row],[ICMlose]]-Table2[[#This Row],[ICMFact]]</f>
        <v>-0.21626591999999967</v>
      </c>
      <c r="S20" s="16">
        <f>Table2[[#This Row],[Kowin]]*Table2[[#This Row],[pWin]]+Table2[[#This Row],[Kolose]]*(1-Table2[[#This Row],[pWin]])-Table2[[#This Row],[KOFact]]</f>
        <v>0.12323999999999991</v>
      </c>
      <c r="T20" s="2">
        <f>Table2[[#This Row],[KODiff]]*bounty</f>
        <v>0</v>
      </c>
      <c r="U20" s="7">
        <f>Table2[[#This Row],[ICMdiff]]+Table2[[#This Row],[KOmoneyDiff]]</f>
        <v>-0.21626591999999967</v>
      </c>
      <c r="V20">
        <f>Table2[[#This Row],[pWin]]*Table2[[#This Row],[stackwin]]+(1-Table2[[#This Row],[pWin]])*Table2[[#This Row],[stacklose]]-Table2[[#This Row],[stackfact]]</f>
        <v>0</v>
      </c>
    </row>
    <row r="21" spans="1:22" s="56" customFormat="1" x14ac:dyDescent="0.25">
      <c r="D21" s="59"/>
      <c r="F21" s="57">
        <f>Table2[[#This Row],[EQwin]]*$E$1</f>
        <v>0</v>
      </c>
      <c r="G21" s="58">
        <f>2*Table2[[#This Row],[stackwin]]/3000</f>
        <v>0</v>
      </c>
      <c r="H21" s="59"/>
      <c r="J21" s="57">
        <f t="shared" si="2"/>
        <v>0</v>
      </c>
      <c r="K21" s="60">
        <f>5*Table2[[#This Row],[stacklose]]/3000</f>
        <v>0</v>
      </c>
      <c r="M21" s="61"/>
      <c r="O21" s="57">
        <f t="shared" si="3"/>
        <v>0</v>
      </c>
      <c r="P21" s="62">
        <f>5*Table2[[#This Row],[stackfact]]/3000</f>
        <v>0</v>
      </c>
      <c r="Q21" s="63">
        <f>Table2[[#This Row],[EQwin]]*Table2[[#This Row],[pWin]] + Table2[[#This Row],[EQlose]]*(1-Table2[[#This Row],[pWin]]) - Table2[[#This Row],[Eqfact]]</f>
        <v>0</v>
      </c>
      <c r="R21" s="64">
        <f>Table2[[#This Row],[pWin]]*Table2[[#This Row],[ICMwin]]+(1-Table2[[#This Row],[pWin]])*Table2[[#This Row],[ICMlose]]-Table2[[#This Row],[ICMFact]]</f>
        <v>0</v>
      </c>
      <c r="S21" s="58">
        <f>Table2[[#This Row],[Kowin]]*Table2[[#This Row],[pWin]]+Table2[[#This Row],[Kolose]]*(1-Table2[[#This Row],[pWin]])-Table2[[#This Row],[KOFact]]</f>
        <v>0</v>
      </c>
      <c r="T21" s="57">
        <f>Table2[[#This Row],[KODiff]]*bounty</f>
        <v>0</v>
      </c>
      <c r="U21" s="65">
        <f>Table2[[#This Row],[ICMdiff]]+Table2[[#This Row],[KOmoneyDiff]]</f>
        <v>0</v>
      </c>
      <c r="V21" s="56">
        <f>Table2[[#This Row],[pWin]]*Table2[[#This Row],[stackwin]]+(1-Table2[[#This Row],[pWin]])*Table2[[#This Row],[stacklose]]-Table2[[#This Row],[stackfact]]</f>
        <v>0</v>
      </c>
    </row>
    <row r="22" spans="1:22" s="17" customFormat="1" ht="14.25" customHeight="1" x14ac:dyDescent="0.25">
      <c r="A22" s="17">
        <f>1374-8-80</f>
        <v>1286</v>
      </c>
      <c r="B22" s="17" t="s">
        <v>38</v>
      </c>
      <c r="C22" s="17">
        <v>0.1265</v>
      </c>
      <c r="D22" s="19">
        <v>2748</v>
      </c>
      <c r="E22" s="17">
        <v>0.5</v>
      </c>
      <c r="F22" s="18">
        <f>Table2[[#This Row],[EQwin]]*$E$1</f>
        <v>44.72</v>
      </c>
      <c r="G22" s="24">
        <f>2*Table2[[#This Row],[stackwin]]/3000</f>
        <v>1.8320000000000001</v>
      </c>
      <c r="H22" s="19">
        <v>0</v>
      </c>
      <c r="I22" s="17">
        <v>0.5</v>
      </c>
      <c r="J22" s="18">
        <f t="shared" ref="J22:J55" si="4">I22*$E$1</f>
        <v>44.72</v>
      </c>
      <c r="K22" s="20">
        <f>2*Table2[[#This Row],[stacklose]]/3000</f>
        <v>0</v>
      </c>
      <c r="M22" s="21">
        <v>2748</v>
      </c>
      <c r="N22" s="17">
        <v>0.5</v>
      </c>
      <c r="O22" s="18">
        <f t="shared" ref="O22:O55" si="5">N22*$E$1</f>
        <v>44.72</v>
      </c>
      <c r="P22" s="22">
        <f>2*Table2[[#This Row],[stackfact]]/3000</f>
        <v>1.8320000000000001</v>
      </c>
      <c r="Q22" s="35">
        <f>Table2[[#This Row],[EQwin]]*Table2[[#This Row],[pWin]] + Table2[[#This Row],[EQlose]]*(1-Table2[[#This Row],[pWin]]) - Table2[[#This Row],[Eqfact]]</f>
        <v>0</v>
      </c>
      <c r="R22" s="23">
        <f>Table2[[#This Row],[pWin]]*Table2[[#This Row],[ICMwin]]+(1-Table2[[#This Row],[pWin]])*Table2[[#This Row],[ICMlose]]-Table2[[#This Row],[ICMFact]]</f>
        <v>0</v>
      </c>
      <c r="S22" s="24">
        <f>Table2[[#This Row],[Kowin]]*Table2[[#This Row],[pWin]]+Table2[[#This Row],[Kolose]]*(1-Table2[[#This Row],[pWin]])-Table2[[#This Row],[KOFact]]</f>
        <v>-1.600252</v>
      </c>
      <c r="T22" s="18">
        <f>Table2[[#This Row],[KODiff]]*bounty</f>
        <v>0</v>
      </c>
      <c r="U22" s="25">
        <f>Table2[[#This Row],[ICMdiff]]+Table2[[#This Row],[KOmoneyDiff]]</f>
        <v>0</v>
      </c>
      <c r="V22" s="17">
        <f>Table2[[#This Row],[pWin]]*Table2[[#This Row],[stackwin]]+(1-Table2[[#This Row],[pWin]])*Table2[[#This Row],[stacklose]]-Table2[[#This Row],[stackfact]]</f>
        <v>-2400.3780000000002</v>
      </c>
    </row>
    <row r="23" spans="1:22" x14ac:dyDescent="0.25">
      <c r="A23">
        <f>1626-8-40-40</f>
        <v>1538</v>
      </c>
      <c r="B23" t="s">
        <v>39</v>
      </c>
      <c r="C23">
        <v>0.1265</v>
      </c>
      <c r="D23" s="10">
        <f>1538-1286</f>
        <v>252</v>
      </c>
      <c r="E23">
        <v>0.5</v>
      </c>
      <c r="F23" s="2">
        <f>Table2[[#This Row],[EQwin]]*$E$1</f>
        <v>44.72</v>
      </c>
      <c r="G23" s="16">
        <f>2*Table2[[#This Row],[stackwin]]/3000</f>
        <v>0.16800000000000001</v>
      </c>
      <c r="H23" s="10">
        <v>3000</v>
      </c>
      <c r="I23">
        <v>0.5</v>
      </c>
      <c r="J23" s="2">
        <f t="shared" si="4"/>
        <v>44.72</v>
      </c>
      <c r="K23" s="14">
        <f>2*Table2[[#This Row],[stacklose]]/3000</f>
        <v>2</v>
      </c>
      <c r="M23" s="8">
        <v>252</v>
      </c>
      <c r="N23">
        <v>0.5</v>
      </c>
      <c r="O23" s="2">
        <f t="shared" si="5"/>
        <v>44.72</v>
      </c>
      <c r="P23" s="15">
        <f>2*Table2[[#This Row],[stackfact]]/3000</f>
        <v>0.16800000000000001</v>
      </c>
      <c r="Q23" s="38">
        <f>Table2[[#This Row],[EQwin]]*Table2[[#This Row],[pWin]] + Table2[[#This Row],[EQlose]]*(1-Table2[[#This Row],[pWin]]) - Table2[[#This Row],[Eqfact]]</f>
        <v>0</v>
      </c>
      <c r="R23" s="12">
        <f>Table2[[#This Row],[pWin]]*Table2[[#This Row],[ICMwin]]+(1-Table2[[#This Row],[pWin]])*Table2[[#This Row],[ICMlose]]-Table2[[#This Row],[ICMFact]]</f>
        <v>0</v>
      </c>
      <c r="S23" s="16">
        <f>Table2[[#This Row],[Kowin]]*Table2[[#This Row],[pWin]]+Table2[[#This Row],[Kolose]]*(1-Table2[[#This Row],[pWin]])-Table2[[#This Row],[KOFact]]</f>
        <v>1.600252</v>
      </c>
      <c r="T23" s="2">
        <f>Table2[[#This Row],[KODiff]]*bounty</f>
        <v>0</v>
      </c>
      <c r="U23" s="7">
        <f>Table2[[#This Row],[ICMdiff]]+Table2[[#This Row],[KOmoneyDiff]]</f>
        <v>0</v>
      </c>
      <c r="V23">
        <f>Table2[[#This Row],[pWin]]*Table2[[#This Row],[stackwin]]+(1-Table2[[#This Row],[pWin]])*Table2[[#This Row],[stacklose]]-Table2[[#This Row],[stackfact]]</f>
        <v>2400.3780000000002</v>
      </c>
    </row>
    <row r="24" spans="1:22" s="40" customFormat="1" x14ac:dyDescent="0.25">
      <c r="D24" s="43"/>
      <c r="F24" s="41">
        <f>Table2[[#This Row],[EQwin]]*$E$1</f>
        <v>0</v>
      </c>
      <c r="G24" s="42">
        <f>2*Table2[[#This Row],[stackwin]]/3000</f>
        <v>0</v>
      </c>
      <c r="H24" s="43"/>
      <c r="J24" s="41">
        <f t="shared" si="4"/>
        <v>0</v>
      </c>
      <c r="K24" s="44">
        <f>5*Table2[[#This Row],[stacklose]]/3000</f>
        <v>0</v>
      </c>
      <c r="M24" s="45"/>
      <c r="O24" s="41">
        <f t="shared" si="5"/>
        <v>0</v>
      </c>
      <c r="P24" s="46">
        <f>5*Table2[[#This Row],[stackfact]]/3000</f>
        <v>0</v>
      </c>
      <c r="Q24" s="47">
        <f>Table2[[#This Row],[EQwin]]*Table2[[#This Row],[pWin]] + Table2[[#This Row],[EQlose]]*(1-Table2[[#This Row],[pWin]]) - Table2[[#This Row],[Eqfact]]</f>
        <v>0</v>
      </c>
      <c r="R24" s="48">
        <f>Table2[[#This Row],[pWin]]*Table2[[#This Row],[ICMwin]]+(1-Table2[[#This Row],[pWin]])*Table2[[#This Row],[ICMlose]]-Table2[[#This Row],[ICMFact]]</f>
        <v>0</v>
      </c>
      <c r="S24" s="42">
        <f>Table2[[#This Row],[Kowin]]*Table2[[#This Row],[pWin]]+Table2[[#This Row],[Kolose]]*(1-Table2[[#This Row],[pWin]])-Table2[[#This Row],[KOFact]]</f>
        <v>0</v>
      </c>
      <c r="T24" s="41">
        <f>Table2[[#This Row],[KODiff]]*bounty</f>
        <v>0</v>
      </c>
      <c r="U24" s="49">
        <f>Table2[[#This Row],[ICMdiff]]+Table2[[#This Row],[KOmoneyDiff]]</f>
        <v>0</v>
      </c>
      <c r="V24" s="40">
        <f>Table2[[#This Row],[pWin]]*Table2[[#This Row],[stackwin]]+(1-Table2[[#This Row],[pWin]])*Table2[[#This Row],[stacklose]]-Table2[[#This Row],[stackfact]]</f>
        <v>0</v>
      </c>
    </row>
    <row r="25" spans="1:22" s="17" customFormat="1" x14ac:dyDescent="0.25">
      <c r="A25" s="17">
        <f>1045-15-150</f>
        <v>880</v>
      </c>
      <c r="B25" s="17" t="s">
        <v>40</v>
      </c>
      <c r="C25" s="17">
        <v>0.54920000000000002</v>
      </c>
      <c r="D25" s="19">
        <v>2090</v>
      </c>
      <c r="E25" s="17">
        <v>0.5</v>
      </c>
      <c r="F25" s="18">
        <f>Table2[[#This Row],[EQwin]]*$E$1</f>
        <v>44.72</v>
      </c>
      <c r="G25" s="24">
        <f>2*Table2[[#This Row],[stackwin]]/3000</f>
        <v>1.3933333333333333</v>
      </c>
      <c r="H25" s="19">
        <v>0</v>
      </c>
      <c r="I25" s="17">
        <v>0.5</v>
      </c>
      <c r="J25" s="18">
        <f t="shared" si="4"/>
        <v>44.72</v>
      </c>
      <c r="K25" s="20">
        <f>2*Table2[[#This Row],[stacklose]]/3000</f>
        <v>0</v>
      </c>
      <c r="M25" s="21">
        <v>2090</v>
      </c>
      <c r="N25" s="17">
        <v>0.5</v>
      </c>
      <c r="O25" s="18">
        <f t="shared" si="5"/>
        <v>44.72</v>
      </c>
      <c r="P25" s="22">
        <f>2*Table2[[#This Row],[stackfact]]/3000</f>
        <v>1.3933333333333333</v>
      </c>
      <c r="Q25" s="35">
        <f>Table2[[#This Row],[EQwin]]*Table2[[#This Row],[pWin]] + Table2[[#This Row],[EQlose]]*(1-Table2[[#This Row],[pWin]]) - Table2[[#This Row],[Eqfact]]</f>
        <v>0</v>
      </c>
      <c r="R25" s="23">
        <f>Table2[[#This Row],[pWin]]*Table2[[#This Row],[ICMwin]]+(1-Table2[[#This Row],[pWin]])*Table2[[#This Row],[ICMlose]]-Table2[[#This Row],[ICMFact]]</f>
        <v>0</v>
      </c>
      <c r="S25" s="24">
        <f>Table2[[#This Row],[Kowin]]*Table2[[#This Row],[pWin]]+Table2[[#This Row],[Kolose]]*(1-Table2[[#This Row],[pWin]])-Table2[[#This Row],[KOFact]]</f>
        <v>-0.6281146666666666</v>
      </c>
      <c r="T25" s="18">
        <f>Table2[[#This Row],[KODiff]]*bounty</f>
        <v>0</v>
      </c>
      <c r="U25" s="25">
        <f>Table2[[#This Row],[ICMdiff]]+Table2[[#This Row],[KOmoneyDiff]]</f>
        <v>0</v>
      </c>
      <c r="V25" s="17">
        <f>Table2[[#This Row],[pWin]]*Table2[[#This Row],[stackwin]]+(1-Table2[[#This Row],[pWin]])*Table2[[#This Row],[stacklose]]-Table2[[#This Row],[stackfact]]</f>
        <v>-942.17200000000003</v>
      </c>
    </row>
    <row r="26" spans="1:22" x14ac:dyDescent="0.25">
      <c r="A26">
        <f>1955-15-75-75</f>
        <v>1790</v>
      </c>
      <c r="B26" t="s">
        <v>41</v>
      </c>
      <c r="C26" s="26">
        <v>0.54920000000000002</v>
      </c>
      <c r="D26" s="10">
        <f>1790-880</f>
        <v>910</v>
      </c>
      <c r="E26">
        <v>0.5</v>
      </c>
      <c r="F26" s="2">
        <f>Table2[[#This Row],[EQwin]]*$E$1</f>
        <v>44.72</v>
      </c>
      <c r="G26" s="16">
        <f>2*Table2[[#This Row],[stackwin]]/3000</f>
        <v>0.60666666666666669</v>
      </c>
      <c r="H26" s="10">
        <v>3000</v>
      </c>
      <c r="I26">
        <v>0.5</v>
      </c>
      <c r="J26" s="2">
        <f t="shared" si="4"/>
        <v>44.72</v>
      </c>
      <c r="K26" s="14">
        <f>2*Table2[[#This Row],[stacklose]]/3000</f>
        <v>2</v>
      </c>
      <c r="M26" s="8">
        <v>910</v>
      </c>
      <c r="N26">
        <v>0.5</v>
      </c>
      <c r="O26" s="2">
        <f t="shared" si="5"/>
        <v>44.72</v>
      </c>
      <c r="P26" s="15">
        <f>2*Table2[[#This Row],[stackfact]]/3000</f>
        <v>0.60666666666666669</v>
      </c>
      <c r="Q26" s="38">
        <f>Table2[[#This Row],[EQwin]]*Table2[[#This Row],[pWin]] + Table2[[#This Row],[EQlose]]*(1-Table2[[#This Row],[pWin]]) - Table2[[#This Row],[Eqfact]]</f>
        <v>0</v>
      </c>
      <c r="R26" s="12">
        <f>Table2[[#This Row],[pWin]]*Table2[[#This Row],[ICMwin]]+(1-Table2[[#This Row],[pWin]])*Table2[[#This Row],[ICMlose]]-Table2[[#This Row],[ICMFact]]</f>
        <v>0</v>
      </c>
      <c r="S26" s="16">
        <f>Table2[[#This Row],[Kowin]]*Table2[[#This Row],[pWin]]+Table2[[#This Row],[Kolose]]*(1-Table2[[#This Row],[pWin]])-Table2[[#This Row],[KOFact]]</f>
        <v>0.6281146666666666</v>
      </c>
      <c r="T26" s="2">
        <f>Table2[[#This Row],[KODiff]]*bounty</f>
        <v>0</v>
      </c>
      <c r="U26" s="7">
        <f>Table2[[#This Row],[ICMdiff]]+Table2[[#This Row],[KOmoneyDiff]]</f>
        <v>0</v>
      </c>
      <c r="V26">
        <f>Table2[[#This Row],[pWin]]*Table2[[#This Row],[stackwin]]+(1-Table2[[#This Row],[pWin]])*Table2[[#This Row],[stacklose]]-Table2[[#This Row],[stackfact]]</f>
        <v>942.1719999999998</v>
      </c>
    </row>
    <row r="27" spans="1:22" s="40" customFormat="1" x14ac:dyDescent="0.25">
      <c r="D27" s="43"/>
      <c r="F27" s="41">
        <f>Table2[[#This Row],[EQwin]]*$E$1</f>
        <v>0</v>
      </c>
      <c r="G27" s="42">
        <f>2*Table2[[#This Row],[stackwin]]/3000</f>
        <v>0</v>
      </c>
      <c r="H27" s="43"/>
      <c r="J27" s="41">
        <f t="shared" si="4"/>
        <v>0</v>
      </c>
      <c r="K27" s="44">
        <f>5*Table2[[#This Row],[stacklose]]/3000</f>
        <v>0</v>
      </c>
      <c r="M27" s="45"/>
      <c r="O27" s="41">
        <f t="shared" si="5"/>
        <v>0</v>
      </c>
      <c r="P27" s="46">
        <f>5*Table2[[#This Row],[stackfact]]/3000</f>
        <v>0</v>
      </c>
      <c r="Q27" s="47">
        <f>Table2[[#This Row],[EQwin]]*Table2[[#This Row],[pWin]] + Table2[[#This Row],[EQlose]]*(1-Table2[[#This Row],[pWin]]) - Table2[[#This Row],[Eqfact]]</f>
        <v>0</v>
      </c>
      <c r="R27" s="48">
        <f>Table2[[#This Row],[pWin]]*Table2[[#This Row],[ICMwin]]+(1-Table2[[#This Row],[pWin]])*Table2[[#This Row],[ICMlose]]-Table2[[#This Row],[ICMFact]]</f>
        <v>0</v>
      </c>
      <c r="S27" s="42">
        <f>Table2[[#This Row],[Kowin]]*Table2[[#This Row],[pWin]]+Table2[[#This Row],[Kolose]]*(1-Table2[[#This Row],[pWin]])-Table2[[#This Row],[KOFact]]</f>
        <v>0</v>
      </c>
      <c r="T27" s="41">
        <f>Table2[[#This Row],[KODiff]]*bounty</f>
        <v>0</v>
      </c>
      <c r="U27" s="49">
        <f>Table2[[#This Row],[ICMdiff]]+Table2[[#This Row],[KOmoneyDiff]]</f>
        <v>0</v>
      </c>
      <c r="V27" s="40">
        <f>Table2[[#This Row],[pWin]]*Table2[[#This Row],[stackwin]]+(1-Table2[[#This Row],[pWin]])*Table2[[#This Row],[stacklose]]-Table2[[#This Row],[stackfact]]</f>
        <v>0</v>
      </c>
    </row>
    <row r="28" spans="1:22" s="17" customFormat="1" x14ac:dyDescent="0.25">
      <c r="A28" s="17">
        <f>972-10-100</f>
        <v>862</v>
      </c>
      <c r="B28" s="17" t="s">
        <v>42</v>
      </c>
      <c r="C28" s="17">
        <v>0.35909999999999997</v>
      </c>
      <c r="D28" s="19">
        <v>1924</v>
      </c>
      <c r="E28" s="17">
        <v>0.5</v>
      </c>
      <c r="F28" s="18">
        <f>Table2[[#This Row],[EQwin]]*$E$1</f>
        <v>44.72</v>
      </c>
      <c r="G28" s="24">
        <f>2*Table2[[#This Row],[stackwin]]/3000</f>
        <v>1.2826666666666666</v>
      </c>
      <c r="H28" s="19">
        <v>0</v>
      </c>
      <c r="I28" s="17">
        <v>0.5</v>
      </c>
      <c r="J28" s="18">
        <f t="shared" si="4"/>
        <v>44.72</v>
      </c>
      <c r="K28" s="20">
        <f>2*Table2[[#This Row],[stacklose]]/3000</f>
        <v>0</v>
      </c>
      <c r="M28" s="21">
        <v>962</v>
      </c>
      <c r="N28" s="17">
        <v>0.5</v>
      </c>
      <c r="O28" s="18">
        <f t="shared" si="5"/>
        <v>44.72</v>
      </c>
      <c r="P28" s="22">
        <f>2*Table2[[#This Row],[stackfact]]/3000</f>
        <v>0.64133333333333331</v>
      </c>
      <c r="Q28" s="35">
        <f>Table2[[#This Row],[EQwin]]*Table2[[#This Row],[pWin]] + Table2[[#This Row],[EQlose]]*(1-Table2[[#This Row],[pWin]]) - Table2[[#This Row],[Eqfact]]</f>
        <v>0</v>
      </c>
      <c r="R28" s="23">
        <f>Table2[[#This Row],[pWin]]*Table2[[#This Row],[ICMwin]]+(1-Table2[[#This Row],[pWin]])*Table2[[#This Row],[ICMlose]]-Table2[[#This Row],[ICMFact]]</f>
        <v>0</v>
      </c>
      <c r="S28" s="24">
        <f>Table2[[#This Row],[Kowin]]*Table2[[#This Row],[pWin]]+Table2[[#This Row],[Kolose]]*(1-Table2[[#This Row],[pWin]])-Table2[[#This Row],[KOFact]]</f>
        <v>-0.18072773333333336</v>
      </c>
      <c r="T28" s="18">
        <f>Table2[[#This Row],[KODiff]]*bounty</f>
        <v>0</v>
      </c>
      <c r="U28" s="25">
        <f>Table2[[#This Row],[ICMdiff]]+Table2[[#This Row],[KOmoneyDiff]]</f>
        <v>0</v>
      </c>
      <c r="V28" s="17">
        <f>Table2[[#This Row],[pWin]]*Table2[[#This Row],[stackwin]]+(1-Table2[[#This Row],[pWin]])*Table2[[#This Row],[stacklose]]-Table2[[#This Row],[stackfact]]</f>
        <v>-271.09160000000008</v>
      </c>
    </row>
    <row r="29" spans="1:22" x14ac:dyDescent="0.25">
      <c r="A29">
        <f>2038-10-100</f>
        <v>1928</v>
      </c>
      <c r="B29" t="s">
        <v>43</v>
      </c>
      <c r="C29">
        <v>0.35909999999999997</v>
      </c>
      <c r="D29" s="10">
        <v>1076</v>
      </c>
      <c r="E29">
        <v>0.5</v>
      </c>
      <c r="F29" s="2">
        <f>Table2[[#This Row],[EQwin]]*$E$1</f>
        <v>44.72</v>
      </c>
      <c r="G29" s="16">
        <f>2*Table2[[#This Row],[stackwin]]/3000</f>
        <v>0.71733333333333338</v>
      </c>
      <c r="H29" s="10">
        <v>3000</v>
      </c>
      <c r="I29">
        <v>0.5</v>
      </c>
      <c r="J29" s="2">
        <f t="shared" si="4"/>
        <v>44.72</v>
      </c>
      <c r="K29" s="14">
        <f>2*Table2[[#This Row],[stacklose]]/3000</f>
        <v>2</v>
      </c>
      <c r="M29" s="8">
        <v>2038</v>
      </c>
      <c r="N29">
        <v>0.5</v>
      </c>
      <c r="O29" s="2">
        <f t="shared" si="5"/>
        <v>44.72</v>
      </c>
      <c r="P29" s="15">
        <f>2*Table2[[#This Row],[stackfact]]/3000</f>
        <v>1.3586666666666667</v>
      </c>
      <c r="Q29" s="38">
        <f>Table2[[#This Row],[EQwin]]*Table2[[#This Row],[pWin]] + Table2[[#This Row],[EQlose]]*(1-Table2[[#This Row],[pWin]]) - Table2[[#This Row],[Eqfact]]</f>
        <v>0</v>
      </c>
      <c r="R29" s="12">
        <f>Table2[[#This Row],[pWin]]*Table2[[#This Row],[ICMwin]]+(1-Table2[[#This Row],[pWin]])*Table2[[#This Row],[ICMlose]]-Table2[[#This Row],[ICMFact]]</f>
        <v>0</v>
      </c>
      <c r="S29" s="16">
        <f>Table2[[#This Row],[Kowin]]*Table2[[#This Row],[pWin]]+Table2[[#This Row],[Kolose]]*(1-Table2[[#This Row],[pWin]])-Table2[[#This Row],[KOFact]]</f>
        <v>0.18072773333333325</v>
      </c>
      <c r="T29" s="2">
        <f>Table2[[#This Row],[KODiff]]*bounty</f>
        <v>0</v>
      </c>
      <c r="U29" s="7">
        <f>Table2[[#This Row],[ICMdiff]]+Table2[[#This Row],[KOmoneyDiff]]</f>
        <v>0</v>
      </c>
      <c r="V29">
        <f>Table2[[#This Row],[pWin]]*Table2[[#This Row],[stackwin]]+(1-Table2[[#This Row],[pWin]])*Table2[[#This Row],[stacklose]]-Table2[[#This Row],[stackfact]]</f>
        <v>271.0916000000002</v>
      </c>
    </row>
    <row r="30" spans="1:22" s="40" customFormat="1" x14ac:dyDescent="0.25">
      <c r="D30" s="43"/>
      <c r="F30" s="41">
        <f>Table2[[#This Row],[EQwin]]*$E$1</f>
        <v>0</v>
      </c>
      <c r="G30" s="42">
        <f>2*Table2[[#This Row],[stackwin]]/3000</f>
        <v>0</v>
      </c>
      <c r="H30" s="43"/>
      <c r="J30" s="41">
        <f t="shared" si="4"/>
        <v>0</v>
      </c>
      <c r="K30" s="44">
        <f>5*Table2[[#This Row],[stacklose]]/3000</f>
        <v>0</v>
      </c>
      <c r="M30" s="45"/>
      <c r="O30" s="41">
        <f t="shared" si="5"/>
        <v>0</v>
      </c>
      <c r="P30" s="46">
        <f>5*Table2[[#This Row],[stackfact]]/3000</f>
        <v>0</v>
      </c>
      <c r="Q30" s="47">
        <f>Table2[[#This Row],[EQwin]]*Table2[[#This Row],[pWin]] + Table2[[#This Row],[EQlose]]*(1-Table2[[#This Row],[pWin]]) - Table2[[#This Row],[Eqfact]]</f>
        <v>0</v>
      </c>
      <c r="R30" s="48">
        <f>Table2[[#This Row],[pWin]]*Table2[[#This Row],[ICMwin]]+(1-Table2[[#This Row],[pWin]])*Table2[[#This Row],[ICMlose]]-Table2[[#This Row],[ICMFact]]</f>
        <v>0</v>
      </c>
      <c r="S30" s="42">
        <f>Table2[[#This Row],[Kowin]]*Table2[[#This Row],[pWin]]+Table2[[#This Row],[Kolose]]*(1-Table2[[#This Row],[pWin]])-Table2[[#This Row],[KOFact]]</f>
        <v>0</v>
      </c>
      <c r="T30" s="41">
        <f>Table2[[#This Row],[KODiff]]*bounty</f>
        <v>0</v>
      </c>
      <c r="U30" s="49">
        <f>Table2[[#This Row],[ICMdiff]]+Table2[[#This Row],[KOmoneyDiff]]</f>
        <v>0</v>
      </c>
      <c r="V30" s="40">
        <f>Table2[[#This Row],[pWin]]*Table2[[#This Row],[stackwin]]+(1-Table2[[#This Row],[pWin]])*Table2[[#This Row],[stacklose]]-Table2[[#This Row],[stackfact]]</f>
        <v>0</v>
      </c>
    </row>
    <row r="31" spans="1:22" x14ac:dyDescent="0.25">
      <c r="A31">
        <v>718</v>
      </c>
      <c r="C31">
        <v>0.60240000000000005</v>
      </c>
      <c r="D31" s="10">
        <v>718</v>
      </c>
      <c r="E31">
        <v>0.28289999999999998</v>
      </c>
      <c r="F31" s="2">
        <f>Table2[[#This Row],[EQwin]]*$E$1</f>
        <v>25.302575999999998</v>
      </c>
      <c r="G31" s="16">
        <f>4*Table2[[#This Row],[stackwin]]/3000</f>
        <v>0.95733333333333337</v>
      </c>
      <c r="H31" s="10">
        <v>718</v>
      </c>
      <c r="I31">
        <v>0.34310000000000002</v>
      </c>
      <c r="J31" s="2">
        <f t="shared" si="4"/>
        <v>30.686864</v>
      </c>
      <c r="K31" s="14">
        <f>3*Table2[[#This Row],[stacklose]]/3000</f>
        <v>0.71799999999999997</v>
      </c>
      <c r="M31" s="10">
        <v>718</v>
      </c>
      <c r="N31">
        <v>0.28289999999999998</v>
      </c>
      <c r="O31" s="2">
        <f t="shared" si="5"/>
        <v>25.302575999999998</v>
      </c>
      <c r="P31" s="15">
        <f>4*Table2[[#This Row],[stackfact]]/3000</f>
        <v>0.95733333333333337</v>
      </c>
      <c r="Q31" s="38">
        <f>Table2[[#This Row],[EQwin]]*Table2[[#This Row],[pWin]] + Table2[[#This Row],[EQlose]]*(1-Table2[[#This Row],[pWin]]) - Table2[[#This Row],[Eqfact]]</f>
        <v>2.3935520000000043E-2</v>
      </c>
      <c r="R31" s="12">
        <f>Table2[[#This Row],[pWin]]*Table2[[#This Row],[ICMwin]]+(1-Table2[[#This Row],[pWin]])*Table2[[#This Row],[ICMlose]]-Table2[[#This Row],[ICMFact]]</f>
        <v>2.1407929087999982</v>
      </c>
      <c r="S31" s="16">
        <f>Table2[[#This Row],[Kowin]]*Table2[[#This Row],[pWin]]+Table2[[#This Row],[Kolose]]*(1-Table2[[#This Row],[pWin]])-Table2[[#This Row],[KOFact]]</f>
        <v>-9.5158933333333362E-2</v>
      </c>
      <c r="T31" s="2">
        <f>Table2[[#This Row],[KODiff]]*bounty</f>
        <v>0</v>
      </c>
      <c r="U31" s="7">
        <f>Table2[[#This Row],[ICMdiff]]+Table2[[#This Row],[KOmoneyDiff]]</f>
        <v>2.1407929087999982</v>
      </c>
      <c r="V31">
        <f>Table2[[#This Row],[pWin]]*Table2[[#This Row],[stackwin]]+(1-Table2[[#This Row],[pWin]])*Table2[[#This Row],[stacklose]]-Table2[[#This Row],[stackfact]]</f>
        <v>0</v>
      </c>
    </row>
    <row r="32" spans="1:22" s="17" customFormat="1" x14ac:dyDescent="0.25">
      <c r="A32" s="17">
        <v>127</v>
      </c>
      <c r="B32" s="17" t="s">
        <v>44</v>
      </c>
      <c r="C32" s="17">
        <v>0.60240000000000005</v>
      </c>
      <c r="D32" s="19">
        <v>330</v>
      </c>
      <c r="E32" s="17">
        <v>0.14050000000000001</v>
      </c>
      <c r="F32" s="18">
        <f>Table2[[#This Row],[EQwin]]*$E$1</f>
        <v>12.566320000000001</v>
      </c>
      <c r="G32" s="24">
        <f>4*Table2[[#This Row],[stackwin]]/3000</f>
        <v>0.44</v>
      </c>
      <c r="H32" s="19">
        <v>0</v>
      </c>
      <c r="I32" s="17">
        <v>0</v>
      </c>
      <c r="J32" s="18">
        <f t="shared" ref="J32:J48" si="6">I32*$E$1</f>
        <v>0</v>
      </c>
      <c r="K32" s="20">
        <f>3*Table2[[#This Row],[stacklose]]/3000</f>
        <v>0</v>
      </c>
      <c r="M32" s="19">
        <v>330</v>
      </c>
      <c r="N32" s="17">
        <v>0.14050000000000001</v>
      </c>
      <c r="O32" s="18">
        <f t="shared" ref="O32:O48" si="7">N32*$E$1</f>
        <v>12.566320000000001</v>
      </c>
      <c r="P32" s="22">
        <f>4*Table2[[#This Row],[stackfact]]/3000</f>
        <v>0.44</v>
      </c>
      <c r="Q32" s="35">
        <f>Table2[[#This Row],[EQwin]]*Table2[[#This Row],[pWin]] + Table2[[#This Row],[EQlose]]*(1-Table2[[#This Row],[pWin]]) - Table2[[#This Row],[Eqfact]]</f>
        <v>-5.5862800000000004E-2</v>
      </c>
      <c r="R32" s="23">
        <f>Table2[[#This Row],[pWin]]*Table2[[#This Row],[ICMwin]]+(1-Table2[[#This Row],[pWin]])*Table2[[#This Row],[ICMlose]]-Table2[[#This Row],[ICMFact]]</f>
        <v>-4.9963688319999999</v>
      </c>
      <c r="S32" s="24">
        <f>Table2[[#This Row],[Kowin]]*Table2[[#This Row],[pWin]]+Table2[[#This Row],[Kolose]]*(1-Table2[[#This Row],[pWin]])-Table2[[#This Row],[KOFact]]</f>
        <v>-0.17494399999999999</v>
      </c>
      <c r="T32" s="18">
        <f>Table2[[#This Row],[KODiff]]*bounty</f>
        <v>0</v>
      </c>
      <c r="U32" s="25">
        <f>Table2[[#This Row],[ICMdiff]]+Table2[[#This Row],[KOmoneyDiff]]</f>
        <v>-4.9963688319999999</v>
      </c>
      <c r="V32" s="35">
        <f>Table2[[#This Row],[pWin]]*Table2[[#This Row],[stackwin]]+(1-Table2[[#This Row],[pWin]])*Table2[[#This Row],[stacklose]]-Table2[[#This Row],[stackfact]]</f>
        <v>-131.208</v>
      </c>
    </row>
    <row r="33" spans="1:22" x14ac:dyDescent="0.25">
      <c r="A33">
        <v>385</v>
      </c>
      <c r="C33">
        <v>0.60240000000000005</v>
      </c>
      <c r="D33" s="10">
        <v>385</v>
      </c>
      <c r="E33">
        <v>0.16250000000000001</v>
      </c>
      <c r="F33" s="2">
        <f>Table2[[#This Row],[EQwin]]*$E$1</f>
        <v>14.534000000000001</v>
      </c>
      <c r="G33" s="16">
        <f>4*Table2[[#This Row],[stackwin]]/3000</f>
        <v>0.51333333333333331</v>
      </c>
      <c r="H33" s="10">
        <v>385</v>
      </c>
      <c r="I33">
        <v>0.19470000000000001</v>
      </c>
      <c r="J33" s="2">
        <f t="shared" si="6"/>
        <v>17.413968000000001</v>
      </c>
      <c r="K33" s="14">
        <f>3*Table2[[#This Row],[stacklose]]/3000</f>
        <v>0.38500000000000001</v>
      </c>
      <c r="M33" s="10">
        <v>385</v>
      </c>
      <c r="N33">
        <v>0.16250000000000001</v>
      </c>
      <c r="O33" s="2">
        <f t="shared" si="7"/>
        <v>14.534000000000001</v>
      </c>
      <c r="P33" s="15">
        <f>4*Table2[[#This Row],[stackfact]]/3000</f>
        <v>0.51333333333333331</v>
      </c>
      <c r="Q33" s="38">
        <f>Table2[[#This Row],[EQwin]]*Table2[[#This Row],[pWin]] + Table2[[#This Row],[EQlose]]*(1-Table2[[#This Row],[pWin]]) - Table2[[#This Row],[Eqfact]]</f>
        <v>1.280271999999999E-2</v>
      </c>
      <c r="R33" s="12">
        <f>Table2[[#This Row],[pWin]]*Table2[[#This Row],[ICMwin]]+(1-Table2[[#This Row],[pWin]])*Table2[[#This Row],[ICMlose]]-Table2[[#This Row],[ICMFact]]</f>
        <v>1.1450752768000001</v>
      </c>
      <c r="S33" s="16">
        <f>Table2[[#This Row],[Kowin]]*Table2[[#This Row],[pWin]]+Table2[[#This Row],[Kolose]]*(1-Table2[[#This Row],[pWin]])-Table2[[#This Row],[KOFact]]</f>
        <v>-5.1025333333333311E-2</v>
      </c>
      <c r="T33" s="2">
        <f>Table2[[#This Row],[KODiff]]*bounty</f>
        <v>0</v>
      </c>
      <c r="U33" s="7">
        <f>Table2[[#This Row],[ICMdiff]]+Table2[[#This Row],[KOmoneyDiff]]</f>
        <v>1.1450752768000001</v>
      </c>
      <c r="V33" s="38">
        <f>Table2[[#This Row],[pWin]]*Table2[[#This Row],[stackwin]]+(1-Table2[[#This Row],[pWin]])*Table2[[#This Row],[stacklose]]-Table2[[#This Row],[stackfact]]</f>
        <v>0</v>
      </c>
    </row>
    <row r="34" spans="1:22" x14ac:dyDescent="0.25">
      <c r="A34">
        <v>1654</v>
      </c>
      <c r="B34" t="s">
        <v>45</v>
      </c>
      <c r="C34">
        <v>0.60240000000000005</v>
      </c>
      <c r="D34" s="10">
        <v>1567</v>
      </c>
      <c r="E34">
        <v>0.41410000000000002</v>
      </c>
      <c r="F34" s="2">
        <f>Table2[[#This Row],[EQwin]]*$E$1</f>
        <v>37.037103999999999</v>
      </c>
      <c r="G34" s="16">
        <f>4*Table2[[#This Row],[stackwin]]/3000</f>
        <v>2.0893333333333333</v>
      </c>
      <c r="H34" s="10">
        <f>1654+116+127</f>
        <v>1897</v>
      </c>
      <c r="I34">
        <v>0.4622</v>
      </c>
      <c r="J34" s="2">
        <f t="shared" si="6"/>
        <v>41.339168000000001</v>
      </c>
      <c r="K34" s="14">
        <f>3*Table2[[#This Row],[stacklose]]/3000+1</f>
        <v>2.8970000000000002</v>
      </c>
      <c r="M34" s="10">
        <v>1567</v>
      </c>
      <c r="N34">
        <v>0.41410000000000002</v>
      </c>
      <c r="O34" s="2">
        <f t="shared" si="7"/>
        <v>37.037103999999999</v>
      </c>
      <c r="P34" s="15">
        <f>4*Table2[[#This Row],[stackfact]]/3000</f>
        <v>2.0893333333333333</v>
      </c>
      <c r="Q34" s="38">
        <f>Table2[[#This Row],[EQwin]]*Table2[[#This Row],[pWin]] + Table2[[#This Row],[EQlose]]*(1-Table2[[#This Row],[pWin]]) - Table2[[#This Row],[Eqfact]]</f>
        <v>1.9124559999999957E-2</v>
      </c>
      <c r="R34" s="12">
        <f>Table2[[#This Row],[pWin]]*Table2[[#This Row],[ICMwin]]+(1-Table2[[#This Row],[pWin]])*Table2[[#This Row],[ICMlose]]-Table2[[#This Row],[ICMFact]]</f>
        <v>1.7105006463999999</v>
      </c>
      <c r="S34" s="16">
        <f>Table2[[#This Row],[Kowin]]*Table2[[#This Row],[pWin]]+Table2[[#This Row],[Kolose]]*(1-Table2[[#This Row],[pWin]])-Table2[[#This Row],[KOFact]]</f>
        <v>0.32112826666666683</v>
      </c>
      <c r="T34" s="2">
        <f>Table2[[#This Row],[KODiff]]*bounty</f>
        <v>0</v>
      </c>
      <c r="U34" s="7">
        <f>Table2[[#This Row],[ICMdiff]]+Table2[[#This Row],[KOmoneyDiff]]</f>
        <v>1.7105006463999999</v>
      </c>
      <c r="V34" s="38">
        <f>Table2[[#This Row],[pWin]]*Table2[[#This Row],[stackwin]]+(1-Table2[[#This Row],[pWin]])*Table2[[#This Row],[stacklose]]-Table2[[#This Row],[stackfact]]</f>
        <v>131.20800000000008</v>
      </c>
    </row>
    <row r="35" spans="1:22" s="40" customFormat="1" x14ac:dyDescent="0.25">
      <c r="D35" s="43"/>
      <c r="F35" s="41">
        <f>Table2[[#This Row],[EQwin]]*$E$1</f>
        <v>0</v>
      </c>
      <c r="G35" s="42">
        <f>2*Table2[[#This Row],[stackwin]]/3000</f>
        <v>0</v>
      </c>
      <c r="H35" s="43"/>
      <c r="J35" s="41">
        <f t="shared" si="6"/>
        <v>0</v>
      </c>
      <c r="K35" s="44">
        <f>5*Table2[[#This Row],[stacklose]]/3000</f>
        <v>0</v>
      </c>
      <c r="M35" s="45"/>
      <c r="O35" s="41">
        <f t="shared" si="7"/>
        <v>0</v>
      </c>
      <c r="P35" s="46">
        <f>5*Table2[[#This Row],[stackfact]]/3000</f>
        <v>0</v>
      </c>
      <c r="Q35" s="47">
        <f>Table2[[#This Row],[EQwin]]*Table2[[#This Row],[pWin]] + Table2[[#This Row],[EQlose]]*(1-Table2[[#This Row],[pWin]]) - Table2[[#This Row],[Eqfact]]</f>
        <v>0</v>
      </c>
      <c r="R35" s="48">
        <f>Table2[[#This Row],[pWin]]*Table2[[#This Row],[ICMwin]]+(1-Table2[[#This Row],[pWin]])*Table2[[#This Row],[ICMlose]]-Table2[[#This Row],[ICMFact]]</f>
        <v>0</v>
      </c>
      <c r="S35" s="42">
        <f>Table2[[#This Row],[Kowin]]*Table2[[#This Row],[pWin]]+Table2[[#This Row],[Kolose]]*(1-Table2[[#This Row],[pWin]])-Table2[[#This Row],[KOFact]]</f>
        <v>0</v>
      </c>
      <c r="T35" s="41">
        <f>Table2[[#This Row],[KODiff]]*bounty</f>
        <v>0</v>
      </c>
      <c r="U35" s="49">
        <f>Table2[[#This Row],[ICMdiff]]+Table2[[#This Row],[KOmoneyDiff]]</f>
        <v>0</v>
      </c>
      <c r="V35" s="47">
        <f>Table2[[#This Row],[pWin]]*Table2[[#This Row],[stackwin]]+(1-Table2[[#This Row],[pWin]])*Table2[[#This Row],[stacklose]]-Table2[[#This Row],[stackfact]]</f>
        <v>0</v>
      </c>
    </row>
    <row r="36" spans="1:22" s="17" customFormat="1" x14ac:dyDescent="0.25">
      <c r="A36" s="17">
        <f>432-6</f>
        <v>426</v>
      </c>
      <c r="B36" s="17" t="s">
        <v>46</v>
      </c>
      <c r="C36" s="17">
        <v>0.5423</v>
      </c>
      <c r="D36" s="19">
        <v>930</v>
      </c>
      <c r="E36" s="17">
        <v>0.48320000000000002</v>
      </c>
      <c r="F36" s="18">
        <f>Table2[[#This Row],[EQwin]]*$E$1</f>
        <v>43.217407999999999</v>
      </c>
      <c r="G36" s="16">
        <f>3*Table2[[#This Row],[stackwin]]/3000</f>
        <v>0.93</v>
      </c>
      <c r="H36" s="19">
        <v>0</v>
      </c>
      <c r="J36" s="18">
        <f t="shared" si="6"/>
        <v>0</v>
      </c>
      <c r="K36" s="20">
        <f>5*Table2[[#This Row],[stacklose]]/3000</f>
        <v>0</v>
      </c>
      <c r="M36" s="19">
        <v>0</v>
      </c>
      <c r="O36" s="18">
        <f t="shared" si="7"/>
        <v>0</v>
      </c>
      <c r="P36" s="20">
        <f>5*Table2[[#This Row],[stacklose]]/3000</f>
        <v>0</v>
      </c>
      <c r="Q36" s="35">
        <f>Table2[[#This Row],[EQwin]]*Table2[[#This Row],[pWin]] + Table2[[#This Row],[EQlose]]*(1-Table2[[#This Row],[pWin]]) - Table2[[#This Row],[Eqfact]]</f>
        <v>0.26203936</v>
      </c>
      <c r="R36" s="23">
        <f>Table2[[#This Row],[pWin]]*Table2[[#This Row],[ICMwin]]+(1-Table2[[#This Row],[pWin]])*Table2[[#This Row],[ICMlose]]-Table2[[#This Row],[ICMFact]]</f>
        <v>23.436800358399999</v>
      </c>
      <c r="S36" s="24">
        <f>Table2[[#This Row],[Kowin]]*Table2[[#This Row],[pWin]]+Table2[[#This Row],[Kolose]]*(1-Table2[[#This Row],[pWin]])-Table2[[#This Row],[KOFact]]</f>
        <v>0.50433899999999998</v>
      </c>
      <c r="T36" s="18">
        <f>Table2[[#This Row],[KODiff]]*bounty</f>
        <v>0</v>
      </c>
      <c r="U36" s="25">
        <f>Table2[[#This Row],[ICMdiff]]+Table2[[#This Row],[KOmoneyDiff]]</f>
        <v>23.436800358399999</v>
      </c>
      <c r="V36" s="35">
        <f>Table2[[#This Row],[pWin]]*Table2[[#This Row],[stackwin]]+(1-Table2[[#This Row],[pWin]])*Table2[[#This Row],[stacklose]]-Table2[[#This Row],[stackfact]]</f>
        <v>504.339</v>
      </c>
    </row>
    <row r="37" spans="1:22" x14ac:dyDescent="0.25">
      <c r="A37">
        <f>468-6-30</f>
        <v>432</v>
      </c>
      <c r="B37" t="s">
        <v>47</v>
      </c>
      <c r="C37">
        <v>0.5423</v>
      </c>
      <c r="D37" s="10">
        <f>432-426+30</f>
        <v>36</v>
      </c>
      <c r="E37">
        <v>2.1299999999999999E-2</v>
      </c>
      <c r="F37" s="2">
        <f>Table2[[#This Row],[EQwin]]*$E$1</f>
        <v>1.9050719999999999</v>
      </c>
      <c r="G37" s="16">
        <f>3*Table2[[#This Row],[stackwin]]/3000</f>
        <v>3.5999999999999997E-2</v>
      </c>
      <c r="H37" s="10">
        <f>930+36</f>
        <v>966</v>
      </c>
      <c r="I37">
        <v>0.5</v>
      </c>
      <c r="J37" s="2">
        <f t="shared" si="6"/>
        <v>44.72</v>
      </c>
      <c r="K37" s="14">
        <f>2*Table2[[#This Row],[stacklose]]/3000+1</f>
        <v>1.6440000000000001</v>
      </c>
      <c r="M37" s="10">
        <f>930+36</f>
        <v>966</v>
      </c>
      <c r="N37">
        <v>0.5</v>
      </c>
      <c r="O37" s="2">
        <f t="shared" si="7"/>
        <v>44.72</v>
      </c>
      <c r="P37" s="14">
        <f>2*Table2[[#This Row],[stacklose]]/3000+1</f>
        <v>1.6440000000000001</v>
      </c>
      <c r="Q37" s="38">
        <f>Table2[[#This Row],[EQwin]]*Table2[[#This Row],[pWin]] + Table2[[#This Row],[EQlose]]*(1-Table2[[#This Row],[pWin]]) - Table2[[#This Row],[Eqfact]]</f>
        <v>-0.25959900999999996</v>
      </c>
      <c r="R37" s="12">
        <f>Table2[[#This Row],[pWin]]*Table2[[#This Row],[ICMwin]]+(1-Table2[[#This Row],[pWin]])*Table2[[#This Row],[ICMlose]]-Table2[[#This Row],[ICMFact]]</f>
        <v>-23.218535454400001</v>
      </c>
      <c r="S37" s="16">
        <f>Table2[[#This Row],[Kowin]]*Table2[[#This Row],[pWin]]+Table2[[#This Row],[Kolose]]*(1-Table2[[#This Row],[pWin]])-Table2[[#This Row],[KOFact]]</f>
        <v>-0.87201840000000008</v>
      </c>
      <c r="T37" s="2">
        <f>Table2[[#This Row],[KODiff]]*bounty</f>
        <v>0</v>
      </c>
      <c r="U37" s="7">
        <f>Table2[[#This Row],[ICMdiff]]+Table2[[#This Row],[KOmoneyDiff]]</f>
        <v>-23.218535454400001</v>
      </c>
      <c r="V37" s="38">
        <f>Table2[[#This Row],[pWin]]*Table2[[#This Row],[stackwin]]+(1-Table2[[#This Row],[pWin]])*Table2[[#This Row],[stacklose]]-Table2[[#This Row],[stackfact]]</f>
        <v>-504.339</v>
      </c>
    </row>
    <row r="38" spans="1:22" x14ac:dyDescent="0.25">
      <c r="A38">
        <f>2100-6-60</f>
        <v>2034</v>
      </c>
      <c r="C38">
        <v>0.5423</v>
      </c>
      <c r="D38" s="10">
        <v>2034</v>
      </c>
      <c r="E38">
        <v>0.49540000000000001</v>
      </c>
      <c r="F38" s="2">
        <f>Table2[[#This Row],[EQwin]]*$E$1</f>
        <v>44.308576000000002</v>
      </c>
      <c r="G38" s="16">
        <f>3*Table2[[#This Row],[stackwin]]/3000</f>
        <v>2.0339999999999998</v>
      </c>
      <c r="H38" s="10">
        <v>2034</v>
      </c>
      <c r="I38">
        <v>0.5</v>
      </c>
      <c r="J38" s="2">
        <f t="shared" si="6"/>
        <v>44.72</v>
      </c>
      <c r="K38" s="14">
        <f>2*Table2[[#This Row],[stacklose]]/3000+1</f>
        <v>2.3559999999999999</v>
      </c>
      <c r="M38" s="10">
        <v>2034</v>
      </c>
      <c r="N38">
        <v>0.5</v>
      </c>
      <c r="O38" s="2">
        <f t="shared" si="7"/>
        <v>44.72</v>
      </c>
      <c r="P38" s="14">
        <f>2*Table2[[#This Row],[stacklose]]/3000+1</f>
        <v>2.3559999999999999</v>
      </c>
      <c r="Q38" s="38">
        <f>Table2[[#This Row],[EQwin]]*Table2[[#This Row],[pWin]] + Table2[[#This Row],[EQlose]]*(1-Table2[[#This Row],[pWin]]) - Table2[[#This Row],[Eqfact]]</f>
        <v>-2.4945799999999685E-3</v>
      </c>
      <c r="R38" s="12">
        <f>Table2[[#This Row],[pWin]]*Table2[[#This Row],[ICMwin]]+(1-Table2[[#This Row],[pWin]])*Table2[[#This Row],[ICMlose]]-Table2[[#This Row],[ICMFact]]</f>
        <v>-0.2231152351999981</v>
      </c>
      <c r="S38" s="16">
        <f>Table2[[#This Row],[Kowin]]*Table2[[#This Row],[pWin]]+Table2[[#This Row],[Kolose]]*(1-Table2[[#This Row],[pWin]])-Table2[[#This Row],[KOFact]]</f>
        <v>-0.1746205999999999</v>
      </c>
      <c r="T38" s="2">
        <f>Table2[[#This Row],[KODiff]]*bounty</f>
        <v>0</v>
      </c>
      <c r="U38" s="7">
        <f>Table2[[#This Row],[ICMdiff]]+Table2[[#This Row],[KOmoneyDiff]]</f>
        <v>-0.2231152351999981</v>
      </c>
      <c r="V38" s="38">
        <f>Table2[[#This Row],[pWin]]*Table2[[#This Row],[stackwin]]+(1-Table2[[#This Row],[pWin]])*Table2[[#This Row],[stacklose]]-Table2[[#This Row],[stackfact]]</f>
        <v>0</v>
      </c>
    </row>
    <row r="39" spans="1:22" s="40" customFormat="1" x14ac:dyDescent="0.25">
      <c r="D39" s="43"/>
      <c r="F39" s="41">
        <f>Table2[[#This Row],[EQwin]]*$E$1</f>
        <v>0</v>
      </c>
      <c r="G39" s="42">
        <f>2*Table2[[#This Row],[stackwin]]/3000</f>
        <v>0</v>
      </c>
      <c r="H39" s="43"/>
      <c r="J39" s="41">
        <f t="shared" si="6"/>
        <v>0</v>
      </c>
      <c r="K39" s="44">
        <f>5*Table2[[#This Row],[stacklose]]/3000</f>
        <v>0</v>
      </c>
      <c r="M39" s="45"/>
      <c r="O39" s="41">
        <f t="shared" si="7"/>
        <v>0</v>
      </c>
      <c r="P39" s="46">
        <f>5*Table2[[#This Row],[stackfact]]/3000</f>
        <v>0</v>
      </c>
      <c r="Q39" s="47">
        <f>Table2[[#This Row],[EQwin]]*Table2[[#This Row],[pWin]] + Table2[[#This Row],[EQlose]]*(1-Table2[[#This Row],[pWin]]) - Table2[[#This Row],[Eqfact]]</f>
        <v>0</v>
      </c>
      <c r="R39" s="48">
        <f>Table2[[#This Row],[pWin]]*Table2[[#This Row],[ICMwin]]+(1-Table2[[#This Row],[pWin]])*Table2[[#This Row],[ICMlose]]-Table2[[#This Row],[ICMFact]]</f>
        <v>0</v>
      </c>
      <c r="S39" s="42">
        <f>Table2[[#This Row],[Kowin]]*Table2[[#This Row],[pWin]]+Table2[[#This Row],[Kolose]]*(1-Table2[[#This Row],[pWin]])-Table2[[#This Row],[KOFact]]</f>
        <v>0</v>
      </c>
      <c r="T39" s="41">
        <f>Table2[[#This Row],[KODiff]]*bounty</f>
        <v>0</v>
      </c>
      <c r="U39" s="49">
        <f>Table2[[#This Row],[ICMdiff]]+Table2[[#This Row],[KOmoneyDiff]]</f>
        <v>0</v>
      </c>
      <c r="V39" s="47">
        <f>Table2[[#This Row],[pWin]]*Table2[[#This Row],[stackwin]]+(1-Table2[[#This Row],[pWin]])*Table2[[#This Row],[stacklose]]-Table2[[#This Row],[stackfact]]</f>
        <v>0</v>
      </c>
    </row>
    <row r="40" spans="1:22" x14ac:dyDescent="0.25">
      <c r="A40">
        <f>404-10</f>
        <v>394</v>
      </c>
      <c r="B40" t="s">
        <v>48</v>
      </c>
      <c r="C40">
        <v>0.73150000000000004</v>
      </c>
      <c r="D40" s="10">
        <f>868</f>
        <v>868</v>
      </c>
      <c r="E40">
        <v>0.35630000000000001</v>
      </c>
      <c r="F40" s="2">
        <f>Table2[[#This Row],[EQwin]]*$E$1</f>
        <v>31.867471999999999</v>
      </c>
      <c r="G40" s="16">
        <f>3*Table2[[#This Row],[stackwin]]/3000</f>
        <v>0.86799999999999999</v>
      </c>
      <c r="H40" s="10">
        <v>0</v>
      </c>
      <c r="J40" s="2">
        <f t="shared" si="6"/>
        <v>0</v>
      </c>
      <c r="K40" s="14">
        <f>2*Table2[[#This Row],[stacklose]]/3000</f>
        <v>0</v>
      </c>
      <c r="M40" s="8">
        <v>868</v>
      </c>
      <c r="N40">
        <v>0.35630000000000001</v>
      </c>
      <c r="O40" s="2">
        <f t="shared" si="7"/>
        <v>31.867471999999999</v>
      </c>
      <c r="P40" s="15">
        <f>3*Table2[[#This Row],[stackfact]]/3000</f>
        <v>0.86799999999999999</v>
      </c>
      <c r="Q40" s="38">
        <f>Table2[[#This Row],[EQwin]]*Table2[[#This Row],[pWin]] + Table2[[#This Row],[EQlose]]*(1-Table2[[#This Row],[pWin]]) - Table2[[#This Row],[Eqfact]]</f>
        <v>-9.5666549999999961E-2</v>
      </c>
      <c r="R40" s="12">
        <f>Table2[[#This Row],[pWin]]*Table2[[#This Row],[ICMwin]]+(1-Table2[[#This Row],[pWin]])*Table2[[#This Row],[ICMlose]]-Table2[[#This Row],[ICMFact]]</f>
        <v>-8.5564162320000001</v>
      </c>
      <c r="S40" s="16">
        <f>Table2[[#This Row],[Kowin]]*Table2[[#This Row],[pWin]]+Table2[[#This Row],[Kolose]]*(1-Table2[[#This Row],[pWin]])-Table2[[#This Row],[KOFact]]</f>
        <v>-0.23305799999999999</v>
      </c>
      <c r="T40" s="2">
        <f>Table2[[#This Row],[KODiff]]*bounty</f>
        <v>0</v>
      </c>
      <c r="U40" s="7">
        <f>Table2[[#This Row],[ICMdiff]]+Table2[[#This Row],[KOmoneyDiff]]</f>
        <v>-8.5564162320000001</v>
      </c>
      <c r="V40" s="38">
        <f>Table2[[#This Row],[pWin]]*Table2[[#This Row],[stackwin]]+(1-Table2[[#This Row],[pWin]])*Table2[[#This Row],[stacklose]]-Table2[[#This Row],[stackfact]]</f>
        <v>-233.05799999999999</v>
      </c>
    </row>
    <row r="41" spans="1:22" x14ac:dyDescent="0.25">
      <c r="A41">
        <f>502-10-50</f>
        <v>442</v>
      </c>
      <c r="C41">
        <v>0.73150000000000004</v>
      </c>
      <c r="D41" s="10">
        <v>442</v>
      </c>
      <c r="E41">
        <v>0.19869999999999999</v>
      </c>
      <c r="F41" s="2">
        <f>Table2[[#This Row],[EQwin]]*$E$1</f>
        <v>17.771728</v>
      </c>
      <c r="G41" s="16">
        <f>3*Table2[[#This Row],[stackwin]]/3000</f>
        <v>0.442</v>
      </c>
      <c r="H41" s="10">
        <v>442</v>
      </c>
      <c r="I41">
        <v>0.5</v>
      </c>
      <c r="J41" s="2">
        <f t="shared" si="6"/>
        <v>44.72</v>
      </c>
      <c r="K41" s="14">
        <f>2*Table2[[#This Row],[stacklose]]/3000</f>
        <v>0.29466666666666669</v>
      </c>
      <c r="M41" s="8">
        <v>442</v>
      </c>
      <c r="N41">
        <v>0.19869999999999999</v>
      </c>
      <c r="O41" s="2">
        <f t="shared" si="7"/>
        <v>17.771728</v>
      </c>
      <c r="P41" s="15">
        <f>3*Table2[[#This Row],[stackfact]]/3000</f>
        <v>0.442</v>
      </c>
      <c r="Q41" s="38">
        <f>Table2[[#This Row],[EQwin]]*Table2[[#This Row],[pWin]] + Table2[[#This Row],[EQlose]]*(1-Table2[[#This Row],[pWin]]) - Table2[[#This Row],[Eqfact]]</f>
        <v>8.0899049999999972E-2</v>
      </c>
      <c r="R41" s="12">
        <f>Table2[[#This Row],[pWin]]*Table2[[#This Row],[ICMwin]]+(1-Table2[[#This Row],[pWin]])*Table2[[#This Row],[ICMlose]]-Table2[[#This Row],[ICMFact]]</f>
        <v>7.2356110319999978</v>
      </c>
      <c r="S41" s="16">
        <f>Table2[[#This Row],[Kowin]]*Table2[[#This Row],[pWin]]+Table2[[#This Row],[Kolose]]*(1-Table2[[#This Row],[pWin]])-Table2[[#This Row],[KOFact]]</f>
        <v>-3.9558999999999955E-2</v>
      </c>
      <c r="T41" s="2">
        <f>Table2[[#This Row],[KODiff]]*bounty</f>
        <v>0</v>
      </c>
      <c r="U41" s="7">
        <f>Table2[[#This Row],[ICMdiff]]+Table2[[#This Row],[KOmoneyDiff]]</f>
        <v>7.2356110319999978</v>
      </c>
      <c r="V41" s="38">
        <f>Table2[[#This Row],[pWin]]*Table2[[#This Row],[stackwin]]+(1-Table2[[#This Row],[pWin]])*Table2[[#This Row],[stacklose]]-Table2[[#This Row],[stackfact]]</f>
        <v>0</v>
      </c>
    </row>
    <row r="42" spans="1:22" x14ac:dyDescent="0.25">
      <c r="A42">
        <f>2094-10-100</f>
        <v>1984</v>
      </c>
      <c r="B42" t="s">
        <v>49</v>
      </c>
      <c r="C42">
        <v>0.73150000000000004</v>
      </c>
      <c r="D42" s="10">
        <f>1690</f>
        <v>1690</v>
      </c>
      <c r="E42">
        <v>0.44500000000000001</v>
      </c>
      <c r="F42" s="2">
        <f>Table2[[#This Row],[EQwin]]*$E$1</f>
        <v>39.800800000000002</v>
      </c>
      <c r="G42" s="16">
        <f>3*Table2[[#This Row],[stackwin]]/3000</f>
        <v>1.69</v>
      </c>
      <c r="H42" s="10">
        <f>1690+868</f>
        <v>2558</v>
      </c>
      <c r="I42">
        <v>0.5</v>
      </c>
      <c r="J42" s="2">
        <f t="shared" si="6"/>
        <v>44.72</v>
      </c>
      <c r="K42" s="14">
        <f>2*Table2[[#This Row],[stacklose]]/3000+1</f>
        <v>2.7053333333333334</v>
      </c>
      <c r="M42" s="8">
        <v>1690</v>
      </c>
      <c r="N42">
        <v>0.44500000000000001</v>
      </c>
      <c r="O42" s="2">
        <f t="shared" si="7"/>
        <v>39.800800000000002</v>
      </c>
      <c r="P42" s="15">
        <f>3*Table2[[#This Row],[stackfact]]/3000</f>
        <v>1.69</v>
      </c>
      <c r="Q42" s="38">
        <f>Table2[[#This Row],[EQwin]]*Table2[[#This Row],[pWin]] + Table2[[#This Row],[EQlose]]*(1-Table2[[#This Row],[pWin]]) - Table2[[#This Row],[Eqfact]]</f>
        <v>1.4767499999999989E-2</v>
      </c>
      <c r="R42" s="12">
        <f>Table2[[#This Row],[pWin]]*Table2[[#This Row],[ICMwin]]+(1-Table2[[#This Row],[pWin]])*Table2[[#This Row],[ICMlose]]-Table2[[#This Row],[ICMFact]]</f>
        <v>1.3208052000000023</v>
      </c>
      <c r="S42" s="16">
        <f>Table2[[#This Row],[Kowin]]*Table2[[#This Row],[pWin]]+Table2[[#This Row],[Kolose]]*(1-Table2[[#This Row],[pWin]])-Table2[[#This Row],[KOFact]]</f>
        <v>0.27261699999999989</v>
      </c>
      <c r="T42" s="2">
        <f>Table2[[#This Row],[KODiff]]*bounty</f>
        <v>0</v>
      </c>
      <c r="U42" s="7">
        <f>Table2[[#This Row],[ICMdiff]]+Table2[[#This Row],[KOmoneyDiff]]</f>
        <v>1.3208052000000023</v>
      </c>
      <c r="V42" s="38">
        <f>Table2[[#This Row],[pWin]]*Table2[[#This Row],[stackwin]]+(1-Table2[[#This Row],[pWin]])*Table2[[#This Row],[stacklose]]-Table2[[#This Row],[stackfact]]</f>
        <v>233.05799999999999</v>
      </c>
    </row>
    <row r="43" spans="1:22" s="40" customFormat="1" x14ac:dyDescent="0.25">
      <c r="D43" s="43"/>
      <c r="F43" s="41">
        <f>Table2[[#This Row],[EQwin]]*$E$1</f>
        <v>0</v>
      </c>
      <c r="G43" s="42">
        <f>2*Table2[[#This Row],[stackwin]]/3000</f>
        <v>0</v>
      </c>
      <c r="H43" s="43"/>
      <c r="J43" s="41">
        <f t="shared" si="6"/>
        <v>0</v>
      </c>
      <c r="K43" s="44">
        <f>5*Table2[[#This Row],[stacklose]]/3000</f>
        <v>0</v>
      </c>
      <c r="M43" s="45"/>
      <c r="O43" s="41">
        <f t="shared" si="7"/>
        <v>0</v>
      </c>
      <c r="P43" s="46">
        <f>5*Table2[[#This Row],[stackfact]]/3000</f>
        <v>0</v>
      </c>
      <c r="Q43" s="47">
        <f>Table2[[#This Row],[EQwin]]*Table2[[#This Row],[pWin]] + Table2[[#This Row],[EQlose]]*(1-Table2[[#This Row],[pWin]]) - Table2[[#This Row],[Eqfact]]</f>
        <v>0</v>
      </c>
      <c r="R43" s="48">
        <f>Table2[[#This Row],[pWin]]*Table2[[#This Row],[ICMwin]]+(1-Table2[[#This Row],[pWin]])*Table2[[#This Row],[ICMlose]]-Table2[[#This Row],[ICMFact]]</f>
        <v>0</v>
      </c>
      <c r="S43" s="42">
        <f>Table2[[#This Row],[Kowin]]*Table2[[#This Row],[pWin]]+Table2[[#This Row],[Kolose]]*(1-Table2[[#This Row],[pWin]])-Table2[[#This Row],[KOFact]]</f>
        <v>0</v>
      </c>
      <c r="T43" s="41">
        <f>Table2[[#This Row],[KODiff]]*bounty</f>
        <v>0</v>
      </c>
      <c r="U43" s="49">
        <f>Table2[[#This Row],[ICMdiff]]+Table2[[#This Row],[KOmoneyDiff]]</f>
        <v>0</v>
      </c>
      <c r="V43" s="47">
        <f>Table2[[#This Row],[pWin]]*Table2[[#This Row],[stackwin]]+(1-Table2[[#This Row],[pWin]])*Table2[[#This Row],[stacklose]]-Table2[[#This Row],[stackfact]]</f>
        <v>0</v>
      </c>
    </row>
    <row r="44" spans="1:22" x14ac:dyDescent="0.25">
      <c r="A44">
        <v>500</v>
      </c>
      <c r="C44">
        <v>0.66</v>
      </c>
      <c r="D44" s="10">
        <v>490</v>
      </c>
      <c r="E44">
        <v>0.29020000000000001</v>
      </c>
      <c r="F44" s="2">
        <f>Table2[[#This Row],[EQwin]]*$E$1</f>
        <v>25.955487999999999</v>
      </c>
      <c r="G44" s="16">
        <f>2*Table2[[#This Row],[stackwin]]/3000</f>
        <v>0.32666666666666666</v>
      </c>
      <c r="H44" s="10">
        <v>490</v>
      </c>
      <c r="I44">
        <v>0.29020000000000001</v>
      </c>
      <c r="J44" s="2">
        <f t="shared" si="6"/>
        <v>25.955487999999999</v>
      </c>
      <c r="K44" s="14">
        <f>5*Table2[[#This Row],[stacklose]]/3000</f>
        <v>0.81666666666666665</v>
      </c>
      <c r="M44" s="10">
        <v>490</v>
      </c>
      <c r="N44">
        <v>0.29020000000000001</v>
      </c>
      <c r="O44" s="2">
        <f t="shared" si="7"/>
        <v>25.955487999999999</v>
      </c>
      <c r="P44" s="15">
        <f>5*Table2[[#This Row],[stackfact]]/3000</f>
        <v>0.81666666666666665</v>
      </c>
      <c r="Q44" s="38">
        <f>Table2[[#This Row],[EQwin]]*Table2[[#This Row],[pWin]] + Table2[[#This Row],[EQlose]]*(1-Table2[[#This Row],[pWin]]) - Table2[[#This Row],[Eqfact]]</f>
        <v>0</v>
      </c>
      <c r="R44" s="12">
        <f>Table2[[#This Row],[pWin]]*Table2[[#This Row],[ICMwin]]+(1-Table2[[#This Row],[pWin]])*Table2[[#This Row],[ICMlose]]-Table2[[#This Row],[ICMFact]]</f>
        <v>0</v>
      </c>
      <c r="S44" s="16">
        <f>Table2[[#This Row],[Kowin]]*Table2[[#This Row],[pWin]]+Table2[[#This Row],[Kolose]]*(1-Table2[[#This Row],[pWin]])-Table2[[#This Row],[KOFact]]</f>
        <v>-0.32340000000000002</v>
      </c>
      <c r="T44" s="2">
        <f>Table2[[#This Row],[KODiff]]*bounty</f>
        <v>0</v>
      </c>
      <c r="U44" s="7">
        <f>Table2[[#This Row],[ICMdiff]]+Table2[[#This Row],[KOmoneyDiff]]</f>
        <v>0</v>
      </c>
      <c r="V44" s="38">
        <f>Table2[[#This Row],[pWin]]*Table2[[#This Row],[stackwin]]+(1-Table2[[#This Row],[pWin]])*Table2[[#This Row],[stacklose]]-Table2[[#This Row],[stackfact]]</f>
        <v>0</v>
      </c>
    </row>
    <row r="45" spans="1:22" x14ac:dyDescent="0.25">
      <c r="A45">
        <v>500</v>
      </c>
      <c r="C45">
        <v>0.66</v>
      </c>
      <c r="D45" s="10">
        <v>490</v>
      </c>
      <c r="E45">
        <v>0.29020000000000001</v>
      </c>
      <c r="F45" s="2">
        <f>Table2[[#This Row],[EQwin]]*$E$1</f>
        <v>25.955487999999999</v>
      </c>
      <c r="G45" s="16">
        <f>2*Table2[[#This Row],[stackwin]]/3000</f>
        <v>0.32666666666666666</v>
      </c>
      <c r="H45" s="10">
        <v>490</v>
      </c>
      <c r="I45">
        <v>0.29020000000000001</v>
      </c>
      <c r="J45" s="2">
        <f t="shared" si="6"/>
        <v>25.955487999999999</v>
      </c>
      <c r="K45" s="14">
        <f>5*Table2[[#This Row],[stacklose]]/3000</f>
        <v>0.81666666666666665</v>
      </c>
      <c r="M45" s="10">
        <v>490</v>
      </c>
      <c r="N45">
        <v>0.29020000000000001</v>
      </c>
      <c r="O45" s="2">
        <f t="shared" si="7"/>
        <v>25.955487999999999</v>
      </c>
      <c r="P45" s="15">
        <f>5*Table2[[#This Row],[stackfact]]/3000</f>
        <v>0.81666666666666665</v>
      </c>
      <c r="Q45" s="38">
        <f>Table2[[#This Row],[EQwin]]*Table2[[#This Row],[pWin]] + Table2[[#This Row],[EQlose]]*(1-Table2[[#This Row],[pWin]]) - Table2[[#This Row],[Eqfact]]</f>
        <v>0</v>
      </c>
      <c r="R45" s="12">
        <f>Table2[[#This Row],[pWin]]*Table2[[#This Row],[ICMwin]]+(1-Table2[[#This Row],[pWin]])*Table2[[#This Row],[ICMlose]]-Table2[[#This Row],[ICMFact]]</f>
        <v>0</v>
      </c>
      <c r="S45" s="16">
        <f>Table2[[#This Row],[Kowin]]*Table2[[#This Row],[pWin]]+Table2[[#This Row],[Kolose]]*(1-Table2[[#This Row],[pWin]])-Table2[[#This Row],[KOFact]]</f>
        <v>-0.32340000000000002</v>
      </c>
      <c r="T45" s="2">
        <f>Table2[[#This Row],[KODiff]]*bounty</f>
        <v>0</v>
      </c>
      <c r="U45" s="7">
        <f>Table2[[#This Row],[ICMdiff]]+Table2[[#This Row],[KOmoneyDiff]]</f>
        <v>0</v>
      </c>
      <c r="V45" s="38">
        <f>Table2[[#This Row],[pWin]]*Table2[[#This Row],[stackwin]]+(1-Table2[[#This Row],[pWin]])*Table2[[#This Row],[stacklose]]-Table2[[#This Row],[stackfact]]</f>
        <v>0</v>
      </c>
    </row>
    <row r="46" spans="1:22" x14ac:dyDescent="0.25">
      <c r="A46">
        <v>500</v>
      </c>
      <c r="B46" t="s">
        <v>50</v>
      </c>
      <c r="C46">
        <v>0.66</v>
      </c>
      <c r="D46" s="10">
        <v>0</v>
      </c>
      <c r="E46">
        <v>0</v>
      </c>
      <c r="F46" s="2">
        <f>Table2[[#This Row],[EQwin]]*$E$1</f>
        <v>0</v>
      </c>
      <c r="G46" s="16">
        <f>2*Table2[[#This Row],[stackwin]]/3000</f>
        <v>0</v>
      </c>
      <c r="H46" s="10">
        <v>1020</v>
      </c>
      <c r="I46">
        <v>0.41970000000000002</v>
      </c>
      <c r="J46" s="2">
        <f t="shared" si="6"/>
        <v>37.537967999999999</v>
      </c>
      <c r="K46" s="14">
        <f>5*Table2[[#This Row],[stacklose]]/3000</f>
        <v>1.7</v>
      </c>
      <c r="M46" s="10">
        <v>0</v>
      </c>
      <c r="N46">
        <v>0</v>
      </c>
      <c r="O46" s="2">
        <f t="shared" si="7"/>
        <v>0</v>
      </c>
      <c r="P46" s="15">
        <f>5*Table2[[#This Row],[stackfact]]/3000</f>
        <v>0</v>
      </c>
      <c r="Q46" s="38">
        <f>Table2[[#This Row],[EQwin]]*Table2[[#This Row],[pWin]] + Table2[[#This Row],[EQlose]]*(1-Table2[[#This Row],[pWin]]) - Table2[[#This Row],[Eqfact]]</f>
        <v>0.14269799999999999</v>
      </c>
      <c r="R46" s="12">
        <f>Table2[[#This Row],[pWin]]*Table2[[#This Row],[ICMwin]]+(1-Table2[[#This Row],[pWin]])*Table2[[#This Row],[ICMlose]]-Table2[[#This Row],[ICMFact]]</f>
        <v>12.762909119999998</v>
      </c>
      <c r="S46" s="16">
        <f>Table2[[#This Row],[Kowin]]*Table2[[#This Row],[pWin]]+Table2[[#This Row],[Kolose]]*(1-Table2[[#This Row],[pWin]])-Table2[[#This Row],[KOFact]]</f>
        <v>0.57799999999999996</v>
      </c>
      <c r="T46" s="2">
        <f>Table2[[#This Row],[KODiff]]*bounty</f>
        <v>0</v>
      </c>
      <c r="U46" s="7">
        <f>Table2[[#This Row],[ICMdiff]]+Table2[[#This Row],[KOmoneyDiff]]</f>
        <v>12.762909119999998</v>
      </c>
      <c r="V46" s="38">
        <f>Table2[[#This Row],[pWin]]*Table2[[#This Row],[stackwin]]+(1-Table2[[#This Row],[pWin]])*Table2[[#This Row],[stacklose]]-Table2[[#This Row],[stackfact]]</f>
        <v>346.79999999999995</v>
      </c>
    </row>
    <row r="47" spans="1:22" x14ac:dyDescent="0.25">
      <c r="A47">
        <v>500</v>
      </c>
      <c r="B47" t="s">
        <v>35</v>
      </c>
      <c r="C47">
        <v>0.66</v>
      </c>
      <c r="D47" s="10">
        <v>1020</v>
      </c>
      <c r="E47">
        <v>0.41970000000000002</v>
      </c>
      <c r="F47" s="2">
        <f>Table2[[#This Row],[EQwin]]*$E$1</f>
        <v>37.537967999999999</v>
      </c>
      <c r="G47" s="16">
        <f>4*Table2[[#This Row],[stackwin]]/3000</f>
        <v>1.36</v>
      </c>
      <c r="H47" s="10">
        <v>0</v>
      </c>
      <c r="I47">
        <v>0</v>
      </c>
      <c r="J47" s="2">
        <f t="shared" si="6"/>
        <v>0</v>
      </c>
      <c r="K47" s="14">
        <f>3*Table2[[#This Row],[stacklose]]/3000</f>
        <v>0</v>
      </c>
      <c r="M47" s="10">
        <v>1020</v>
      </c>
      <c r="N47">
        <v>0.41970000000000002</v>
      </c>
      <c r="O47" s="2">
        <f t="shared" si="7"/>
        <v>37.537967999999999</v>
      </c>
      <c r="P47" s="15">
        <f>4*Table2[[#This Row],[stackfact]]/3000</f>
        <v>1.36</v>
      </c>
      <c r="Q47" s="38">
        <f>Table2[[#This Row],[EQwin]]*Table2[[#This Row],[pWin]] + Table2[[#This Row],[EQlose]]*(1-Table2[[#This Row],[pWin]]) - Table2[[#This Row],[Eqfact]]</f>
        <v>-0.14269799999999999</v>
      </c>
      <c r="R47" s="12">
        <f>Table2[[#This Row],[pWin]]*Table2[[#This Row],[ICMwin]]+(1-Table2[[#This Row],[pWin]])*Table2[[#This Row],[ICMlose]]-Table2[[#This Row],[ICMFact]]</f>
        <v>-12.76290912</v>
      </c>
      <c r="S47" s="16">
        <f>Table2[[#This Row],[Kowin]]*Table2[[#This Row],[pWin]]+Table2[[#This Row],[Kolose]]*(1-Table2[[#This Row],[pWin]])-Table2[[#This Row],[KOFact]]</f>
        <v>-0.46240000000000003</v>
      </c>
      <c r="T47" s="2">
        <f>Table2[[#This Row],[KODiff]]*bounty</f>
        <v>0</v>
      </c>
      <c r="U47" s="7">
        <f>Table2[[#This Row],[ICMdiff]]+Table2[[#This Row],[KOmoneyDiff]]</f>
        <v>-12.76290912</v>
      </c>
      <c r="V47" s="38">
        <f>Table2[[#This Row],[pWin]]*Table2[[#This Row],[stackwin]]+(1-Table2[[#This Row],[pWin]])*Table2[[#This Row],[stacklose]]-Table2[[#This Row],[stackfact]]</f>
        <v>-346.79999999999995</v>
      </c>
    </row>
    <row r="48" spans="1:22" s="40" customFormat="1" x14ac:dyDescent="0.25">
      <c r="D48" s="43"/>
      <c r="F48" s="41">
        <f>Table2[[#This Row],[EQwin]]*$E$1</f>
        <v>0</v>
      </c>
      <c r="G48" s="42">
        <f>2*Table2[[#This Row],[stackwin]]/3000</f>
        <v>0</v>
      </c>
      <c r="H48" s="43"/>
      <c r="J48" s="41">
        <f t="shared" si="6"/>
        <v>0</v>
      </c>
      <c r="K48" s="44">
        <f>5*Table2[[#This Row],[stacklose]]/3000</f>
        <v>0</v>
      </c>
      <c r="M48" s="45"/>
      <c r="O48" s="41">
        <f t="shared" si="7"/>
        <v>0</v>
      </c>
      <c r="P48" s="46">
        <f>5*Table2[[#This Row],[stackfact]]/3000</f>
        <v>0</v>
      </c>
      <c r="Q48" s="47">
        <f>Table2[[#This Row],[EQwin]]*Table2[[#This Row],[pWin]] + Table2[[#This Row],[EQlose]]*(1-Table2[[#This Row],[pWin]]) - Table2[[#This Row],[Eqfact]]</f>
        <v>0</v>
      </c>
      <c r="R48" s="48">
        <f>Table2[[#This Row],[pWin]]*Table2[[#This Row],[ICMwin]]+(1-Table2[[#This Row],[pWin]])*Table2[[#This Row],[ICMlose]]-Table2[[#This Row],[ICMFact]]</f>
        <v>0</v>
      </c>
      <c r="S48" s="42">
        <f>Table2[[#This Row],[Kowin]]*Table2[[#This Row],[pWin]]+Table2[[#This Row],[Kolose]]*(1-Table2[[#This Row],[pWin]])-Table2[[#This Row],[KOFact]]</f>
        <v>0</v>
      </c>
      <c r="T48" s="41">
        <f>Table2[[#This Row],[KODiff]]*bounty</f>
        <v>0</v>
      </c>
      <c r="U48" s="49">
        <f>Table2[[#This Row],[ICMdiff]]+Table2[[#This Row],[KOmoneyDiff]]</f>
        <v>0</v>
      </c>
      <c r="V48" s="47">
        <f>Table2[[#This Row],[pWin]]*Table2[[#This Row],[stackwin]]+(1-Table2[[#This Row],[pWin]])*Table2[[#This Row],[stacklose]]-Table2[[#This Row],[stackfact]]</f>
        <v>0</v>
      </c>
    </row>
    <row r="49" spans="1:24" x14ac:dyDescent="0.25">
      <c r="A49">
        <v>395</v>
      </c>
      <c r="B49" t="s">
        <v>51</v>
      </c>
      <c r="C49">
        <v>0.41499999999999998</v>
      </c>
      <c r="D49" s="10">
        <v>790</v>
      </c>
      <c r="E49">
        <v>0.39500000000000002</v>
      </c>
      <c r="F49" s="2">
        <f>Table2[[#This Row],[EQwin]]*$E$1</f>
        <v>35.328800000000001</v>
      </c>
      <c r="G49" s="16">
        <f>2*Table2[[#This Row],[stackwin]]/3000</f>
        <v>0.52666666666666662</v>
      </c>
      <c r="H49" s="10">
        <v>0</v>
      </c>
      <c r="I49">
        <v>0</v>
      </c>
      <c r="J49" s="2">
        <f t="shared" ref="J49:J54" si="8">I49*$E$1</f>
        <v>0</v>
      </c>
      <c r="K49" s="14">
        <f>5*Table2[[#This Row],[stacklose]]/3000</f>
        <v>0</v>
      </c>
      <c r="M49" s="10">
        <v>790</v>
      </c>
      <c r="N49">
        <v>0.39500000000000002</v>
      </c>
      <c r="O49" s="2">
        <f t="shared" ref="O49:O54" si="9">N49*$E$1</f>
        <v>35.328800000000001</v>
      </c>
      <c r="P49" s="15">
        <f>5*Table2[[#This Row],[stackfact]]/3000</f>
        <v>1.3166666666666667</v>
      </c>
      <c r="Q49" s="38">
        <f>Table2[[#This Row],[EQwin]]*Table2[[#This Row],[pWin]] + Table2[[#This Row],[EQlose]]*(1-Table2[[#This Row],[pWin]]) - Table2[[#This Row],[Eqfact]]</f>
        <v>-0.23107500000000003</v>
      </c>
      <c r="R49" s="12">
        <f>Table2[[#This Row],[pWin]]*Table2[[#This Row],[ICMwin]]+(1-Table2[[#This Row],[pWin]])*Table2[[#This Row],[ICMlose]]-Table2[[#This Row],[ICMFact]]</f>
        <v>-20.667348</v>
      </c>
      <c r="S49" s="16">
        <f>Table2[[#This Row],[Kowin]]*Table2[[#This Row],[pWin]]+Table2[[#This Row],[Kolose]]*(1-Table2[[#This Row],[pWin]])-Table2[[#This Row],[KOFact]]</f>
        <v>-1.0981000000000001</v>
      </c>
      <c r="T49" s="2">
        <f>Table2[[#This Row],[KODiff]]*bounty</f>
        <v>0</v>
      </c>
      <c r="U49" s="7">
        <f>Table2[[#This Row],[ICMdiff]]+Table2[[#This Row],[KOmoneyDiff]]</f>
        <v>-20.667348</v>
      </c>
      <c r="V49" s="38">
        <f>Table2[[#This Row],[pWin]]*Table2[[#This Row],[stackwin]]+(1-Table2[[#This Row],[pWin]])*Table2[[#This Row],[stacklose]]-Table2[[#This Row],[stackfact]]</f>
        <v>-462.15000000000003</v>
      </c>
    </row>
    <row r="50" spans="1:24" x14ac:dyDescent="0.25">
      <c r="A50">
        <v>1605</v>
      </c>
      <c r="B50" t="s">
        <v>52</v>
      </c>
      <c r="C50">
        <v>0.41499999999999998</v>
      </c>
      <c r="D50" s="10">
        <v>1210</v>
      </c>
      <c r="E50" s="10">
        <v>0.60499999999999998</v>
      </c>
      <c r="F50" s="2">
        <f>Table2[[#This Row],[EQwin]]*$E$1</f>
        <v>54.111199999999997</v>
      </c>
      <c r="G50" s="16">
        <f>2*Table2[[#This Row],[stackwin]]/3000</f>
        <v>0.80666666666666664</v>
      </c>
      <c r="H50" s="10">
        <v>2000</v>
      </c>
      <c r="I50">
        <v>1</v>
      </c>
      <c r="J50" s="2">
        <f t="shared" si="8"/>
        <v>89.44</v>
      </c>
      <c r="K50" s="14">
        <f>5*Table2[[#This Row],[stacklose]]/3000</f>
        <v>3.3333333333333335</v>
      </c>
      <c r="M50" s="10">
        <v>1210</v>
      </c>
      <c r="N50" s="10">
        <v>0.60499999999999998</v>
      </c>
      <c r="O50" s="2">
        <f t="shared" si="9"/>
        <v>54.111199999999997</v>
      </c>
      <c r="P50" s="15">
        <f>5*Table2[[#This Row],[stackfact]]/3000</f>
        <v>2.0166666666666666</v>
      </c>
      <c r="Q50" s="38">
        <f>Table2[[#This Row],[EQwin]]*Table2[[#This Row],[pWin]] + Table2[[#This Row],[EQlose]]*(1-Table2[[#This Row],[pWin]]) - Table2[[#This Row],[Eqfact]]</f>
        <v>0.23107499999999992</v>
      </c>
      <c r="R50" s="12">
        <f>Table2[[#This Row],[pWin]]*Table2[[#This Row],[ICMwin]]+(1-Table2[[#This Row],[pWin]])*Table2[[#This Row],[ICMlose]]-Table2[[#This Row],[ICMFact]]</f>
        <v>20.667348000000004</v>
      </c>
      <c r="S50" s="16">
        <f>Table2[[#This Row],[Kowin]]*Table2[[#This Row],[pWin]]+Table2[[#This Row],[Kolose]]*(1-Table2[[#This Row],[pWin]])-Table2[[#This Row],[KOFact]]</f>
        <v>0.2681</v>
      </c>
      <c r="T50" s="2">
        <f>Table2[[#This Row],[KODiff]]*bounty</f>
        <v>0</v>
      </c>
      <c r="U50" s="7">
        <f>Table2[[#This Row],[ICMdiff]]+Table2[[#This Row],[KOmoneyDiff]]</f>
        <v>20.667348000000004</v>
      </c>
      <c r="V50" s="38">
        <f>Table2[[#This Row],[pWin]]*Table2[[#This Row],[stackwin]]+(1-Table2[[#This Row],[pWin]])*Table2[[#This Row],[stacklose]]-Table2[[#This Row],[stackfact]]</f>
        <v>462.15000000000009</v>
      </c>
    </row>
    <row r="51" spans="1:24" s="40" customFormat="1" x14ac:dyDescent="0.25">
      <c r="D51" s="43"/>
      <c r="F51" s="41">
        <f>Table2[[#This Row],[EQwin]]*$E$1</f>
        <v>0</v>
      </c>
      <c r="G51" s="42">
        <f>2*Table2[[#This Row],[stackwin]]/3000</f>
        <v>0</v>
      </c>
      <c r="H51" s="43"/>
      <c r="J51" s="41">
        <f t="shared" si="8"/>
        <v>0</v>
      </c>
      <c r="K51" s="44">
        <f>5*Table2[[#This Row],[stacklose]]/3000</f>
        <v>0</v>
      </c>
      <c r="M51" s="45"/>
      <c r="O51" s="41">
        <f t="shared" si="9"/>
        <v>0</v>
      </c>
      <c r="P51" s="46">
        <f>5*Table2[[#This Row],[stackfact]]/3000</f>
        <v>0</v>
      </c>
      <c r="Q51" s="47">
        <f>Table2[[#This Row],[EQwin]]*Table2[[#This Row],[pWin]] + Table2[[#This Row],[EQlose]]*(1-Table2[[#This Row],[pWin]]) - Table2[[#This Row],[Eqfact]]</f>
        <v>0</v>
      </c>
      <c r="R51" s="48">
        <f>Table2[[#This Row],[pWin]]*Table2[[#This Row],[ICMwin]]+(1-Table2[[#This Row],[pWin]])*Table2[[#This Row],[ICMlose]]-Table2[[#This Row],[ICMFact]]</f>
        <v>0</v>
      </c>
      <c r="S51" s="42">
        <f>Table2[[#This Row],[Kowin]]*Table2[[#This Row],[pWin]]+Table2[[#This Row],[Kolose]]*(1-Table2[[#This Row],[pWin]])-Table2[[#This Row],[KOFact]]</f>
        <v>0</v>
      </c>
      <c r="T51" s="41">
        <f>Table2[[#This Row],[KODiff]]*bounty</f>
        <v>0</v>
      </c>
      <c r="U51" s="49">
        <f>Table2[[#This Row],[ICMdiff]]+Table2[[#This Row],[KOmoneyDiff]]</f>
        <v>0</v>
      </c>
      <c r="V51" s="47">
        <f>Table2[[#This Row],[pWin]]*Table2[[#This Row],[stackwin]]+(1-Table2[[#This Row],[pWin]])*Table2[[#This Row],[stacklose]]-Table2[[#This Row],[stackfact]]</f>
        <v>0</v>
      </c>
    </row>
    <row r="52" spans="1:24" x14ac:dyDescent="0.25">
      <c r="A52">
        <v>650</v>
      </c>
      <c r="B52" t="s">
        <v>53</v>
      </c>
      <c r="C52">
        <v>0.3926</v>
      </c>
      <c r="D52" s="10">
        <f>A52-550</f>
        <v>100</v>
      </c>
      <c r="E52">
        <v>0.05</v>
      </c>
      <c r="F52" s="2">
        <f>Table2[[#This Row],[EQwin]]*$E$1</f>
        <v>4.4720000000000004</v>
      </c>
      <c r="G52" s="16">
        <f>2*Table2[[#This Row],[stackwin]]/3000</f>
        <v>6.6666666666666666E-2</v>
      </c>
      <c r="H52" s="10">
        <f>650+550+20+50</f>
        <v>1270</v>
      </c>
      <c r="I52">
        <v>0.63500000000000001</v>
      </c>
      <c r="J52" s="2">
        <f t="shared" si="8"/>
        <v>56.794399999999996</v>
      </c>
      <c r="K52" s="14">
        <f>5*Table2[[#This Row],[stacklose]]/3000</f>
        <v>2.1166666666666667</v>
      </c>
      <c r="M52" s="8">
        <v>100</v>
      </c>
      <c r="N52">
        <v>0.05</v>
      </c>
      <c r="O52" s="2">
        <f t="shared" si="9"/>
        <v>4.4720000000000004</v>
      </c>
      <c r="P52" s="15">
        <f>5*Table2[[#This Row],[stackfact]]/3000</f>
        <v>0.16666666666666666</v>
      </c>
      <c r="Q52" s="38">
        <f>Table2[[#This Row],[EQwin]]*Table2[[#This Row],[pWin]] + Table2[[#This Row],[EQlose]]*(1-Table2[[#This Row],[pWin]]) - Table2[[#This Row],[Eqfact]]</f>
        <v>0.35532899999999995</v>
      </c>
      <c r="R52" s="12">
        <f>Table2[[#This Row],[pWin]]*Table2[[#This Row],[ICMwin]]+(1-Table2[[#This Row],[pWin]])*Table2[[#This Row],[ICMlose]]-Table2[[#This Row],[ICMFact]]</f>
        <v>31.78062576</v>
      </c>
      <c r="S52" s="16">
        <f>Table2[[#This Row],[Kowin]]*Table2[[#This Row],[pWin]]+Table2[[#This Row],[Kolose]]*(1-Table2[[#This Row],[pWin]])-Table2[[#This Row],[KOFact]]</f>
        <v>1.1451699999999998</v>
      </c>
      <c r="T52" s="2">
        <f>Table2[[#This Row],[KODiff]]*bounty</f>
        <v>0</v>
      </c>
      <c r="U52" s="7">
        <f>Table2[[#This Row],[ICMdiff]]+Table2[[#This Row],[KOmoneyDiff]]</f>
        <v>31.78062576</v>
      </c>
      <c r="V52" s="38">
        <f>Table2[[#This Row],[pWin]]*Table2[[#This Row],[stackwin]]+(1-Table2[[#This Row],[pWin]])*Table2[[#This Row],[stacklose]]-Table2[[#This Row],[stackfact]]</f>
        <v>710.6579999999999</v>
      </c>
    </row>
    <row r="53" spans="1:24" x14ac:dyDescent="0.25">
      <c r="A53">
        <v>330</v>
      </c>
      <c r="C53">
        <v>0.3926</v>
      </c>
      <c r="D53" s="10">
        <f>A53-10-50</f>
        <v>270</v>
      </c>
      <c r="E53">
        <v>0.13500000000000001</v>
      </c>
      <c r="F53" s="2">
        <f>Table2[[#This Row],[EQwin]]*$E$1</f>
        <v>12.074400000000001</v>
      </c>
      <c r="G53" s="16">
        <f>2*Table2[[#This Row],[stackwin]]/3000</f>
        <v>0.18</v>
      </c>
      <c r="H53" s="10">
        <v>270</v>
      </c>
      <c r="I53">
        <v>0.13500000000000001</v>
      </c>
      <c r="J53" s="2">
        <f t="shared" si="8"/>
        <v>12.074400000000001</v>
      </c>
      <c r="K53" s="14">
        <f>5*Table2[[#This Row],[stacklose]]/3000</f>
        <v>0.45</v>
      </c>
      <c r="M53" s="8">
        <v>270</v>
      </c>
      <c r="N53">
        <v>0.13500000000000001</v>
      </c>
      <c r="O53" s="2">
        <f t="shared" si="9"/>
        <v>12.074400000000001</v>
      </c>
      <c r="P53" s="15">
        <f>5*Table2[[#This Row],[stackfact]]/3000</f>
        <v>0.45</v>
      </c>
      <c r="Q53" s="38">
        <f>Table2[[#This Row],[EQwin]]*Table2[[#This Row],[pWin]] + Table2[[#This Row],[EQlose]]*(1-Table2[[#This Row],[pWin]]) - Table2[[#This Row],[Eqfact]]</f>
        <v>0</v>
      </c>
      <c r="R53" s="12">
        <f>Table2[[#This Row],[pWin]]*Table2[[#This Row],[ICMwin]]+(1-Table2[[#This Row],[pWin]])*Table2[[#This Row],[ICMlose]]-Table2[[#This Row],[ICMFact]]</f>
        <v>0</v>
      </c>
      <c r="S53" s="16">
        <f>Table2[[#This Row],[Kowin]]*Table2[[#This Row],[pWin]]+Table2[[#This Row],[Kolose]]*(1-Table2[[#This Row],[pWin]])-Table2[[#This Row],[KOFact]]</f>
        <v>-0.10600200000000004</v>
      </c>
      <c r="T53" s="2">
        <f>Table2[[#This Row],[KODiff]]*bounty</f>
        <v>0</v>
      </c>
      <c r="U53" s="7">
        <f>Table2[[#This Row],[ICMdiff]]+Table2[[#This Row],[KOmoneyDiff]]</f>
        <v>0</v>
      </c>
      <c r="V53" s="38">
        <f>Table2[[#This Row],[pWin]]*Table2[[#This Row],[stackwin]]+(1-Table2[[#This Row],[pWin]])*Table2[[#This Row],[stacklose]]-Table2[[#This Row],[stackfact]]</f>
        <v>0</v>
      </c>
    </row>
    <row r="54" spans="1:24" s="17" customFormat="1" x14ac:dyDescent="0.25">
      <c r="A54" s="17">
        <v>550</v>
      </c>
      <c r="B54" s="17" t="s">
        <v>54</v>
      </c>
      <c r="C54" s="17">
        <v>0.3926</v>
      </c>
      <c r="D54" s="19">
        <v>1170</v>
      </c>
      <c r="E54" s="17">
        <v>0.58499999999999996</v>
      </c>
      <c r="F54" s="18">
        <f>Table2[[#This Row],[EQwin]]*$E$1</f>
        <v>52.322399999999995</v>
      </c>
      <c r="G54" s="24">
        <f>2*Table2[[#This Row],[stackwin]]/3000</f>
        <v>0.78</v>
      </c>
      <c r="H54" s="19">
        <v>0</v>
      </c>
      <c r="I54" s="17">
        <v>0</v>
      </c>
      <c r="J54" s="18">
        <f t="shared" si="8"/>
        <v>0</v>
      </c>
      <c r="K54" s="20">
        <f>5*Table2[[#This Row],[stacklose]]/3000</f>
        <v>0</v>
      </c>
      <c r="M54" s="21">
        <v>1170</v>
      </c>
      <c r="N54" s="17">
        <v>0.58499999999999996</v>
      </c>
      <c r="O54" s="18">
        <f t="shared" si="9"/>
        <v>52.322399999999995</v>
      </c>
      <c r="P54" s="22">
        <f>5*Table2[[#This Row],[stackfact]]/3000</f>
        <v>1.95</v>
      </c>
      <c r="Q54" s="35">
        <f>Table2[[#This Row],[EQwin]]*Table2[[#This Row],[pWin]] + Table2[[#This Row],[EQlose]]*(1-Table2[[#This Row],[pWin]]) - Table2[[#This Row],[Eqfact]]</f>
        <v>-0.35532900000000001</v>
      </c>
      <c r="R54" s="23">
        <f>Table2[[#This Row],[pWin]]*Table2[[#This Row],[ICMwin]]+(1-Table2[[#This Row],[pWin]])*Table2[[#This Row],[ICMlose]]-Table2[[#This Row],[ICMFact]]</f>
        <v>-31.780625759999996</v>
      </c>
      <c r="S54" s="24">
        <f>Table2[[#This Row],[Kowin]]*Table2[[#This Row],[pWin]]+Table2[[#This Row],[Kolose]]*(1-Table2[[#This Row],[pWin]])-Table2[[#This Row],[KOFact]]</f>
        <v>-1.643772</v>
      </c>
      <c r="T54" s="18">
        <f>Table2[[#This Row],[KODiff]]*bounty</f>
        <v>0</v>
      </c>
      <c r="U54" s="25">
        <f>Table2[[#This Row],[ICMdiff]]+Table2[[#This Row],[KOmoneyDiff]]</f>
        <v>-31.780625759999996</v>
      </c>
      <c r="V54" s="35">
        <f>Table2[[#This Row],[pWin]]*Table2[[#This Row],[stackwin]]+(1-Table2[[#This Row],[pWin]])*Table2[[#This Row],[stacklose]]-Table2[[#This Row],[stackfact]]</f>
        <v>-710.65800000000002</v>
      </c>
      <c r="X54" s="17" t="s">
        <v>55</v>
      </c>
    </row>
    <row r="55" spans="1:24" x14ac:dyDescent="0.25">
      <c r="A55">
        <v>470</v>
      </c>
      <c r="C55">
        <v>0.3926</v>
      </c>
      <c r="D55" s="10">
        <v>460</v>
      </c>
      <c r="E55">
        <v>0.23</v>
      </c>
      <c r="F55" s="2">
        <f>Table2[[#This Row],[EQwin]]*$E$1</f>
        <v>20.571200000000001</v>
      </c>
      <c r="G55" s="16">
        <f>2*Table2[[#This Row],[stackwin]]/3000</f>
        <v>0.30666666666666664</v>
      </c>
      <c r="H55" s="10">
        <v>460</v>
      </c>
      <c r="I55">
        <v>0.23</v>
      </c>
      <c r="J55" s="2">
        <f t="shared" si="4"/>
        <v>20.571200000000001</v>
      </c>
      <c r="K55" s="14">
        <f>5*Table2[[#This Row],[stacklose]]/3000</f>
        <v>0.76666666666666672</v>
      </c>
      <c r="M55" s="8">
        <v>460</v>
      </c>
      <c r="N55">
        <v>0.23</v>
      </c>
      <c r="O55" s="2">
        <f t="shared" si="5"/>
        <v>20.571200000000001</v>
      </c>
      <c r="P55" s="15">
        <f>5*Table2[[#This Row],[stackfact]]/3000</f>
        <v>0.76666666666666672</v>
      </c>
      <c r="Q55" s="38">
        <f>Table2[[#This Row],[EQwin]]*Table2[[#This Row],[pWin]] + Table2[[#This Row],[EQlose]]*(1-Table2[[#This Row],[pWin]]) - Table2[[#This Row],[Eqfact]]</f>
        <v>0</v>
      </c>
      <c r="R55" s="12">
        <f>Table2[[#This Row],[pWin]]*Table2[[#This Row],[ICMwin]]+(1-Table2[[#This Row],[pWin]])*Table2[[#This Row],[ICMlose]]-Table2[[#This Row],[ICMFact]]</f>
        <v>0</v>
      </c>
      <c r="S55" s="16">
        <f>Table2[[#This Row],[Kowin]]*Table2[[#This Row],[pWin]]+Table2[[#This Row],[Kolose]]*(1-Table2[[#This Row],[pWin]])-Table2[[#This Row],[KOFact]]</f>
        <v>-0.18059600000000009</v>
      </c>
      <c r="T55" s="2">
        <f>Table2[[#This Row],[KODiff]]*bounty</f>
        <v>0</v>
      </c>
      <c r="U55" s="7">
        <f>Table2[[#This Row],[ICMdiff]]+Table2[[#This Row],[KOmoneyDiff]]</f>
        <v>0</v>
      </c>
      <c r="V55">
        <f>Table2[[#This Row],[pWin]]*Table2[[#This Row],[stackwin]]+(1-Table2[[#This Row],[pWin]])*Table2[[#This Row],[stacklose]]-Table2[[#This Row],[stackfact]]</f>
        <v>0</v>
      </c>
    </row>
    <row r="56" spans="1:24" s="40" customFormat="1" x14ac:dyDescent="0.25">
      <c r="D56" s="43"/>
      <c r="F56" s="41">
        <f>Table2[[#This Row],[EQwin]]*$E$1</f>
        <v>0</v>
      </c>
      <c r="G56" s="42">
        <f>2*Table2[[#This Row],[stackwin]]/3000</f>
        <v>0</v>
      </c>
      <c r="H56" s="43"/>
      <c r="J56" s="41">
        <f t="shared" ref="J56:J86" si="10">I56*$E$1</f>
        <v>0</v>
      </c>
      <c r="K56" s="44">
        <f>5*Table2[[#This Row],[stacklose]]/3000</f>
        <v>0</v>
      </c>
      <c r="M56" s="45"/>
      <c r="O56" s="41">
        <f t="shared" ref="O56:O86" si="11">N56*$E$1</f>
        <v>0</v>
      </c>
      <c r="P56" s="46">
        <f>5*Table2[[#This Row],[stackfact]]/3000</f>
        <v>0</v>
      </c>
      <c r="Q56" s="47">
        <f>Table2[[#This Row],[EQwin]]*Table2[[#This Row],[pWin]] + Table2[[#This Row],[EQlose]]*(1-Table2[[#This Row],[pWin]]) - Table2[[#This Row],[Eqfact]]</f>
        <v>0</v>
      </c>
      <c r="R56" s="48">
        <f>Table2[[#This Row],[pWin]]*Table2[[#This Row],[ICMwin]]+(1-Table2[[#This Row],[pWin]])*Table2[[#This Row],[ICMlose]]-Table2[[#This Row],[ICMFact]]</f>
        <v>0</v>
      </c>
      <c r="S56" s="42">
        <f>Table2[[#This Row],[Kowin]]*Table2[[#This Row],[pWin]]+Table2[[#This Row],[Kolose]]*(1-Table2[[#This Row],[pWin]])-Table2[[#This Row],[KOFact]]</f>
        <v>0</v>
      </c>
      <c r="T56" s="41">
        <f>Table2[[#This Row],[KODiff]]*bounty</f>
        <v>0</v>
      </c>
      <c r="U56" s="49">
        <f>Table2[[#This Row],[ICMdiff]]+Table2[[#This Row],[KOmoneyDiff]]</f>
        <v>0</v>
      </c>
      <c r="V56" s="47">
        <f>Table2[[#This Row],[pWin]]*Table2[[#This Row],[stackwin]]+(1-Table2[[#This Row],[pWin]])*Table2[[#This Row],[stacklose]]-Table2[[#This Row],[stackfact]]</f>
        <v>0</v>
      </c>
    </row>
    <row r="57" spans="1:24" x14ac:dyDescent="0.25">
      <c r="A57">
        <v>710</v>
      </c>
      <c r="B57" t="s">
        <v>56</v>
      </c>
      <c r="C57" s="10">
        <v>0.52439999999999998</v>
      </c>
      <c r="D57" s="10">
        <v>0</v>
      </c>
      <c r="E57">
        <v>0</v>
      </c>
      <c r="F57" s="2">
        <f>Table2[[#This Row],[EQwin]]*$E$1</f>
        <v>0</v>
      </c>
      <c r="G57" s="16">
        <f>2*Table2[[#This Row],[stackwin]]/3000</f>
        <v>0</v>
      </c>
      <c r="H57" s="10">
        <f>710*2</f>
        <v>1420</v>
      </c>
      <c r="I57">
        <f>Table2[[#This Row],[stacklose]]/2000</f>
        <v>0.71</v>
      </c>
      <c r="J57" s="2">
        <f t="shared" si="10"/>
        <v>63.502399999999994</v>
      </c>
      <c r="K57" s="14">
        <f>5*Table2[[#This Row],[stacklose]]/3000</f>
        <v>2.3666666666666667</v>
      </c>
      <c r="M57" s="10">
        <v>0</v>
      </c>
      <c r="N57">
        <v>0</v>
      </c>
      <c r="O57" s="2">
        <f t="shared" si="11"/>
        <v>0</v>
      </c>
      <c r="P57" s="15">
        <f>5*Table2[[#This Row],[stackfact]]/3000</f>
        <v>0</v>
      </c>
      <c r="Q57" s="38">
        <f>Table2[[#This Row],[EQwin]]*Table2[[#This Row],[pWin]] + Table2[[#This Row],[EQlose]]*(1-Table2[[#This Row],[pWin]]) - Table2[[#This Row],[Eqfact]]</f>
        <v>0.33767599999999998</v>
      </c>
      <c r="R57" s="12">
        <f>Table2[[#This Row],[pWin]]*Table2[[#This Row],[ICMwin]]+(1-Table2[[#This Row],[pWin]])*Table2[[#This Row],[ICMlose]]-Table2[[#This Row],[ICMFact]]</f>
        <v>30.201741439999999</v>
      </c>
      <c r="S57" s="16">
        <f>Table2[[#This Row],[Kowin]]*Table2[[#This Row],[pWin]]+Table2[[#This Row],[Kolose]]*(1-Table2[[#This Row],[pWin]])-Table2[[#This Row],[KOFact]]</f>
        <v>1.1255866666666667</v>
      </c>
      <c r="T57" s="2">
        <f>Table2[[#This Row],[KODiff]]*bounty</f>
        <v>0</v>
      </c>
      <c r="U57" s="7">
        <f>Table2[[#This Row],[ICMdiff]]+Table2[[#This Row],[KOmoneyDiff]]</f>
        <v>30.201741439999999</v>
      </c>
      <c r="V57" s="38">
        <f>Table2[[#This Row],[pWin]]*Table2[[#This Row],[stackwin]]+(1-Table2[[#This Row],[pWin]])*Table2[[#This Row],[stacklose]]-Table2[[#This Row],[stackfact]]</f>
        <v>675.35200000000009</v>
      </c>
    </row>
    <row r="58" spans="1:24" s="17" customFormat="1" x14ac:dyDescent="0.25">
      <c r="A58" s="17">
        <v>1290</v>
      </c>
      <c r="B58" s="17" t="s">
        <v>57</v>
      </c>
      <c r="C58" s="19">
        <v>0.52439999999999998</v>
      </c>
      <c r="D58" s="19">
        <v>2000</v>
      </c>
      <c r="E58" s="17">
        <v>1</v>
      </c>
      <c r="F58" s="18">
        <f>Table2[[#This Row],[EQwin]]*$E$1</f>
        <v>89.44</v>
      </c>
      <c r="G58" s="24">
        <f>2*Table2[[#This Row],[stackwin]]/3000</f>
        <v>1.3333333333333333</v>
      </c>
      <c r="H58" s="19">
        <f>2000-H57</f>
        <v>580</v>
      </c>
      <c r="I58" s="17">
        <f>Table2[[#This Row],[stacklose]]/2000</f>
        <v>0.28999999999999998</v>
      </c>
      <c r="J58" s="18">
        <f t="shared" si="10"/>
        <v>25.937599999999996</v>
      </c>
      <c r="K58" s="20">
        <f>5*Table2[[#This Row],[stacklose]]/3000</f>
        <v>0.96666666666666667</v>
      </c>
      <c r="M58" s="19">
        <v>2000</v>
      </c>
      <c r="N58" s="17">
        <v>1</v>
      </c>
      <c r="O58" s="18">
        <f t="shared" si="11"/>
        <v>89.44</v>
      </c>
      <c r="P58" s="22">
        <f>5*Table2[[#This Row],[stackfact]]/3000</f>
        <v>3.3333333333333335</v>
      </c>
      <c r="Q58" s="35">
        <f>Table2[[#This Row],[EQwin]]*Table2[[#This Row],[pWin]] + Table2[[#This Row],[EQlose]]*(1-Table2[[#This Row],[pWin]]) - Table2[[#This Row],[Eqfact]]</f>
        <v>-0.33767600000000009</v>
      </c>
      <c r="R58" s="23">
        <f>Table2[[#This Row],[pWin]]*Table2[[#This Row],[ICMwin]]+(1-Table2[[#This Row],[pWin]])*Table2[[#This Row],[ICMlose]]-Table2[[#This Row],[ICMFact]]</f>
        <v>-30.201741439999999</v>
      </c>
      <c r="S58" s="24">
        <f>Table2[[#This Row],[Kowin]]*Table2[[#This Row],[pWin]]+Table2[[#This Row],[Kolose]]*(1-Table2[[#This Row],[pWin]])-Table2[[#This Row],[KOFact]]</f>
        <v>-2.1743866666666669</v>
      </c>
      <c r="T58" s="18">
        <f>Table2[[#This Row],[KODiff]]*bounty</f>
        <v>0</v>
      </c>
      <c r="U58" s="25">
        <f>Table2[[#This Row],[ICMdiff]]+Table2[[#This Row],[KOmoneyDiff]]</f>
        <v>-30.201741439999999</v>
      </c>
      <c r="V58" s="35">
        <f>Table2[[#This Row],[pWin]]*Table2[[#This Row],[stackwin]]+(1-Table2[[#This Row],[pWin]])*Table2[[#This Row],[stacklose]]-Table2[[#This Row],[stackfact]]</f>
        <v>-675.35200000000009</v>
      </c>
      <c r="X58" s="17" t="s">
        <v>58</v>
      </c>
    </row>
    <row r="59" spans="1:24" s="40" customFormat="1" x14ac:dyDescent="0.25">
      <c r="D59" s="43"/>
      <c r="F59" s="41">
        <f>Table2[[#This Row],[EQwin]]*$E$1</f>
        <v>0</v>
      </c>
      <c r="G59" s="42">
        <f>2*Table2[[#This Row],[stackwin]]/3000</f>
        <v>0</v>
      </c>
      <c r="H59" s="43"/>
      <c r="J59" s="41">
        <f t="shared" si="10"/>
        <v>0</v>
      </c>
      <c r="K59" s="44">
        <f>5*Table2[[#This Row],[stacklose]]/3000</f>
        <v>0</v>
      </c>
      <c r="M59" s="45"/>
      <c r="O59" s="41">
        <f t="shared" si="11"/>
        <v>0</v>
      </c>
      <c r="P59" s="46">
        <f>5*Table2[[#This Row],[stackfact]]/3000</f>
        <v>0</v>
      </c>
      <c r="Q59" s="47">
        <f>Table2[[#This Row],[EQwin]]*Table2[[#This Row],[pWin]] + Table2[[#This Row],[EQlose]]*(1-Table2[[#This Row],[pWin]]) - Table2[[#This Row],[Eqfact]]</f>
        <v>0</v>
      </c>
      <c r="R59" s="48">
        <f>Table2[[#This Row],[pWin]]*Table2[[#This Row],[ICMwin]]+(1-Table2[[#This Row],[pWin]])*Table2[[#This Row],[ICMlose]]-Table2[[#This Row],[ICMFact]]</f>
        <v>0</v>
      </c>
      <c r="S59" s="42">
        <f>Table2[[#This Row],[Kowin]]*Table2[[#This Row],[pWin]]+Table2[[#This Row],[Kolose]]*(1-Table2[[#This Row],[pWin]])-Table2[[#This Row],[KOFact]]</f>
        <v>0</v>
      </c>
      <c r="T59" s="41">
        <f>Table2[[#This Row],[KODiff]]*bounty</f>
        <v>0</v>
      </c>
      <c r="U59" s="49">
        <f>Table2[[#This Row],[ICMdiff]]+Table2[[#This Row],[KOmoneyDiff]]</f>
        <v>0</v>
      </c>
      <c r="V59" s="47">
        <f>Table2[[#This Row],[pWin]]*Table2[[#This Row],[stackwin]]+(1-Table2[[#This Row],[pWin]])*Table2[[#This Row],[stacklose]]-Table2[[#This Row],[stackfact]]</f>
        <v>0</v>
      </c>
    </row>
    <row r="60" spans="1:24" x14ac:dyDescent="0.25">
      <c r="A60">
        <v>270</v>
      </c>
      <c r="B60" t="s">
        <v>59</v>
      </c>
      <c r="C60">
        <v>0.84279999999999999</v>
      </c>
      <c r="D60" s="10">
        <v>0</v>
      </c>
      <c r="E60">
        <v>0</v>
      </c>
      <c r="F60" s="2">
        <f>Table2[[#This Row],[EQwin]]*$E$1</f>
        <v>0</v>
      </c>
      <c r="G60" s="16">
        <f>2*Table2[[#This Row],[stackwin]]/3000</f>
        <v>0</v>
      </c>
      <c r="H60" s="10">
        <f>560</f>
        <v>560</v>
      </c>
      <c r="I60">
        <f>Table2[[#This Row],[stacklose]]/2000</f>
        <v>0.28000000000000003</v>
      </c>
      <c r="J60" s="2">
        <f t="shared" si="10"/>
        <v>25.043200000000002</v>
      </c>
      <c r="K60" s="14">
        <f>5*Table2[[#This Row],[stacklose]]/3000</f>
        <v>0.93333333333333335</v>
      </c>
      <c r="M60" s="10">
        <v>0</v>
      </c>
      <c r="N60">
        <v>0</v>
      </c>
      <c r="O60" s="2">
        <f t="shared" si="11"/>
        <v>0</v>
      </c>
      <c r="P60" s="15">
        <f>5*Table2[[#This Row],[stackfact]]/3000</f>
        <v>0</v>
      </c>
      <c r="Q60" s="38">
        <f>Table2[[#This Row],[EQwin]]*Table2[[#This Row],[pWin]] + Table2[[#This Row],[EQlose]]*(1-Table2[[#This Row],[pWin]]) - Table2[[#This Row],[Eqfact]]</f>
        <v>4.4016000000000007E-2</v>
      </c>
      <c r="R60" s="12">
        <f>Table2[[#This Row],[pWin]]*Table2[[#This Row],[ICMwin]]+(1-Table2[[#This Row],[pWin]])*Table2[[#This Row],[ICMlose]]-Table2[[#This Row],[ICMFact]]</f>
        <v>3.9367910400000006</v>
      </c>
      <c r="S60" s="16">
        <f>Table2[[#This Row],[Kowin]]*Table2[[#This Row],[pWin]]+Table2[[#This Row],[Kolose]]*(1-Table2[[#This Row],[pWin]])-Table2[[#This Row],[KOFact]]</f>
        <v>0.14672000000000002</v>
      </c>
      <c r="T60" s="2">
        <f>Table2[[#This Row],[KODiff]]*bounty</f>
        <v>0</v>
      </c>
      <c r="U60" s="7">
        <f>Table2[[#This Row],[ICMdiff]]+Table2[[#This Row],[KOmoneyDiff]]</f>
        <v>3.9367910400000006</v>
      </c>
      <c r="V60" s="38">
        <f>Table2[[#This Row],[pWin]]*Table2[[#This Row],[stackwin]]+(1-Table2[[#This Row],[pWin]])*Table2[[#This Row],[stacklose]]-Table2[[#This Row],[stackfact]]</f>
        <v>88.032000000000011</v>
      </c>
    </row>
    <row r="61" spans="1:24" s="17" customFormat="1" x14ac:dyDescent="0.25">
      <c r="A61" s="17">
        <v>1170</v>
      </c>
      <c r="B61" s="17" t="s">
        <v>60</v>
      </c>
      <c r="C61" s="17">
        <v>0.84279999999999999</v>
      </c>
      <c r="D61" s="19">
        <f>1170+270+20</f>
        <v>1460</v>
      </c>
      <c r="E61" s="17">
        <f>Table2[[#This Row],[stackwin]]/2000</f>
        <v>0.73</v>
      </c>
      <c r="F61" s="18">
        <f>Table2[[#This Row],[EQwin]]*$E$1</f>
        <v>65.291200000000003</v>
      </c>
      <c r="G61" s="24">
        <f>2*Table2[[#This Row],[stackwin]]/3000</f>
        <v>0.97333333333333338</v>
      </c>
      <c r="H61" s="19">
        <f>1170-10-50-210</f>
        <v>900</v>
      </c>
      <c r="I61" s="17">
        <f>Table2[[#This Row],[stacklose]]/2000</f>
        <v>0.45</v>
      </c>
      <c r="J61" s="18">
        <f t="shared" si="10"/>
        <v>40.247999999999998</v>
      </c>
      <c r="K61" s="20">
        <f>5*Table2[[#This Row],[stacklose]]/3000</f>
        <v>1.5</v>
      </c>
      <c r="M61" s="19">
        <f>1170+270+20</f>
        <v>1460</v>
      </c>
      <c r="N61" s="17">
        <f>Table2[[#This Row],[stackwin]]/2000</f>
        <v>0.73</v>
      </c>
      <c r="O61" s="18">
        <f t="shared" si="11"/>
        <v>65.291200000000003</v>
      </c>
      <c r="P61" s="22">
        <f>5*Table2[[#This Row],[stackfact]]/3000</f>
        <v>2.4333333333333331</v>
      </c>
      <c r="Q61" s="35">
        <f>Table2[[#This Row],[EQwin]]*Table2[[#This Row],[pWin]] + Table2[[#This Row],[EQlose]]*(1-Table2[[#This Row],[pWin]]) - Table2[[#This Row],[Eqfact]]</f>
        <v>-4.4015999999999944E-2</v>
      </c>
      <c r="R61" s="23">
        <f>Table2[[#This Row],[pWin]]*Table2[[#This Row],[ICMwin]]+(1-Table2[[#This Row],[pWin]])*Table2[[#This Row],[ICMlose]]-Table2[[#This Row],[ICMFact]]</f>
        <v>-3.9367910400000028</v>
      </c>
      <c r="S61" s="24">
        <f>Table2[[#This Row],[Kowin]]*Table2[[#This Row],[pWin]]+Table2[[#This Row],[Kolose]]*(1-Table2[[#This Row],[pWin]])-Table2[[#This Row],[KOFact]]</f>
        <v>-1.3772079999999998</v>
      </c>
      <c r="T61" s="18">
        <f>Table2[[#This Row],[KODiff]]*bounty</f>
        <v>0</v>
      </c>
      <c r="U61" s="25">
        <f>Table2[[#This Row],[ICMdiff]]+Table2[[#This Row],[KOmoneyDiff]]</f>
        <v>-3.9367910400000028</v>
      </c>
      <c r="V61" s="35">
        <f>Table2[[#This Row],[pWin]]*Table2[[#This Row],[stackwin]]+(1-Table2[[#This Row],[pWin]])*Table2[[#This Row],[stacklose]]-Table2[[#This Row],[stackfact]]</f>
        <v>-88.031999999999925</v>
      </c>
      <c r="X61" s="17" t="s">
        <v>61</v>
      </c>
    </row>
    <row r="62" spans="1:24" x14ac:dyDescent="0.25">
      <c r="A62">
        <v>460</v>
      </c>
      <c r="C62">
        <v>0.84279999999999999</v>
      </c>
      <c r="D62" s="10">
        <v>450</v>
      </c>
      <c r="E62">
        <f>Table2[[#This Row],[stackwin]]/2000</f>
        <v>0.22500000000000001</v>
      </c>
      <c r="F62" s="2">
        <f>Table2[[#This Row],[EQwin]]*$E$1</f>
        <v>20.123999999999999</v>
      </c>
      <c r="G62" s="16">
        <f>2*Table2[[#This Row],[stackwin]]/3000</f>
        <v>0.3</v>
      </c>
      <c r="H62" s="10">
        <v>450</v>
      </c>
      <c r="I62">
        <f>Table2[[#This Row],[stacklose]]/2000</f>
        <v>0.22500000000000001</v>
      </c>
      <c r="J62" s="2">
        <f t="shared" si="10"/>
        <v>20.123999999999999</v>
      </c>
      <c r="K62" s="14">
        <f>5*Table2[[#This Row],[stacklose]]/3000</f>
        <v>0.75</v>
      </c>
      <c r="M62" s="10">
        <v>450</v>
      </c>
      <c r="N62">
        <f>Table2[[#This Row],[stackwin]]/2000</f>
        <v>0.22500000000000001</v>
      </c>
      <c r="O62" s="2">
        <f t="shared" si="11"/>
        <v>20.123999999999999</v>
      </c>
      <c r="P62" s="15">
        <f>5*Table2[[#This Row],[stackfact]]/3000</f>
        <v>0.75</v>
      </c>
      <c r="Q62" s="38">
        <f>Table2[[#This Row],[EQwin]]*Table2[[#This Row],[pWin]] + Table2[[#This Row],[EQlose]]*(1-Table2[[#This Row],[pWin]]) - Table2[[#This Row],[Eqfact]]</f>
        <v>0</v>
      </c>
      <c r="R62" s="12">
        <f>Table2[[#This Row],[pWin]]*Table2[[#This Row],[ICMwin]]+(1-Table2[[#This Row],[pWin]])*Table2[[#This Row],[ICMlose]]-Table2[[#This Row],[ICMFact]]</f>
        <v>0</v>
      </c>
      <c r="S62" s="16">
        <f>Table2[[#This Row],[Kowin]]*Table2[[#This Row],[pWin]]+Table2[[#This Row],[Kolose]]*(1-Table2[[#This Row],[pWin]])-Table2[[#This Row],[KOFact]]</f>
        <v>-0.37925999999999999</v>
      </c>
      <c r="T62" s="2">
        <f>Table2[[#This Row],[KODiff]]*bounty</f>
        <v>0</v>
      </c>
      <c r="U62" s="7">
        <f>Table2[[#This Row],[ICMdiff]]+Table2[[#This Row],[KOmoneyDiff]]</f>
        <v>0</v>
      </c>
      <c r="V62" s="38">
        <f>Table2[[#This Row],[pWin]]*Table2[[#This Row],[stackwin]]+(1-Table2[[#This Row],[pWin]])*Table2[[#This Row],[stacklose]]-Table2[[#This Row],[stackfact]]</f>
        <v>0</v>
      </c>
    </row>
    <row r="63" spans="1:24" x14ac:dyDescent="0.25">
      <c r="A63">
        <v>100</v>
      </c>
      <c r="C63">
        <v>0.84279999999999999</v>
      </c>
      <c r="D63" s="10">
        <v>90</v>
      </c>
      <c r="E63">
        <f>Table2[[#This Row],[stackwin]]/2000</f>
        <v>4.4999999999999998E-2</v>
      </c>
      <c r="F63" s="2">
        <f>Table2[[#This Row],[EQwin]]*$E$1</f>
        <v>4.0247999999999999</v>
      </c>
      <c r="G63" s="16">
        <f>2*Table2[[#This Row],[stackwin]]/3000</f>
        <v>0.06</v>
      </c>
      <c r="H63" s="10">
        <v>90</v>
      </c>
      <c r="I63">
        <f>Table2[[#This Row],[stacklose]]/2000</f>
        <v>4.4999999999999998E-2</v>
      </c>
      <c r="J63" s="2">
        <f t="shared" si="10"/>
        <v>4.0247999999999999</v>
      </c>
      <c r="K63" s="14">
        <f>5*Table2[[#This Row],[stacklose]]/3000</f>
        <v>0.15</v>
      </c>
      <c r="M63" s="10">
        <v>90</v>
      </c>
      <c r="N63">
        <f>Table2[[#This Row],[stackwin]]/2000</f>
        <v>4.4999999999999998E-2</v>
      </c>
      <c r="O63" s="2">
        <f t="shared" si="11"/>
        <v>4.0247999999999999</v>
      </c>
      <c r="P63" s="15">
        <f>5*Table2[[#This Row],[stackfact]]/3000</f>
        <v>0.15</v>
      </c>
      <c r="Q63" s="38">
        <f>Table2[[#This Row],[EQwin]]*Table2[[#This Row],[pWin]] + Table2[[#This Row],[EQlose]]*(1-Table2[[#This Row],[pWin]]) - Table2[[#This Row],[Eqfact]]</f>
        <v>0</v>
      </c>
      <c r="R63" s="12">
        <f>Table2[[#This Row],[pWin]]*Table2[[#This Row],[ICMwin]]+(1-Table2[[#This Row],[pWin]])*Table2[[#This Row],[ICMlose]]-Table2[[#This Row],[ICMFact]]</f>
        <v>0</v>
      </c>
      <c r="S63" s="16">
        <f>Table2[[#This Row],[Kowin]]*Table2[[#This Row],[pWin]]+Table2[[#This Row],[Kolose]]*(1-Table2[[#This Row],[pWin]])-Table2[[#This Row],[KOFact]]</f>
        <v>-7.5852000000000003E-2</v>
      </c>
      <c r="T63" s="2">
        <f>Table2[[#This Row],[KODiff]]*bounty</f>
        <v>0</v>
      </c>
      <c r="U63" s="7">
        <f>Table2[[#This Row],[ICMdiff]]+Table2[[#This Row],[KOmoneyDiff]]</f>
        <v>0</v>
      </c>
      <c r="V63" s="38">
        <f>Table2[[#This Row],[pWin]]*Table2[[#This Row],[stackwin]]+(1-Table2[[#This Row],[pWin]])*Table2[[#This Row],[stacklose]]-Table2[[#This Row],[stackfact]]</f>
        <v>0</v>
      </c>
    </row>
    <row r="64" spans="1:24" s="40" customFormat="1" x14ac:dyDescent="0.25">
      <c r="D64" s="43"/>
      <c r="F64" s="41">
        <f>Table2[[#This Row],[EQwin]]*$E$1</f>
        <v>0</v>
      </c>
      <c r="G64" s="42">
        <f>2*Table2[[#This Row],[stackwin]]/3000</f>
        <v>0</v>
      </c>
      <c r="H64" s="43"/>
      <c r="J64" s="41">
        <f t="shared" si="10"/>
        <v>0</v>
      </c>
      <c r="K64" s="44">
        <f>5*Table2[[#This Row],[stacklose]]/3000</f>
        <v>0</v>
      </c>
      <c r="M64" s="45"/>
      <c r="O64" s="41">
        <f t="shared" si="11"/>
        <v>0</v>
      </c>
      <c r="P64" s="46">
        <f>5*Table2[[#This Row],[stackfact]]/3000</f>
        <v>0</v>
      </c>
      <c r="Q64" s="47">
        <f>Table2[[#This Row],[EQwin]]*Table2[[#This Row],[pWin]] + Table2[[#This Row],[EQlose]]*(1-Table2[[#This Row],[pWin]]) - Table2[[#This Row],[Eqfact]]</f>
        <v>0</v>
      </c>
      <c r="R64" s="48">
        <f>Table2[[#This Row],[pWin]]*Table2[[#This Row],[ICMwin]]+(1-Table2[[#This Row],[pWin]])*Table2[[#This Row],[ICMlose]]-Table2[[#This Row],[ICMFact]]</f>
        <v>0</v>
      </c>
      <c r="S64" s="42">
        <f>Table2[[#This Row],[Kowin]]*Table2[[#This Row],[pWin]]+Table2[[#This Row],[Kolose]]*(1-Table2[[#This Row],[pWin]])-Table2[[#This Row],[KOFact]]</f>
        <v>0</v>
      </c>
      <c r="T64" s="41">
        <f>Table2[[#This Row],[KODiff]]*bounty</f>
        <v>0</v>
      </c>
      <c r="U64" s="49">
        <f>Table2[[#This Row],[ICMdiff]]+Table2[[#This Row],[KOmoneyDiff]]</f>
        <v>0</v>
      </c>
      <c r="V64" s="47">
        <f>Table2[[#This Row],[pWin]]*Table2[[#This Row],[stackwin]]+(1-Table2[[#This Row],[pWin]])*Table2[[#This Row],[stacklose]]-Table2[[#This Row],[stackfact]]</f>
        <v>0</v>
      </c>
    </row>
    <row r="65" spans="1:24" x14ac:dyDescent="0.25">
      <c r="A65">
        <v>595</v>
      </c>
      <c r="B65" t="s">
        <v>62</v>
      </c>
      <c r="C65">
        <v>0.27950000000000003</v>
      </c>
      <c r="D65" s="10">
        <v>570</v>
      </c>
      <c r="E65">
        <v>0.28499999999999998</v>
      </c>
      <c r="F65" s="2">
        <f>Table2[[#This Row],[EQwin]]*$E$1</f>
        <v>25.490399999999998</v>
      </c>
      <c r="G65" s="16">
        <f>2*Table2[[#This Row],[stackwin]]/3000</f>
        <v>0.38</v>
      </c>
      <c r="H65" s="10">
        <v>640</v>
      </c>
      <c r="I65">
        <v>0.32</v>
      </c>
      <c r="J65" s="2">
        <f t="shared" si="10"/>
        <v>28.620799999999999</v>
      </c>
      <c r="K65" s="14">
        <f>5*Table2[[#This Row],[stacklose]]/3000</f>
        <v>1.0666666666666667</v>
      </c>
      <c r="M65" s="10">
        <v>640</v>
      </c>
      <c r="N65">
        <v>0.32</v>
      </c>
      <c r="O65" s="2">
        <f t="shared" si="11"/>
        <v>28.620799999999999</v>
      </c>
      <c r="P65" s="15">
        <f>5*Table2[[#This Row],[stackfact]]/3000</f>
        <v>1.0666666666666667</v>
      </c>
      <c r="Q65" s="38">
        <f>Table2[[#This Row],[EQwin]]*Table2[[#This Row],[pWin]] + Table2[[#This Row],[EQlose]]*(1-Table2[[#This Row],[pWin]]) - Table2[[#This Row],[Eqfact]]</f>
        <v>-9.7825000000000273E-3</v>
      </c>
      <c r="R65" s="12">
        <f>Table2[[#This Row],[pWin]]*Table2[[#This Row],[ICMwin]]+(1-Table2[[#This Row],[pWin]])*Table2[[#This Row],[ICMlose]]-Table2[[#This Row],[ICMFact]]</f>
        <v>-0.87494680000000358</v>
      </c>
      <c r="S65" s="16">
        <f>Table2[[#This Row],[Kowin]]*Table2[[#This Row],[pWin]]+Table2[[#This Row],[Kolose]]*(1-Table2[[#This Row],[pWin]])-Table2[[#This Row],[KOFact]]</f>
        <v>-0.19192333333333333</v>
      </c>
      <c r="T65" s="2">
        <f>Table2[[#This Row],[KODiff]]*bounty</f>
        <v>0</v>
      </c>
      <c r="U65" s="7">
        <f>Table2[[#This Row],[ICMdiff]]+Table2[[#This Row],[KOmoneyDiff]]</f>
        <v>-0.87494680000000358</v>
      </c>
      <c r="V65" s="38">
        <f>Table2[[#This Row],[pWin]]*Table2[[#This Row],[stackwin]]+(1-Table2[[#This Row],[pWin]])*Table2[[#This Row],[stacklose]]-Table2[[#This Row],[stackfact]]</f>
        <v>-19.565000000000055</v>
      </c>
    </row>
    <row r="66" spans="1:24" x14ac:dyDescent="0.25">
      <c r="A66">
        <v>975</v>
      </c>
      <c r="C66">
        <v>0.27950000000000003</v>
      </c>
      <c r="D66" s="10">
        <v>965</v>
      </c>
      <c r="E66">
        <v>0.48249999999999998</v>
      </c>
      <c r="F66" s="2">
        <f>Table2[[#This Row],[EQwin]]*$E$1</f>
        <v>43.154799999999994</v>
      </c>
      <c r="G66" s="16">
        <f>2*Table2[[#This Row],[stackwin]]/3000</f>
        <v>0.64333333333333331</v>
      </c>
      <c r="H66" s="10">
        <v>965</v>
      </c>
      <c r="I66">
        <v>0.48249999999999998</v>
      </c>
      <c r="J66" s="2">
        <f t="shared" si="10"/>
        <v>43.154799999999994</v>
      </c>
      <c r="K66" s="14">
        <f>5*Table2[[#This Row],[stacklose]]/3000</f>
        <v>1.6083333333333334</v>
      </c>
      <c r="M66" s="10">
        <v>965</v>
      </c>
      <c r="N66">
        <v>0.48249999999999998</v>
      </c>
      <c r="O66" s="2">
        <f t="shared" si="11"/>
        <v>43.154799999999994</v>
      </c>
      <c r="P66" s="15">
        <f>5*Table2[[#This Row],[stackfact]]/3000</f>
        <v>1.6083333333333334</v>
      </c>
      <c r="Q66" s="38">
        <f>Table2[[#This Row],[EQwin]]*Table2[[#This Row],[pWin]] + Table2[[#This Row],[EQlose]]*(1-Table2[[#This Row],[pWin]]) - Table2[[#This Row],[Eqfact]]</f>
        <v>0</v>
      </c>
      <c r="R66" s="12">
        <f>Table2[[#This Row],[pWin]]*Table2[[#This Row],[ICMwin]]+(1-Table2[[#This Row],[pWin]])*Table2[[#This Row],[ICMlose]]-Table2[[#This Row],[ICMFact]]</f>
        <v>0</v>
      </c>
      <c r="S66" s="16">
        <f>Table2[[#This Row],[Kowin]]*Table2[[#This Row],[pWin]]+Table2[[#This Row],[Kolose]]*(1-Table2[[#This Row],[pWin]])-Table2[[#This Row],[KOFact]]</f>
        <v>-0.26971750000000005</v>
      </c>
      <c r="T66" s="2">
        <f>Table2[[#This Row],[KODiff]]*bounty</f>
        <v>0</v>
      </c>
      <c r="U66" s="7">
        <f>Table2[[#This Row],[ICMdiff]]+Table2[[#This Row],[KOmoneyDiff]]</f>
        <v>0</v>
      </c>
      <c r="V66" s="38">
        <f>Table2[[#This Row],[pWin]]*Table2[[#This Row],[stackwin]]+(1-Table2[[#This Row],[pWin]])*Table2[[#This Row],[stacklose]]-Table2[[#This Row],[stackfact]]</f>
        <v>0</v>
      </c>
    </row>
    <row r="67" spans="1:24" x14ac:dyDescent="0.25">
      <c r="A67">
        <v>405</v>
      </c>
      <c r="C67">
        <v>0.27950000000000003</v>
      </c>
      <c r="D67" s="10">
        <v>395</v>
      </c>
      <c r="E67">
        <v>0.19750000000000001</v>
      </c>
      <c r="F67" s="2">
        <f>Table2[[#This Row],[EQwin]]*$E$1</f>
        <v>17.664400000000001</v>
      </c>
      <c r="G67" s="16">
        <f>2*Table2[[#This Row],[stackwin]]/3000</f>
        <v>0.26333333333333331</v>
      </c>
      <c r="H67" s="10">
        <v>395</v>
      </c>
      <c r="I67">
        <v>0.19750000000000001</v>
      </c>
      <c r="J67" s="2">
        <f t="shared" si="10"/>
        <v>17.664400000000001</v>
      </c>
      <c r="K67" s="14">
        <f>5*Table2[[#This Row],[stacklose]]/3000</f>
        <v>0.65833333333333333</v>
      </c>
      <c r="M67" s="10">
        <v>395</v>
      </c>
      <c r="N67">
        <v>0.19750000000000001</v>
      </c>
      <c r="O67" s="2">
        <f t="shared" si="11"/>
        <v>17.664400000000001</v>
      </c>
      <c r="P67" s="15">
        <f>5*Table2[[#This Row],[stackfact]]/3000</f>
        <v>0.65833333333333333</v>
      </c>
      <c r="Q67" s="38">
        <f>Table2[[#This Row],[EQwin]]*Table2[[#This Row],[pWin]] + Table2[[#This Row],[EQlose]]*(1-Table2[[#This Row],[pWin]]) - Table2[[#This Row],[Eqfact]]</f>
        <v>0</v>
      </c>
      <c r="R67" s="12">
        <f>Table2[[#This Row],[pWin]]*Table2[[#This Row],[ICMwin]]+(1-Table2[[#This Row],[pWin]])*Table2[[#This Row],[ICMlose]]-Table2[[#This Row],[ICMFact]]</f>
        <v>0</v>
      </c>
      <c r="S67" s="16">
        <f>Table2[[#This Row],[Kowin]]*Table2[[#This Row],[pWin]]+Table2[[#This Row],[Kolose]]*(1-Table2[[#This Row],[pWin]])-Table2[[#This Row],[KOFact]]</f>
        <v>-0.11040250000000007</v>
      </c>
      <c r="T67" s="2">
        <f>Table2[[#This Row],[KODiff]]*bounty</f>
        <v>0</v>
      </c>
      <c r="U67" s="7">
        <f>Table2[[#This Row],[ICMdiff]]+Table2[[#This Row],[KOmoneyDiff]]</f>
        <v>0</v>
      </c>
      <c r="V67" s="38">
        <f>Table2[[#This Row],[pWin]]*Table2[[#This Row],[stackwin]]+(1-Table2[[#This Row],[pWin]])*Table2[[#This Row],[stacklose]]-Table2[[#This Row],[stackfact]]</f>
        <v>0</v>
      </c>
    </row>
    <row r="68" spans="1:24" s="17" customFormat="1" x14ac:dyDescent="0.25">
      <c r="A68" s="17">
        <v>25</v>
      </c>
      <c r="B68" s="17" t="s">
        <v>63</v>
      </c>
      <c r="C68" s="17">
        <v>0.27950000000000003</v>
      </c>
      <c r="D68" s="19">
        <v>70</v>
      </c>
      <c r="E68" s="17">
        <v>3.5000000000000003E-2</v>
      </c>
      <c r="F68" s="18">
        <f>Table2[[#This Row],[EQwin]]*$E$1</f>
        <v>3.1304000000000003</v>
      </c>
      <c r="G68" s="24">
        <f>2*Table2[[#This Row],[stackwin]]/3000</f>
        <v>4.6666666666666669E-2</v>
      </c>
      <c r="H68" s="19">
        <v>0</v>
      </c>
      <c r="I68" s="17">
        <v>0</v>
      </c>
      <c r="J68" s="18">
        <f t="shared" si="10"/>
        <v>0</v>
      </c>
      <c r="K68" s="20">
        <f>5*Table2[[#This Row],[stacklose]]/3000</f>
        <v>0</v>
      </c>
      <c r="M68" s="19">
        <v>0</v>
      </c>
      <c r="N68" s="17">
        <v>0</v>
      </c>
      <c r="O68" s="18">
        <f t="shared" si="11"/>
        <v>0</v>
      </c>
      <c r="P68" s="22">
        <f>5*Table2[[#This Row],[stackfact]]/3000</f>
        <v>0</v>
      </c>
      <c r="Q68" s="35">
        <f>Table2[[#This Row],[EQwin]]*Table2[[#This Row],[pWin]] + Table2[[#This Row],[EQlose]]*(1-Table2[[#This Row],[pWin]]) - Table2[[#This Row],[Eqfact]]</f>
        <v>9.7825000000000013E-3</v>
      </c>
      <c r="R68" s="23">
        <f>Table2[[#This Row],[pWin]]*Table2[[#This Row],[ICMwin]]+(1-Table2[[#This Row],[pWin]])*Table2[[#This Row],[ICMlose]]-Table2[[#This Row],[ICMFact]]</f>
        <v>0.87494680000000014</v>
      </c>
      <c r="S68" s="24">
        <f>Table2[[#This Row],[Kowin]]*Table2[[#This Row],[pWin]]+Table2[[#This Row],[Kolose]]*(1-Table2[[#This Row],[pWin]])-Table2[[#This Row],[KOFact]]</f>
        <v>1.3043333333333336E-2</v>
      </c>
      <c r="T68" s="18">
        <f>Table2[[#This Row],[KODiff]]*bounty</f>
        <v>0</v>
      </c>
      <c r="U68" s="25">
        <f>Table2[[#This Row],[ICMdiff]]+Table2[[#This Row],[KOmoneyDiff]]</f>
        <v>0.87494680000000014</v>
      </c>
      <c r="V68" s="35">
        <f>Table2[[#This Row],[pWin]]*Table2[[#This Row],[stackwin]]+(1-Table2[[#This Row],[pWin]])*Table2[[#This Row],[stacklose]]-Table2[[#This Row],[stackfact]]</f>
        <v>19.565000000000001</v>
      </c>
      <c r="X68" s="17" t="s">
        <v>64</v>
      </c>
    </row>
    <row r="69" spans="1:24" s="40" customFormat="1" x14ac:dyDescent="0.25">
      <c r="D69" s="43"/>
      <c r="F69" s="41">
        <f>Table2[[#This Row],[EQwin]]*$E$1</f>
        <v>0</v>
      </c>
      <c r="G69" s="42">
        <f>2*Table2[[#This Row],[stackwin]]/3000</f>
        <v>0</v>
      </c>
      <c r="H69" s="43"/>
      <c r="J69" s="41">
        <f t="shared" si="10"/>
        <v>0</v>
      </c>
      <c r="K69" s="44">
        <f>5*Table2[[#This Row],[stacklose]]/3000</f>
        <v>0</v>
      </c>
      <c r="M69" s="45"/>
      <c r="O69" s="41">
        <f t="shared" si="11"/>
        <v>0</v>
      </c>
      <c r="P69" s="46">
        <f>5*Table2[[#This Row],[stackfact]]/3000</f>
        <v>0</v>
      </c>
      <c r="Q69" s="47">
        <f>Table2[[#This Row],[EQwin]]*Table2[[#This Row],[pWin]] + Table2[[#This Row],[EQlose]]*(1-Table2[[#This Row],[pWin]]) - Table2[[#This Row],[Eqfact]]</f>
        <v>0</v>
      </c>
      <c r="R69" s="48">
        <f>Table2[[#This Row],[pWin]]*Table2[[#This Row],[ICMwin]]+(1-Table2[[#This Row],[pWin]])*Table2[[#This Row],[ICMlose]]-Table2[[#This Row],[ICMFact]]</f>
        <v>0</v>
      </c>
      <c r="S69" s="42">
        <f>Table2[[#This Row],[Kowin]]*Table2[[#This Row],[pWin]]+Table2[[#This Row],[Kolose]]*(1-Table2[[#This Row],[pWin]])-Table2[[#This Row],[KOFact]]</f>
        <v>0</v>
      </c>
      <c r="T69" s="41">
        <f>Table2[[#This Row],[KODiff]]*bounty</f>
        <v>0</v>
      </c>
      <c r="U69" s="49">
        <f>Table2[[#This Row],[ICMdiff]]+Table2[[#This Row],[KOmoneyDiff]]</f>
        <v>0</v>
      </c>
      <c r="V69" s="47">
        <f>Table2[[#This Row],[pWin]]*Table2[[#This Row],[stackwin]]+(1-Table2[[#This Row],[pWin]])*Table2[[#This Row],[stacklose]]-Table2[[#This Row],[stackfact]]</f>
        <v>0</v>
      </c>
    </row>
    <row r="70" spans="1:24" x14ac:dyDescent="0.25">
      <c r="A70" s="76">
        <v>405</v>
      </c>
      <c r="C70" s="78">
        <v>0.34610000000000002</v>
      </c>
      <c r="D70" s="10">
        <v>395</v>
      </c>
      <c r="E70">
        <v>0.25490000000000002</v>
      </c>
      <c r="F70" s="2">
        <f>Table2[[#This Row],[EQwin]]*$E$1</f>
        <v>22.798256000000002</v>
      </c>
      <c r="G70" s="16">
        <f>2*Table2[[#This Row],[stackwin]]/3000</f>
        <v>0.26333333333333331</v>
      </c>
      <c r="H70" s="10">
        <v>395</v>
      </c>
      <c r="I70">
        <v>0.26619999999999999</v>
      </c>
      <c r="J70" s="2">
        <f t="shared" si="10"/>
        <v>23.808927999999998</v>
      </c>
      <c r="K70" s="14">
        <f>5*Table2[[#This Row],[stacklose]]/3000</f>
        <v>0.65833333333333333</v>
      </c>
      <c r="M70" s="10">
        <v>395</v>
      </c>
      <c r="N70">
        <v>0.26619999999999999</v>
      </c>
      <c r="O70" s="2">
        <f t="shared" si="11"/>
        <v>23.808927999999998</v>
      </c>
      <c r="P70" s="15">
        <f>5*Table2[[#This Row],[stackfact]]/3000</f>
        <v>0.65833333333333333</v>
      </c>
      <c r="Q70" s="38">
        <f>Table2[[#This Row],[EQwin]]*Table2[[#This Row],[pWin]] + Table2[[#This Row],[EQlose]]*(1-Table2[[#This Row],[pWin]]) - Table2[[#This Row],[Eqfact]]</f>
        <v>-3.9109300000000347E-3</v>
      </c>
      <c r="R70" s="12">
        <f>Table2[[#This Row],[pWin]]*Table2[[#This Row],[ICMwin]]+(1-Table2[[#This Row],[pWin]])*Table2[[#This Row],[ICMlose]]-Table2[[#This Row],[ICMFact]]</f>
        <v>-0.34979357919999998</v>
      </c>
      <c r="S70" s="16">
        <f>Table2[[#This Row],[Kowin]]*Table2[[#This Row],[pWin]]+Table2[[#This Row],[Kolose]]*(1-Table2[[#This Row],[pWin]])-Table2[[#This Row],[KOFact]]</f>
        <v>-0.13670950000000004</v>
      </c>
      <c r="T70" s="2">
        <f>Table2[[#This Row],[KODiff]]*bounty</f>
        <v>0</v>
      </c>
      <c r="U70" s="7">
        <f>Table2[[#This Row],[ICMdiff]]+Table2[[#This Row],[KOmoneyDiff]]</f>
        <v>-0.34979357919999998</v>
      </c>
      <c r="V70" s="38">
        <f>Table2[[#This Row],[pWin]]*Table2[[#This Row],[stackwin]]+(1-Table2[[#This Row],[pWin]])*Table2[[#This Row],[stacklose]]-Table2[[#This Row],[stackfact]]</f>
        <v>0</v>
      </c>
    </row>
    <row r="71" spans="1:24" s="17" customFormat="1" x14ac:dyDescent="0.25">
      <c r="A71" s="77">
        <v>545</v>
      </c>
      <c r="B71" s="17" t="s">
        <v>65</v>
      </c>
      <c r="C71" s="17">
        <v>0.34610000000000002</v>
      </c>
      <c r="D71" s="19">
        <v>1110</v>
      </c>
      <c r="E71" s="17">
        <v>0.42809999999999998</v>
      </c>
      <c r="F71" s="18">
        <f>Table2[[#This Row],[EQwin]]*$E$1</f>
        <v>38.289263999999996</v>
      </c>
      <c r="G71" s="24">
        <f>2*Table2[[#This Row],[stackwin]]/3000</f>
        <v>0.74</v>
      </c>
      <c r="H71" s="19">
        <v>0</v>
      </c>
      <c r="I71" s="17">
        <v>0</v>
      </c>
      <c r="J71" s="18">
        <f t="shared" si="10"/>
        <v>0</v>
      </c>
      <c r="K71" s="20">
        <f>5*Table2[[#This Row],[stacklose]]/3000</f>
        <v>0</v>
      </c>
      <c r="M71" s="19">
        <v>0</v>
      </c>
      <c r="N71" s="17">
        <v>0</v>
      </c>
      <c r="O71" s="18">
        <f t="shared" si="11"/>
        <v>0</v>
      </c>
      <c r="P71" s="22">
        <f>5*Table2[[#This Row],[stackfact]]/3000</f>
        <v>0</v>
      </c>
      <c r="Q71" s="35">
        <f>Table2[[#This Row],[EQwin]]*Table2[[#This Row],[pWin]] + Table2[[#This Row],[EQlose]]*(1-Table2[[#This Row],[pWin]]) - Table2[[#This Row],[Eqfact]]</f>
        <v>0.14816541</v>
      </c>
      <c r="R71" s="23">
        <f>Table2[[#This Row],[pWin]]*Table2[[#This Row],[ICMwin]]+(1-Table2[[#This Row],[pWin]])*Table2[[#This Row],[ICMlose]]-Table2[[#This Row],[ICMFact]]</f>
        <v>13.251914270399999</v>
      </c>
      <c r="S71" s="24">
        <f>Table2[[#This Row],[Kowin]]*Table2[[#This Row],[pWin]]+Table2[[#This Row],[Kolose]]*(1-Table2[[#This Row],[pWin]])-Table2[[#This Row],[KOFact]]</f>
        <v>0.25611400000000001</v>
      </c>
      <c r="T71" s="18">
        <f>Table2[[#This Row],[KODiff]]*bounty</f>
        <v>0</v>
      </c>
      <c r="U71" s="25">
        <f>Table2[[#This Row],[ICMdiff]]+Table2[[#This Row],[KOmoneyDiff]]</f>
        <v>13.251914270399999</v>
      </c>
      <c r="V71" s="35">
        <f>Table2[[#This Row],[pWin]]*Table2[[#This Row],[stackwin]]+(1-Table2[[#This Row],[pWin]])*Table2[[#This Row],[stacklose]]-Table2[[#This Row],[stackfact]]</f>
        <v>384.17100000000005</v>
      </c>
      <c r="X71" s="17" t="s">
        <v>66</v>
      </c>
    </row>
    <row r="72" spans="1:24" x14ac:dyDescent="0.25">
      <c r="A72" s="76">
        <v>595</v>
      </c>
      <c r="B72" t="s">
        <v>67</v>
      </c>
      <c r="C72" s="78">
        <v>0.34610000000000002</v>
      </c>
      <c r="D72" s="10">
        <f>2000-D73-D71-D70</f>
        <v>50</v>
      </c>
      <c r="E72">
        <v>3.5499999999999997E-2</v>
      </c>
      <c r="F72" s="2">
        <f>Table2[[#This Row],[EQwin]]*$E$1</f>
        <v>3.1751199999999997</v>
      </c>
      <c r="G72" s="16">
        <f>2*Table2[[#This Row],[stackwin]]/3000</f>
        <v>3.3333333333333333E-2</v>
      </c>
      <c r="H72" s="10">
        <v>1160</v>
      </c>
      <c r="I72">
        <v>0.43980000000000002</v>
      </c>
      <c r="J72" s="2">
        <f t="shared" si="10"/>
        <v>39.335712000000001</v>
      </c>
      <c r="K72" s="14">
        <f>5*Table2[[#This Row],[stacklose]]/3000</f>
        <v>1.9333333333333333</v>
      </c>
      <c r="M72" s="10">
        <v>1160</v>
      </c>
      <c r="N72">
        <v>0.43980000000000002</v>
      </c>
      <c r="O72" s="2">
        <f t="shared" si="11"/>
        <v>39.335712000000001</v>
      </c>
      <c r="P72" s="15">
        <f>5*Table2[[#This Row],[stackfact]]/3000</f>
        <v>1.9333333333333333</v>
      </c>
      <c r="Q72" s="38">
        <f>Table2[[#This Row],[EQwin]]*Table2[[#This Row],[pWin]] + Table2[[#This Row],[EQlose]]*(1-Table2[[#This Row],[pWin]]) - Table2[[#This Row],[Eqfact]]</f>
        <v>-0.13992823000000004</v>
      </c>
      <c r="R72" s="12">
        <f>Table2[[#This Row],[pWin]]*Table2[[#This Row],[ICMwin]]+(1-Table2[[#This Row],[pWin]])*Table2[[#This Row],[ICMlose]]-Table2[[#This Row],[ICMFact]]</f>
        <v>-12.515180891200004</v>
      </c>
      <c r="S72" s="16">
        <f>Table2[[#This Row],[Kowin]]*Table2[[#This Row],[pWin]]+Table2[[#This Row],[Kolose]]*(1-Table2[[#This Row],[pWin]])-Table2[[#This Row],[KOFact]]</f>
        <v>-0.65759000000000012</v>
      </c>
      <c r="T72" s="2">
        <f>Table2[[#This Row],[KODiff]]*bounty</f>
        <v>0</v>
      </c>
      <c r="U72" s="7">
        <f>Table2[[#This Row],[ICMdiff]]+Table2[[#This Row],[KOmoneyDiff]]</f>
        <v>-12.515180891200004</v>
      </c>
      <c r="V72" s="38">
        <f>Table2[[#This Row],[pWin]]*Table2[[#This Row],[stackwin]]+(1-Table2[[#This Row],[pWin]])*Table2[[#This Row],[stacklose]]-Table2[[#This Row],[stackfact]]</f>
        <v>-384.17100000000016</v>
      </c>
    </row>
    <row r="73" spans="1:24" x14ac:dyDescent="0.25">
      <c r="A73" s="76">
        <v>455</v>
      </c>
      <c r="C73" s="78">
        <v>0.34610000000000002</v>
      </c>
      <c r="D73" s="10">
        <v>445</v>
      </c>
      <c r="E73">
        <v>0.28149999999999997</v>
      </c>
      <c r="F73" s="2">
        <f>Table2[[#This Row],[EQwin]]*$E$1</f>
        <v>25.177359999999997</v>
      </c>
      <c r="G73" s="16">
        <f>2*Table2[[#This Row],[stackwin]]/3000</f>
        <v>0.29666666666666669</v>
      </c>
      <c r="H73" s="10">
        <v>445</v>
      </c>
      <c r="I73">
        <v>0.29389999999999999</v>
      </c>
      <c r="J73" s="2">
        <f t="shared" si="10"/>
        <v>26.286415999999999</v>
      </c>
      <c r="K73" s="14">
        <f>5*Table2[[#This Row],[stacklose]]/3000</f>
        <v>0.7416666666666667</v>
      </c>
      <c r="M73" s="10">
        <v>445</v>
      </c>
      <c r="N73">
        <v>0.29389999999999999</v>
      </c>
      <c r="O73" s="2">
        <f t="shared" si="11"/>
        <v>26.286415999999999</v>
      </c>
      <c r="P73" s="15">
        <f>5*Table2[[#This Row],[stackfact]]/3000</f>
        <v>0.7416666666666667</v>
      </c>
      <c r="Q73" s="38">
        <f>Table2[[#This Row],[EQwin]]*Table2[[#This Row],[pWin]] + Table2[[#This Row],[EQlose]]*(1-Table2[[#This Row],[pWin]]) - Table2[[#This Row],[Eqfact]]</f>
        <v>-4.291640000000041E-3</v>
      </c>
      <c r="R73" s="12">
        <f>Table2[[#This Row],[pWin]]*Table2[[#This Row],[ICMwin]]+(1-Table2[[#This Row],[pWin]])*Table2[[#This Row],[ICMlose]]-Table2[[#This Row],[ICMFact]]</f>
        <v>-0.38384428160000184</v>
      </c>
      <c r="S73" s="16">
        <f>Table2[[#This Row],[Kowin]]*Table2[[#This Row],[pWin]]+Table2[[#This Row],[Kolose]]*(1-Table2[[#This Row],[pWin]])-Table2[[#This Row],[KOFact]]</f>
        <v>-0.15401450000000005</v>
      </c>
      <c r="T73" s="2">
        <f>Table2[[#This Row],[KODiff]]*bounty</f>
        <v>0</v>
      </c>
      <c r="U73" s="7">
        <f>Table2[[#This Row],[ICMdiff]]+Table2[[#This Row],[KOmoneyDiff]]</f>
        <v>-0.38384428160000184</v>
      </c>
      <c r="V73" s="38">
        <f>Table2[[#This Row],[pWin]]*Table2[[#This Row],[stackwin]]+(1-Table2[[#This Row],[pWin]])*Table2[[#This Row],[stacklose]]-Table2[[#This Row],[stackfact]]</f>
        <v>0</v>
      </c>
    </row>
    <row r="74" spans="1:24" s="40" customFormat="1" x14ac:dyDescent="0.25">
      <c r="D74" s="43"/>
      <c r="F74" s="41">
        <f>Table2[[#This Row],[EQwin]]*$E$1</f>
        <v>0</v>
      </c>
      <c r="G74" s="42">
        <f>2*Table2[[#This Row],[stackwin]]/3000</f>
        <v>0</v>
      </c>
      <c r="H74" s="43"/>
      <c r="J74" s="41">
        <f t="shared" ref="J74" si="12">I74*$E$1</f>
        <v>0</v>
      </c>
      <c r="K74" s="44">
        <f>5*Table2[[#This Row],[stacklose]]/3000</f>
        <v>0</v>
      </c>
      <c r="M74" s="45"/>
      <c r="O74" s="41">
        <f t="shared" ref="O74" si="13">N74*$E$1</f>
        <v>0</v>
      </c>
      <c r="P74" s="46">
        <f>5*Table2[[#This Row],[stackfact]]/3000</f>
        <v>0</v>
      </c>
      <c r="Q74" s="47">
        <f>Table2[[#This Row],[EQwin]]*Table2[[#This Row],[pWin]] + Table2[[#This Row],[EQlose]]*(1-Table2[[#This Row],[pWin]]) - Table2[[#This Row],[Eqfact]]</f>
        <v>0</v>
      </c>
      <c r="R74" s="48">
        <f>Table2[[#This Row],[pWin]]*Table2[[#This Row],[ICMwin]]+(1-Table2[[#This Row],[pWin]])*Table2[[#This Row],[ICMlose]]-Table2[[#This Row],[ICMFact]]</f>
        <v>0</v>
      </c>
      <c r="S74" s="42">
        <f>Table2[[#This Row],[Kowin]]*Table2[[#This Row],[pWin]]+Table2[[#This Row],[Kolose]]*(1-Table2[[#This Row],[pWin]])-Table2[[#This Row],[KOFact]]</f>
        <v>0</v>
      </c>
      <c r="T74" s="41">
        <f>Table2[[#This Row],[KODiff]]*bounty</f>
        <v>0</v>
      </c>
      <c r="U74" s="49">
        <f>Table2[[#This Row],[ICMdiff]]+Table2[[#This Row],[KOmoneyDiff]]</f>
        <v>0</v>
      </c>
      <c r="V74" s="47">
        <f>Table2[[#This Row],[pWin]]*Table2[[#This Row],[stackwin]]+(1-Table2[[#This Row],[pWin]])*Table2[[#This Row],[stacklose]]-Table2[[#This Row],[stackfact]]</f>
        <v>0</v>
      </c>
    </row>
    <row r="75" spans="1:24" s="17" customFormat="1" x14ac:dyDescent="0.25">
      <c r="A75" s="17">
        <v>500</v>
      </c>
      <c r="B75" s="17" t="s">
        <v>68</v>
      </c>
      <c r="C75" s="17">
        <v>0.4597</v>
      </c>
      <c r="D75" s="19">
        <v>1070</v>
      </c>
      <c r="E75" s="17">
        <v>0.42509999999999998</v>
      </c>
      <c r="F75" s="18">
        <f>Table2[[#This Row],[EQwin]]*$E$1</f>
        <v>38.020944</v>
      </c>
      <c r="G75" s="24">
        <f>2*Table2[[#This Row],[stackwin]]/3000</f>
        <v>0.71333333333333337</v>
      </c>
      <c r="H75" s="19">
        <v>0</v>
      </c>
      <c r="I75" s="17">
        <v>0</v>
      </c>
      <c r="J75" s="18">
        <f t="shared" si="10"/>
        <v>0</v>
      </c>
      <c r="K75" s="20">
        <f>5*Table2[[#This Row],[stacklose]]/3000</f>
        <v>0</v>
      </c>
      <c r="M75" s="19">
        <v>0</v>
      </c>
      <c r="N75" s="17">
        <v>0</v>
      </c>
      <c r="O75" s="18">
        <f t="shared" si="11"/>
        <v>0</v>
      </c>
      <c r="P75" s="22">
        <f>5*Table2[[#This Row],[stackfact]]/3000</f>
        <v>0</v>
      </c>
      <c r="Q75" s="35">
        <f>Table2[[#This Row],[EQwin]]*Table2[[#This Row],[pWin]] + Table2[[#This Row],[EQlose]]*(1-Table2[[#This Row],[pWin]]) - Table2[[#This Row],[Eqfact]]</f>
        <v>0.19541846999999998</v>
      </c>
      <c r="R75" s="23">
        <f>Table2[[#This Row],[pWin]]*Table2[[#This Row],[ICMwin]]+(1-Table2[[#This Row],[pWin]])*Table2[[#This Row],[ICMlose]]-Table2[[#This Row],[ICMFact]]</f>
        <v>17.478227956800001</v>
      </c>
      <c r="S75" s="24">
        <f>Table2[[#This Row],[Kowin]]*Table2[[#This Row],[pWin]]+Table2[[#This Row],[Kolose]]*(1-Table2[[#This Row],[pWin]])-Table2[[#This Row],[KOFact]]</f>
        <v>0.32791933333333334</v>
      </c>
      <c r="T75" s="18">
        <f>Table2[[#This Row],[KODiff]]*bounty</f>
        <v>0</v>
      </c>
      <c r="U75" s="25">
        <f>Table2[[#This Row],[ICMdiff]]+Table2[[#This Row],[KOmoneyDiff]]</f>
        <v>17.478227956800001</v>
      </c>
      <c r="V75" s="35">
        <f>Table2[[#This Row],[pWin]]*Table2[[#This Row],[stackwin]]+(1-Table2[[#This Row],[pWin]])*Table2[[#This Row],[stacklose]]-Table2[[#This Row],[stackfact]]</f>
        <v>491.87900000000002</v>
      </c>
      <c r="X75" s="17" t="s">
        <v>69</v>
      </c>
    </row>
    <row r="76" spans="1:24" x14ac:dyDescent="0.25">
      <c r="A76">
        <v>500</v>
      </c>
      <c r="B76" t="s">
        <v>70</v>
      </c>
      <c r="C76">
        <v>0.4597</v>
      </c>
      <c r="D76" s="10">
        <v>0</v>
      </c>
      <c r="E76">
        <v>0</v>
      </c>
      <c r="F76" s="2">
        <f>Table2[[#This Row],[EQwin]]*$E$1</f>
        <v>0</v>
      </c>
      <c r="G76" s="16">
        <f>2*Table2[[#This Row],[stackwin]]/3000</f>
        <v>0</v>
      </c>
      <c r="H76" s="10">
        <v>1070</v>
      </c>
      <c r="I76">
        <v>0.42509999999999998</v>
      </c>
      <c r="J76" s="2">
        <f t="shared" si="10"/>
        <v>38.020944</v>
      </c>
      <c r="K76" s="14">
        <f>5*Table2[[#This Row],[stacklose]]/3000</f>
        <v>1.7833333333333334</v>
      </c>
      <c r="M76" s="10">
        <v>1070</v>
      </c>
      <c r="N76">
        <v>0.42509999999999998</v>
      </c>
      <c r="O76" s="2">
        <f t="shared" si="11"/>
        <v>38.020944</v>
      </c>
      <c r="P76" s="15">
        <f>5*Table2[[#This Row],[stackfact]]/3000</f>
        <v>1.7833333333333334</v>
      </c>
      <c r="Q76" s="38">
        <f>Table2[[#This Row],[EQwin]]*Table2[[#This Row],[pWin]] + Table2[[#This Row],[EQlose]]*(1-Table2[[#This Row],[pWin]]) - Table2[[#This Row],[Eqfact]]</f>
        <v>-0.19541846999999998</v>
      </c>
      <c r="R76" s="12">
        <f>Table2[[#This Row],[pWin]]*Table2[[#This Row],[ICMwin]]+(1-Table2[[#This Row],[pWin]])*Table2[[#This Row],[ICMlose]]-Table2[[#This Row],[ICMFact]]</f>
        <v>-17.478227956800001</v>
      </c>
      <c r="S76" s="16">
        <f>Table2[[#This Row],[Kowin]]*Table2[[#This Row],[pWin]]+Table2[[#This Row],[Kolose]]*(1-Table2[[#This Row],[pWin]])-Table2[[#This Row],[KOFact]]</f>
        <v>-0.81979833333333341</v>
      </c>
      <c r="T76" s="2">
        <f>Table2[[#This Row],[KODiff]]*bounty</f>
        <v>0</v>
      </c>
      <c r="U76" s="7">
        <f>Table2[[#This Row],[ICMdiff]]+Table2[[#This Row],[KOmoneyDiff]]</f>
        <v>-17.478227956800001</v>
      </c>
      <c r="V76" s="38">
        <f>Table2[[#This Row],[pWin]]*Table2[[#This Row],[stackwin]]+(1-Table2[[#This Row],[pWin]])*Table2[[#This Row],[stacklose]]-Table2[[#This Row],[stackfact]]</f>
        <v>-491.87900000000002</v>
      </c>
    </row>
    <row r="77" spans="1:24" x14ac:dyDescent="0.25">
      <c r="A77">
        <v>500</v>
      </c>
      <c r="C77">
        <v>0.4597</v>
      </c>
      <c r="D77" s="10">
        <v>490</v>
      </c>
      <c r="E77">
        <v>0.29970000000000002</v>
      </c>
      <c r="F77" s="2">
        <f>Table2[[#This Row],[EQwin]]*$E$1</f>
        <v>26.805168000000002</v>
      </c>
      <c r="G77" s="16">
        <f>2*Table2[[#This Row],[stackwin]]/3000</f>
        <v>0.32666666666666666</v>
      </c>
      <c r="H77" s="10">
        <v>490</v>
      </c>
      <c r="I77">
        <v>0.29970000000000002</v>
      </c>
      <c r="J77" s="2">
        <f t="shared" si="10"/>
        <v>26.805168000000002</v>
      </c>
      <c r="K77" s="14">
        <f>5*Table2[[#This Row],[stacklose]]/3000</f>
        <v>0.81666666666666665</v>
      </c>
      <c r="M77" s="10">
        <v>490</v>
      </c>
      <c r="N77">
        <v>0.29970000000000002</v>
      </c>
      <c r="O77" s="2">
        <f t="shared" si="11"/>
        <v>26.805168000000002</v>
      </c>
      <c r="P77" s="15">
        <f>5*Table2[[#This Row],[stackfact]]/3000</f>
        <v>0.81666666666666665</v>
      </c>
      <c r="Q77" s="38">
        <f>Table2[[#This Row],[EQwin]]*Table2[[#This Row],[pWin]] + Table2[[#This Row],[EQlose]]*(1-Table2[[#This Row],[pWin]]) - Table2[[#This Row],[Eqfact]]</f>
        <v>0</v>
      </c>
      <c r="R77" s="12">
        <f>Table2[[#This Row],[pWin]]*Table2[[#This Row],[ICMwin]]+(1-Table2[[#This Row],[pWin]])*Table2[[#This Row],[ICMlose]]-Table2[[#This Row],[ICMFact]]</f>
        <v>0</v>
      </c>
      <c r="S77" s="16">
        <f>Table2[[#This Row],[Kowin]]*Table2[[#This Row],[pWin]]+Table2[[#This Row],[Kolose]]*(1-Table2[[#This Row],[pWin]])-Table2[[#This Row],[KOFact]]</f>
        <v>-0.22525299999999993</v>
      </c>
      <c r="T77" s="2">
        <f>Table2[[#This Row],[KODiff]]*bounty</f>
        <v>0</v>
      </c>
      <c r="U77" s="7">
        <f>Table2[[#This Row],[ICMdiff]]+Table2[[#This Row],[KOmoneyDiff]]</f>
        <v>0</v>
      </c>
      <c r="V77" s="38">
        <f>Table2[[#This Row],[pWin]]*Table2[[#This Row],[stackwin]]+(1-Table2[[#This Row],[pWin]])*Table2[[#This Row],[stacklose]]-Table2[[#This Row],[stackfact]]</f>
        <v>0</v>
      </c>
    </row>
    <row r="78" spans="1:24" x14ac:dyDescent="0.25">
      <c r="A78">
        <v>500</v>
      </c>
      <c r="C78">
        <v>0.4597</v>
      </c>
      <c r="D78" s="10">
        <v>440</v>
      </c>
      <c r="E78">
        <v>0.2752</v>
      </c>
      <c r="F78" s="2">
        <f>Table2[[#This Row],[EQwin]]*$E$1</f>
        <v>24.613887999999999</v>
      </c>
      <c r="G78" s="16">
        <f>2*Table2[[#This Row],[stackwin]]/3000</f>
        <v>0.29333333333333333</v>
      </c>
      <c r="H78" s="10">
        <v>440</v>
      </c>
      <c r="I78">
        <v>0.2752</v>
      </c>
      <c r="J78" s="2">
        <f t="shared" si="10"/>
        <v>24.613887999999999</v>
      </c>
      <c r="K78" s="14">
        <f>5*Table2[[#This Row],[stacklose]]/3000</f>
        <v>0.73333333333333328</v>
      </c>
      <c r="M78" s="10">
        <v>440</v>
      </c>
      <c r="N78">
        <v>0.2752</v>
      </c>
      <c r="O78" s="2">
        <f t="shared" si="11"/>
        <v>24.613887999999999</v>
      </c>
      <c r="P78" s="15">
        <f>5*Table2[[#This Row],[stackfact]]/3000</f>
        <v>0.73333333333333328</v>
      </c>
      <c r="Q78" s="38">
        <f>Table2[[#This Row],[EQwin]]*Table2[[#This Row],[pWin]] + Table2[[#This Row],[EQlose]]*(1-Table2[[#This Row],[pWin]]) - Table2[[#This Row],[Eqfact]]</f>
        <v>0</v>
      </c>
      <c r="R78" s="12">
        <f>Table2[[#This Row],[pWin]]*Table2[[#This Row],[ICMwin]]+(1-Table2[[#This Row],[pWin]])*Table2[[#This Row],[ICMlose]]-Table2[[#This Row],[ICMFact]]</f>
        <v>0</v>
      </c>
      <c r="S78" s="16">
        <f>Table2[[#This Row],[Kowin]]*Table2[[#This Row],[pWin]]+Table2[[#This Row],[Kolose]]*(1-Table2[[#This Row],[pWin]])-Table2[[#This Row],[KOFact]]</f>
        <v>-0.202268</v>
      </c>
      <c r="T78" s="2">
        <f>Table2[[#This Row],[KODiff]]*bounty</f>
        <v>0</v>
      </c>
      <c r="U78" s="7">
        <f>Table2[[#This Row],[ICMdiff]]+Table2[[#This Row],[KOmoneyDiff]]</f>
        <v>0</v>
      </c>
      <c r="V78" s="38">
        <f>Table2[[#This Row],[pWin]]*Table2[[#This Row],[stackwin]]+(1-Table2[[#This Row],[pWin]])*Table2[[#This Row],[stacklose]]-Table2[[#This Row],[stackfact]]</f>
        <v>0</v>
      </c>
    </row>
    <row r="79" spans="1:24" x14ac:dyDescent="0.25">
      <c r="D79" s="10"/>
      <c r="F79" s="2">
        <f>Table2[[#This Row],[EQwin]]*$E$1</f>
        <v>0</v>
      </c>
      <c r="G79" s="16">
        <f>2*Table2[[#This Row],[stackwin]]/3000</f>
        <v>0</v>
      </c>
      <c r="H79" s="10"/>
      <c r="J79" s="2">
        <f t="shared" si="10"/>
        <v>0</v>
      </c>
      <c r="K79" s="14">
        <f>5*Table2[[#This Row],[stacklose]]/3000</f>
        <v>0</v>
      </c>
      <c r="M79" s="8"/>
      <c r="O79" s="2">
        <f t="shared" si="11"/>
        <v>0</v>
      </c>
      <c r="P79" s="15">
        <f>5*Table2[[#This Row],[stackfact]]/3000</f>
        <v>0</v>
      </c>
      <c r="Q79" s="38">
        <f>Table2[[#This Row],[EQwin]]*Table2[[#This Row],[pWin]] + Table2[[#This Row],[EQlose]]*(1-Table2[[#This Row],[pWin]]) - Table2[[#This Row],[Eqfact]]</f>
        <v>0</v>
      </c>
      <c r="R79" s="12">
        <f>Table2[[#This Row],[pWin]]*Table2[[#This Row],[ICMwin]]+(1-Table2[[#This Row],[pWin]])*Table2[[#This Row],[ICMlose]]-Table2[[#This Row],[ICMFact]]</f>
        <v>0</v>
      </c>
      <c r="S79" s="16">
        <f>Table2[[#This Row],[Kowin]]*Table2[[#This Row],[pWin]]+Table2[[#This Row],[Kolose]]*(1-Table2[[#This Row],[pWin]])-Table2[[#This Row],[KOFact]]</f>
        <v>0</v>
      </c>
      <c r="T79" s="2">
        <f>Table2[[#This Row],[KODiff]]*bounty</f>
        <v>0</v>
      </c>
      <c r="U79" s="7">
        <f>Table2[[#This Row],[ICMdiff]]+Table2[[#This Row],[KOmoneyDiff]]</f>
        <v>0</v>
      </c>
      <c r="V79" s="38">
        <f>Table2[[#This Row],[pWin]]*Table2[[#This Row],[stackwin]]+(1-Table2[[#This Row],[pWin]])*Table2[[#This Row],[stacklose]]-Table2[[#This Row],[stackfact]]</f>
        <v>0</v>
      </c>
    </row>
    <row r="80" spans="1:24" x14ac:dyDescent="0.25">
      <c r="D80" s="10"/>
      <c r="F80" s="2">
        <f>Table2[[#This Row],[EQwin]]*$E$1</f>
        <v>0</v>
      </c>
      <c r="G80" s="16">
        <f>2*Table2[[#This Row],[stackwin]]/3000</f>
        <v>0</v>
      </c>
      <c r="H80" s="10"/>
      <c r="J80" s="2">
        <f t="shared" si="10"/>
        <v>0</v>
      </c>
      <c r="K80" s="14">
        <f>5*Table2[[#This Row],[stacklose]]/3000</f>
        <v>0</v>
      </c>
      <c r="M80" s="8"/>
      <c r="O80" s="2">
        <f t="shared" si="11"/>
        <v>0</v>
      </c>
      <c r="P80" s="15">
        <f>5*Table2[[#This Row],[stackfact]]/3000</f>
        <v>0</v>
      </c>
      <c r="Q80" s="38">
        <f>Table2[[#This Row],[EQwin]]*Table2[[#This Row],[pWin]] + Table2[[#This Row],[EQlose]]*(1-Table2[[#This Row],[pWin]]) - Table2[[#This Row],[Eqfact]]</f>
        <v>0</v>
      </c>
      <c r="R80" s="12">
        <f>Table2[[#This Row],[pWin]]*Table2[[#This Row],[ICMwin]]+(1-Table2[[#This Row],[pWin]])*Table2[[#This Row],[ICMlose]]-Table2[[#This Row],[ICMFact]]</f>
        <v>0</v>
      </c>
      <c r="S80" s="16">
        <f>Table2[[#This Row],[Kowin]]*Table2[[#This Row],[pWin]]+Table2[[#This Row],[Kolose]]*(1-Table2[[#This Row],[pWin]])-Table2[[#This Row],[KOFact]]</f>
        <v>0</v>
      </c>
      <c r="T80" s="2">
        <f>Table2[[#This Row],[KODiff]]*bounty</f>
        <v>0</v>
      </c>
      <c r="U80" s="7">
        <f>Table2[[#This Row],[ICMdiff]]+Table2[[#This Row],[KOmoneyDiff]]</f>
        <v>0</v>
      </c>
      <c r="V80" s="38">
        <f>Table2[[#This Row],[pWin]]*Table2[[#This Row],[stackwin]]+(1-Table2[[#This Row],[pWin]])*Table2[[#This Row],[stacklose]]-Table2[[#This Row],[stackfact]]</f>
        <v>0</v>
      </c>
    </row>
    <row r="81" spans="4:22" x14ac:dyDescent="0.25">
      <c r="D81" s="10"/>
      <c r="F81" s="2">
        <f>Table2[[#This Row],[EQwin]]*$E$1</f>
        <v>0</v>
      </c>
      <c r="G81" s="16">
        <f>2*Table2[[#This Row],[stackwin]]/3000</f>
        <v>0</v>
      </c>
      <c r="H81" s="10"/>
      <c r="J81" s="2">
        <f t="shared" si="10"/>
        <v>0</v>
      </c>
      <c r="K81" s="14">
        <f>5*Table2[[#This Row],[stacklose]]/3000</f>
        <v>0</v>
      </c>
      <c r="M81" s="8"/>
      <c r="O81" s="2">
        <f t="shared" si="11"/>
        <v>0</v>
      </c>
      <c r="P81" s="15">
        <f>5*Table2[[#This Row],[stackfact]]/3000</f>
        <v>0</v>
      </c>
      <c r="Q81" s="38">
        <f>Table2[[#This Row],[EQwin]]*Table2[[#This Row],[pWin]] + Table2[[#This Row],[EQlose]]*(1-Table2[[#This Row],[pWin]]) - Table2[[#This Row],[Eqfact]]</f>
        <v>0</v>
      </c>
      <c r="R81" s="12">
        <f>Table2[[#This Row],[pWin]]*Table2[[#This Row],[ICMwin]]+(1-Table2[[#This Row],[pWin]])*Table2[[#This Row],[ICMlose]]-Table2[[#This Row],[ICMFact]]</f>
        <v>0</v>
      </c>
      <c r="S81" s="16">
        <f>Table2[[#This Row],[Kowin]]*Table2[[#This Row],[pWin]]+Table2[[#This Row],[Kolose]]*(1-Table2[[#This Row],[pWin]])-Table2[[#This Row],[KOFact]]</f>
        <v>0</v>
      </c>
      <c r="T81" s="2">
        <f>Table2[[#This Row],[KODiff]]*bounty</f>
        <v>0</v>
      </c>
      <c r="U81" s="7">
        <f>Table2[[#This Row],[ICMdiff]]+Table2[[#This Row],[KOmoneyDiff]]</f>
        <v>0</v>
      </c>
      <c r="V81" s="38">
        <f>Table2[[#This Row],[pWin]]*Table2[[#This Row],[stackwin]]+(1-Table2[[#This Row],[pWin]])*Table2[[#This Row],[stacklose]]-Table2[[#This Row],[stackfact]]</f>
        <v>0</v>
      </c>
    </row>
    <row r="82" spans="4:22" x14ac:dyDescent="0.25">
      <c r="D82" s="10"/>
      <c r="F82" s="2">
        <f>Table2[[#This Row],[EQwin]]*$E$1</f>
        <v>0</v>
      </c>
      <c r="G82" s="16">
        <f>2*Table2[[#This Row],[stackwin]]/3000</f>
        <v>0</v>
      </c>
      <c r="H82" s="10"/>
      <c r="J82" s="2">
        <f t="shared" si="10"/>
        <v>0</v>
      </c>
      <c r="K82" s="14">
        <f>5*Table2[[#This Row],[stacklose]]/3000</f>
        <v>0</v>
      </c>
      <c r="M82" s="8"/>
      <c r="O82" s="2">
        <f t="shared" si="11"/>
        <v>0</v>
      </c>
      <c r="P82" s="15">
        <f>5*Table2[[#This Row],[stackfact]]/3000</f>
        <v>0</v>
      </c>
      <c r="Q82" s="38">
        <f>Table2[[#This Row],[EQwin]]*Table2[[#This Row],[pWin]] + Table2[[#This Row],[EQlose]]*(1-Table2[[#This Row],[pWin]]) - Table2[[#This Row],[Eqfact]]</f>
        <v>0</v>
      </c>
      <c r="R82" s="12">
        <f>Table2[[#This Row],[pWin]]*Table2[[#This Row],[ICMwin]]+(1-Table2[[#This Row],[pWin]])*Table2[[#This Row],[ICMlose]]-Table2[[#This Row],[ICMFact]]</f>
        <v>0</v>
      </c>
      <c r="S82" s="16">
        <f>Table2[[#This Row],[Kowin]]*Table2[[#This Row],[pWin]]+Table2[[#This Row],[Kolose]]*(1-Table2[[#This Row],[pWin]])-Table2[[#This Row],[KOFact]]</f>
        <v>0</v>
      </c>
      <c r="T82" s="2">
        <f>Table2[[#This Row],[KODiff]]*bounty</f>
        <v>0</v>
      </c>
      <c r="U82" s="7">
        <f>Table2[[#This Row],[ICMdiff]]+Table2[[#This Row],[KOmoneyDiff]]</f>
        <v>0</v>
      </c>
      <c r="V82" s="38">
        <f>Table2[[#This Row],[pWin]]*Table2[[#This Row],[stackwin]]+(1-Table2[[#This Row],[pWin]])*Table2[[#This Row],[stacklose]]-Table2[[#This Row],[stackfact]]</f>
        <v>0</v>
      </c>
    </row>
    <row r="83" spans="4:22" x14ac:dyDescent="0.25">
      <c r="D83" s="10"/>
      <c r="F83" s="2">
        <f>Table2[[#This Row],[EQwin]]*$E$1</f>
        <v>0</v>
      </c>
      <c r="G83" s="16">
        <f>2*Table2[[#This Row],[stackwin]]/3000</f>
        <v>0</v>
      </c>
      <c r="H83" s="10"/>
      <c r="J83" s="2">
        <f t="shared" si="10"/>
        <v>0</v>
      </c>
      <c r="K83" s="14">
        <f>5*Table2[[#This Row],[stacklose]]/3000</f>
        <v>0</v>
      </c>
      <c r="M83" s="8"/>
      <c r="O83" s="2">
        <f t="shared" si="11"/>
        <v>0</v>
      </c>
      <c r="P83" s="15">
        <f>5*Table2[[#This Row],[stackfact]]/3000</f>
        <v>0</v>
      </c>
      <c r="Q83" s="38">
        <f>Table2[[#This Row],[EQwin]]*Table2[[#This Row],[pWin]] + Table2[[#This Row],[EQlose]]*(1-Table2[[#This Row],[pWin]]) - Table2[[#This Row],[Eqfact]]</f>
        <v>0</v>
      </c>
      <c r="R83" s="12">
        <f>Table2[[#This Row],[pWin]]*Table2[[#This Row],[ICMwin]]+(1-Table2[[#This Row],[pWin]])*Table2[[#This Row],[ICMlose]]-Table2[[#This Row],[ICMFact]]</f>
        <v>0</v>
      </c>
      <c r="S83" s="16">
        <f>Table2[[#This Row],[Kowin]]*Table2[[#This Row],[pWin]]+Table2[[#This Row],[Kolose]]*(1-Table2[[#This Row],[pWin]])-Table2[[#This Row],[KOFact]]</f>
        <v>0</v>
      </c>
      <c r="T83" s="2">
        <f>Table2[[#This Row],[KODiff]]*bounty</f>
        <v>0</v>
      </c>
      <c r="U83" s="7">
        <f>Table2[[#This Row],[ICMdiff]]+Table2[[#This Row],[KOmoneyDiff]]</f>
        <v>0</v>
      </c>
      <c r="V83" s="38">
        <f>Table2[[#This Row],[pWin]]*Table2[[#This Row],[stackwin]]+(1-Table2[[#This Row],[pWin]])*Table2[[#This Row],[stacklose]]-Table2[[#This Row],[stackfact]]</f>
        <v>0</v>
      </c>
    </row>
    <row r="84" spans="4:22" x14ac:dyDescent="0.25">
      <c r="D84" s="10"/>
      <c r="F84" s="2">
        <f>Table2[[#This Row],[EQwin]]*$E$1</f>
        <v>0</v>
      </c>
      <c r="G84" s="16">
        <f>2*Table2[[#This Row],[stackwin]]/3000</f>
        <v>0</v>
      </c>
      <c r="H84" s="10"/>
      <c r="J84" s="2">
        <f t="shared" si="10"/>
        <v>0</v>
      </c>
      <c r="K84" s="14">
        <f>5*Table2[[#This Row],[stacklose]]/3000</f>
        <v>0</v>
      </c>
      <c r="M84" s="8"/>
      <c r="O84" s="2">
        <f t="shared" si="11"/>
        <v>0</v>
      </c>
      <c r="P84" s="15">
        <f>5*Table2[[#This Row],[stackfact]]/3000</f>
        <v>0</v>
      </c>
      <c r="Q84" s="38">
        <f>Table2[[#This Row],[EQwin]]*Table2[[#This Row],[pWin]] + Table2[[#This Row],[EQlose]]*(1-Table2[[#This Row],[pWin]]) - Table2[[#This Row],[Eqfact]]</f>
        <v>0</v>
      </c>
      <c r="R84" s="12">
        <f>Table2[[#This Row],[pWin]]*Table2[[#This Row],[ICMwin]]+(1-Table2[[#This Row],[pWin]])*Table2[[#This Row],[ICMlose]]-Table2[[#This Row],[ICMFact]]</f>
        <v>0</v>
      </c>
      <c r="S84" s="16">
        <f>Table2[[#This Row],[Kowin]]*Table2[[#This Row],[pWin]]+Table2[[#This Row],[Kolose]]*(1-Table2[[#This Row],[pWin]])-Table2[[#This Row],[KOFact]]</f>
        <v>0</v>
      </c>
      <c r="T84" s="2">
        <f>Table2[[#This Row],[KODiff]]*bounty</f>
        <v>0</v>
      </c>
      <c r="U84" s="7">
        <f>Table2[[#This Row],[ICMdiff]]+Table2[[#This Row],[KOmoneyDiff]]</f>
        <v>0</v>
      </c>
      <c r="V84" s="38">
        <f>Table2[[#This Row],[pWin]]*Table2[[#This Row],[stackwin]]+(1-Table2[[#This Row],[pWin]])*Table2[[#This Row],[stacklose]]-Table2[[#This Row],[stackfact]]</f>
        <v>0</v>
      </c>
    </row>
    <row r="85" spans="4:22" x14ac:dyDescent="0.25">
      <c r="D85" s="10"/>
      <c r="F85" s="2">
        <f>Table2[[#This Row],[EQwin]]*$E$1</f>
        <v>0</v>
      </c>
      <c r="G85" s="16">
        <f>2*Table2[[#This Row],[stackwin]]/3000</f>
        <v>0</v>
      </c>
      <c r="H85" s="10"/>
      <c r="J85" s="2">
        <f t="shared" si="10"/>
        <v>0</v>
      </c>
      <c r="K85" s="14">
        <f>5*Table2[[#This Row],[stacklose]]/3000</f>
        <v>0</v>
      </c>
      <c r="M85" s="8"/>
      <c r="O85" s="2">
        <f t="shared" si="11"/>
        <v>0</v>
      </c>
      <c r="P85" s="15">
        <f>5*Table2[[#This Row],[stackfact]]/3000</f>
        <v>0</v>
      </c>
      <c r="Q85" s="38">
        <f>Table2[[#This Row],[EQwin]]*Table2[[#This Row],[pWin]] + Table2[[#This Row],[EQlose]]*(1-Table2[[#This Row],[pWin]]) - Table2[[#This Row],[Eqfact]]</f>
        <v>0</v>
      </c>
      <c r="R85" s="12">
        <f>Table2[[#This Row],[pWin]]*Table2[[#This Row],[ICMwin]]+(1-Table2[[#This Row],[pWin]])*Table2[[#This Row],[ICMlose]]-Table2[[#This Row],[ICMFact]]</f>
        <v>0</v>
      </c>
      <c r="S85" s="16">
        <f>Table2[[#This Row],[Kowin]]*Table2[[#This Row],[pWin]]+Table2[[#This Row],[Kolose]]*(1-Table2[[#This Row],[pWin]])-Table2[[#This Row],[KOFact]]</f>
        <v>0</v>
      </c>
      <c r="T85" s="2">
        <f>Table2[[#This Row],[KODiff]]*bounty</f>
        <v>0</v>
      </c>
      <c r="U85" s="7">
        <f>Table2[[#This Row],[ICMdiff]]+Table2[[#This Row],[KOmoneyDiff]]</f>
        <v>0</v>
      </c>
      <c r="V85" s="38">
        <f>Table2[[#This Row],[pWin]]*Table2[[#This Row],[stackwin]]+(1-Table2[[#This Row],[pWin]])*Table2[[#This Row],[stacklose]]-Table2[[#This Row],[stackfact]]</f>
        <v>0</v>
      </c>
    </row>
    <row r="86" spans="4:22" x14ac:dyDescent="0.25">
      <c r="D86" s="10"/>
      <c r="F86" s="2">
        <f>Table2[[#This Row],[EQwin]]*$E$1</f>
        <v>0</v>
      </c>
      <c r="G86" s="16">
        <f>2*Table2[[#This Row],[stackwin]]/3000</f>
        <v>0</v>
      </c>
      <c r="H86" s="10"/>
      <c r="J86" s="2">
        <f t="shared" si="10"/>
        <v>0</v>
      </c>
      <c r="K86" s="14">
        <f>5*Table2[[#This Row],[stacklose]]/3000</f>
        <v>0</v>
      </c>
      <c r="M86" s="8"/>
      <c r="O86" s="2">
        <f t="shared" si="11"/>
        <v>0</v>
      </c>
      <c r="P86" s="15">
        <f>5*Table2[[#This Row],[stackfact]]/3000</f>
        <v>0</v>
      </c>
      <c r="Q86" s="38">
        <f>Table2[[#This Row],[EQwin]]*Table2[[#This Row],[pWin]] + Table2[[#This Row],[EQlose]]*(1-Table2[[#This Row],[pWin]]) - Table2[[#This Row],[Eqfact]]</f>
        <v>0</v>
      </c>
      <c r="R86" s="12">
        <f>Table2[[#This Row],[pWin]]*Table2[[#This Row],[ICMwin]]+(1-Table2[[#This Row],[pWin]])*Table2[[#This Row],[ICMlose]]-Table2[[#This Row],[ICMFact]]</f>
        <v>0</v>
      </c>
      <c r="S86" s="16">
        <f>Table2[[#This Row],[Kowin]]*Table2[[#This Row],[pWin]]+Table2[[#This Row],[Kolose]]*(1-Table2[[#This Row],[pWin]])-Table2[[#This Row],[KOFact]]</f>
        <v>0</v>
      </c>
      <c r="T86" s="2">
        <f>Table2[[#This Row],[KODiff]]*bounty</f>
        <v>0</v>
      </c>
      <c r="U86" s="7">
        <f>Table2[[#This Row],[ICMdiff]]+Table2[[#This Row],[KOmoneyDiff]]</f>
        <v>0</v>
      </c>
      <c r="V86" s="38">
        <f>Table2[[#This Row],[pWin]]*Table2[[#This Row],[stackwin]]+(1-Table2[[#This Row],[pWin]])*Table2[[#This Row],[stacklose]]-Table2[[#This Row],[stackfact]]</f>
        <v>0</v>
      </c>
    </row>
    <row r="87" spans="4:22" x14ac:dyDescent="0.25">
      <c r="D87" s="10"/>
      <c r="F87" s="2"/>
      <c r="G87" s="2"/>
      <c r="H87" s="10"/>
      <c r="J87" s="2"/>
      <c r="K87" s="14"/>
      <c r="M87" s="8"/>
      <c r="O87" s="2"/>
      <c r="P87" s="15"/>
      <c r="R87" s="12"/>
      <c r="S87" s="16"/>
      <c r="T87" s="2"/>
      <c r="U87" s="7"/>
    </row>
    <row r="1048505" spans="17:17" x14ac:dyDescent="0.25">
      <c r="Q1048505" s="13">
        <f>M1048505/3000</f>
        <v>0</v>
      </c>
    </row>
  </sheetData>
  <mergeCells count="4">
    <mergeCell ref="M6:P6"/>
    <mergeCell ref="H6:K6"/>
    <mergeCell ref="R6:U6"/>
    <mergeCell ref="D6:G6"/>
  </mergeCells>
  <pageMargins left="0.7" right="0.7" top="0.75" bottom="0.75" header="0.3" footer="0.3"/>
  <pageSetup paperSize="9" orientation="portrait" horizontalDpi="4294967293" verticalDpi="0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54126-4017-4ED0-A574-D53680F973EE}">
  <dimension ref="A1:AV64"/>
  <sheetViews>
    <sheetView workbookViewId="0">
      <selection activeCell="O29" sqref="O29"/>
    </sheetView>
  </sheetViews>
  <sheetFormatPr defaultRowHeight="15" x14ac:dyDescent="0.25"/>
  <cols>
    <col min="1" max="1" width="9.28515625" customWidth="1"/>
    <col min="5" max="5" width="2.7109375" customWidth="1"/>
    <col min="6" max="6" width="10.28515625" customWidth="1"/>
    <col min="12" max="12" width="2.140625" customWidth="1"/>
    <col min="13" max="13" width="10.28515625" customWidth="1"/>
    <col min="19" max="19" width="2" customWidth="1"/>
    <col min="20" max="20" width="9.5703125" bestFit="1" customWidth="1"/>
    <col min="21" max="21" width="10.28515625" customWidth="1"/>
    <col min="26" max="26" width="2" customWidth="1"/>
    <col min="27" max="27" width="7.7109375" customWidth="1"/>
    <col min="28" max="29" width="8.5703125" customWidth="1"/>
    <col min="30" max="30" width="9.85546875" customWidth="1"/>
    <col min="31" max="31" width="8.42578125" customWidth="1"/>
    <col min="33" max="33" width="2.140625" customWidth="1"/>
    <col min="34" max="34" width="2" customWidth="1"/>
    <col min="35" max="35" width="10" customWidth="1"/>
    <col min="39" max="39" width="10.5703125" customWidth="1"/>
    <col min="41" max="41" width="1.5703125" customWidth="1"/>
    <col min="42" max="42" width="1.140625" customWidth="1"/>
    <col min="46" max="46" width="10.7109375" customWidth="1"/>
    <col min="47" max="47" width="10.85546875" customWidth="1"/>
  </cols>
  <sheetData>
    <row r="1" spans="1:48" ht="15.75" x14ac:dyDescent="0.25">
      <c r="C1" s="80" t="s">
        <v>0</v>
      </c>
      <c r="D1">
        <f>2.79*4</f>
        <v>11.16</v>
      </c>
      <c r="F1" s="80" t="s">
        <v>71</v>
      </c>
      <c r="G1">
        <v>0.1794</v>
      </c>
      <c r="I1" s="80" t="s">
        <v>72</v>
      </c>
      <c r="J1">
        <v>0.5</v>
      </c>
      <c r="M1" s="80" t="s">
        <v>73</v>
      </c>
      <c r="N1">
        <v>1165</v>
      </c>
    </row>
    <row r="2" spans="1:48" ht="15.75" x14ac:dyDescent="0.25">
      <c r="C2" s="80" t="s">
        <v>1</v>
      </c>
      <c r="D2">
        <f>bounty</f>
        <v>0</v>
      </c>
      <c r="F2" s="80" t="s">
        <v>74</v>
      </c>
      <c r="G2">
        <v>0.22919999999999999</v>
      </c>
      <c r="I2" s="80" t="s">
        <v>75</v>
      </c>
      <c r="J2">
        <v>0.5</v>
      </c>
      <c r="M2" s="80" t="s">
        <v>76</v>
      </c>
      <c r="N2">
        <v>0</v>
      </c>
    </row>
    <row r="3" spans="1:48" ht="15.75" x14ac:dyDescent="0.25">
      <c r="C3" s="80" t="s">
        <v>77</v>
      </c>
      <c r="D3">
        <v>2000</v>
      </c>
      <c r="F3" s="80" t="s">
        <v>78</v>
      </c>
      <c r="G3">
        <v>0.59140000000000004</v>
      </c>
      <c r="M3" s="80" t="s">
        <v>79</v>
      </c>
      <c r="N3">
        <v>0</v>
      </c>
    </row>
    <row r="4" spans="1:48" ht="15.75" x14ac:dyDescent="0.25">
      <c r="F4" s="80" t="s">
        <v>80</v>
      </c>
      <c r="G4">
        <v>0</v>
      </c>
      <c r="M4" s="80" t="s">
        <v>81</v>
      </c>
      <c r="N4">
        <v>185</v>
      </c>
    </row>
    <row r="5" spans="1:48" ht="6" customHeight="1" x14ac:dyDescent="0.25"/>
    <row r="6" spans="1:48" x14ac:dyDescent="0.25">
      <c r="C6" t="s">
        <v>82</v>
      </c>
      <c r="D6" t="s">
        <v>83</v>
      </c>
    </row>
    <row r="7" spans="1:48" x14ac:dyDescent="0.25">
      <c r="C7" t="s">
        <v>84</v>
      </c>
      <c r="D7" t="s">
        <v>85</v>
      </c>
    </row>
    <row r="8" spans="1:48" x14ac:dyDescent="0.25">
      <c r="C8" t="s">
        <v>86</v>
      </c>
      <c r="D8" t="s">
        <v>87</v>
      </c>
    </row>
    <row r="9" spans="1:48" ht="6" customHeight="1" x14ac:dyDescent="0.25"/>
    <row r="10" spans="1:48" x14ac:dyDescent="0.25">
      <c r="F10" s="94" t="s">
        <v>88</v>
      </c>
      <c r="G10" s="81" t="s">
        <v>89</v>
      </c>
      <c r="H10" s="81" t="s">
        <v>90</v>
      </c>
      <c r="I10" s="81" t="s">
        <v>91</v>
      </c>
    </row>
    <row r="11" spans="1:48" ht="18.75" x14ac:dyDescent="0.3">
      <c r="F11" s="95"/>
      <c r="G11" s="81">
        <v>1</v>
      </c>
      <c r="H11" s="81">
        <v>0</v>
      </c>
      <c r="I11" s="82">
        <v>0</v>
      </c>
      <c r="J11" s="84"/>
      <c r="K11" s="84"/>
    </row>
    <row r="12" spans="1:48" ht="19.5" thickBot="1" x14ac:dyDescent="0.35">
      <c r="F12" s="84"/>
      <c r="G12" s="84"/>
      <c r="H12" s="84"/>
      <c r="I12" s="84"/>
      <c r="J12" s="84"/>
      <c r="K12" s="84"/>
      <c r="V12" t="s">
        <v>92</v>
      </c>
      <c r="AC12" t="s">
        <v>93</v>
      </c>
    </row>
    <row r="13" spans="1:48" ht="20.25" thickTop="1" thickBot="1" x14ac:dyDescent="0.35">
      <c r="F13" s="84"/>
      <c r="G13" s="84"/>
      <c r="H13" s="84"/>
      <c r="I13" s="84"/>
      <c r="J13" s="84"/>
      <c r="K13" s="84"/>
      <c r="T13" s="96" t="s">
        <v>94</v>
      </c>
      <c r="U13" s="97"/>
      <c r="V13" s="97"/>
      <c r="W13" s="97"/>
      <c r="X13" s="97"/>
      <c r="Y13" s="97"/>
      <c r="Z13" s="97"/>
      <c r="AA13" s="97"/>
      <c r="AB13" s="97"/>
      <c r="AC13" s="97"/>
      <c r="AD13" s="97"/>
      <c r="AE13" s="98"/>
      <c r="AQ13" s="96" t="s">
        <v>95</v>
      </c>
      <c r="AR13" s="97"/>
      <c r="AS13" s="97"/>
      <c r="AT13" s="97"/>
    </row>
    <row r="14" spans="1:48" ht="20.25" thickTop="1" thickBot="1" x14ac:dyDescent="0.35">
      <c r="F14" s="84"/>
      <c r="G14" s="84"/>
      <c r="H14" s="84" t="s">
        <v>96</v>
      </c>
      <c r="I14" s="84"/>
      <c r="J14" s="84"/>
      <c r="K14" s="84"/>
      <c r="O14" t="s">
        <v>97</v>
      </c>
      <c r="T14" s="96" t="s">
        <v>98</v>
      </c>
      <c r="U14" s="97"/>
      <c r="V14" s="97"/>
      <c r="W14" s="97"/>
      <c r="X14" s="97"/>
      <c r="Y14" s="97"/>
      <c r="Z14" s="97"/>
      <c r="AA14" s="97"/>
      <c r="AB14" s="97"/>
      <c r="AC14" s="97"/>
      <c r="AD14" s="97"/>
      <c r="AE14" s="98"/>
      <c r="AK14" t="s">
        <v>99</v>
      </c>
      <c r="AQ14" s="96"/>
      <c r="AR14" s="97"/>
      <c r="AS14" s="97"/>
      <c r="AT14" s="97"/>
    </row>
    <row r="15" spans="1:48" ht="19.5" thickTop="1" x14ac:dyDescent="0.3">
      <c r="F15" s="88" t="s">
        <v>100</v>
      </c>
      <c r="G15" s="89"/>
      <c r="H15" s="89"/>
      <c r="I15" s="89"/>
      <c r="J15" s="90"/>
      <c r="K15" s="84"/>
      <c r="M15" s="88" t="s">
        <v>101</v>
      </c>
      <c r="N15" s="89"/>
      <c r="O15" s="89"/>
      <c r="P15" s="89"/>
      <c r="Q15" s="90"/>
      <c r="R15" s="84"/>
      <c r="T15" s="99" t="s">
        <v>102</v>
      </c>
      <c r="U15" s="100"/>
      <c r="V15" s="100"/>
      <c r="W15" s="100"/>
      <c r="X15" s="101"/>
      <c r="Y15" s="84"/>
      <c r="AA15" s="99" t="s">
        <v>103</v>
      </c>
      <c r="AB15" s="100"/>
      <c r="AC15" s="100"/>
      <c r="AD15" s="100"/>
      <c r="AE15" s="101"/>
      <c r="AI15" s="85" t="s">
        <v>10</v>
      </c>
      <c r="AJ15" s="86"/>
      <c r="AK15" s="86"/>
      <c r="AL15" s="86"/>
      <c r="AM15" s="87"/>
      <c r="AQ15" s="91" t="s">
        <v>104</v>
      </c>
      <c r="AR15" s="92"/>
      <c r="AS15" s="92"/>
      <c r="AT15" s="93"/>
    </row>
    <row r="16" spans="1:48" x14ac:dyDescent="0.25">
      <c r="A16" t="s">
        <v>105</v>
      </c>
      <c r="B16" t="s">
        <v>12</v>
      </c>
      <c r="C16" t="s">
        <v>13</v>
      </c>
      <c r="D16" t="s">
        <v>106</v>
      </c>
      <c r="F16" s="5" t="s">
        <v>107</v>
      </c>
      <c r="G16" t="s">
        <v>12</v>
      </c>
      <c r="H16" t="s">
        <v>108</v>
      </c>
      <c r="I16" t="s">
        <v>109</v>
      </c>
      <c r="J16" s="5" t="s">
        <v>1</v>
      </c>
      <c r="K16" s="5" t="s">
        <v>110</v>
      </c>
      <c r="M16" s="5" t="s">
        <v>107</v>
      </c>
      <c r="N16" s="5" t="s">
        <v>12</v>
      </c>
      <c r="O16" s="5" t="s">
        <v>108</v>
      </c>
      <c r="P16" s="5" t="s">
        <v>109</v>
      </c>
      <c r="Q16" s="5" t="s">
        <v>1</v>
      </c>
      <c r="R16" s="5" t="s">
        <v>110</v>
      </c>
      <c r="T16" s="5" t="s">
        <v>107</v>
      </c>
      <c r="U16" s="5" t="s">
        <v>12</v>
      </c>
      <c r="V16" s="5" t="s">
        <v>108</v>
      </c>
      <c r="W16" s="5" t="s">
        <v>109</v>
      </c>
      <c r="X16" s="5" t="s">
        <v>1</v>
      </c>
      <c r="Y16" s="5" t="s">
        <v>110</v>
      </c>
      <c r="AA16" s="5" t="s">
        <v>107</v>
      </c>
      <c r="AB16" s="5" t="s">
        <v>12</v>
      </c>
      <c r="AC16" s="5" t="s">
        <v>108</v>
      </c>
      <c r="AD16" s="5" t="s">
        <v>109</v>
      </c>
      <c r="AE16" s="5" t="s">
        <v>1</v>
      </c>
      <c r="AF16" t="s">
        <v>110</v>
      </c>
      <c r="AI16" s="5" t="s">
        <v>107</v>
      </c>
      <c r="AJ16" s="5" t="s">
        <v>12</v>
      </c>
      <c r="AK16" s="5" t="s">
        <v>108</v>
      </c>
      <c r="AL16" s="5" t="s">
        <v>109</v>
      </c>
      <c r="AM16" s="5" t="s">
        <v>1</v>
      </c>
      <c r="AN16" t="s">
        <v>110</v>
      </c>
      <c r="AQ16" s="5" t="s">
        <v>109</v>
      </c>
      <c r="AR16" s="5" t="s">
        <v>1</v>
      </c>
      <c r="AS16" s="5" t="s">
        <v>104</v>
      </c>
      <c r="AT16" s="5" t="s">
        <v>111</v>
      </c>
      <c r="AU16" t="s">
        <v>112</v>
      </c>
      <c r="AV16" t="s">
        <v>113</v>
      </c>
    </row>
    <row r="17" spans="1:48" x14ac:dyDescent="0.25">
      <c r="A17" s="26"/>
      <c r="B17" s="26">
        <v>660</v>
      </c>
      <c r="C17" s="26"/>
      <c r="D17" s="26">
        <v>10</v>
      </c>
      <c r="F17" s="73">
        <f>COUNTIF(T_p121351975[stack],"&gt;0")</f>
        <v>2</v>
      </c>
      <c r="G17" s="26">
        <f>IF(T_init2034474[[#This Row],[p]]=1,mainpot+sidepot1+sidepot2+uncalled,IF(T_init2034474[[#This Row],[p]]&gt;1,0,T_init2034474[[#This Row],[stack]]-T_init2034474[[#This Row],[anteblinds]]))</f>
        <v>650</v>
      </c>
      <c r="H17" s="26">
        <v>0.32500000000000001</v>
      </c>
      <c r="I17" s="27">
        <f>T_p121351975[[#This Row],[EQ]]*prize</f>
        <v>3.6270000000000002</v>
      </c>
      <c r="J17" s="71">
        <f>IF(T_init2034474[[#This Row],[p]]=1,T_p121351975[[#This Row],[players]]*T_p121351975[[#This Row],[stack]]/chips+COUNTIF(T_p121351975[stack],0),T_p121351975[[#This Row],[players]]*T_p121351975[[#This Row],[stack]]/chips)</f>
        <v>0.65</v>
      </c>
      <c r="K17" s="71">
        <f>T_p121351975[[#This Row],[ICM]]+bounty*T_p121351975[[#This Row],[KO]]</f>
        <v>3.6270000000000002</v>
      </c>
      <c r="M17" s="29">
        <f>COUNTIF(T_p222362576[stack],"&gt;0")</f>
        <v>3</v>
      </c>
      <c r="N17" s="26">
        <f>IF(T_init2034474[[#This Row],[p]]=1,uncalled,IF(T_init2034474[[#This Row],[p]]=2,mainpot+sidepot1+sidepot2,IF(T_init2034474[[#This Row],[p]]&gt;2,0,T_init2034474[[#This Row],[stack]]-T_init2034474[[#This Row],[anteblinds]])))</f>
        <v>650</v>
      </c>
      <c r="O17" s="26">
        <v>0.32500000000000001</v>
      </c>
      <c r="P17" s="27">
        <f>T_p222362576[[#This Row],[EQ]]*prize</f>
        <v>3.6270000000000002</v>
      </c>
      <c r="Q17" s="71">
        <f>IF(T_init2034474[[#This Row],[p]]=2,T_p222362576[[#This Row],[players]]*T_p222362576[[#This Row],[stack]]/chips+COUNTIF(T_p222362576[stack],0),T_p222362576[[#This Row],[players]]*T_p222362576[[#This Row],[stack]]/chips)</f>
        <v>0.97499999999999998</v>
      </c>
      <c r="R17" s="71">
        <f>T_p222362576[[#This Row],[ICM]]+bounty*T_p222362576[[#This Row],[KO]]</f>
        <v>3.6270000000000002</v>
      </c>
      <c r="T17" s="73">
        <f>COUNTIF(T_p3p123372677[stack],"&gt;0")</f>
        <v>3</v>
      </c>
      <c r="U17" s="26">
        <f>IF(T_init2034474[[#This Row],[p]]=1,sidepot1+uncalled,IF(T_init2034474[[#This Row],[p]]=3,mainpot,IF(ISBLANK(T_init2034474[[#This Row],[p]]),T_init2034474[[#This Row],[stack]]-T_init2034474[[#This Row],[anteblinds]],0)))</f>
        <v>650</v>
      </c>
      <c r="V17" s="26">
        <v>0.32500000000000001</v>
      </c>
      <c r="W17" s="27">
        <f>T_p3p123372677[[#This Row],[EQ]]*prize</f>
        <v>3.6270000000000002</v>
      </c>
      <c r="X17" s="71">
        <f>IF(T_init2034474[[#This Row],[p]]=1,T_p3p123372677[[#This Row],[players]]*T_p3p123372677[[#This Row],[stack]]/chips+COUNTIF(T_p3p123372677[stack],0),T_p3p123372677[[#This Row],[players]]*T_p3p123372677[[#This Row],[stack]]/chips)</f>
        <v>0.97499999999999998</v>
      </c>
      <c r="Y17" s="71">
        <f>T_p3p123372677[[#This Row],[ICM]]+bounty*T_p3p123372677[[#This Row],[KO]]</f>
        <v>3.6270000000000002</v>
      </c>
      <c r="AA17" s="73">
        <f>COUNTIF(T_p3p224382778[stack],"&gt;0")</f>
        <v>3</v>
      </c>
      <c r="AB17" s="26">
        <f>IF(T_init2034474[[#This Row],[p]]=1,uncalled,IF(T_init2034474[[#This Row],[p]]=2,sidepot1,IF(T_init2034474[[#This Row],[p]]=3,mainpot,IF(ISBLANK(T_init2034474[[#This Row],[p]]),T_init2034474[[#This Row],[stack]]-T_init2034474[[#This Row],[anteblinds]],0))))</f>
        <v>650</v>
      </c>
      <c r="AC17" s="26">
        <v>0.32500000000000001</v>
      </c>
      <c r="AD17" s="27">
        <f>T_p3p224382778[[#This Row],[EQ]]*prize</f>
        <v>3.6270000000000002</v>
      </c>
      <c r="AE17" s="71">
        <f>IF(T_init2034474[[#This Row],[p]]=2,T_p3p224382778[[#This Row],[players]]*T_p3p224382778[[#This Row],[stack]]/chips+COUNTIF(T_p3p224382778[stack],0),T_p3p224382778[[#This Row],[players]]*T_p3p224382778[[#This Row],[stack]]/chips)</f>
        <v>0.97499999999999998</v>
      </c>
      <c r="AF17" s="71">
        <f>T_p3p224382778[[#This Row],[ICM]]+bounty*T_p3p224382778[[#This Row],[KO]]</f>
        <v>3.6270000000000002</v>
      </c>
      <c r="AI17" s="73">
        <v>4</v>
      </c>
      <c r="AJ17" s="26">
        <v>650</v>
      </c>
      <c r="AK17" s="26">
        <v>0.32500000000000001</v>
      </c>
      <c r="AL17" s="27">
        <f>T_fact29392879[[#This Row],[EQ]]*prize</f>
        <v>3.6270000000000002</v>
      </c>
      <c r="AM17" s="71">
        <f>IF(T_init2034474[[#This Row],[p]]=1,T_fact29392879[[#This Row],[players]]*T_fact29392879[[#This Row],[stack]]/chips+COUNTIF(T_fact29392879[stack],0),T_fact29392879[[#This Row],[players]]*T_fact29392879[[#This Row],[stack]]/chips)</f>
        <v>1.3</v>
      </c>
      <c r="AN17" s="71">
        <f>T_fact29392879[[#This Row],[ICM]]+bounty*T_fact29392879[[#This Row],[KO]]</f>
        <v>3.6270000000000002</v>
      </c>
      <c r="AQ17" s="72">
        <f>'3w9h9s шалблон копия'!p3win* ('3w9h9s шалблон копия'!p1sp1win*T_p3p123372677[[#This Row],[ICM]] + '3w9h9s шалблон копия'!p2sp1win*T_p3p224382778[[#This Row],[ICM]])
+'3w9h9s шалблон копия'!p2win*T_p222362576[[#This Row],[ICM]]
+'3w9h9s шалблон копия'!p1win*T_p121351975[[#This Row],[ICM]]</f>
        <v>3.6270000000000002</v>
      </c>
      <c r="AR17" s="33">
        <f>('3w9h9s шалблон копия'!p3win* ('3w9h9s шалблон копия'!p1sp1win*T_p3p123372677[[#This Row],[KO]] + '3w9h9s шалблон копия'!p2sp1win*T_p3p224382778[[#This Row],[KO]])
+'3w9h9s шалблон копия'!p2win*T_p222362576[[#This Row],[KO]]
+'3w9h9s шалблон копия'!p1win*T_p121351975[[#This Row],[KO]])*bounty</f>
        <v>0</v>
      </c>
      <c r="AS17" s="72">
        <f>'3w9h9s шалблон копия'!p3win* ('3w9h9s шалблон копия'!p1sp1win*T_p3p123372677[[#This Row],[$stack]] + '3w9h9s шалблон копия'!p2sp1win*T_p3p224382778[[#This Row],[$stack]])
+'3w9h9s шалблон копия'!p2win*T_p222362576[[#This Row],[$stack]]
+'3w9h9s шалблон копия'!p1win*T_p121351975[[#This Row],[$stack]]</f>
        <v>3.6270000000000002</v>
      </c>
      <c r="AT17" s="33">
        <f>'3w9h9s шалблон копия'!p3win* ('3w9h9s шалблон копия'!p1sp1win*T_p3p123372677[[#This Row],[stack]] + '3w9h9s шалблон копия'!p2sp1win*T_p3p224382778[[#This Row],[stack]])
+'3w9h9s шалблон копия'!p2win*T_p222362576[[#This Row],[stack]]
+'3w9h9s шалблон копия'!p1win*T_p121351975[[#This Row],[stack]]</f>
        <v>650</v>
      </c>
      <c r="AU17" s="2">
        <f>T_EV33403080[[#This Row],[chipEV]]-T_fact29392879[[#This Row],[stack]]</f>
        <v>0</v>
      </c>
      <c r="AV17" s="2">
        <f>T_EV33403080[[#This Row],[EV]]-(T_fact29392879[[#This Row],[ICM]])</f>
        <v>0</v>
      </c>
    </row>
    <row r="18" spans="1:48" x14ac:dyDescent="0.25">
      <c r="A18">
        <v>3</v>
      </c>
      <c r="B18">
        <v>385</v>
      </c>
      <c r="C18" t="s">
        <v>114</v>
      </c>
      <c r="D18">
        <v>10</v>
      </c>
      <c r="F18" s="5">
        <f>COUNTIF(T_p121351975[stack],"&gt;0")</f>
        <v>2</v>
      </c>
      <c r="G18">
        <f>IF(T_init2034474[[#This Row],[p]]=1,mainpot+sidepot1+sidepot2+uncalled,IF(T_init2034474[[#This Row],[p]]&gt;1,0,T_init2034474[[#This Row],[stack]]-T_init2034474[[#This Row],[anteblinds]]))</f>
        <v>0</v>
      </c>
      <c r="H18">
        <v>0.67500000000000004</v>
      </c>
      <c r="I18" s="2">
        <f>T_p121351975[[#This Row],[EQ]]*prize</f>
        <v>7.5330000000000004</v>
      </c>
      <c r="J18" s="66">
        <f>IF(T_init2034474[[#This Row],[p]]=1,T_p121351975[[#This Row],[players]]*T_p121351975[[#This Row],[stack]]/chips+COUNTIF(T_p121351975[stack],0),T_p121351975[[#This Row],[players]]*T_p121351975[[#This Row],[stack]]/chips)</f>
        <v>0</v>
      </c>
      <c r="K18" s="66">
        <f>T_p121351975[[#This Row],[ICM]]+bounty*T_p121351975[[#This Row],[KO]]</f>
        <v>7.5330000000000004</v>
      </c>
      <c r="M18" s="10">
        <f>COUNTIF(T_p222362576[stack],"&gt;0")</f>
        <v>3</v>
      </c>
      <c r="N18" s="26">
        <f>IF(T_init2034474[[#This Row],[p]]=1,uncalled,IF(T_init2034474[[#This Row],[p]]=2,mainpot+sidepot1+sidepot2,IF(T_init2034474[[#This Row],[p]]&gt;2,0,T_init2034474[[#This Row],[stack]]-T_init2034474[[#This Row],[anteblinds]])))</f>
        <v>0</v>
      </c>
      <c r="O18">
        <v>0.58250000000000002</v>
      </c>
      <c r="P18" s="2">
        <f>T_p222362576[[#This Row],[EQ]]*prize</f>
        <v>6.5007000000000001</v>
      </c>
      <c r="Q18" s="66">
        <f>IF(T_init2034474[[#This Row],[p]]=2,T_p222362576[[#This Row],[players]]*T_p222362576[[#This Row],[stack]]/chips+COUNTIF(T_p222362576[stack],0),T_p222362576[[#This Row],[players]]*T_p222362576[[#This Row],[stack]]/chips)</f>
        <v>0</v>
      </c>
      <c r="R18" s="66">
        <f>T_p222362576[[#This Row],[ICM]]+bounty*T_p222362576[[#This Row],[KO]]</f>
        <v>6.5007000000000001</v>
      </c>
      <c r="T18" s="5">
        <f>COUNTIF(T_p3p123372677[stack],"&gt;0")</f>
        <v>3</v>
      </c>
      <c r="U18" s="26">
        <f>IF(T_init2034474[[#This Row],[p]]=1,sidepot1+uncalled,IF(T_init2034474[[#This Row],[p]]=3,mainpot,IF(ISBLANK(T_init2034474[[#This Row],[p]]),T_init2034474[[#This Row],[stack]]-T_init2034474[[#This Row],[anteblinds]],0)))</f>
        <v>1165</v>
      </c>
      <c r="V18">
        <v>0</v>
      </c>
      <c r="W18" s="2">
        <f>T_p3p123372677[[#This Row],[EQ]]*prize</f>
        <v>0</v>
      </c>
      <c r="X18" s="66">
        <f>IF(T_init2034474[[#This Row],[p]]=1,T_p3p123372677[[#This Row],[players]]*T_p3p123372677[[#This Row],[stack]]/chips+COUNTIF(T_p3p123372677[stack],0),T_p3p123372677[[#This Row],[players]]*T_p3p123372677[[#This Row],[stack]]/chips)</f>
        <v>1.7475000000000001</v>
      </c>
      <c r="Y18" s="66">
        <f>T_p3p123372677[[#This Row],[ICM]]+bounty*T_p3p123372677[[#This Row],[KO]]</f>
        <v>0</v>
      </c>
      <c r="AA18" s="5">
        <f>COUNTIF(T_p3p224382778[stack],"&gt;0")</f>
        <v>3</v>
      </c>
      <c r="AB18">
        <f>IF(T_init2034474[[#This Row],[p]]=1,uncalled,IF(T_init2034474[[#This Row],[p]]=2,sidepot1,IF(T_init2034474[[#This Row],[p]]=3,mainpot,IF(ISBLANK(T_init2034474[[#This Row],[p]]),T_init2034474[[#This Row],[stack]]-T_init2034474[[#This Row],[anteblinds]],0))))</f>
        <v>1165</v>
      </c>
      <c r="AC18">
        <v>0</v>
      </c>
      <c r="AD18" s="2">
        <f>T_p3p224382778[[#This Row],[EQ]]*prize</f>
        <v>0</v>
      </c>
      <c r="AE18" s="66">
        <f>IF(T_init2034474[[#This Row],[p]]=2,T_p3p224382778[[#This Row],[players]]*T_p3p224382778[[#This Row],[stack]]/chips+COUNTIF(T_p3p224382778[stack],0),T_p3p224382778[[#This Row],[players]]*T_p3p224382778[[#This Row],[stack]]/chips)</f>
        <v>1.7475000000000001</v>
      </c>
      <c r="AF18" s="16">
        <f>T_p3p224382778[[#This Row],[ICM]]+bounty*T_p3p224382778[[#This Row],[KO]]</f>
        <v>0</v>
      </c>
      <c r="AI18" s="73">
        <v>4</v>
      </c>
      <c r="AJ18" s="26">
        <v>1165</v>
      </c>
      <c r="AK18">
        <v>0.58250000000000002</v>
      </c>
      <c r="AL18" s="2">
        <f>T_fact29392879[[#This Row],[EQ]]*prize</f>
        <v>6.5007000000000001</v>
      </c>
      <c r="AM18" s="66">
        <f>IF(T_init2034474[[#This Row],[p]]=1,T_fact29392879[[#This Row],[players]]*T_fact29392879[[#This Row],[stack]]/chips+COUNTIF(T_fact29392879[stack],0),T_fact29392879[[#This Row],[players]]*T_fact29392879[[#This Row],[stack]]/chips)</f>
        <v>2.33</v>
      </c>
      <c r="AN18" s="16">
        <f>T_fact29392879[[#This Row],[ICM]]+bounty*T_fact29392879[[#This Row],[KO]]</f>
        <v>6.5007000000000001</v>
      </c>
      <c r="AQ18" s="68">
        <f>'3w9h9s шалблон копия'!p3win* ('3w9h9s шалблон копия'!p1sp1win*T_p3p123372677[[#This Row],[ICM]] + '3w9h9s шалблон копия'!p2sp1win*T_p3p224382778[[#This Row],[ICM]])
+'3w9h9s шалблон копия'!p2win*T_p222362576[[#This Row],[ICM]]
+'3w9h9s шалблон копия'!p1win*T_p121351975[[#This Row],[ICM]]</f>
        <v>2.8413806400000001</v>
      </c>
      <c r="AR18" s="68">
        <f>('3w9h9s шалблон копия'!p3win* ('3w9h9s шалблон копия'!p1sp1win*T_p3p123372677[[#This Row],[KO]] + '3w9h9s шалблон копия'!p2sp1win*T_p3p224382778[[#This Row],[KO]])
+'3w9h9s шалблон копия'!p2win*T_p222362576[[#This Row],[KO]]
+'3w9h9s шалблон копия'!p1win*T_p121351975[[#This Row],[KO]])*bounty</f>
        <v>0</v>
      </c>
      <c r="AS18" s="68">
        <f>'3w9h9s шалблон копия'!p3win* ('3w9h9s шалблон копия'!p1sp1win*T_p3p123372677[[#This Row],[$stack]] + '3w9h9s шалблон копия'!p2sp1win*T_p3p224382778[[#This Row],[$stack]])
+'3w9h9s шалблон копия'!p2win*T_p222362576[[#This Row],[$stack]]
+'3w9h9s шалблон копия'!p1win*T_p121351975[[#This Row],[$stack]]</f>
        <v>2.8413806400000001</v>
      </c>
      <c r="AT18" s="68">
        <f>'3w9h9s шалблон копия'!p3win* ('3w9h9s шалблон копия'!p1sp1win*T_p3p123372677[[#This Row],[stack]] + '3w9h9s шалблон копия'!p2sp1win*T_p3p224382778[[#This Row],[stack]])
+'3w9h9s шалблон копия'!p2win*T_p222362576[[#This Row],[stack]]
+'3w9h9s шалблон копия'!p1win*T_p121351975[[#This Row],[stack]]</f>
        <v>688.98099999999999</v>
      </c>
      <c r="AU18" s="2">
        <f>T_EV33403080[[#This Row],[chipEV]]-T_fact29392879[[#This Row],[stack]]</f>
        <v>-476.01900000000001</v>
      </c>
      <c r="AV18" s="2">
        <f>T_EV33403080[[#This Row],[EV]]-(T_fact29392879[[#This Row],[ICM]])</f>
        <v>-3.65931936</v>
      </c>
    </row>
    <row r="19" spans="1:48" x14ac:dyDescent="0.25">
      <c r="A19">
        <v>2</v>
      </c>
      <c r="B19">
        <v>385</v>
      </c>
      <c r="C19" s="26" t="s">
        <v>115</v>
      </c>
      <c r="D19">
        <v>35</v>
      </c>
      <c r="F19" s="5">
        <f>COUNTIF(T_p121351975[stack],"&gt;0")</f>
        <v>2</v>
      </c>
      <c r="G19">
        <f>IF(T_init2034474[[#This Row],[p]]=1,mainpot+sidepot1+sidepot2+uncalled,IF(T_init2034474[[#This Row],[p]]&gt;1,0,T_init2034474[[#This Row],[stack]]-T_init2034474[[#This Row],[anteblinds]]))</f>
        <v>0</v>
      </c>
      <c r="I19" s="2">
        <f>T_p121351975[[#This Row],[EQ]]*prize</f>
        <v>0</v>
      </c>
      <c r="J19" s="66">
        <f>IF(T_init2034474[[#This Row],[p]]=1,T_p121351975[[#This Row],[players]]*T_p121351975[[#This Row],[stack]]/chips+COUNTIF(T_p121351975[stack],0),T_p121351975[[#This Row],[players]]*T_p121351975[[#This Row],[stack]]/chips)</f>
        <v>0</v>
      </c>
      <c r="K19" s="66">
        <f>T_p121351975[[#This Row],[ICM]]+bounty*T_p121351975[[#This Row],[KO]]</f>
        <v>0</v>
      </c>
      <c r="M19" s="10">
        <f>COUNTIF(T_p222362576[stack],"&gt;0")</f>
        <v>3</v>
      </c>
      <c r="N19" s="26">
        <f>IF(T_init2034474[[#This Row],[p]]=1,uncalled,IF(T_init2034474[[#This Row],[p]]=2,mainpot+sidepot1+sidepot2,IF(T_init2034474[[#This Row],[p]]&gt;2,0,T_init2034474[[#This Row],[stack]]-T_init2034474[[#This Row],[anteblinds]])))</f>
        <v>1165</v>
      </c>
      <c r="P19" s="2">
        <f>T_p222362576[[#This Row],[EQ]]*prize</f>
        <v>0</v>
      </c>
      <c r="Q19" s="66">
        <f>IF(T_init2034474[[#This Row],[p]]=2,T_p222362576[[#This Row],[players]]*T_p222362576[[#This Row],[stack]]/chips+COUNTIF(T_p222362576[stack],0),T_p222362576[[#This Row],[players]]*T_p222362576[[#This Row],[stack]]/chips)</f>
        <v>4.7475000000000005</v>
      </c>
      <c r="R19" s="66">
        <f>T_p222362576[[#This Row],[ICM]]+bounty*T_p222362576[[#This Row],[KO]]</f>
        <v>0</v>
      </c>
      <c r="T19" s="5">
        <f>COUNTIF(T_p3p123372677[stack],"&gt;0")</f>
        <v>3</v>
      </c>
      <c r="U19" s="26">
        <f>IF(T_init2034474[[#This Row],[p]]=1,sidepot1+uncalled,IF(T_init2034474[[#This Row],[p]]=3,mainpot,IF(ISBLANK(T_init2034474[[#This Row],[p]]),T_init2034474[[#This Row],[stack]]-T_init2034474[[#This Row],[anteblinds]],0)))</f>
        <v>0</v>
      </c>
      <c r="V19">
        <v>0.58250000000000002</v>
      </c>
      <c r="W19" s="2">
        <f>T_p3p123372677[[#This Row],[EQ]]*prize</f>
        <v>6.5007000000000001</v>
      </c>
      <c r="X19" s="66">
        <f>IF(T_init2034474[[#This Row],[p]]=1,T_p3p123372677[[#This Row],[players]]*T_p3p123372677[[#This Row],[stack]]/chips+COUNTIF(T_p3p123372677[stack],0),T_p3p123372677[[#This Row],[players]]*T_p3p123372677[[#This Row],[stack]]/chips)</f>
        <v>0</v>
      </c>
      <c r="Y19" s="66">
        <f>T_p3p123372677[[#This Row],[ICM]]+bounty*T_p3p123372677[[#This Row],[KO]]</f>
        <v>6.5007000000000001</v>
      </c>
      <c r="AA19" s="5">
        <f>COUNTIF(T_p3p224382778[stack],"&gt;0")</f>
        <v>3</v>
      </c>
      <c r="AB19">
        <f>IF(T_init2034474[[#This Row],[p]]=1,uncalled,IF(T_init2034474[[#This Row],[p]]=2,sidepot1,IF(T_init2034474[[#This Row],[p]]=3,mainpot,IF(ISBLANK(T_init2034474[[#This Row],[p]]),T_init2034474[[#This Row],[stack]]-T_init2034474[[#This Row],[anteblinds]],0))))</f>
        <v>0</v>
      </c>
      <c r="AC19">
        <v>0.58250000000000002</v>
      </c>
      <c r="AD19" s="2">
        <f>T_p3p224382778[[#This Row],[EQ]]*prize</f>
        <v>6.5007000000000001</v>
      </c>
      <c r="AE19" s="66">
        <f>IF(T_init2034474[[#This Row],[p]]=2,T_p3p224382778[[#This Row],[players]]*T_p3p224382778[[#This Row],[stack]]/chips+COUNTIF(T_p3p224382778[stack],0),T_p3p224382778[[#This Row],[players]]*T_p3p224382778[[#This Row],[stack]]/chips)</f>
        <v>3</v>
      </c>
      <c r="AF19" s="16">
        <f>T_p3p224382778[[#This Row],[ICM]]+bounty*T_p3p224382778[[#This Row],[KO]]</f>
        <v>6.5007000000000001</v>
      </c>
      <c r="AI19" s="73">
        <v>4</v>
      </c>
      <c r="AJ19" s="26">
        <v>0</v>
      </c>
      <c r="AL19" s="2">
        <f>T_fact29392879[[#This Row],[EQ]]*prize</f>
        <v>0</v>
      </c>
      <c r="AM19" s="66">
        <f>IF(T_init2034474[[#This Row],[p]]=1,T_fact29392879[[#This Row],[players]]*T_fact29392879[[#This Row],[stack]]/chips+COUNTIF(T_fact29392879[stack],0),T_fact29392879[[#This Row],[players]]*T_fact29392879[[#This Row],[stack]]/chips)</f>
        <v>0</v>
      </c>
      <c r="AN19" s="16">
        <f>T_fact29392879[[#This Row],[ICM]]+bounty*T_fact29392879[[#This Row],[KO]]</f>
        <v>0</v>
      </c>
      <c r="AQ19" s="68">
        <f>'3w9h9s шалблон копия'!p3win* ('3w9h9s шалблон копия'!p1sp1win*T_p3p123372677[[#This Row],[ICM]] + '3w9h9s шалблон копия'!p2sp1win*T_p3p224382778[[#This Row],[ICM]])
+'3w9h9s шалблон копия'!p2win*T_p222362576[[#This Row],[ICM]]
+'3w9h9s шалблон копия'!p1win*T_p121351975[[#This Row],[ICM]]</f>
        <v>3.8445139800000003</v>
      </c>
      <c r="AR19" s="68">
        <f>('3w9h9s шалблон копия'!p3win* ('3w9h9s шалблон копия'!p1sp1win*T_p3p123372677[[#This Row],[KO]] + '3w9h9s шалблон копия'!p2sp1win*T_p3p224382778[[#This Row],[KO]])
+'3w9h9s шалблон копия'!p2win*T_p222362576[[#This Row],[KO]]
+'3w9h9s шалблон копия'!p1win*T_p121351975[[#This Row],[KO]])*bounty</f>
        <v>0</v>
      </c>
      <c r="AS19" s="68">
        <f>'3w9h9s шалблон копия'!p3win* ('3w9h9s шалблон копия'!p1sp1win*T_p3p123372677[[#This Row],[$stack]] + '3w9h9s шалблон копия'!p2sp1win*T_p3p224382778[[#This Row],[$stack]])
+'3w9h9s шалблон копия'!p2win*T_p222362576[[#This Row],[$stack]]
+'3w9h9s шалблон копия'!p1win*T_p121351975[[#This Row],[$stack]]</f>
        <v>3.8445139800000003</v>
      </c>
      <c r="AT19" s="68">
        <f>'3w9h9s шалблон копия'!p3win* ('3w9h9s шалблон копия'!p1sp1win*T_p3p123372677[[#This Row],[stack]] + '3w9h9s шалблон копия'!p2sp1win*T_p3p224382778[[#This Row],[stack]])
+'3w9h9s шалблон копия'!p2win*T_p222362576[[#This Row],[stack]]
+'3w9h9s шалблон копия'!p1win*T_p121351975[[#This Row],[stack]]</f>
        <v>267.01799999999997</v>
      </c>
      <c r="AU19" s="2">
        <f>T_EV33403080[[#This Row],[chipEV]]-T_fact29392879[[#This Row],[stack]]</f>
        <v>267.01799999999997</v>
      </c>
      <c r="AV19" s="2">
        <f>T_EV33403080[[#This Row],[EV]]-(T_fact29392879[[#This Row],[ICM]])</f>
        <v>3.8445139800000003</v>
      </c>
    </row>
    <row r="20" spans="1:48" x14ac:dyDescent="0.25">
      <c r="A20" s="26">
        <v>1</v>
      </c>
      <c r="B20" s="26">
        <v>570</v>
      </c>
      <c r="C20" t="s">
        <v>116</v>
      </c>
      <c r="D20" s="26">
        <v>60</v>
      </c>
      <c r="F20" s="73">
        <f>COUNTIF(T_p121351975[stack],"&gt;0")</f>
        <v>2</v>
      </c>
      <c r="G20" s="26">
        <f>IF(T_init2034474[[#This Row],[p]]=1,mainpot+sidepot1+sidepot2+uncalled,IF(T_init2034474[[#This Row],[p]]&gt;1,0,T_init2034474[[#This Row],[stack]]-T_init2034474[[#This Row],[anteblinds]]))</f>
        <v>1350</v>
      </c>
      <c r="H20" s="26"/>
      <c r="I20" s="27">
        <f>T_p121351975[[#This Row],[EQ]]*prize</f>
        <v>0</v>
      </c>
      <c r="J20" s="71">
        <f>IF(T_init2034474[[#This Row],[p]]=1,T_p121351975[[#This Row],[players]]*T_p121351975[[#This Row],[stack]]/chips+COUNTIF(T_p121351975[stack],0),T_p121351975[[#This Row],[players]]*T_p121351975[[#This Row],[stack]]/chips)</f>
        <v>5.35</v>
      </c>
      <c r="K20" s="71">
        <f>T_p121351975[[#This Row],[ICM]]+bounty*T_p121351975[[#This Row],[KO]]</f>
        <v>0</v>
      </c>
      <c r="M20" s="29">
        <f>COUNTIF(T_p222362576[stack],"&gt;0")</f>
        <v>3</v>
      </c>
      <c r="N20" s="26">
        <f>IF(T_init2034474[[#This Row],[p]]=1,uncalled,IF(T_init2034474[[#This Row],[p]]=2,mainpot+sidepot1+sidepot2,IF(T_init2034474[[#This Row],[p]]&gt;2,0,T_init2034474[[#This Row],[stack]]-T_init2034474[[#This Row],[anteblinds]])))</f>
        <v>185</v>
      </c>
      <c r="O20" s="26">
        <v>9.2499999999999999E-2</v>
      </c>
      <c r="P20" s="27">
        <f>T_p222362576[[#This Row],[EQ]]*prize</f>
        <v>1.0323</v>
      </c>
      <c r="Q20" s="71">
        <f>IF(T_init2034474[[#This Row],[p]]=2,T_p222362576[[#This Row],[players]]*T_p222362576[[#This Row],[stack]]/chips+COUNTIF(T_p222362576[stack],0),T_p222362576[[#This Row],[players]]*T_p222362576[[#This Row],[stack]]/chips)</f>
        <v>0.27750000000000002</v>
      </c>
      <c r="R20" s="71">
        <f>T_p222362576[[#This Row],[ICM]]+bounty*T_p222362576[[#This Row],[KO]]</f>
        <v>1.0323</v>
      </c>
      <c r="T20" s="73">
        <f>COUNTIF(T_p3p123372677[stack],"&gt;0")</f>
        <v>3</v>
      </c>
      <c r="U20" s="26">
        <f>IF(T_init2034474[[#This Row],[p]]=1,sidepot1+uncalled,IF(T_init2034474[[#This Row],[p]]=3,mainpot,IF(ISBLANK(T_init2034474[[#This Row],[p]]),T_init2034474[[#This Row],[stack]]-T_init2034474[[#This Row],[anteblinds]],0)))</f>
        <v>185</v>
      </c>
      <c r="V20" s="26">
        <v>9.2499999999999999E-2</v>
      </c>
      <c r="W20" s="27">
        <f>T_p3p123372677[[#This Row],[EQ]]*prize</f>
        <v>1.0323</v>
      </c>
      <c r="X20" s="71">
        <f>IF(T_init2034474[[#This Row],[p]]=1,T_p3p123372677[[#This Row],[players]]*T_p3p123372677[[#This Row],[stack]]/chips+COUNTIF(T_p3p123372677[stack],0),T_p3p123372677[[#This Row],[players]]*T_p3p123372677[[#This Row],[stack]]/chips)</f>
        <v>3.2774999999999999</v>
      </c>
      <c r="Y20" s="71">
        <f>T_p3p123372677[[#This Row],[ICM]]+bounty*T_p3p123372677[[#This Row],[KO]]</f>
        <v>1.0323</v>
      </c>
      <c r="AA20" s="73">
        <f>COUNTIF(T_p3p224382778[stack],"&gt;0")</f>
        <v>3</v>
      </c>
      <c r="AB20" s="26">
        <f>IF(T_init2034474[[#This Row],[p]]=1,uncalled,IF(T_init2034474[[#This Row],[p]]=2,sidepot1,IF(T_init2034474[[#This Row],[p]]=3,mainpot,IF(ISBLANK(T_init2034474[[#This Row],[p]]),T_init2034474[[#This Row],[stack]]-T_init2034474[[#This Row],[anteblinds]],0))))</f>
        <v>185</v>
      </c>
      <c r="AC20" s="26">
        <v>9.2499999999999999E-2</v>
      </c>
      <c r="AD20" s="27">
        <f>T_p3p224382778[[#This Row],[EQ]]*prize</f>
        <v>1.0323</v>
      </c>
      <c r="AE20" s="71">
        <f>IF(T_init2034474[[#This Row],[p]]=2,T_p3p224382778[[#This Row],[players]]*T_p3p224382778[[#This Row],[stack]]/chips+COUNTIF(T_p3p224382778[stack],0),T_p3p224382778[[#This Row],[players]]*T_p3p224382778[[#This Row],[stack]]/chips)</f>
        <v>0.27750000000000002</v>
      </c>
      <c r="AF20" s="16">
        <f>T_p3p224382778[[#This Row],[ICM]]+bounty*T_p3p224382778[[#This Row],[KO]]</f>
        <v>1.0323</v>
      </c>
      <c r="AI20" s="73">
        <v>4</v>
      </c>
      <c r="AJ20" s="26">
        <v>185</v>
      </c>
      <c r="AK20" s="26">
        <v>9.2499999999999999E-2</v>
      </c>
      <c r="AL20" s="27">
        <f>T_fact29392879[[#This Row],[EQ]]*prize</f>
        <v>1.0323</v>
      </c>
      <c r="AM20" s="71">
        <f>IF(T_init2034474[[#This Row],[p]]=1,T_fact29392879[[#This Row],[players]]*T_fact29392879[[#This Row],[stack]]/chips+COUNTIF(T_fact29392879[stack],0),T_fact29392879[[#This Row],[players]]*T_fact29392879[[#This Row],[stack]]/chips)</f>
        <v>3.37</v>
      </c>
      <c r="AN20" s="16">
        <f>T_fact29392879[[#This Row],[ICM]]+bounty*T_fact29392879[[#This Row],[KO]]</f>
        <v>1.0323</v>
      </c>
      <c r="AQ20" s="68">
        <f>'3w9h9s шалблон копия'!p3win* ('3w9h9s шалблон копия'!p1sp1win*T_p3p123372677[[#This Row],[ICM]] + '3w9h9s шалблон копия'!p2sp1win*T_p3p224382778[[#This Row],[ICM]])
+'3w9h9s шалблон копия'!p2win*T_p222362576[[#This Row],[ICM]]
+'3w9h9s шалблон копия'!p1win*T_p121351975[[#This Row],[ICM]]</f>
        <v>0.84710537999999991</v>
      </c>
      <c r="AR20" s="72">
        <f>('3w9h9s шалблон копия'!p3win* ('3w9h9s шалблон копия'!p1sp1win*T_p3p123372677[[#This Row],[KO]] + '3w9h9s шалблон копия'!p2sp1win*T_p3p224382778[[#This Row],[KO]])
+'3w9h9s шалблон копия'!p2win*T_p222362576[[#This Row],[KO]]
+'3w9h9s шалблон копия'!p1win*T_p121351975[[#This Row],[KO]])*bounty</f>
        <v>0</v>
      </c>
      <c r="AS20" s="72">
        <f>'3w9h9s шалблон копия'!p3win* ('3w9h9s шалблон копия'!p1sp1win*T_p3p123372677[[#This Row],[$stack]] + '3w9h9s шалблон копия'!p2sp1win*T_p3p224382778[[#This Row],[$stack]])
+'3w9h9s шалблон копия'!p2win*T_p222362576[[#This Row],[$stack]]
+'3w9h9s шалблон копия'!p1win*T_p121351975[[#This Row],[$stack]]</f>
        <v>0.84710537999999991</v>
      </c>
      <c r="AT20" s="72">
        <f>'3w9h9s шалблон копия'!p3win* ('3w9h9s шалблон копия'!p1sp1win*T_p3p123372677[[#This Row],[stack]] + '3w9h9s шалблон копия'!p2sp1win*T_p3p224382778[[#This Row],[stack]])
+'3w9h9s шалблон копия'!p2win*T_p222362576[[#This Row],[stack]]
+'3w9h9s шалблон копия'!p1win*T_p121351975[[#This Row],[stack]]</f>
        <v>394.00099999999998</v>
      </c>
      <c r="AU20" s="2">
        <f>T_EV33403080[[#This Row],[chipEV]]-T_fact29392879[[#This Row],[stack]]</f>
        <v>209.00099999999998</v>
      </c>
      <c r="AV20" s="2">
        <f>T_EV33403080[[#This Row],[EV]]-(T_fact29392879[[#This Row],[ICM]])</f>
        <v>-0.18519462000000009</v>
      </c>
    </row>
    <row r="21" spans="1:48" x14ac:dyDescent="0.25">
      <c r="B21">
        <v>0</v>
      </c>
      <c r="F21" s="5">
        <f>COUNTIF(T_p121351975[stack],"&gt;0")</f>
        <v>2</v>
      </c>
      <c r="G21">
        <f>IF(T_init2034474[[#This Row],[p]]=1,mainpot+sidepot1+sidepot2+uncalled,IF(T_init2034474[[#This Row],[p]]&gt;1,0,T_init2034474[[#This Row],[stack]]-T_init2034474[[#This Row],[anteblinds]]))</f>
        <v>0</v>
      </c>
      <c r="I21" s="2">
        <f>T_p121351975[[#This Row],[EQ]]*prize</f>
        <v>0</v>
      </c>
      <c r="J21" s="66">
        <f>IF(T_init2034474[[#This Row],[p]]=1,T_p121351975[[#This Row],[players]]*T_p121351975[[#This Row],[stack]]/chips+COUNTIF(T_p121351975[stack],0),T_p121351975[[#This Row],[players]]*T_p121351975[[#This Row],[stack]]/chips)</f>
        <v>0</v>
      </c>
      <c r="K21" s="66">
        <f>T_p121351975[[#This Row],[ICM]]+bounty*T_p121351975[[#This Row],[KO]]</f>
        <v>0</v>
      </c>
      <c r="M21" s="10">
        <f>COUNTIF(T_p222362576[stack],"&gt;0")</f>
        <v>3</v>
      </c>
      <c r="N21" s="26">
        <f>IF(T_init2034474[[#This Row],[p]]=1,uncalled,IF(T_init2034474[[#This Row],[p]]=2,mainpot+sidepot1+sidepot2,IF(T_init2034474[[#This Row],[p]]&gt;2,0,T_init2034474[[#This Row],[stack]]-T_init2034474[[#This Row],[anteblinds]])))</f>
        <v>0</v>
      </c>
      <c r="O21">
        <v>0</v>
      </c>
      <c r="P21" s="2">
        <f>T_p222362576[[#This Row],[EQ]]*prize</f>
        <v>0</v>
      </c>
      <c r="Q21" s="66">
        <f>IF(T_init2034474[[#This Row],[p]]=2,T_p222362576[[#This Row],[players]]*T_p222362576[[#This Row],[stack]]/chips+COUNTIF(T_p222362576[stack],0),T_p222362576[[#This Row],[players]]*T_p222362576[[#This Row],[stack]]/chips)</f>
        <v>0</v>
      </c>
      <c r="R21" s="66">
        <f>T_p222362576[[#This Row],[ICM]]+bounty*T_p222362576[[#This Row],[KO]]</f>
        <v>0</v>
      </c>
      <c r="T21" s="5">
        <f>COUNTIF(T_p3p123372677[stack],"&gt;0")</f>
        <v>3</v>
      </c>
      <c r="U21" s="26">
        <f>IF(T_init2034474[[#This Row],[p]]=1,sidepot1+uncalled,IF(T_init2034474[[#This Row],[p]]=3,mainpot,IF(ISBLANK(T_init2034474[[#This Row],[p]]),T_init2034474[[#This Row],[stack]]-T_init2034474[[#This Row],[anteblinds]],0)))</f>
        <v>0</v>
      </c>
      <c r="V21">
        <v>0</v>
      </c>
      <c r="W21" s="2">
        <f>T_p3p123372677[[#This Row],[EQ]]*prize</f>
        <v>0</v>
      </c>
      <c r="X21" s="66">
        <f>IF(T_init2034474[[#This Row],[p]]=1,T_p3p123372677[[#This Row],[players]]*T_p3p123372677[[#This Row],[stack]]/chips+COUNTIF(T_p3p123372677[stack],0),T_p3p123372677[[#This Row],[players]]*T_p3p123372677[[#This Row],[stack]]/chips)</f>
        <v>0</v>
      </c>
      <c r="Y21" s="66">
        <f>T_p3p123372677[[#This Row],[ICM]]+bounty*T_p3p123372677[[#This Row],[KO]]</f>
        <v>0</v>
      </c>
      <c r="AA21" s="5">
        <f>COUNTIF(T_p3p224382778[stack],"&gt;0")</f>
        <v>3</v>
      </c>
      <c r="AB21">
        <f>IF(T_init2034474[[#This Row],[p]]=1,uncalled,IF(T_init2034474[[#This Row],[p]]=2,sidepot1,IF(T_init2034474[[#This Row],[p]]=3,mainpot,IF(ISBLANK(T_init2034474[[#This Row],[p]]),T_init2034474[[#This Row],[stack]]-T_init2034474[[#This Row],[anteblinds]],0))))</f>
        <v>0</v>
      </c>
      <c r="AC21">
        <v>0</v>
      </c>
      <c r="AD21" s="2">
        <f>T_p3p224382778[[#This Row],[EQ]]*prize</f>
        <v>0</v>
      </c>
      <c r="AE21" s="66">
        <f>IF(T_init2034474[[#This Row],[p]]=2,T_p3p224382778[[#This Row],[players]]*T_p3p224382778[[#This Row],[stack]]/chips+COUNTIF(T_p3p224382778[stack],0),T_p3p224382778[[#This Row],[players]]*T_p3p224382778[[#This Row],[stack]]/chips)</f>
        <v>0</v>
      </c>
      <c r="AF21" s="16">
        <f>T_p3p224382778[[#This Row],[ICM]]+bounty*T_p3p224382778[[#This Row],[KO]]</f>
        <v>0</v>
      </c>
      <c r="AI21" s="73">
        <v>4</v>
      </c>
      <c r="AJ21" s="26">
        <v>0</v>
      </c>
      <c r="AL21" s="2">
        <f>T_fact29392879[[#This Row],[EQ]]*prize</f>
        <v>0</v>
      </c>
      <c r="AM21" s="66">
        <f>IF(T_init2034474[[#This Row],[p]]=1,T_fact29392879[[#This Row],[players]]*T_fact29392879[[#This Row],[stack]]/chips+COUNTIF(T_fact29392879[stack],0),T_fact29392879[[#This Row],[players]]*T_fact29392879[[#This Row],[stack]]/chips)</f>
        <v>0</v>
      </c>
      <c r="AN21" s="16">
        <f>T_fact29392879[[#This Row],[ICM]]+bounty*T_fact29392879[[#This Row],[KO]]</f>
        <v>0</v>
      </c>
      <c r="AQ21" s="68">
        <f>'3w9h9s шалблон копия'!p3win* ('3w9h9s шалблон копия'!p1sp1win*T_p3p123372677[[#This Row],[ICM]] + '3w9h9s шалблон копия'!p2sp1win*T_p3p224382778[[#This Row],[ICM]])
+'3w9h9s шалблон копия'!p2win*T_p222362576[[#This Row],[ICM]]
+'3w9h9s шалблон копия'!p1win*T_p121351975[[#This Row],[ICM]]</f>
        <v>0</v>
      </c>
      <c r="AR21" s="68">
        <f>('3w9h9s шалблон копия'!p3win* ('3w9h9s шалблон копия'!p1sp1win*T_p3p123372677[[#This Row],[KO]] + '3w9h9s шалблон копия'!p2sp1win*T_p3p224382778[[#This Row],[KO]])
+'3w9h9s шалблон копия'!p2win*T_p222362576[[#This Row],[KO]]
+'3w9h9s шалблон копия'!p1win*T_p121351975[[#This Row],[KO]])*bounty</f>
        <v>0</v>
      </c>
      <c r="AS21" s="68">
        <f>'3w9h9s шалблон копия'!p3win* ('3w9h9s шалблон копия'!p1sp1win*T_p3p123372677[[#This Row],[$stack]] + '3w9h9s шалблон копия'!p2sp1win*T_p3p224382778[[#This Row],[$stack]])
+'3w9h9s шалблон копия'!p2win*T_p222362576[[#This Row],[$stack]]
+'3w9h9s шалблон копия'!p1win*T_p121351975[[#This Row],[$stack]]</f>
        <v>0</v>
      </c>
      <c r="AT21" s="68">
        <f>'3w9h9s шалблон копия'!p3win* ('3w9h9s шалблон копия'!p1sp1win*T_p3p123372677[[#This Row],[stack]] + '3w9h9s шалблон копия'!p2sp1win*T_p3p224382778[[#This Row],[stack]])
+'3w9h9s шалблон копия'!p2win*T_p222362576[[#This Row],[stack]]
+'3w9h9s шалблон копия'!p1win*T_p121351975[[#This Row],[stack]]</f>
        <v>0</v>
      </c>
      <c r="AU21" s="2">
        <f>T_EV33403080[[#This Row],[chipEV]]-T_fact29392879[[#This Row],[stack]]</f>
        <v>0</v>
      </c>
      <c r="AV21" s="2">
        <f>T_EV33403080[[#This Row],[EV]]-(T_fact29392879[[#This Row],[ICM]])</f>
        <v>0</v>
      </c>
    </row>
    <row r="22" spans="1:48" x14ac:dyDescent="0.25">
      <c r="B22">
        <v>0</v>
      </c>
      <c r="F22" s="5">
        <f>COUNTIF(T_p121351975[stack],"&gt;0")</f>
        <v>2</v>
      </c>
      <c r="G22">
        <f>IF(T_init2034474[[#This Row],[p]]=1,mainpot+sidepot1+sidepot2+uncalled,IF(T_init2034474[[#This Row],[p]]&gt;1,0,T_init2034474[[#This Row],[stack]]-T_init2034474[[#This Row],[anteblinds]]))</f>
        <v>0</v>
      </c>
      <c r="I22" s="2">
        <f>T_p121351975[[#This Row],[EQ]]*prize</f>
        <v>0</v>
      </c>
      <c r="J22" s="66">
        <f>IF(T_init2034474[[#This Row],[p]]=1,T_p121351975[[#This Row],[players]]*T_p121351975[[#This Row],[stack]]/chips+COUNTIF(T_p121351975[stack],0),T_p121351975[[#This Row],[players]]*T_p121351975[[#This Row],[stack]]/chips)</f>
        <v>0</v>
      </c>
      <c r="K22" s="66">
        <f>T_p121351975[[#This Row],[ICM]]+bounty*T_p121351975[[#This Row],[KO]]</f>
        <v>0</v>
      </c>
      <c r="M22" s="10">
        <f>COUNTIF(T_p222362576[stack],"&gt;0")</f>
        <v>3</v>
      </c>
      <c r="N22" s="26">
        <f>IF(T_init2034474[[#This Row],[p]]=1,uncalled,IF(T_init2034474[[#This Row],[p]]=2,mainpot+sidepot1+sidepot2,IF(T_init2034474[[#This Row],[p]]&gt;2,0,T_init2034474[[#This Row],[stack]]-T_init2034474[[#This Row],[anteblinds]])))</f>
        <v>0</v>
      </c>
      <c r="P22" s="2">
        <f>T_p222362576[[#This Row],[EQ]]*prize</f>
        <v>0</v>
      </c>
      <c r="Q22" s="66">
        <f>IF(T_init2034474[[#This Row],[p]]=2,T_p222362576[[#This Row],[players]]*T_p222362576[[#This Row],[stack]]/chips+COUNTIF(T_p222362576[stack],0),T_p222362576[[#This Row],[players]]*T_p222362576[[#This Row],[stack]]/chips)</f>
        <v>0</v>
      </c>
      <c r="R22" s="66">
        <f>T_p222362576[[#This Row],[ICM]]+bounty*T_p222362576[[#This Row],[KO]]</f>
        <v>0</v>
      </c>
      <c r="T22" s="5">
        <f>COUNTIF(T_p3p123372677[stack],"&gt;0")</f>
        <v>3</v>
      </c>
      <c r="U22" s="26">
        <f>IF(T_init2034474[[#This Row],[p]]=1,sidepot1+uncalled,IF(T_init2034474[[#This Row],[p]]=3,mainpot,IF(ISBLANK(T_init2034474[[#This Row],[p]]),T_init2034474[[#This Row],[stack]]-T_init2034474[[#This Row],[anteblinds]],0)))</f>
        <v>0</v>
      </c>
      <c r="V22">
        <v>0</v>
      </c>
      <c r="W22" s="2">
        <f>T_p3p123372677[[#This Row],[EQ]]*prize</f>
        <v>0</v>
      </c>
      <c r="X22" s="66">
        <f>IF(T_init2034474[[#This Row],[p]]=1,T_p3p123372677[[#This Row],[players]]*T_p3p123372677[[#This Row],[stack]]/chips+COUNTIF(T_p3p123372677[stack],0),T_p3p123372677[[#This Row],[players]]*T_p3p123372677[[#This Row],[stack]]/chips)</f>
        <v>0</v>
      </c>
      <c r="Y22" s="66">
        <f>T_p3p123372677[[#This Row],[ICM]]+bounty*T_p3p123372677[[#This Row],[KO]]</f>
        <v>0</v>
      </c>
      <c r="AA22" s="5">
        <f>COUNTIF(T_p3p224382778[stack],"&gt;0")</f>
        <v>3</v>
      </c>
      <c r="AB22">
        <f>IF(T_init2034474[[#This Row],[p]]=1,uncalled,IF(T_init2034474[[#This Row],[p]]=2,sidepot1,IF(T_init2034474[[#This Row],[p]]=3,mainpot,IF(ISBLANK(T_init2034474[[#This Row],[p]]),T_init2034474[[#This Row],[stack]]-T_init2034474[[#This Row],[anteblinds]],0))))</f>
        <v>0</v>
      </c>
      <c r="AC22">
        <v>0</v>
      </c>
      <c r="AD22" s="2">
        <f>T_p3p224382778[[#This Row],[EQ]]*prize</f>
        <v>0</v>
      </c>
      <c r="AE22" s="66">
        <f>IF(T_init2034474[[#This Row],[p]]=2,T_p3p224382778[[#This Row],[players]]*T_p3p224382778[[#This Row],[stack]]/chips+COUNTIF(T_p3p224382778[stack],0),T_p3p224382778[[#This Row],[players]]*T_p3p224382778[[#This Row],[stack]]/chips)</f>
        <v>0</v>
      </c>
      <c r="AF22" s="16">
        <f>T_p3p224382778[[#This Row],[ICM]]+bounty*T_p3p224382778[[#This Row],[KO]]</f>
        <v>0</v>
      </c>
      <c r="AI22" s="73">
        <v>4</v>
      </c>
      <c r="AJ22" s="26">
        <v>0</v>
      </c>
      <c r="AL22" s="2">
        <f>T_fact29392879[[#This Row],[EQ]]*prize</f>
        <v>0</v>
      </c>
      <c r="AM22" s="66">
        <f>IF(T_init2034474[[#This Row],[p]]=1,T_fact29392879[[#This Row],[players]]*T_fact29392879[[#This Row],[stack]]/chips+COUNTIF(T_fact29392879[stack],0),T_fact29392879[[#This Row],[players]]*T_fact29392879[[#This Row],[stack]]/chips)</f>
        <v>0</v>
      </c>
      <c r="AN22" s="16">
        <f>T_fact29392879[[#This Row],[ICM]]+bounty*T_fact29392879[[#This Row],[KO]]</f>
        <v>0</v>
      </c>
      <c r="AQ22" s="68">
        <f>'3w9h9s шалблон копия'!p3win* ('3w9h9s шалблон копия'!p1sp1win*T_p3p123372677[[#This Row],[ICM]] + '3w9h9s шалблон копия'!p2sp1win*T_p3p224382778[[#This Row],[ICM]])
+'3w9h9s шалблон копия'!p2win*T_p222362576[[#This Row],[ICM]]
+'3w9h9s шалблон копия'!p1win*T_p121351975[[#This Row],[ICM]]</f>
        <v>0</v>
      </c>
      <c r="AR22" s="68">
        <f>('3w9h9s шалблон копия'!p3win* ('3w9h9s шалблон копия'!p1sp1win*T_p3p123372677[[#This Row],[KO]] + '3w9h9s шалблон копия'!p2sp1win*T_p3p224382778[[#This Row],[KO]])
+'3w9h9s шалблон копия'!p2win*T_p222362576[[#This Row],[KO]]
+'3w9h9s шалблон копия'!p1win*T_p121351975[[#This Row],[KO]])*bounty</f>
        <v>0</v>
      </c>
      <c r="AS22" s="68">
        <f>'3w9h9s шалблон копия'!p3win* ('3w9h9s шалблон копия'!p1sp1win*T_p3p123372677[[#This Row],[$stack]] + '3w9h9s шалблон копия'!p2sp1win*T_p3p224382778[[#This Row],[$stack]])
+'3w9h9s шалблон копия'!p2win*T_p222362576[[#This Row],[$stack]]
+'3w9h9s шалблон копия'!p1win*T_p121351975[[#This Row],[$stack]]</f>
        <v>0</v>
      </c>
      <c r="AT22" s="68">
        <f>'3w9h9s шалблон копия'!p3win* ('3w9h9s шалблон копия'!p1sp1win*T_p3p123372677[[#This Row],[stack]] + '3w9h9s шалблон копия'!p2sp1win*T_p3p224382778[[#This Row],[stack]])
+'3w9h9s шалблон копия'!p2win*T_p222362576[[#This Row],[stack]]
+'3w9h9s шалблон копия'!p1win*T_p121351975[[#This Row],[stack]]</f>
        <v>0</v>
      </c>
      <c r="AU22" s="2">
        <f>T_EV33403080[[#This Row],[chipEV]]-T_fact29392879[[#This Row],[stack]]</f>
        <v>0</v>
      </c>
      <c r="AV22" s="2">
        <f>T_EV33403080[[#This Row],[EV]]-(T_fact29392879[[#This Row],[ICM]])</f>
        <v>0</v>
      </c>
    </row>
    <row r="23" spans="1:48" x14ac:dyDescent="0.25">
      <c r="A23" t="s">
        <v>95</v>
      </c>
      <c r="D23">
        <f>SUBTOTAL(109,T_init2034474[anteblinds])</f>
        <v>115</v>
      </c>
      <c r="F23" s="53"/>
      <c r="G23" s="50">
        <f>SUM(T_p121351975[stack])</f>
        <v>2000</v>
      </c>
      <c r="H23" s="50">
        <f>SUM(T_p121351975[EQ])</f>
        <v>1</v>
      </c>
      <c r="I23" s="50">
        <f>SUM(T_p121351975[ICM])</f>
        <v>11.16</v>
      </c>
      <c r="J23" s="50">
        <f>SUM(T_p121351975[KO])</f>
        <v>6</v>
      </c>
      <c r="K23" s="50">
        <f>SUM(T_p121351975[$stack])</f>
        <v>11.16</v>
      </c>
      <c r="M23" s="53"/>
      <c r="N23" s="55">
        <f>SUM(T_p222362576[stack])</f>
        <v>2000</v>
      </c>
      <c r="O23" s="50">
        <f>SUM(T_p222362576[EQ])</f>
        <v>1</v>
      </c>
      <c r="P23" s="51">
        <f>SUM(T_p222362576[ICM])</f>
        <v>11.16</v>
      </c>
      <c r="Q23" s="52">
        <f>SUM(T_p222362576[KO])</f>
        <v>6</v>
      </c>
      <c r="R23" s="50">
        <f>SUM(T_p222362576[$stack])</f>
        <v>11.16</v>
      </c>
      <c r="T23" s="53"/>
      <c r="U23" s="55">
        <f>SUM(T_p3p123372677[stack])</f>
        <v>2000</v>
      </c>
      <c r="V23" s="50">
        <f>SUM(T_p3p123372677[EQ])</f>
        <v>1</v>
      </c>
      <c r="W23" s="51">
        <f>SUM(T_p3p123372677[ICM])</f>
        <v>11.16</v>
      </c>
      <c r="X23" s="52">
        <f>SUM(T_p3p123372677[KO])</f>
        <v>6</v>
      </c>
      <c r="Y23" s="50">
        <f>SUM(T_p3p123372677[$stack])</f>
        <v>11.16</v>
      </c>
      <c r="AA23" s="53"/>
      <c r="AB23" s="55">
        <f>SUM(T_p3p224382778[stack])</f>
        <v>2000</v>
      </c>
      <c r="AC23" s="50">
        <f>SUM(T_p3p224382778[EQ])</f>
        <v>1</v>
      </c>
      <c r="AD23" s="51">
        <f>SUM(T_p3p224382778[ICM])</f>
        <v>11.16</v>
      </c>
      <c r="AE23" s="52">
        <f>SUM(T_p3p224382778[KO])</f>
        <v>6</v>
      </c>
      <c r="AF23" s="50">
        <f>SUM(T_p3p123372677[$stack])</f>
        <v>11.16</v>
      </c>
      <c r="AI23" s="53"/>
      <c r="AJ23" s="55">
        <f>SUM(T_fact29392879[stack])</f>
        <v>2000</v>
      </c>
      <c r="AK23" s="50">
        <f>SUM(T_fact29392879[EQ])</f>
        <v>1</v>
      </c>
      <c r="AL23" s="51">
        <f>SUM(T_fact29392879[ICM])</f>
        <v>11.16</v>
      </c>
      <c r="AM23" s="52">
        <f>SUM(T_fact29392879[KO])</f>
        <v>7</v>
      </c>
      <c r="AN23" s="51">
        <f>SUM(T_fact29392879[$stack])</f>
        <v>11.16</v>
      </c>
      <c r="AQ23" s="52">
        <f>SUM(T_EV33403080[ICM])</f>
        <v>11.160000000000002</v>
      </c>
      <c r="AR23" s="52">
        <f>SUM(T_EV33403080[KO])</f>
        <v>0</v>
      </c>
      <c r="AS23" s="52">
        <f>SUM(T_EV33403080[EV])</f>
        <v>11.160000000000002</v>
      </c>
      <c r="AT23" s="50">
        <f>SUM(T_EV33403080[chipEV])</f>
        <v>2000</v>
      </c>
    </row>
    <row r="25" spans="1:48" ht="18.75" x14ac:dyDescent="0.3">
      <c r="M25" s="79" t="s">
        <v>117</v>
      </c>
    </row>
    <row r="26" spans="1:48" x14ac:dyDescent="0.25">
      <c r="C26" t="s">
        <v>118</v>
      </c>
      <c r="M26" t="s">
        <v>119</v>
      </c>
    </row>
    <row r="27" spans="1:48" x14ac:dyDescent="0.25">
      <c r="C27" t="s">
        <v>120</v>
      </c>
      <c r="M27" t="s">
        <v>121</v>
      </c>
    </row>
    <row r="28" spans="1:48" x14ac:dyDescent="0.25">
      <c r="C28" t="s">
        <v>122</v>
      </c>
      <c r="M28" t="s">
        <v>123</v>
      </c>
    </row>
    <row r="29" spans="1:48" x14ac:dyDescent="0.25">
      <c r="M29" t="s">
        <v>124</v>
      </c>
    </row>
    <row r="30" spans="1:48" x14ac:dyDescent="0.25">
      <c r="M30" t="s">
        <v>125</v>
      </c>
    </row>
    <row r="31" spans="1:48" x14ac:dyDescent="0.25">
      <c r="C31" t="s">
        <v>126</v>
      </c>
      <c r="M31" t="s">
        <v>127</v>
      </c>
    </row>
    <row r="32" spans="1:48" x14ac:dyDescent="0.25">
      <c r="M32" t="s">
        <v>128</v>
      </c>
    </row>
    <row r="33" spans="2:13" x14ac:dyDescent="0.25">
      <c r="B33" t="s">
        <v>129</v>
      </c>
      <c r="M33" t="s">
        <v>130</v>
      </c>
    </row>
    <row r="34" spans="2:13" x14ac:dyDescent="0.25">
      <c r="B34" t="s">
        <v>131</v>
      </c>
      <c r="M34" t="s">
        <v>132</v>
      </c>
    </row>
    <row r="35" spans="2:13" x14ac:dyDescent="0.25">
      <c r="C35" t="s">
        <v>133</v>
      </c>
      <c r="M35" t="s">
        <v>134</v>
      </c>
    </row>
    <row r="36" spans="2:13" x14ac:dyDescent="0.25">
      <c r="D36" t="s">
        <v>135</v>
      </c>
      <c r="M36" t="s">
        <v>136</v>
      </c>
    </row>
    <row r="37" spans="2:13" x14ac:dyDescent="0.25">
      <c r="C37" t="s">
        <v>137</v>
      </c>
      <c r="M37" t="s">
        <v>138</v>
      </c>
    </row>
    <row r="38" spans="2:13" x14ac:dyDescent="0.25">
      <c r="D38" t="s">
        <v>135</v>
      </c>
      <c r="M38" t="s">
        <v>139</v>
      </c>
    </row>
    <row r="39" spans="2:13" x14ac:dyDescent="0.25">
      <c r="C39" t="s">
        <v>140</v>
      </c>
      <c r="M39" t="s">
        <v>141</v>
      </c>
    </row>
    <row r="40" spans="2:13" x14ac:dyDescent="0.25">
      <c r="D40" t="s">
        <v>142</v>
      </c>
      <c r="M40" t="s">
        <v>143</v>
      </c>
    </row>
    <row r="41" spans="2:13" x14ac:dyDescent="0.25">
      <c r="D41" t="s">
        <v>144</v>
      </c>
      <c r="E41" t="s">
        <v>145</v>
      </c>
      <c r="M41" t="s">
        <v>146</v>
      </c>
    </row>
    <row r="42" spans="2:13" x14ac:dyDescent="0.25">
      <c r="F42" t="s">
        <v>147</v>
      </c>
      <c r="M42" t="s">
        <v>148</v>
      </c>
    </row>
    <row r="43" spans="2:13" x14ac:dyDescent="0.25">
      <c r="E43" t="s">
        <v>149</v>
      </c>
      <c r="M43" t="s">
        <v>150</v>
      </c>
    </row>
    <row r="44" spans="2:13" x14ac:dyDescent="0.25">
      <c r="F44" t="s">
        <v>151</v>
      </c>
      <c r="M44" t="s">
        <v>152</v>
      </c>
    </row>
    <row r="45" spans="2:13" x14ac:dyDescent="0.25">
      <c r="M45" t="s">
        <v>153</v>
      </c>
    </row>
    <row r="46" spans="2:13" x14ac:dyDescent="0.25">
      <c r="C46" t="s">
        <v>154</v>
      </c>
      <c r="M46" t="s">
        <v>155</v>
      </c>
    </row>
    <row r="47" spans="2:13" x14ac:dyDescent="0.25">
      <c r="D47" t="s">
        <v>156</v>
      </c>
      <c r="M47" t="s">
        <v>157</v>
      </c>
    </row>
    <row r="48" spans="2:13" x14ac:dyDescent="0.25">
      <c r="D48" t="s">
        <v>158</v>
      </c>
      <c r="E48" t="s">
        <v>145</v>
      </c>
      <c r="M48" t="s">
        <v>159</v>
      </c>
    </row>
    <row r="49" spans="5:13" x14ac:dyDescent="0.25">
      <c r="F49" t="s">
        <v>160</v>
      </c>
      <c r="M49" t="s">
        <v>161</v>
      </c>
    </row>
    <row r="50" spans="5:13" x14ac:dyDescent="0.25">
      <c r="E50" t="s">
        <v>149</v>
      </c>
      <c r="M50" t="s">
        <v>162</v>
      </c>
    </row>
    <row r="51" spans="5:13" x14ac:dyDescent="0.25">
      <c r="F51" t="s">
        <v>163</v>
      </c>
      <c r="M51" t="s">
        <v>164</v>
      </c>
    </row>
    <row r="52" spans="5:13" x14ac:dyDescent="0.25">
      <c r="E52" t="s">
        <v>165</v>
      </c>
      <c r="M52" t="s">
        <v>166</v>
      </c>
    </row>
    <row r="53" spans="5:13" x14ac:dyDescent="0.25">
      <c r="F53" t="s">
        <v>167</v>
      </c>
      <c r="M53" t="s">
        <v>168</v>
      </c>
    </row>
    <row r="54" spans="5:13" x14ac:dyDescent="0.25">
      <c r="F54" t="s">
        <v>144</v>
      </c>
      <c r="M54" t="s">
        <v>169</v>
      </c>
    </row>
    <row r="55" spans="5:13" x14ac:dyDescent="0.25">
      <c r="G55" t="s">
        <v>145</v>
      </c>
      <c r="M55" t="s">
        <v>170</v>
      </c>
    </row>
    <row r="56" spans="5:13" x14ac:dyDescent="0.25">
      <c r="H56" t="s">
        <v>147</v>
      </c>
      <c r="M56" t="s">
        <v>171</v>
      </c>
    </row>
    <row r="57" spans="5:13" x14ac:dyDescent="0.25">
      <c r="G57" t="s">
        <v>149</v>
      </c>
      <c r="M57" t="s">
        <v>172</v>
      </c>
    </row>
    <row r="58" spans="5:13" x14ac:dyDescent="0.25">
      <c r="H58" t="s">
        <v>151</v>
      </c>
      <c r="M58" t="s">
        <v>173</v>
      </c>
    </row>
    <row r="59" spans="5:13" x14ac:dyDescent="0.25">
      <c r="M59" t="s">
        <v>174</v>
      </c>
    </row>
    <row r="60" spans="5:13" x14ac:dyDescent="0.25">
      <c r="M60" t="s">
        <v>175</v>
      </c>
    </row>
    <row r="61" spans="5:13" x14ac:dyDescent="0.25">
      <c r="M61" t="s">
        <v>176</v>
      </c>
    </row>
    <row r="62" spans="5:13" x14ac:dyDescent="0.25">
      <c r="M62" t="s">
        <v>177</v>
      </c>
    </row>
    <row r="63" spans="5:13" x14ac:dyDescent="0.25">
      <c r="M63" t="s">
        <v>178</v>
      </c>
    </row>
    <row r="64" spans="5:13" x14ac:dyDescent="0.25">
      <c r="M64" t="s">
        <v>179</v>
      </c>
    </row>
  </sheetData>
  <mergeCells count="11">
    <mergeCell ref="AQ15:AT15"/>
    <mergeCell ref="F10:F11"/>
    <mergeCell ref="T13:AE13"/>
    <mergeCell ref="AQ13:AT13"/>
    <mergeCell ref="T14:AE14"/>
    <mergeCell ref="AQ14:AT14"/>
    <mergeCell ref="F15:J15"/>
    <mergeCell ref="M15:Q15"/>
    <mergeCell ref="T15:X15"/>
    <mergeCell ref="AA15:AE15"/>
    <mergeCell ref="AI15:AM15"/>
  </mergeCells>
  <pageMargins left="0.7" right="0.7" top="0.75" bottom="0.75" header="0.3" footer="0.3"/>
  <pageSetup paperSize="9" orientation="portrait" horizontalDpi="4294967293" verticalDpi="0" r:id="rId1"/>
  <legacyDrawing r:id="rId2"/>
  <tableParts count="7">
    <tablePart r:id="rId3"/>
    <tablePart r:id="rId4"/>
    <tablePart r:id="rId5"/>
    <tablePart r:id="rId6"/>
    <tablePart r:id="rId7"/>
    <tablePart r:id="rId8"/>
    <tablePart r:id="rId9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2F818-E583-4115-931E-340920F5F09E}">
  <dimension ref="A1:AV60"/>
  <sheetViews>
    <sheetView workbookViewId="0">
      <selection activeCell="M26" sqref="M26:M60"/>
    </sheetView>
  </sheetViews>
  <sheetFormatPr defaultRowHeight="15" x14ac:dyDescent="0.25"/>
  <cols>
    <col min="1" max="1" width="9.28515625" customWidth="1"/>
    <col min="5" max="5" width="2.7109375" customWidth="1"/>
    <col min="6" max="6" width="10.28515625" customWidth="1"/>
    <col min="12" max="12" width="2.140625" customWidth="1"/>
    <col min="13" max="13" width="10.28515625" customWidth="1"/>
    <col min="19" max="19" width="2" customWidth="1"/>
    <col min="20" max="20" width="9.5703125" bestFit="1" customWidth="1"/>
    <col min="21" max="21" width="10.28515625" customWidth="1"/>
    <col min="26" max="26" width="2" customWidth="1"/>
    <col min="27" max="27" width="7.7109375" customWidth="1"/>
    <col min="28" max="29" width="8.5703125" customWidth="1"/>
    <col min="30" max="30" width="9.85546875" customWidth="1"/>
    <col min="31" max="31" width="8.42578125" customWidth="1"/>
    <col min="33" max="33" width="2.140625" customWidth="1"/>
    <col min="34" max="34" width="2" customWidth="1"/>
    <col min="35" max="35" width="10" customWidth="1"/>
    <col min="39" max="39" width="10.5703125" customWidth="1"/>
    <col min="41" max="41" width="1.5703125" customWidth="1"/>
    <col min="42" max="42" width="1.140625" customWidth="1"/>
    <col min="46" max="46" width="10.7109375" customWidth="1"/>
    <col min="47" max="47" width="10.85546875" customWidth="1"/>
  </cols>
  <sheetData>
    <row r="1" spans="1:48" ht="15.75" x14ac:dyDescent="0.25">
      <c r="C1" s="80" t="s">
        <v>0</v>
      </c>
      <c r="D1">
        <f>14.71*4</f>
        <v>58.84</v>
      </c>
      <c r="F1" s="80" t="s">
        <v>71</v>
      </c>
      <c r="G1">
        <v>0.70879999999999999</v>
      </c>
      <c r="I1" s="80" t="s">
        <v>72</v>
      </c>
      <c r="J1">
        <v>0.70609999999999995</v>
      </c>
      <c r="M1" s="80" t="s">
        <v>73</v>
      </c>
      <c r="N1">
        <v>1225</v>
      </c>
    </row>
    <row r="2" spans="1:48" ht="15.75" x14ac:dyDescent="0.25">
      <c r="C2" s="80" t="s">
        <v>1</v>
      </c>
      <c r="D2">
        <f>bounty</f>
        <v>0</v>
      </c>
      <c r="F2" s="80" t="s">
        <v>74</v>
      </c>
      <c r="G2">
        <v>0.16589999999999999</v>
      </c>
      <c r="I2" s="80" t="s">
        <v>75</v>
      </c>
      <c r="J2">
        <v>0.29389999999999999</v>
      </c>
      <c r="M2" s="80" t="s">
        <v>76</v>
      </c>
      <c r="N2">
        <v>280</v>
      </c>
    </row>
    <row r="3" spans="1:48" ht="15.75" x14ac:dyDescent="0.25">
      <c r="C3" s="80" t="s">
        <v>77</v>
      </c>
      <c r="D3">
        <v>2000</v>
      </c>
      <c r="F3" s="80" t="s">
        <v>78</v>
      </c>
      <c r="G3">
        <v>0.12540000000000001</v>
      </c>
      <c r="M3" s="80" t="s">
        <v>79</v>
      </c>
      <c r="N3">
        <v>0</v>
      </c>
    </row>
    <row r="4" spans="1:48" ht="15.75" x14ac:dyDescent="0.25">
      <c r="F4" s="80" t="s">
        <v>80</v>
      </c>
      <c r="G4">
        <v>0</v>
      </c>
      <c r="M4" s="80" t="s">
        <v>81</v>
      </c>
      <c r="N4">
        <v>50</v>
      </c>
    </row>
    <row r="5" spans="1:48" ht="6" customHeight="1" x14ac:dyDescent="0.25"/>
    <row r="6" spans="1:48" x14ac:dyDescent="0.25">
      <c r="C6" t="s">
        <v>82</v>
      </c>
      <c r="D6" t="s">
        <v>83</v>
      </c>
    </row>
    <row r="7" spans="1:48" x14ac:dyDescent="0.25">
      <c r="C7" t="s">
        <v>84</v>
      </c>
      <c r="D7" t="s">
        <v>85</v>
      </c>
    </row>
    <row r="8" spans="1:48" x14ac:dyDescent="0.25">
      <c r="C8" t="s">
        <v>86</v>
      </c>
      <c r="D8" t="s">
        <v>87</v>
      </c>
    </row>
    <row r="9" spans="1:48" ht="6" customHeight="1" x14ac:dyDescent="0.25"/>
    <row r="10" spans="1:48" x14ac:dyDescent="0.25">
      <c r="F10" s="94" t="s">
        <v>88</v>
      </c>
      <c r="G10" s="81" t="s">
        <v>89</v>
      </c>
      <c r="H10" s="81" t="s">
        <v>90</v>
      </c>
      <c r="I10" s="81" t="s">
        <v>91</v>
      </c>
    </row>
    <row r="11" spans="1:48" ht="18.75" x14ac:dyDescent="0.3">
      <c r="F11" s="95"/>
      <c r="G11" s="81">
        <v>1</v>
      </c>
      <c r="H11" s="81">
        <v>0</v>
      </c>
      <c r="I11" s="82">
        <v>0</v>
      </c>
      <c r="J11" s="84"/>
      <c r="K11" s="84"/>
    </row>
    <row r="12" spans="1:48" ht="19.5" thickBot="1" x14ac:dyDescent="0.35">
      <c r="F12" s="84"/>
      <c r="G12" s="84"/>
      <c r="H12" s="84"/>
      <c r="I12" s="84"/>
      <c r="J12" s="84"/>
      <c r="K12" s="84"/>
      <c r="V12" t="s">
        <v>92</v>
      </c>
      <c r="AC12" t="s">
        <v>93</v>
      </c>
    </row>
    <row r="13" spans="1:48" ht="20.25" thickTop="1" thickBot="1" x14ac:dyDescent="0.35">
      <c r="F13" s="84"/>
      <c r="G13" s="84"/>
      <c r="H13" s="84"/>
      <c r="I13" s="84"/>
      <c r="J13" s="84"/>
      <c r="K13" s="84"/>
      <c r="T13" s="96" t="s">
        <v>94</v>
      </c>
      <c r="U13" s="97"/>
      <c r="V13" s="97"/>
      <c r="W13" s="97"/>
      <c r="X13" s="97"/>
      <c r="Y13" s="97"/>
      <c r="Z13" s="97"/>
      <c r="AA13" s="97"/>
      <c r="AB13" s="97"/>
      <c r="AC13" s="97"/>
      <c r="AD13" s="97"/>
      <c r="AE13" s="98"/>
      <c r="AQ13" s="96" t="s">
        <v>95</v>
      </c>
      <c r="AR13" s="97"/>
      <c r="AS13" s="97"/>
      <c r="AT13" s="97"/>
    </row>
    <row r="14" spans="1:48" ht="20.25" thickTop="1" thickBot="1" x14ac:dyDescent="0.35">
      <c r="F14" s="84"/>
      <c r="G14" s="84"/>
      <c r="H14" s="84" t="s">
        <v>96</v>
      </c>
      <c r="I14" s="84"/>
      <c r="J14" s="84"/>
      <c r="K14" s="84"/>
      <c r="O14" t="s">
        <v>97</v>
      </c>
      <c r="T14" s="96" t="s">
        <v>98</v>
      </c>
      <c r="U14" s="97"/>
      <c r="V14" s="97"/>
      <c r="W14" s="97"/>
      <c r="X14" s="97"/>
      <c r="Y14" s="97"/>
      <c r="Z14" s="97"/>
      <c r="AA14" s="97"/>
      <c r="AB14" s="97"/>
      <c r="AC14" s="97"/>
      <c r="AD14" s="97"/>
      <c r="AE14" s="98"/>
      <c r="AK14" t="s">
        <v>99</v>
      </c>
      <c r="AQ14" s="96"/>
      <c r="AR14" s="97"/>
      <c r="AS14" s="97"/>
      <c r="AT14" s="97"/>
    </row>
    <row r="15" spans="1:48" ht="19.5" thickTop="1" x14ac:dyDescent="0.3">
      <c r="F15" s="88" t="s">
        <v>100</v>
      </c>
      <c r="G15" s="89"/>
      <c r="H15" s="89"/>
      <c r="I15" s="89"/>
      <c r="J15" s="90"/>
      <c r="K15" s="84"/>
      <c r="M15" s="88" t="s">
        <v>101</v>
      </c>
      <c r="N15" s="89"/>
      <c r="O15" s="89"/>
      <c r="P15" s="89"/>
      <c r="Q15" s="90"/>
      <c r="R15" s="84"/>
      <c r="T15" s="99" t="s">
        <v>102</v>
      </c>
      <c r="U15" s="100"/>
      <c r="V15" s="100"/>
      <c r="W15" s="100"/>
      <c r="X15" s="101"/>
      <c r="Y15" s="84"/>
      <c r="AA15" s="99" t="s">
        <v>103</v>
      </c>
      <c r="AB15" s="100"/>
      <c r="AC15" s="100"/>
      <c r="AD15" s="100"/>
      <c r="AE15" s="101"/>
      <c r="AI15" s="85" t="s">
        <v>10</v>
      </c>
      <c r="AJ15" s="86"/>
      <c r="AK15" s="86"/>
      <c r="AL15" s="86"/>
      <c r="AM15" s="87"/>
      <c r="AQ15" s="91" t="s">
        <v>104</v>
      </c>
      <c r="AR15" s="92"/>
      <c r="AS15" s="92"/>
      <c r="AT15" s="93"/>
    </row>
    <row r="16" spans="1:48" x14ac:dyDescent="0.25">
      <c r="A16" t="s">
        <v>105</v>
      </c>
      <c r="B16" t="s">
        <v>12</v>
      </c>
      <c r="C16" t="s">
        <v>13</v>
      </c>
      <c r="D16" t="s">
        <v>106</v>
      </c>
      <c r="F16" s="5" t="s">
        <v>107</v>
      </c>
      <c r="G16" t="s">
        <v>12</v>
      </c>
      <c r="H16" t="s">
        <v>108</v>
      </c>
      <c r="I16" t="s">
        <v>109</v>
      </c>
      <c r="J16" s="5" t="s">
        <v>1</v>
      </c>
      <c r="K16" s="5" t="s">
        <v>110</v>
      </c>
      <c r="M16" s="5" t="s">
        <v>107</v>
      </c>
      <c r="N16" s="5" t="s">
        <v>12</v>
      </c>
      <c r="O16" s="5" t="s">
        <v>108</v>
      </c>
      <c r="P16" s="5" t="s">
        <v>109</v>
      </c>
      <c r="Q16" s="5" t="s">
        <v>1</v>
      </c>
      <c r="R16" s="5" t="s">
        <v>110</v>
      </c>
      <c r="T16" s="5" t="s">
        <v>107</v>
      </c>
      <c r="U16" s="5" t="s">
        <v>12</v>
      </c>
      <c r="V16" s="5" t="s">
        <v>108</v>
      </c>
      <c r="W16" s="5" t="s">
        <v>109</v>
      </c>
      <c r="X16" s="5" t="s">
        <v>1</v>
      </c>
      <c r="Y16" s="5" t="s">
        <v>110</v>
      </c>
      <c r="AA16" s="5" t="s">
        <v>107</v>
      </c>
      <c r="AB16" s="5" t="s">
        <v>12</v>
      </c>
      <c r="AC16" s="5" t="s">
        <v>108</v>
      </c>
      <c r="AD16" s="5" t="s">
        <v>109</v>
      </c>
      <c r="AE16" s="5" t="s">
        <v>1</v>
      </c>
      <c r="AF16" t="s">
        <v>110</v>
      </c>
      <c r="AI16" s="5" t="s">
        <v>107</v>
      </c>
      <c r="AJ16" s="5" t="s">
        <v>12</v>
      </c>
      <c r="AK16" s="5" t="s">
        <v>108</v>
      </c>
      <c r="AL16" s="5" t="s">
        <v>109</v>
      </c>
      <c r="AM16" s="5" t="s">
        <v>1</v>
      </c>
      <c r="AN16" t="s">
        <v>110</v>
      </c>
      <c r="AQ16" s="5" t="s">
        <v>109</v>
      </c>
      <c r="AR16" s="5" t="s">
        <v>1</v>
      </c>
      <c r="AS16" s="5" t="s">
        <v>104</v>
      </c>
      <c r="AT16" s="5" t="s">
        <v>111</v>
      </c>
      <c r="AU16" t="s">
        <v>112</v>
      </c>
      <c r="AV16" t="s">
        <v>113</v>
      </c>
    </row>
    <row r="17" spans="1:48" s="17" customFormat="1" x14ac:dyDescent="0.25">
      <c r="A17" s="17">
        <v>1</v>
      </c>
      <c r="B17" s="17">
        <v>595</v>
      </c>
      <c r="C17" s="17" t="s">
        <v>180</v>
      </c>
      <c r="D17" s="17">
        <v>60</v>
      </c>
      <c r="F17" s="83">
        <f>COUNTIF(T_p1213519[stack],"&gt;0")</f>
        <v>2</v>
      </c>
      <c r="G17" s="17">
        <f>IF(T_init20344[[#This Row],[p]]=1,mainpot+sidepot1+sidepot2+uncalled,IF(T_init20344[[#This Row],[p]]&gt;1,0,T_init20344[[#This Row],[stack]]-T_init20344[[#This Row],[anteblinds]]))</f>
        <v>1555</v>
      </c>
      <c r="H17" s="17">
        <v>0.77749999999999997</v>
      </c>
      <c r="I17" s="18">
        <f>T_p1213519[[#This Row],[EQ]]*prize</f>
        <v>45.748100000000001</v>
      </c>
      <c r="J17" s="67">
        <f>IF(T_init20344[[#This Row],[p]]=1,T_p1213519[[#This Row],[players]]*T_p1213519[[#This Row],[stack]]/chips+COUNTIF(T_p1213519[stack],0),T_p1213519[[#This Row],[players]]*T_p1213519[[#This Row],[stack]]/chips)</f>
        <v>5.5549999999999997</v>
      </c>
      <c r="K17" s="67">
        <f>T_p1213519[[#This Row],[ICM]]+bounty*T_p1213519[[#This Row],[KO]]</f>
        <v>45.748100000000001</v>
      </c>
      <c r="M17" s="19">
        <f>COUNTIF(T_p2223625[stack],"&gt;0")</f>
        <v>3</v>
      </c>
      <c r="N17" s="17">
        <f>IF(T_init20344[[#This Row],[p]]=1,uncalled,IF(T_init20344[[#This Row],[p]]=2,mainpot+sidepot1+sidepot2,IF(T_init20344[[#This Row],[p]]&gt;2,0,T_init20344[[#This Row],[stack]]-T_init20344[[#This Row],[anteblinds]])))</f>
        <v>50</v>
      </c>
      <c r="O17" s="17">
        <v>2.5000000000000001E-2</v>
      </c>
      <c r="P17" s="18">
        <f>T_p2223625[[#This Row],[EQ]]*prize</f>
        <v>1.4710000000000001</v>
      </c>
      <c r="Q17" s="67">
        <f>IF(T_init20344[[#This Row],[p]]=2,T_p2223625[[#This Row],[players]]*T_p2223625[[#This Row],[stack]]/chips+COUNTIF(T_p2223625[stack],0),T_p2223625[[#This Row],[players]]*T_p2223625[[#This Row],[stack]]/chips)</f>
        <v>7.4999999999999997E-2</v>
      </c>
      <c r="R17" s="67">
        <f>T_p2223625[[#This Row],[ICM]]+bounty*T_p2223625[[#This Row],[KO]]</f>
        <v>1.4710000000000001</v>
      </c>
      <c r="T17" s="83">
        <f>COUNTIF(T_p3p1233726[stack],"&gt;0")</f>
        <v>3</v>
      </c>
      <c r="U17" s="17">
        <f>IF(T_init20344[[#This Row],[p]]=1,sidepot1+uncalled,IF(T_init20344[[#This Row],[p]]=3,mainpot,IF(ISBLANK(T_init20344[[#This Row],[p]]),T_init20344[[#This Row],[stack]]-T_init20344[[#This Row],[anteblinds]],0)))</f>
        <v>330</v>
      </c>
      <c r="V17" s="17">
        <v>0.16500000000000001</v>
      </c>
      <c r="W17" s="18">
        <f>T_p3p1233726[[#This Row],[EQ]]*prize</f>
        <v>9.7086000000000006</v>
      </c>
      <c r="X17" s="67">
        <f>IF(T_init20344[[#This Row],[p]]=1,T_p3p1233726[[#This Row],[players]]*T_p3p1233726[[#This Row],[stack]]/chips+COUNTIF(T_p3p1233726[stack],0),T_p3p1233726[[#This Row],[players]]*T_p3p1233726[[#This Row],[stack]]/chips)</f>
        <v>3.4950000000000001</v>
      </c>
      <c r="Y17" s="67">
        <f>T_p3p1233726[[#This Row],[ICM]]+bounty*T_p3p1233726[[#This Row],[KO]]</f>
        <v>9.7086000000000006</v>
      </c>
      <c r="AA17" s="83">
        <f>COUNTIF(T_p3p2243827[stack],"&gt;0")</f>
        <v>4</v>
      </c>
      <c r="AB17" s="17">
        <f>IF(T_init20344[[#This Row],[p]]=1,uncalled,IF(T_init20344[[#This Row],[p]]=2,sidepot1,IF(T_init20344[[#This Row],[p]]=3,mainpot,IF(ISBLANK(T_init20344[[#This Row],[p]]),T_init20344[[#This Row],[stack]]-T_init20344[[#This Row],[anteblinds]],0))))</f>
        <v>50</v>
      </c>
      <c r="AC17" s="17">
        <v>2.5000000000000001E-2</v>
      </c>
      <c r="AD17" s="18">
        <f>T_p3p2243827[[#This Row],[EQ]]*prize</f>
        <v>1.4710000000000001</v>
      </c>
      <c r="AE17" s="67">
        <f>IF(T_init20344[[#This Row],[p]]=2,T_p3p2243827[[#This Row],[players]]*T_p3p2243827[[#This Row],[stack]]/chips+COUNTIF(T_p3p2243827[stack],0),T_p3p2243827[[#This Row],[players]]*T_p3p2243827[[#This Row],[stack]]/chips)</f>
        <v>0.1</v>
      </c>
      <c r="AF17" s="67">
        <f>T_p3p2243827[[#This Row],[ICM]]+bounty*T_p3p2243827[[#This Row],[KO]]</f>
        <v>1.4710000000000001</v>
      </c>
      <c r="AI17" s="83">
        <v>4</v>
      </c>
      <c r="AJ17" s="17">
        <v>50</v>
      </c>
      <c r="AK17" s="17">
        <v>2.5000000000000001E-2</v>
      </c>
      <c r="AL17" s="18">
        <f>T_fact293928[[#This Row],[EQ]]*prize</f>
        <v>1.4710000000000001</v>
      </c>
      <c r="AM17" s="67">
        <f>IF(T_init20344[[#This Row],[p]]=1,T_fact293928[[#This Row],[players]]*T_fact293928[[#This Row],[stack]]/chips+COUNTIF(T_fact293928[stack],0),T_fact293928[[#This Row],[players]]*T_fact293928[[#This Row],[stack]]/chips)</f>
        <v>2.1</v>
      </c>
      <c r="AN17" s="67">
        <f>T_fact293928[[#This Row],[ICM]]+bounty*T_fact293928[[#This Row],[KO]]</f>
        <v>1.4710000000000001</v>
      </c>
      <c r="AQ17" s="69">
        <f>'3w9h9s шалблон'!p3win* ('3w9h9s шалблон'!p1sp1win*T_p3p1233726[[#This Row],[ICM]] + '3w9h9s шалблон'!p2sp1win*T_p3p2243827[[#This Row],[ICM]])
+'3w9h9s шалблон'!p2win*T_p2223625[[#This Row],[ICM]]
+'3w9h9s шалблон'!p1win*T_p1213519[[#This Row],[ICM]]</f>
        <v>33.584153377743995</v>
      </c>
      <c r="AR17" s="23">
        <f>('3w9h9s шалблон'!p3win* ('3w9h9s шалблон'!p1sp1win*T_p3p1233726[[#This Row],[KO]] + '3w9h9s шалблон'!p2sp1win*T_p3p2243827[[#This Row],[KO]])
+'3w9h9s шалблон'!p2win*T_p2223625[[#This Row],[KO]]
+'3w9h9s шалблон'!p1win*T_p1213519[[#This Row],[KO]])*bounty</f>
        <v>0</v>
      </c>
      <c r="AS17" s="69">
        <f>'3w9h9s шалблон'!p3win* ('3w9h9s шалблон'!p1sp1win*T_p3p1233726[[#This Row],[$stack]] + '3w9h9s шалблон'!p2sp1win*T_p3p2243827[[#This Row],[$stack]])
+'3w9h9s шалблон'!p2win*T_p2223625[[#This Row],[$stack]]
+'3w9h9s шалблон'!p1win*T_p1213519[[#This Row],[$stack]]</f>
        <v>33.584153377743995</v>
      </c>
      <c r="AT17" s="23">
        <f>'3w9h9s шалблон'!p3win* ('3w9h9s шалблон'!p1sp1win*T_p3p1233726[[#This Row],[stack]] + '3w9h9s шалблон'!p2sp1win*T_p3p2243827[[#This Row],[stack]])
+'3w9h9s шалблон'!p2win*T_p2223625[[#This Row],[stack]]
+'3w9h9s шалблон'!p1win*T_p1213519[[#This Row],[stack]]</f>
        <v>1141.5415831999999</v>
      </c>
      <c r="AU17" s="18">
        <f>T_EV334030[[#This Row],[chipEV]]-T_fact293928[[#This Row],[stack]]</f>
        <v>1091.5415831999999</v>
      </c>
      <c r="AV17" s="18">
        <f>T_EV334030[[#This Row],[EV]]-(T_fact293928[[#This Row],[ICM]]+bounty*T_fact293928[[#This Row],[KO]])</f>
        <v>32.113153377743998</v>
      </c>
    </row>
    <row r="18" spans="1:48" x14ac:dyDescent="0.25">
      <c r="B18">
        <v>455</v>
      </c>
      <c r="D18">
        <v>10</v>
      </c>
      <c r="F18" s="5">
        <f>COUNTIF(T_p1213519[stack],"&gt;0")</f>
        <v>2</v>
      </c>
      <c r="G18">
        <f>IF(T_init20344[[#This Row],[p]]=1,mainpot+sidepot1+sidepot2+uncalled,IF(T_init20344[[#This Row],[p]]&gt;1,0,T_init20344[[#This Row],[stack]]-T_init20344[[#This Row],[anteblinds]]))</f>
        <v>445</v>
      </c>
      <c r="H18">
        <v>0.2225</v>
      </c>
      <c r="I18" s="2">
        <f>T_p1213519[[#This Row],[EQ]]*prize</f>
        <v>13.091900000000001</v>
      </c>
      <c r="J18" s="66">
        <f>IF(T_init20344[[#This Row],[p]]=1,T_p1213519[[#This Row],[players]]*T_p1213519[[#This Row],[stack]]/chips+COUNTIF(T_p1213519[stack],0),T_p1213519[[#This Row],[players]]*T_p1213519[[#This Row],[stack]]/chips)</f>
        <v>0.44500000000000001</v>
      </c>
      <c r="K18" s="66">
        <f>T_p1213519[[#This Row],[ICM]]+bounty*T_p1213519[[#This Row],[KO]]</f>
        <v>13.091900000000001</v>
      </c>
      <c r="M18" s="10">
        <f>COUNTIF(T_p2223625[stack],"&gt;0")</f>
        <v>3</v>
      </c>
      <c r="N18" s="26">
        <f>IF(T_init20344[[#This Row],[p]]=1,uncalled,IF(T_init20344[[#This Row],[p]]=2,mainpot+sidepot1+sidepot2,IF(T_init20344[[#This Row],[p]]&gt;2,0,T_init20344[[#This Row],[stack]]-T_init20344[[#This Row],[anteblinds]])))</f>
        <v>445</v>
      </c>
      <c r="O18">
        <v>0.2225</v>
      </c>
      <c r="P18" s="2">
        <f>T_p2223625[[#This Row],[EQ]]*prize</f>
        <v>13.091900000000001</v>
      </c>
      <c r="Q18" s="66">
        <f>IF(T_init20344[[#This Row],[p]]=2,T_p2223625[[#This Row],[players]]*T_p2223625[[#This Row],[stack]]/chips+COUNTIF(T_p2223625[stack],0),T_p2223625[[#This Row],[players]]*T_p2223625[[#This Row],[stack]]/chips)</f>
        <v>0.66749999999999998</v>
      </c>
      <c r="R18" s="66">
        <f>T_p2223625[[#This Row],[ICM]]+bounty*T_p2223625[[#This Row],[KO]]</f>
        <v>13.091900000000001</v>
      </c>
      <c r="T18" s="5">
        <f>COUNTIF(T_p3p1233726[stack],"&gt;0")</f>
        <v>3</v>
      </c>
      <c r="U18" s="26">
        <f>IF(T_init20344[[#This Row],[p]]=1,sidepot1+uncalled,IF(T_init20344[[#This Row],[p]]=3,mainpot,IF(ISBLANK(T_init20344[[#This Row],[p]]),T_init20344[[#This Row],[stack]]-T_init20344[[#This Row],[anteblinds]],0)))</f>
        <v>445</v>
      </c>
      <c r="V18">
        <v>0.2225</v>
      </c>
      <c r="W18" s="2">
        <f>T_p3p1233726[[#This Row],[EQ]]*prize</f>
        <v>13.091900000000001</v>
      </c>
      <c r="X18" s="66">
        <f>IF(T_init20344[[#This Row],[p]]=1,T_p3p1233726[[#This Row],[players]]*T_p3p1233726[[#This Row],[stack]]/chips+COUNTIF(T_p3p1233726[stack],0),T_p3p1233726[[#This Row],[players]]*T_p3p1233726[[#This Row],[stack]]/chips)</f>
        <v>0.66749999999999998</v>
      </c>
      <c r="Y18" s="66">
        <f>T_p3p1233726[[#This Row],[ICM]]+bounty*T_p3p1233726[[#This Row],[KO]]</f>
        <v>13.091900000000001</v>
      </c>
      <c r="AA18" s="5">
        <f>COUNTIF(T_p3p2243827[stack],"&gt;0")</f>
        <v>4</v>
      </c>
      <c r="AB18">
        <f>IF(T_init20344[[#This Row],[p]]=1,uncalled,IF(T_init20344[[#This Row],[p]]=2,sidepot1,IF(T_init20344[[#This Row],[p]]=3,mainpot,IF(ISBLANK(T_init20344[[#This Row],[p]]),T_init20344[[#This Row],[stack]]-T_init20344[[#This Row],[anteblinds]],0))))</f>
        <v>445</v>
      </c>
      <c r="AC18">
        <v>0.2225</v>
      </c>
      <c r="AD18" s="2">
        <f>T_p3p2243827[[#This Row],[EQ]]*prize</f>
        <v>13.091900000000001</v>
      </c>
      <c r="AE18" s="66">
        <f>IF(T_init20344[[#This Row],[p]]=2,T_p3p2243827[[#This Row],[players]]*T_p3p2243827[[#This Row],[stack]]/chips+COUNTIF(T_p3p2243827[stack],0),T_p3p2243827[[#This Row],[players]]*T_p3p2243827[[#This Row],[stack]]/chips)</f>
        <v>0.89</v>
      </c>
      <c r="AF18" s="16">
        <f>T_p3p2243827[[#This Row],[ICM]]+bounty*T_p3p2243827[[#This Row],[KO]]</f>
        <v>13.091900000000001</v>
      </c>
      <c r="AI18" s="73">
        <v>4</v>
      </c>
      <c r="AJ18" s="26">
        <v>445</v>
      </c>
      <c r="AK18">
        <v>0.2225</v>
      </c>
      <c r="AL18" s="2">
        <f>T_fact293928[[#This Row],[EQ]]*prize</f>
        <v>13.091900000000001</v>
      </c>
      <c r="AM18" s="66">
        <f>IF(T_init20344[[#This Row],[p]]=1,T_fact293928[[#This Row],[players]]*T_fact293928[[#This Row],[stack]]/chips+COUNTIF(T_fact293928[stack],0),T_fact293928[[#This Row],[players]]*T_fact293928[[#This Row],[stack]]/chips)</f>
        <v>0.89</v>
      </c>
      <c r="AN18" s="16">
        <f>T_fact293928[[#This Row],[ICM]]+bounty*T_fact293928[[#This Row],[KO]]</f>
        <v>13.091900000000001</v>
      </c>
      <c r="AQ18" s="68">
        <f>'3w9h9s шалблон'!p3win* ('3w9h9s шалблон'!p1sp1win*T_p3p1233726[[#This Row],[ICM]] + '3w9h9s шалблон'!p2sp1win*T_p3p2243827[[#This Row],[ICM]])
+'3w9h9s шалблон'!p2win*T_p2223625[[#This Row],[ICM]]
+'3w9h9s шалблон'!p1win*T_p1213519[[#This Row],[ICM]]</f>
        <v>13.09320919</v>
      </c>
      <c r="AR18" s="68">
        <f>('3w9h9s шалблон'!p3win* ('3w9h9s шалблон'!p1sp1win*T_p3p1233726[[#This Row],[KO]] + '3w9h9s шалблон'!p2sp1win*T_p3p2243827[[#This Row],[KO]])
+'3w9h9s шалблон'!p2win*T_p2223625[[#This Row],[KO]]
+'3w9h9s шалблон'!p1win*T_p1213519[[#This Row],[KO]])*bounty</f>
        <v>0</v>
      </c>
      <c r="AS18" s="68">
        <f>'3w9h9s шалблон'!p3win* ('3w9h9s шалблон'!p1sp1win*T_p3p1233726[[#This Row],[$stack]] + '3w9h9s шалблон'!p2sp1win*T_p3p2243827[[#This Row],[$stack]])
+'3w9h9s шалблон'!p2win*T_p2223625[[#This Row],[$stack]]
+'3w9h9s шалблон'!p1win*T_p1213519[[#This Row],[$stack]]</f>
        <v>13.09320919</v>
      </c>
      <c r="AT18" s="68">
        <f>'3w9h9s шалблон'!p3win* ('3w9h9s шалблон'!p1sp1win*T_p3p1233726[[#This Row],[stack]] + '3w9h9s шалблон'!p2sp1win*T_p3p2243827[[#This Row],[stack]])
+'3w9h9s шалблон'!p2win*T_p2223625[[#This Row],[stack]]
+'3w9h9s шалблон'!p1win*T_p1213519[[#This Row],[stack]]</f>
        <v>445.04449999999997</v>
      </c>
      <c r="AU18" s="2">
        <f>T_EV334030[[#This Row],[chipEV]]-T_fact293928[[#This Row],[stack]]</f>
        <v>4.4499999999970896E-2</v>
      </c>
      <c r="AV18" s="2">
        <f>T_EV334030[[#This Row],[EV]]-(T_fact293928[[#This Row],[ICM]]+bounty*T_fact293928[[#This Row],[KO]])</f>
        <v>1.3091899999988499E-3</v>
      </c>
    </row>
    <row r="19" spans="1:48" x14ac:dyDescent="0.25">
      <c r="A19">
        <v>3</v>
      </c>
      <c r="B19">
        <v>405</v>
      </c>
      <c r="C19" s="26" t="s">
        <v>181</v>
      </c>
      <c r="D19">
        <v>10</v>
      </c>
      <c r="F19" s="5">
        <f>COUNTIF(T_p1213519[stack],"&gt;0")</f>
        <v>2</v>
      </c>
      <c r="G19">
        <f>IF(T_init20344[[#This Row],[p]]=1,mainpot+sidepot1+sidepot2+uncalled,IF(T_init20344[[#This Row],[p]]&gt;1,0,T_init20344[[#This Row],[stack]]-T_init20344[[#This Row],[anteblinds]]))</f>
        <v>0</v>
      </c>
      <c r="I19" s="2">
        <f>T_p1213519[[#This Row],[EQ]]*prize</f>
        <v>0</v>
      </c>
      <c r="J19" s="66">
        <f>IF(T_init20344[[#This Row],[p]]=1,T_p1213519[[#This Row],[players]]*T_p1213519[[#This Row],[stack]]/chips+COUNTIF(T_p1213519[stack],0),T_p1213519[[#This Row],[players]]*T_p1213519[[#This Row],[stack]]/chips)</f>
        <v>0</v>
      </c>
      <c r="K19" s="66">
        <f>T_p1213519[[#This Row],[ICM]]+bounty*T_p1213519[[#This Row],[KO]]</f>
        <v>0</v>
      </c>
      <c r="M19" s="10">
        <f>COUNTIF(T_p2223625[stack],"&gt;0")</f>
        <v>3</v>
      </c>
      <c r="N19" s="26">
        <f>IF(T_init20344[[#This Row],[p]]=1,uncalled,IF(T_init20344[[#This Row],[p]]=2,mainpot+sidepot1+sidepot2,IF(T_init20344[[#This Row],[p]]&gt;2,0,T_init20344[[#This Row],[stack]]-T_init20344[[#This Row],[anteblinds]])))</f>
        <v>0</v>
      </c>
      <c r="P19" s="2">
        <f>T_p2223625[[#This Row],[EQ]]*prize</f>
        <v>0</v>
      </c>
      <c r="Q19" s="66">
        <f>IF(T_init20344[[#This Row],[p]]=2,T_p2223625[[#This Row],[players]]*T_p2223625[[#This Row],[stack]]/chips+COUNTIF(T_p2223625[stack],0),T_p2223625[[#This Row],[players]]*T_p2223625[[#This Row],[stack]]/chips)</f>
        <v>0</v>
      </c>
      <c r="R19" s="66">
        <f>T_p2223625[[#This Row],[ICM]]+bounty*T_p2223625[[#This Row],[KO]]</f>
        <v>0</v>
      </c>
      <c r="T19" s="5">
        <f>COUNTIF(T_p3p1233726[stack],"&gt;0")</f>
        <v>3</v>
      </c>
      <c r="U19" s="26">
        <f>IF(T_init20344[[#This Row],[p]]=1,sidepot1+uncalled,IF(T_init20344[[#This Row],[p]]=3,mainpot,IF(ISBLANK(T_init20344[[#This Row],[p]]),T_init20344[[#This Row],[stack]]-T_init20344[[#This Row],[anteblinds]],0)))</f>
        <v>1225</v>
      </c>
      <c r="V19">
        <v>0.61250000000000004</v>
      </c>
      <c r="W19" s="2">
        <f>T_p3p1233726[[#This Row],[EQ]]*prize</f>
        <v>36.039500000000004</v>
      </c>
      <c r="X19" s="66">
        <f>IF(T_init20344[[#This Row],[p]]=1,T_p3p1233726[[#This Row],[players]]*T_p3p1233726[[#This Row],[stack]]/chips+COUNTIF(T_p3p1233726[stack],0),T_p3p1233726[[#This Row],[players]]*T_p3p1233726[[#This Row],[stack]]/chips)</f>
        <v>1.8374999999999999</v>
      </c>
      <c r="Y19" s="66">
        <f>T_p3p1233726[[#This Row],[ICM]]+bounty*T_p3p1233726[[#This Row],[KO]]</f>
        <v>36.039500000000004</v>
      </c>
      <c r="AA19" s="5">
        <f>COUNTIF(T_p3p2243827[stack],"&gt;0")</f>
        <v>4</v>
      </c>
      <c r="AB19">
        <f>IF(T_init20344[[#This Row],[p]]=1,uncalled,IF(T_init20344[[#This Row],[p]]=2,sidepot1,IF(T_init20344[[#This Row],[p]]=3,mainpot,IF(ISBLANK(T_init20344[[#This Row],[p]]),T_init20344[[#This Row],[stack]]-T_init20344[[#This Row],[anteblinds]],0))))</f>
        <v>1225</v>
      </c>
      <c r="AC19">
        <v>0.61250000000000004</v>
      </c>
      <c r="AD19" s="2">
        <f>T_p3p2243827[[#This Row],[EQ]]*prize</f>
        <v>36.039500000000004</v>
      </c>
      <c r="AE19" s="66">
        <f>IF(T_init20344[[#This Row],[p]]=2,T_p3p2243827[[#This Row],[players]]*T_p3p2243827[[#This Row],[stack]]/chips+COUNTIF(T_p3p2243827[stack],0),T_p3p2243827[[#This Row],[players]]*T_p3p2243827[[#This Row],[stack]]/chips)</f>
        <v>2.4500000000000002</v>
      </c>
      <c r="AF19" s="16">
        <f>T_p3p2243827[[#This Row],[ICM]]+bounty*T_p3p2243827[[#This Row],[KO]]</f>
        <v>36.039500000000004</v>
      </c>
      <c r="AI19" s="73">
        <v>4</v>
      </c>
      <c r="AJ19" s="26">
        <v>612</v>
      </c>
      <c r="AK19">
        <v>0.30599999999999999</v>
      </c>
      <c r="AL19" s="2">
        <f>T_fact293928[[#This Row],[EQ]]*prize</f>
        <v>18.005040000000001</v>
      </c>
      <c r="AM19" s="66">
        <f>IF(T_init20344[[#This Row],[p]]=1,T_fact293928[[#This Row],[players]]*T_fact293928[[#This Row],[stack]]/chips+COUNTIF(T_fact293928[stack],0),T_fact293928[[#This Row],[players]]*T_fact293928[[#This Row],[stack]]/chips)</f>
        <v>1.224</v>
      </c>
      <c r="AN19" s="16">
        <f>T_fact293928[[#This Row],[ICM]]+bounty*T_fact293928[[#This Row],[KO]]</f>
        <v>18.005040000000001</v>
      </c>
      <c r="AQ19" s="68">
        <f>'3w9h9s шалблон'!p3win* ('3w9h9s шалблон'!p1sp1win*T_p3p1233726[[#This Row],[ICM]] + '3w9h9s шалблон'!p2sp1win*T_p3p2243827[[#This Row],[ICM]])
+'3w9h9s шалблон'!p2win*T_p2223625[[#This Row],[ICM]]
+'3w9h9s шалблон'!p1win*T_p1213519[[#This Row],[ICM]]</f>
        <v>4.5193533000000006</v>
      </c>
      <c r="AR19" s="68">
        <f>('3w9h9s шалблон'!p3win* ('3w9h9s шалблон'!p1sp1win*T_p3p1233726[[#This Row],[KO]] + '3w9h9s шалблон'!p2sp1win*T_p3p2243827[[#This Row],[KO]])
+'3w9h9s шалблон'!p2win*T_p2223625[[#This Row],[KO]]
+'3w9h9s шалблон'!p1win*T_p1213519[[#This Row],[KO]])*bounty</f>
        <v>0</v>
      </c>
      <c r="AS19" s="68">
        <f>'3w9h9s шалблон'!p3win* ('3w9h9s шалблон'!p1sp1win*T_p3p1233726[[#This Row],[$stack]] + '3w9h9s шалблон'!p2sp1win*T_p3p2243827[[#This Row],[$stack]])
+'3w9h9s шалблон'!p2win*T_p2223625[[#This Row],[$stack]]
+'3w9h9s шалблон'!p1win*T_p1213519[[#This Row],[$stack]]</f>
        <v>4.5193533000000006</v>
      </c>
      <c r="AT19" s="68">
        <f>'3w9h9s шалблон'!p3win* ('3w9h9s шалблон'!p1sp1win*T_p3p1233726[[#This Row],[stack]] + '3w9h9s шалблон'!p2sp1win*T_p3p2243827[[#This Row],[stack]])
+'3w9h9s шалблон'!p2win*T_p2223625[[#This Row],[stack]]
+'3w9h9s шалблон'!p1win*T_p1213519[[#This Row],[stack]]</f>
        <v>153.61500000000001</v>
      </c>
      <c r="AU19" s="2">
        <f>T_EV334030[[#This Row],[chipEV]]-T_fact293928[[#This Row],[stack]]</f>
        <v>-458.38499999999999</v>
      </c>
      <c r="AV19" s="2">
        <f>T_EV334030[[#This Row],[EV]]-(T_fact293928[[#This Row],[ICM]]+bounty*T_fact293928[[#This Row],[KO]])</f>
        <v>-13.4856867</v>
      </c>
    </row>
    <row r="20" spans="1:48" x14ac:dyDescent="0.25">
      <c r="A20" s="26">
        <v>2</v>
      </c>
      <c r="B20" s="26">
        <v>545</v>
      </c>
      <c r="C20" t="s">
        <v>182</v>
      </c>
      <c r="D20" s="26">
        <v>35</v>
      </c>
      <c r="F20" s="73">
        <f>COUNTIF(T_p1213519[stack],"&gt;0")</f>
        <v>2</v>
      </c>
      <c r="G20" s="26">
        <f>IF(T_init20344[[#This Row],[p]]=1,mainpot+sidepot1+sidepot2+uncalled,IF(T_init20344[[#This Row],[p]]&gt;1,0,T_init20344[[#This Row],[stack]]-T_init20344[[#This Row],[anteblinds]]))</f>
        <v>0</v>
      </c>
      <c r="H20" s="26"/>
      <c r="I20" s="27">
        <f>T_p1213519[[#This Row],[EQ]]*prize</f>
        <v>0</v>
      </c>
      <c r="J20" s="71">
        <f>IF(T_init20344[[#This Row],[p]]=1,T_p1213519[[#This Row],[players]]*T_p1213519[[#This Row],[stack]]/chips+COUNTIF(T_p1213519[stack],0),T_p1213519[[#This Row],[players]]*T_p1213519[[#This Row],[stack]]/chips)</f>
        <v>0</v>
      </c>
      <c r="K20" s="71">
        <f>T_p1213519[[#This Row],[ICM]]+bounty*T_p1213519[[#This Row],[KO]]</f>
        <v>0</v>
      </c>
      <c r="M20" s="29">
        <f>COUNTIF(T_p2223625[stack],"&gt;0")</f>
        <v>3</v>
      </c>
      <c r="N20" s="26">
        <f>IF(T_init20344[[#This Row],[p]]=1,uncalled,IF(T_init20344[[#This Row],[p]]=2,mainpot+sidepot1+sidepot2,IF(T_init20344[[#This Row],[p]]&gt;2,0,T_init20344[[#This Row],[stack]]-T_init20344[[#This Row],[anteblinds]])))</f>
        <v>1505</v>
      </c>
      <c r="O20" s="26">
        <v>0.75249999999999995</v>
      </c>
      <c r="P20" s="27">
        <f>T_p2223625[[#This Row],[EQ]]*prize</f>
        <v>44.277099999999997</v>
      </c>
      <c r="Q20" s="71">
        <f>IF(T_init20344[[#This Row],[p]]=2,T_p2223625[[#This Row],[players]]*T_p2223625[[#This Row],[stack]]/chips+COUNTIF(T_p2223625[stack],0),T_p2223625[[#This Row],[players]]*T_p2223625[[#This Row],[stack]]/chips)</f>
        <v>5.2575000000000003</v>
      </c>
      <c r="R20" s="71">
        <f>T_p2223625[[#This Row],[ICM]]+bounty*T_p2223625[[#This Row],[KO]]</f>
        <v>44.277099999999997</v>
      </c>
      <c r="T20" s="73">
        <f>COUNTIF(T_p3p1233726[stack],"&gt;0")</f>
        <v>3</v>
      </c>
      <c r="U20" s="26">
        <f>IF(T_init20344[[#This Row],[p]]=1,sidepot1+uncalled,IF(T_init20344[[#This Row],[p]]=3,mainpot,IF(ISBLANK(T_init20344[[#This Row],[p]]),T_init20344[[#This Row],[stack]]-T_init20344[[#This Row],[anteblinds]],0)))</f>
        <v>0</v>
      </c>
      <c r="V20" s="26">
        <v>0</v>
      </c>
      <c r="W20" s="27">
        <f>T_p3p1233726[[#This Row],[EQ]]*prize</f>
        <v>0</v>
      </c>
      <c r="X20" s="71">
        <f>IF(T_init20344[[#This Row],[p]]=1,T_p3p1233726[[#This Row],[players]]*T_p3p1233726[[#This Row],[stack]]/chips+COUNTIF(T_p3p1233726[stack],0),T_p3p1233726[[#This Row],[players]]*T_p3p1233726[[#This Row],[stack]]/chips)</f>
        <v>0</v>
      </c>
      <c r="Y20" s="71">
        <f>T_p3p1233726[[#This Row],[ICM]]+bounty*T_p3p1233726[[#This Row],[KO]]</f>
        <v>0</v>
      </c>
      <c r="AA20" s="73">
        <f>COUNTIF(T_p3p2243827[stack],"&gt;0")</f>
        <v>4</v>
      </c>
      <c r="AB20" s="26">
        <f>IF(T_init20344[[#This Row],[p]]=1,uncalled,IF(T_init20344[[#This Row],[p]]=2,sidepot1,IF(T_init20344[[#This Row],[p]]=3,mainpot,IF(ISBLANK(T_init20344[[#This Row],[p]]),T_init20344[[#This Row],[stack]]-T_init20344[[#This Row],[anteblinds]],0))))</f>
        <v>280</v>
      </c>
      <c r="AC20" s="26">
        <v>0.14000000000000001</v>
      </c>
      <c r="AD20" s="27">
        <f>T_p3p2243827[[#This Row],[EQ]]*prize</f>
        <v>8.2376000000000005</v>
      </c>
      <c r="AE20" s="71">
        <f>IF(T_init20344[[#This Row],[p]]=2,T_p3p2243827[[#This Row],[players]]*T_p3p2243827[[#This Row],[stack]]/chips+COUNTIF(T_p3p2243827[stack],0),T_p3p2243827[[#This Row],[players]]*T_p3p2243827[[#This Row],[stack]]/chips)</f>
        <v>2.56</v>
      </c>
      <c r="AF20" s="16">
        <f>T_p3p2243827[[#This Row],[ICM]]+bounty*T_p3p2243827[[#This Row],[KO]]</f>
        <v>8.2376000000000005</v>
      </c>
      <c r="AI20" s="73">
        <v>4</v>
      </c>
      <c r="AJ20" s="26">
        <v>893</v>
      </c>
      <c r="AK20" s="26">
        <v>0.44650000000000001</v>
      </c>
      <c r="AL20" s="27">
        <f>T_fact293928[[#This Row],[EQ]]*prize</f>
        <v>26.272060000000003</v>
      </c>
      <c r="AM20" s="71">
        <f>IF(T_init20344[[#This Row],[p]]=1,T_fact293928[[#This Row],[players]]*T_fact293928[[#This Row],[stack]]/chips+COUNTIF(T_fact293928[stack],0),T_fact293928[[#This Row],[players]]*T_fact293928[[#This Row],[stack]]/chips)</f>
        <v>1.786</v>
      </c>
      <c r="AN20" s="16">
        <f>T_fact293928[[#This Row],[ICM]]+bounty*T_fact293928[[#This Row],[KO]]</f>
        <v>26.272060000000003</v>
      </c>
      <c r="AQ20" s="68">
        <f>'3w9h9s шалблон'!p3win* ('3w9h9s шалблон'!p1sp1win*T_p3p1233726[[#This Row],[ICM]] + '3w9h9s шалблон'!p2sp1win*T_p3p2243827[[#This Row],[ICM]])
+'3w9h9s шалблон'!p2win*T_p2223625[[#This Row],[ICM]]
+'3w9h9s шалблон'!p1win*T_p1213519[[#This Row],[ICM]]</f>
        <v>7.6491681322559995</v>
      </c>
      <c r="AR20" s="72">
        <f>('3w9h9s шалблон'!p3win* ('3w9h9s шалблон'!p1sp1win*T_p3p1233726[[#This Row],[KO]] + '3w9h9s шалблон'!p2sp1win*T_p3p2243827[[#This Row],[KO]])
+'3w9h9s шалблон'!p2win*T_p2223625[[#This Row],[KO]]
+'3w9h9s шалблон'!p1win*T_p1213519[[#This Row],[KO]])*bounty</f>
        <v>0</v>
      </c>
      <c r="AS20" s="72">
        <f>'3w9h9s шалблон'!p3win* ('3w9h9s шалблон'!p1sp1win*T_p3p1233726[[#This Row],[$stack]] + '3w9h9s шалблон'!p2sp1win*T_p3p2243827[[#This Row],[$stack]])
+'3w9h9s шалблон'!p2win*T_p2223625[[#This Row],[$stack]]
+'3w9h9s шалблон'!p1win*T_p1213519[[#This Row],[$stack]]</f>
        <v>7.6491681322559995</v>
      </c>
      <c r="AT20" s="72">
        <f>'3w9h9s шалблон'!p3win* ('3w9h9s шалблон'!p1sp1win*T_p3p1233726[[#This Row],[stack]] + '3w9h9s шалблон'!p2sp1win*T_p3p2243827[[#This Row],[stack]])
+'3w9h9s шалблон'!p2win*T_p2223625[[#This Row],[stack]]
+'3w9h9s шалблон'!p1win*T_p1213519[[#This Row],[stack]]</f>
        <v>259.99891680000002</v>
      </c>
      <c r="AU20" s="2">
        <f>T_EV334030[[#This Row],[chipEV]]-T_fact293928[[#This Row],[stack]]</f>
        <v>-633.00108320000004</v>
      </c>
      <c r="AV20" s="2">
        <f>T_EV334030[[#This Row],[EV]]-(T_fact293928[[#This Row],[ICM]]+bounty*T_fact293928[[#This Row],[KO]])</f>
        <v>-18.622891867744002</v>
      </c>
    </row>
    <row r="21" spans="1:48" x14ac:dyDescent="0.25">
      <c r="B21">
        <v>0</v>
      </c>
      <c r="F21" s="5">
        <f>COUNTIF(T_p1213519[stack],"&gt;0")</f>
        <v>2</v>
      </c>
      <c r="G21">
        <f>IF(T_init20344[[#This Row],[p]]=1,mainpot+sidepot1+sidepot2+uncalled,IF(T_init20344[[#This Row],[p]]&gt;1,0,T_init20344[[#This Row],[stack]]-T_init20344[[#This Row],[anteblinds]]))</f>
        <v>0</v>
      </c>
      <c r="I21" s="2">
        <f>T_p1213519[[#This Row],[EQ]]*prize</f>
        <v>0</v>
      </c>
      <c r="J21" s="66">
        <f>IF(T_init20344[[#This Row],[p]]=1,T_p1213519[[#This Row],[players]]*T_p1213519[[#This Row],[stack]]/chips+COUNTIF(T_p1213519[stack],0),T_p1213519[[#This Row],[players]]*T_p1213519[[#This Row],[stack]]/chips)</f>
        <v>0</v>
      </c>
      <c r="K21" s="66">
        <f>T_p1213519[[#This Row],[ICM]]+bounty*T_p1213519[[#This Row],[KO]]</f>
        <v>0</v>
      </c>
      <c r="M21" s="10">
        <f>COUNTIF(T_p2223625[stack],"&gt;0")</f>
        <v>3</v>
      </c>
      <c r="N21" s="26">
        <f>IF(T_init20344[[#This Row],[p]]=1,uncalled,IF(T_init20344[[#This Row],[p]]=2,mainpot+sidepot1+sidepot2,IF(T_init20344[[#This Row],[p]]&gt;2,0,T_init20344[[#This Row],[stack]]-T_init20344[[#This Row],[anteblinds]])))</f>
        <v>0</v>
      </c>
      <c r="O21">
        <v>0</v>
      </c>
      <c r="P21" s="2">
        <f>T_p2223625[[#This Row],[EQ]]*prize</f>
        <v>0</v>
      </c>
      <c r="Q21" s="66">
        <f>IF(T_init20344[[#This Row],[p]]=2,T_p2223625[[#This Row],[players]]*T_p2223625[[#This Row],[stack]]/chips+COUNTIF(T_p2223625[stack],0),T_p2223625[[#This Row],[players]]*T_p2223625[[#This Row],[stack]]/chips)</f>
        <v>0</v>
      </c>
      <c r="R21" s="66">
        <f>T_p2223625[[#This Row],[ICM]]+bounty*T_p2223625[[#This Row],[KO]]</f>
        <v>0</v>
      </c>
      <c r="T21" s="5">
        <f>COUNTIF(T_p3p1233726[stack],"&gt;0")</f>
        <v>3</v>
      </c>
      <c r="U21" s="26">
        <f>IF(T_init20344[[#This Row],[p]]=1,sidepot1+uncalled,IF(T_init20344[[#This Row],[p]]=3,mainpot,IF(ISBLANK(T_init20344[[#This Row],[p]]),T_init20344[[#This Row],[stack]]-T_init20344[[#This Row],[anteblinds]],0)))</f>
        <v>0</v>
      </c>
      <c r="V21">
        <v>0</v>
      </c>
      <c r="W21" s="2">
        <f>T_p3p1233726[[#This Row],[EQ]]*prize</f>
        <v>0</v>
      </c>
      <c r="X21" s="66">
        <f>IF(T_init20344[[#This Row],[p]]=1,T_p3p1233726[[#This Row],[players]]*T_p3p1233726[[#This Row],[stack]]/chips+COUNTIF(T_p3p1233726[stack],0),T_p3p1233726[[#This Row],[players]]*T_p3p1233726[[#This Row],[stack]]/chips)</f>
        <v>0</v>
      </c>
      <c r="Y21" s="66">
        <f>T_p3p1233726[[#This Row],[ICM]]+bounty*T_p3p1233726[[#This Row],[KO]]</f>
        <v>0</v>
      </c>
      <c r="AA21" s="5">
        <f>COUNTIF(T_p3p2243827[stack],"&gt;0")</f>
        <v>4</v>
      </c>
      <c r="AB21">
        <f>IF(T_init20344[[#This Row],[p]]=1,uncalled,IF(T_init20344[[#This Row],[p]]=2,sidepot1,IF(T_init20344[[#This Row],[p]]=3,mainpot,IF(ISBLANK(T_init20344[[#This Row],[p]]),T_init20344[[#This Row],[stack]]-T_init20344[[#This Row],[anteblinds]],0))))</f>
        <v>0</v>
      </c>
      <c r="AC21">
        <v>0</v>
      </c>
      <c r="AD21" s="2">
        <f>T_p3p2243827[[#This Row],[EQ]]*prize</f>
        <v>0</v>
      </c>
      <c r="AE21" s="66">
        <f>IF(T_init20344[[#This Row],[p]]=2,T_p3p2243827[[#This Row],[players]]*T_p3p2243827[[#This Row],[stack]]/chips+COUNTIF(T_p3p2243827[stack],0),T_p3p2243827[[#This Row],[players]]*T_p3p2243827[[#This Row],[stack]]/chips)</f>
        <v>0</v>
      </c>
      <c r="AF21" s="16">
        <f>T_p3p2243827[[#This Row],[ICM]]+bounty*T_p3p2243827[[#This Row],[KO]]</f>
        <v>0</v>
      </c>
      <c r="AI21" s="73">
        <v>4</v>
      </c>
      <c r="AJ21" s="26">
        <v>0</v>
      </c>
      <c r="AL21" s="2">
        <f>T_fact293928[[#This Row],[EQ]]*prize</f>
        <v>0</v>
      </c>
      <c r="AM21" s="66">
        <f>IF(T_init20344[[#This Row],[p]]=1,T_fact293928[[#This Row],[players]]*T_fact293928[[#This Row],[stack]]/chips+COUNTIF(T_fact293928[stack],0),T_fact293928[[#This Row],[players]]*T_fact293928[[#This Row],[stack]]/chips)</f>
        <v>0</v>
      </c>
      <c r="AN21" s="16">
        <f>T_fact293928[[#This Row],[ICM]]+bounty*T_fact293928[[#This Row],[KO]]</f>
        <v>0</v>
      </c>
      <c r="AQ21" s="68">
        <f>'3w9h9s шалблон'!p3win* ('3w9h9s шалблон'!p1sp1win*T_p3p1233726[[#This Row],[ICM]] + '3w9h9s шалблон'!p2sp1win*T_p3p2243827[[#This Row],[ICM]])
+'3w9h9s шалблон'!p2win*T_p2223625[[#This Row],[ICM]]
+'3w9h9s шалблон'!p1win*T_p1213519[[#This Row],[ICM]]</f>
        <v>0</v>
      </c>
      <c r="AR21" s="68">
        <f>('3w9h9s шалблон'!p3win* ('3w9h9s шалблон'!p1sp1win*T_p3p1233726[[#This Row],[KO]] + '3w9h9s шалблон'!p2sp1win*T_p3p2243827[[#This Row],[KO]])
+'3w9h9s шалблон'!p2win*T_p2223625[[#This Row],[KO]]
+'3w9h9s шалблон'!p1win*T_p1213519[[#This Row],[KO]])*bounty</f>
        <v>0</v>
      </c>
      <c r="AS21" s="68">
        <f>'3w9h9s шалблон'!p3win* ('3w9h9s шалблон'!p1sp1win*T_p3p1233726[[#This Row],[$stack]] + '3w9h9s шалблон'!p2sp1win*T_p3p2243827[[#This Row],[$stack]])
+'3w9h9s шалблон'!p2win*T_p2223625[[#This Row],[$stack]]
+'3w9h9s шалблон'!p1win*T_p1213519[[#This Row],[$stack]]</f>
        <v>0</v>
      </c>
      <c r="AT21" s="68">
        <f>'3w9h9s шалблон'!p3win* ('3w9h9s шалблон'!p1sp1win*T_p3p1233726[[#This Row],[stack]] + '3w9h9s шалблон'!p2sp1win*T_p3p2243827[[#This Row],[stack]])
+'3w9h9s шалблон'!p2win*T_p2223625[[#This Row],[stack]]
+'3w9h9s шалблон'!p1win*T_p1213519[[#This Row],[stack]]</f>
        <v>0</v>
      </c>
      <c r="AU21" s="2">
        <f>T_EV334030[[#This Row],[chipEV]]-T_fact293928[[#This Row],[stack]]</f>
        <v>0</v>
      </c>
      <c r="AV21" s="2">
        <f>T_EV334030[[#This Row],[EV]]-(T_fact293928[[#This Row],[ICM]]+bounty*T_fact293928[[#This Row],[KO]])</f>
        <v>0</v>
      </c>
    </row>
    <row r="22" spans="1:48" x14ac:dyDescent="0.25">
      <c r="B22">
        <v>0</v>
      </c>
      <c r="F22" s="5">
        <f>COUNTIF(T_p1213519[stack],"&gt;0")</f>
        <v>2</v>
      </c>
      <c r="G22">
        <f>IF(T_init20344[[#This Row],[p]]=1,mainpot+sidepot1+sidepot2+uncalled,IF(T_init20344[[#This Row],[p]]&gt;1,0,T_init20344[[#This Row],[stack]]-T_init20344[[#This Row],[anteblinds]]))</f>
        <v>0</v>
      </c>
      <c r="I22" s="2">
        <f>T_p1213519[[#This Row],[EQ]]*prize</f>
        <v>0</v>
      </c>
      <c r="J22" s="66">
        <f>IF(T_init20344[[#This Row],[p]]=1,T_p1213519[[#This Row],[players]]*T_p1213519[[#This Row],[stack]]/chips+COUNTIF(T_p1213519[stack],0),T_p1213519[[#This Row],[players]]*T_p1213519[[#This Row],[stack]]/chips)</f>
        <v>0</v>
      </c>
      <c r="K22" s="66">
        <f>T_p1213519[[#This Row],[ICM]]+bounty*T_p1213519[[#This Row],[KO]]</f>
        <v>0</v>
      </c>
      <c r="M22" s="10">
        <f>COUNTIF(T_p2223625[stack],"&gt;0")</f>
        <v>3</v>
      </c>
      <c r="N22" s="26">
        <f>IF(T_init20344[[#This Row],[p]]=1,uncalled,IF(T_init20344[[#This Row],[p]]=2,mainpot+sidepot1+sidepot2,IF(T_init20344[[#This Row],[p]]&gt;2,0,T_init20344[[#This Row],[stack]]-T_init20344[[#This Row],[anteblinds]])))</f>
        <v>0</v>
      </c>
      <c r="P22" s="2">
        <f>T_p2223625[[#This Row],[EQ]]*prize</f>
        <v>0</v>
      </c>
      <c r="Q22" s="66">
        <f>IF(T_init20344[[#This Row],[p]]=2,T_p2223625[[#This Row],[players]]*T_p2223625[[#This Row],[stack]]/chips+COUNTIF(T_p2223625[stack],0),T_p2223625[[#This Row],[players]]*T_p2223625[[#This Row],[stack]]/chips)</f>
        <v>0</v>
      </c>
      <c r="R22" s="66">
        <f>T_p2223625[[#This Row],[ICM]]+bounty*T_p2223625[[#This Row],[KO]]</f>
        <v>0</v>
      </c>
      <c r="T22" s="5">
        <f>COUNTIF(T_p3p1233726[stack],"&gt;0")</f>
        <v>3</v>
      </c>
      <c r="U22" s="26">
        <f>IF(T_init20344[[#This Row],[p]]=1,sidepot1+uncalled,IF(T_init20344[[#This Row],[p]]=3,mainpot,IF(ISBLANK(T_init20344[[#This Row],[p]]),T_init20344[[#This Row],[stack]]-T_init20344[[#This Row],[anteblinds]],0)))</f>
        <v>0</v>
      </c>
      <c r="V22">
        <v>0</v>
      </c>
      <c r="W22" s="2">
        <f>T_p3p1233726[[#This Row],[EQ]]*prize</f>
        <v>0</v>
      </c>
      <c r="X22" s="66">
        <f>IF(T_init20344[[#This Row],[p]]=1,T_p3p1233726[[#This Row],[players]]*T_p3p1233726[[#This Row],[stack]]/chips+COUNTIF(T_p3p1233726[stack],0),T_p3p1233726[[#This Row],[players]]*T_p3p1233726[[#This Row],[stack]]/chips)</f>
        <v>0</v>
      </c>
      <c r="Y22" s="66">
        <f>T_p3p1233726[[#This Row],[ICM]]+bounty*T_p3p1233726[[#This Row],[KO]]</f>
        <v>0</v>
      </c>
      <c r="AA22" s="5">
        <f>COUNTIF(T_p3p2243827[stack],"&gt;0")</f>
        <v>4</v>
      </c>
      <c r="AB22">
        <f>IF(T_init20344[[#This Row],[p]]=1,uncalled,IF(T_init20344[[#This Row],[p]]=2,sidepot1,IF(T_init20344[[#This Row],[p]]=3,mainpot,IF(ISBLANK(T_init20344[[#This Row],[p]]),T_init20344[[#This Row],[stack]]-T_init20344[[#This Row],[anteblinds]],0))))</f>
        <v>0</v>
      </c>
      <c r="AC22">
        <v>0</v>
      </c>
      <c r="AD22" s="2">
        <f>T_p3p2243827[[#This Row],[EQ]]*prize</f>
        <v>0</v>
      </c>
      <c r="AE22" s="66">
        <f>IF(T_init20344[[#This Row],[p]]=2,T_p3p2243827[[#This Row],[players]]*T_p3p2243827[[#This Row],[stack]]/chips+COUNTIF(T_p3p2243827[stack],0),T_p3p2243827[[#This Row],[players]]*T_p3p2243827[[#This Row],[stack]]/chips)</f>
        <v>0</v>
      </c>
      <c r="AF22" s="16">
        <f>T_p3p2243827[[#This Row],[ICM]]+bounty*T_p3p2243827[[#This Row],[KO]]</f>
        <v>0</v>
      </c>
      <c r="AI22" s="73">
        <v>4</v>
      </c>
      <c r="AJ22" s="26">
        <v>0</v>
      </c>
      <c r="AL22" s="2">
        <f>T_fact293928[[#This Row],[EQ]]*prize</f>
        <v>0</v>
      </c>
      <c r="AM22" s="66">
        <f>IF(T_init20344[[#This Row],[p]]=1,T_fact293928[[#This Row],[players]]*T_fact293928[[#This Row],[stack]]/chips+COUNTIF(T_fact293928[stack],0),T_fact293928[[#This Row],[players]]*T_fact293928[[#This Row],[stack]]/chips)</f>
        <v>0</v>
      </c>
      <c r="AN22" s="16">
        <f>T_fact293928[[#This Row],[ICM]]+bounty*T_fact293928[[#This Row],[KO]]</f>
        <v>0</v>
      </c>
      <c r="AQ22" s="68">
        <f>'3w9h9s шалблон'!p3win* ('3w9h9s шалблон'!p1sp1win*T_p3p1233726[[#This Row],[ICM]] + '3w9h9s шалблон'!p2sp1win*T_p3p2243827[[#This Row],[ICM]])
+'3w9h9s шалблон'!p2win*T_p2223625[[#This Row],[ICM]]
+'3w9h9s шалблон'!p1win*T_p1213519[[#This Row],[ICM]]</f>
        <v>0</v>
      </c>
      <c r="AR22" s="68">
        <f>('3w9h9s шалблон'!p3win* ('3w9h9s шалблон'!p1sp1win*T_p3p1233726[[#This Row],[KO]] + '3w9h9s шалблон'!p2sp1win*T_p3p2243827[[#This Row],[KO]])
+'3w9h9s шалблон'!p2win*T_p2223625[[#This Row],[KO]]
+'3w9h9s шалблон'!p1win*T_p1213519[[#This Row],[KO]])*bounty</f>
        <v>0</v>
      </c>
      <c r="AS22" s="68">
        <f>'3w9h9s шалблон'!p3win* ('3w9h9s шалблон'!p1sp1win*T_p3p1233726[[#This Row],[$stack]] + '3w9h9s шалблон'!p2sp1win*T_p3p2243827[[#This Row],[$stack]])
+'3w9h9s шалблон'!p2win*T_p2223625[[#This Row],[$stack]]
+'3w9h9s шалблон'!p1win*T_p1213519[[#This Row],[$stack]]</f>
        <v>0</v>
      </c>
      <c r="AT22" s="68">
        <f>'3w9h9s шалблон'!p3win* ('3w9h9s шалблон'!p1sp1win*T_p3p1233726[[#This Row],[stack]] + '3w9h9s шалблон'!p2sp1win*T_p3p2243827[[#This Row],[stack]])
+'3w9h9s шалблон'!p2win*T_p2223625[[#This Row],[stack]]
+'3w9h9s шалблон'!p1win*T_p1213519[[#This Row],[stack]]</f>
        <v>0</v>
      </c>
      <c r="AU22" s="2">
        <f>T_EV334030[[#This Row],[chipEV]]-T_fact293928[[#This Row],[stack]]</f>
        <v>0</v>
      </c>
      <c r="AV22" s="2">
        <f>T_EV334030[[#This Row],[EV]]-(T_fact293928[[#This Row],[ICM]]+bounty*T_fact293928[[#This Row],[KO]])</f>
        <v>0</v>
      </c>
    </row>
    <row r="23" spans="1:48" x14ac:dyDescent="0.25">
      <c r="A23" t="s">
        <v>95</v>
      </c>
      <c r="D23">
        <f>SUBTOTAL(109,T_init20344[anteblinds])</f>
        <v>115</v>
      </c>
      <c r="F23" s="53"/>
      <c r="G23" s="50">
        <f>SUM(T_p1213519[stack])</f>
        <v>2000</v>
      </c>
      <c r="H23" s="50">
        <f>SUM(T_p1213519[EQ])</f>
        <v>1</v>
      </c>
      <c r="I23" s="50">
        <f>SUM(T_p1213519[ICM])</f>
        <v>58.84</v>
      </c>
      <c r="J23" s="50">
        <f>SUM(T_p1213519[KO])</f>
        <v>6</v>
      </c>
      <c r="K23" s="50">
        <f>SUM(T_p1213519[$stack])</f>
        <v>58.84</v>
      </c>
      <c r="M23" s="53"/>
      <c r="N23" s="55">
        <f>SUM(T_p2223625[stack])</f>
        <v>2000</v>
      </c>
      <c r="O23" s="50">
        <f>SUM(T_p2223625[EQ])</f>
        <v>1</v>
      </c>
      <c r="P23" s="51">
        <f>SUM(T_p2223625[ICM])</f>
        <v>58.839999999999996</v>
      </c>
      <c r="Q23" s="52">
        <f>SUM(T_p2223625[KO])</f>
        <v>6</v>
      </c>
      <c r="R23" s="50">
        <f>SUM(T_p2223625[$stack])</f>
        <v>58.839999999999996</v>
      </c>
      <c r="T23" s="53"/>
      <c r="U23" s="55">
        <f>SUM(T_p3p1233726[stack])</f>
        <v>2000</v>
      </c>
      <c r="V23" s="50">
        <f>SUM(T_p3p1233726[EQ])</f>
        <v>1</v>
      </c>
      <c r="W23" s="51">
        <f>SUM(T_p3p1233726[ICM])</f>
        <v>58.84</v>
      </c>
      <c r="X23" s="52">
        <f>SUM(T_p3p1233726[KO])</f>
        <v>6</v>
      </c>
      <c r="Y23" s="50">
        <f>SUM(T_p3p1233726[$stack])</f>
        <v>58.84</v>
      </c>
      <c r="AA23" s="53"/>
      <c r="AB23" s="55">
        <f>SUM(T_p3p2243827[stack])</f>
        <v>2000</v>
      </c>
      <c r="AC23" s="50">
        <f>SUM(T_p3p2243827[EQ])</f>
        <v>1</v>
      </c>
      <c r="AD23" s="51">
        <f>SUM(T_p3p2243827[ICM])</f>
        <v>58.84</v>
      </c>
      <c r="AE23" s="52">
        <f>SUM(T_p3p2243827[KO])</f>
        <v>6</v>
      </c>
      <c r="AF23" s="50">
        <f>SUM(T_p3p1233726[$stack])</f>
        <v>58.84</v>
      </c>
      <c r="AI23" s="53"/>
      <c r="AJ23" s="55">
        <f>SUM(T_fact293928[stack])</f>
        <v>2000</v>
      </c>
      <c r="AK23" s="50">
        <f>SUM(T_fact293928[EQ])</f>
        <v>1</v>
      </c>
      <c r="AL23" s="51">
        <f>SUM(T_fact293928[ICM])</f>
        <v>58.84</v>
      </c>
      <c r="AM23" s="52">
        <f>SUM(T_fact293928[KO])</f>
        <v>6</v>
      </c>
      <c r="AN23" s="51">
        <f>SUM(T_fact293928[$stack])</f>
        <v>58.84</v>
      </c>
      <c r="AQ23" s="52">
        <f>SUM(T_EV334030[ICM])</f>
        <v>58.845883999999998</v>
      </c>
      <c r="AR23" s="52">
        <f>SUM(T_EV334030[KO])</f>
        <v>0</v>
      </c>
      <c r="AS23" s="52">
        <f>SUM(T_EV334030[EV])</f>
        <v>58.845883999999998</v>
      </c>
      <c r="AT23" s="50">
        <f>SUM(T_EV334030[chipEV])</f>
        <v>2000.1999999999998</v>
      </c>
    </row>
    <row r="25" spans="1:48" ht="18.75" x14ac:dyDescent="0.3">
      <c r="M25" s="79" t="s">
        <v>117</v>
      </c>
    </row>
    <row r="26" spans="1:48" x14ac:dyDescent="0.25">
      <c r="C26" t="s">
        <v>118</v>
      </c>
      <c r="M26" t="s">
        <v>183</v>
      </c>
    </row>
    <row r="27" spans="1:48" x14ac:dyDescent="0.25">
      <c r="C27" t="s">
        <v>120</v>
      </c>
      <c r="M27" t="s">
        <v>184</v>
      </c>
    </row>
    <row r="28" spans="1:48" x14ac:dyDescent="0.25">
      <c r="C28" t="s">
        <v>122</v>
      </c>
      <c r="M28" t="s">
        <v>185</v>
      </c>
    </row>
    <row r="29" spans="1:48" x14ac:dyDescent="0.25">
      <c r="M29" t="s">
        <v>186</v>
      </c>
    </row>
    <row r="30" spans="1:48" x14ac:dyDescent="0.25">
      <c r="M30" t="s">
        <v>187</v>
      </c>
    </row>
    <row r="31" spans="1:48" x14ac:dyDescent="0.25">
      <c r="C31" t="s">
        <v>126</v>
      </c>
      <c r="M31" t="s">
        <v>188</v>
      </c>
    </row>
    <row r="32" spans="1:48" x14ac:dyDescent="0.25">
      <c r="M32" t="s">
        <v>189</v>
      </c>
    </row>
    <row r="33" spans="2:13" x14ac:dyDescent="0.25">
      <c r="B33" t="s">
        <v>129</v>
      </c>
      <c r="M33" t="s">
        <v>190</v>
      </c>
    </row>
    <row r="34" spans="2:13" x14ac:dyDescent="0.25">
      <c r="B34" t="s">
        <v>131</v>
      </c>
      <c r="M34" t="s">
        <v>191</v>
      </c>
    </row>
    <row r="35" spans="2:13" x14ac:dyDescent="0.25">
      <c r="C35" t="s">
        <v>133</v>
      </c>
      <c r="M35" t="s">
        <v>192</v>
      </c>
    </row>
    <row r="36" spans="2:13" x14ac:dyDescent="0.25">
      <c r="D36" t="s">
        <v>135</v>
      </c>
      <c r="M36" t="s">
        <v>193</v>
      </c>
    </row>
    <row r="37" spans="2:13" x14ac:dyDescent="0.25">
      <c r="C37" t="s">
        <v>137</v>
      </c>
      <c r="M37" t="s">
        <v>194</v>
      </c>
    </row>
    <row r="38" spans="2:13" x14ac:dyDescent="0.25">
      <c r="D38" t="s">
        <v>135</v>
      </c>
      <c r="M38" t="s">
        <v>139</v>
      </c>
    </row>
    <row r="39" spans="2:13" x14ac:dyDescent="0.25">
      <c r="C39" t="s">
        <v>140</v>
      </c>
      <c r="M39" t="s">
        <v>195</v>
      </c>
    </row>
    <row r="40" spans="2:13" x14ac:dyDescent="0.25">
      <c r="D40" t="s">
        <v>142</v>
      </c>
      <c r="M40" t="s">
        <v>196</v>
      </c>
    </row>
    <row r="41" spans="2:13" x14ac:dyDescent="0.25">
      <c r="D41" t="s">
        <v>144</v>
      </c>
      <c r="E41" t="s">
        <v>145</v>
      </c>
      <c r="M41" t="s">
        <v>197</v>
      </c>
    </row>
    <row r="42" spans="2:13" x14ac:dyDescent="0.25">
      <c r="F42" t="s">
        <v>147</v>
      </c>
      <c r="M42" t="s">
        <v>198</v>
      </c>
    </row>
    <row r="43" spans="2:13" x14ac:dyDescent="0.25">
      <c r="E43" t="s">
        <v>149</v>
      </c>
      <c r="M43" t="s">
        <v>199</v>
      </c>
    </row>
    <row r="44" spans="2:13" x14ac:dyDescent="0.25">
      <c r="F44" t="s">
        <v>151</v>
      </c>
      <c r="M44" t="s">
        <v>200</v>
      </c>
    </row>
    <row r="45" spans="2:13" x14ac:dyDescent="0.25">
      <c r="M45" t="s">
        <v>201</v>
      </c>
    </row>
    <row r="46" spans="2:13" x14ac:dyDescent="0.25">
      <c r="C46" t="s">
        <v>154</v>
      </c>
      <c r="M46" t="s">
        <v>202</v>
      </c>
    </row>
    <row r="47" spans="2:13" x14ac:dyDescent="0.25">
      <c r="D47" t="s">
        <v>156</v>
      </c>
      <c r="M47" t="s">
        <v>166</v>
      </c>
    </row>
    <row r="48" spans="2:13" x14ac:dyDescent="0.25">
      <c r="D48" t="s">
        <v>158</v>
      </c>
      <c r="E48" t="s">
        <v>145</v>
      </c>
      <c r="M48" t="s">
        <v>203</v>
      </c>
    </row>
    <row r="49" spans="5:13" x14ac:dyDescent="0.25">
      <c r="F49" t="s">
        <v>160</v>
      </c>
      <c r="M49" t="s">
        <v>204</v>
      </c>
    </row>
    <row r="50" spans="5:13" x14ac:dyDescent="0.25">
      <c r="E50" t="s">
        <v>149</v>
      </c>
      <c r="M50" t="s">
        <v>205</v>
      </c>
    </row>
    <row r="51" spans="5:13" x14ac:dyDescent="0.25">
      <c r="F51" t="s">
        <v>163</v>
      </c>
      <c r="M51" t="s">
        <v>206</v>
      </c>
    </row>
    <row r="52" spans="5:13" x14ac:dyDescent="0.25">
      <c r="E52" t="s">
        <v>165</v>
      </c>
      <c r="M52" t="s">
        <v>207</v>
      </c>
    </row>
    <row r="53" spans="5:13" x14ac:dyDescent="0.25">
      <c r="F53" t="s">
        <v>167</v>
      </c>
      <c r="M53" t="s">
        <v>208</v>
      </c>
    </row>
    <row r="54" spans="5:13" x14ac:dyDescent="0.25">
      <c r="F54" t="s">
        <v>144</v>
      </c>
      <c r="M54" t="s">
        <v>173</v>
      </c>
    </row>
    <row r="55" spans="5:13" x14ac:dyDescent="0.25">
      <c r="G55" t="s">
        <v>145</v>
      </c>
      <c r="M55" t="s">
        <v>209</v>
      </c>
    </row>
    <row r="56" spans="5:13" x14ac:dyDescent="0.25">
      <c r="H56" t="s">
        <v>147</v>
      </c>
      <c r="M56" t="s">
        <v>210</v>
      </c>
    </row>
    <row r="57" spans="5:13" x14ac:dyDescent="0.25">
      <c r="G57" t="s">
        <v>149</v>
      </c>
      <c r="M57" t="s">
        <v>211</v>
      </c>
    </row>
    <row r="58" spans="5:13" x14ac:dyDescent="0.25">
      <c r="H58" t="s">
        <v>151</v>
      </c>
      <c r="M58" t="s">
        <v>212</v>
      </c>
    </row>
    <row r="59" spans="5:13" x14ac:dyDescent="0.25">
      <c r="M59" t="s">
        <v>213</v>
      </c>
    </row>
    <row r="60" spans="5:13" x14ac:dyDescent="0.25">
      <c r="M60" t="s">
        <v>214</v>
      </c>
    </row>
  </sheetData>
  <mergeCells count="11">
    <mergeCell ref="AQ15:AT15"/>
    <mergeCell ref="F15:J15"/>
    <mergeCell ref="M15:Q15"/>
    <mergeCell ref="T15:X15"/>
    <mergeCell ref="AA15:AE15"/>
    <mergeCell ref="AI15:AM15"/>
    <mergeCell ref="F10:F11"/>
    <mergeCell ref="T13:AE13"/>
    <mergeCell ref="AQ13:AT13"/>
    <mergeCell ref="T14:AE14"/>
    <mergeCell ref="AQ14:AT14"/>
  </mergeCells>
  <pageMargins left="0.7" right="0.7" top="0.75" bottom="0.75" header="0.3" footer="0.3"/>
  <pageSetup paperSize="9" orientation="portrait" horizontalDpi="4294967293" verticalDpi="0" r:id="rId1"/>
  <legacyDrawing r:id="rId2"/>
  <tableParts count="7">
    <tablePart r:id="rId3"/>
    <tablePart r:id="rId4"/>
    <tablePart r:id="rId5"/>
    <tablePart r:id="rId6"/>
    <tablePart r:id="rId7"/>
    <tablePart r:id="rId8"/>
    <tablePart r:id="rId9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B5578-7C0E-4DEE-B9C9-3B1F2A8CCB65}">
  <dimension ref="A1:AV72"/>
  <sheetViews>
    <sheetView tabSelected="1" workbookViewId="0">
      <selection activeCell="P10" sqref="P10"/>
    </sheetView>
  </sheetViews>
  <sheetFormatPr defaultRowHeight="15" x14ac:dyDescent="0.25"/>
  <cols>
    <col min="1" max="1" width="9.28515625" customWidth="1"/>
    <col min="5" max="5" width="2.7109375" customWidth="1"/>
    <col min="6" max="6" width="10.28515625" customWidth="1"/>
    <col min="12" max="12" width="2.140625" customWidth="1"/>
    <col min="13" max="13" width="10.28515625" customWidth="1"/>
    <col min="19" max="19" width="2" customWidth="1"/>
    <col min="20" max="20" width="9.5703125" bestFit="1" customWidth="1"/>
    <col min="21" max="21" width="10.28515625" customWidth="1"/>
    <col min="26" max="26" width="2" customWidth="1"/>
    <col min="27" max="27" width="7.7109375" customWidth="1"/>
    <col min="28" max="29" width="8.5703125" customWidth="1"/>
    <col min="30" max="30" width="9.85546875" customWidth="1"/>
    <col min="31" max="31" width="8.42578125" customWidth="1"/>
    <col min="33" max="33" width="2.140625" customWidth="1"/>
    <col min="34" max="34" width="2" customWidth="1"/>
    <col min="35" max="35" width="10" customWidth="1"/>
    <col min="39" max="39" width="10.5703125" customWidth="1"/>
    <col min="41" max="41" width="1.5703125" customWidth="1"/>
    <col min="42" max="42" width="1.140625" customWidth="1"/>
    <col min="46" max="46" width="10.7109375" customWidth="1"/>
    <col min="47" max="47" width="10.85546875" customWidth="1"/>
  </cols>
  <sheetData>
    <row r="1" spans="1:48" ht="15.75" x14ac:dyDescent="0.25">
      <c r="C1" s="80" t="s">
        <v>0</v>
      </c>
      <c r="D1">
        <f>7.36*4</f>
        <v>29.44</v>
      </c>
      <c r="F1" s="80" t="s">
        <v>71</v>
      </c>
      <c r="G1">
        <v>0.5484</v>
      </c>
      <c r="I1" s="80" t="s">
        <v>72</v>
      </c>
      <c r="J1">
        <v>0.65010000000000001</v>
      </c>
      <c r="M1" s="80" t="s">
        <v>73</v>
      </c>
      <c r="N1">
        <v>520</v>
      </c>
    </row>
    <row r="2" spans="1:48" ht="15.75" x14ac:dyDescent="0.25">
      <c r="C2" s="80" t="s">
        <v>1</v>
      </c>
      <c r="D2">
        <f>bounty</f>
        <v>0</v>
      </c>
      <c r="F2" s="80" t="s">
        <v>74</v>
      </c>
      <c r="G2">
        <v>0.24529999999999999</v>
      </c>
      <c r="I2" s="80" t="s">
        <v>75</v>
      </c>
      <c r="J2">
        <v>0.34989999999999999</v>
      </c>
      <c r="M2" s="80" t="s">
        <v>76</v>
      </c>
      <c r="N2">
        <v>310</v>
      </c>
    </row>
    <row r="3" spans="1:48" ht="15.75" x14ac:dyDescent="0.25">
      <c r="C3" s="80" t="s">
        <v>77</v>
      </c>
      <c r="D3">
        <v>2000</v>
      </c>
      <c r="F3" s="80" t="s">
        <v>78</v>
      </c>
      <c r="G3">
        <v>0.20630000000000001</v>
      </c>
      <c r="M3" s="80" t="s">
        <v>79</v>
      </c>
      <c r="N3">
        <v>0</v>
      </c>
    </row>
    <row r="4" spans="1:48" ht="15.75" x14ac:dyDescent="0.25">
      <c r="F4" s="80" t="s">
        <v>80</v>
      </c>
      <c r="G4">
        <v>0</v>
      </c>
      <c r="M4" s="80" t="s">
        <v>81</v>
      </c>
      <c r="N4">
        <v>515</v>
      </c>
    </row>
    <row r="5" spans="1:48" ht="6" customHeight="1" x14ac:dyDescent="0.25"/>
    <row r="6" spans="1:48" x14ac:dyDescent="0.25">
      <c r="C6" t="s">
        <v>82</v>
      </c>
      <c r="D6" t="s">
        <v>83</v>
      </c>
    </row>
    <row r="7" spans="1:48" x14ac:dyDescent="0.25">
      <c r="C7" t="s">
        <v>84</v>
      </c>
      <c r="D7" t="s">
        <v>85</v>
      </c>
    </row>
    <row r="8" spans="1:48" x14ac:dyDescent="0.25">
      <c r="C8" t="s">
        <v>86</v>
      </c>
      <c r="D8" t="s">
        <v>87</v>
      </c>
    </row>
    <row r="9" spans="1:48" ht="6" customHeight="1" x14ac:dyDescent="0.25"/>
    <row r="10" spans="1:48" x14ac:dyDescent="0.25">
      <c r="F10" s="94" t="s">
        <v>88</v>
      </c>
      <c r="G10" s="81" t="s">
        <v>89</v>
      </c>
      <c r="H10" s="81" t="s">
        <v>90</v>
      </c>
      <c r="I10" s="81" t="s">
        <v>91</v>
      </c>
    </row>
    <row r="11" spans="1:48" ht="18.75" x14ac:dyDescent="0.3">
      <c r="F11" s="95"/>
      <c r="G11" s="81">
        <v>1</v>
      </c>
      <c r="H11" s="81">
        <v>0</v>
      </c>
      <c r="I11" s="82">
        <v>0</v>
      </c>
      <c r="J11" s="84"/>
      <c r="K11" s="84"/>
    </row>
    <row r="12" spans="1:48" ht="19.5" thickBot="1" x14ac:dyDescent="0.35">
      <c r="F12" s="84"/>
      <c r="G12" s="84"/>
      <c r="H12" s="84"/>
      <c r="I12" s="84"/>
      <c r="J12" s="84"/>
      <c r="K12" s="84"/>
      <c r="V12" t="s">
        <v>92</v>
      </c>
      <c r="AC12" t="s">
        <v>93</v>
      </c>
    </row>
    <row r="13" spans="1:48" ht="20.25" thickTop="1" thickBot="1" x14ac:dyDescent="0.35">
      <c r="F13" s="84"/>
      <c r="G13" s="84"/>
      <c r="H13" s="84"/>
      <c r="I13" s="84"/>
      <c r="J13" s="84"/>
      <c r="K13" s="84"/>
      <c r="T13" s="96" t="s">
        <v>94</v>
      </c>
      <c r="U13" s="97"/>
      <c r="V13" s="97"/>
      <c r="W13" s="97"/>
      <c r="X13" s="97"/>
      <c r="Y13" s="97"/>
      <c r="Z13" s="97"/>
      <c r="AA13" s="97"/>
      <c r="AB13" s="97"/>
      <c r="AC13" s="97"/>
      <c r="AD13" s="97"/>
      <c r="AE13" s="98"/>
      <c r="AQ13" s="96" t="s">
        <v>95</v>
      </c>
      <c r="AR13" s="97"/>
      <c r="AS13" s="97"/>
      <c r="AT13" s="97"/>
    </row>
    <row r="14" spans="1:48" ht="20.25" thickTop="1" thickBot="1" x14ac:dyDescent="0.35">
      <c r="F14" s="84"/>
      <c r="G14" s="84"/>
      <c r="H14" s="84" t="s">
        <v>96</v>
      </c>
      <c r="I14" s="84"/>
      <c r="J14" s="84"/>
      <c r="K14" s="84"/>
      <c r="O14" t="s">
        <v>97</v>
      </c>
      <c r="T14" s="96" t="s">
        <v>98</v>
      </c>
      <c r="U14" s="97"/>
      <c r="V14" s="97"/>
      <c r="W14" s="97"/>
      <c r="X14" s="97"/>
      <c r="Y14" s="97"/>
      <c r="Z14" s="97"/>
      <c r="AA14" s="97"/>
      <c r="AB14" s="97"/>
      <c r="AC14" s="97"/>
      <c r="AD14" s="97"/>
      <c r="AE14" s="98"/>
      <c r="AK14" t="s">
        <v>99</v>
      </c>
      <c r="AQ14" s="96"/>
      <c r="AR14" s="97"/>
      <c r="AS14" s="97"/>
      <c r="AT14" s="97"/>
    </row>
    <row r="15" spans="1:48" ht="19.5" thickTop="1" x14ac:dyDescent="0.3">
      <c r="F15" s="88" t="s">
        <v>100</v>
      </c>
      <c r="G15" s="89"/>
      <c r="H15" s="89"/>
      <c r="I15" s="89"/>
      <c r="J15" s="90"/>
      <c r="K15" s="84"/>
      <c r="M15" s="88" t="s">
        <v>101</v>
      </c>
      <c r="N15" s="89"/>
      <c r="O15" s="89"/>
      <c r="P15" s="89"/>
      <c r="Q15" s="90"/>
      <c r="R15" s="84"/>
      <c r="T15" s="99" t="s">
        <v>102</v>
      </c>
      <c r="U15" s="100"/>
      <c r="V15" s="100"/>
      <c r="W15" s="100"/>
      <c r="X15" s="101"/>
      <c r="Y15" s="84"/>
      <c r="AA15" s="99" t="s">
        <v>103</v>
      </c>
      <c r="AB15" s="100"/>
      <c r="AC15" s="100"/>
      <c r="AD15" s="100"/>
      <c r="AE15" s="101"/>
      <c r="AI15" s="85" t="s">
        <v>10</v>
      </c>
      <c r="AJ15" s="86"/>
      <c r="AK15" s="86"/>
      <c r="AL15" s="86"/>
      <c r="AM15" s="87"/>
      <c r="AQ15" s="91" t="s">
        <v>104</v>
      </c>
      <c r="AR15" s="92"/>
      <c r="AS15" s="92"/>
      <c r="AT15" s="93"/>
    </row>
    <row r="16" spans="1:48" x14ac:dyDescent="0.25">
      <c r="A16" t="s">
        <v>105</v>
      </c>
      <c r="B16" t="s">
        <v>12</v>
      </c>
      <c r="C16" t="s">
        <v>13</v>
      </c>
      <c r="D16" t="s">
        <v>106</v>
      </c>
      <c r="F16" s="5" t="s">
        <v>107</v>
      </c>
      <c r="G16" t="s">
        <v>12</v>
      </c>
      <c r="H16" t="s">
        <v>108</v>
      </c>
      <c r="I16" t="s">
        <v>109</v>
      </c>
      <c r="J16" s="5" t="s">
        <v>1</v>
      </c>
      <c r="K16" s="5" t="s">
        <v>110</v>
      </c>
      <c r="M16" s="5" t="s">
        <v>107</v>
      </c>
      <c r="N16" s="5" t="s">
        <v>12</v>
      </c>
      <c r="O16" s="5" t="s">
        <v>108</v>
      </c>
      <c r="P16" s="5" t="s">
        <v>109</v>
      </c>
      <c r="Q16" s="5" t="s">
        <v>1</v>
      </c>
      <c r="R16" s="5" t="s">
        <v>110</v>
      </c>
      <c r="T16" s="5" t="s">
        <v>107</v>
      </c>
      <c r="U16" s="5" t="s">
        <v>12</v>
      </c>
      <c r="V16" s="5" t="s">
        <v>108</v>
      </c>
      <c r="W16" s="5" t="s">
        <v>109</v>
      </c>
      <c r="X16" s="5" t="s">
        <v>1</v>
      </c>
      <c r="Y16" s="5" t="s">
        <v>110</v>
      </c>
      <c r="AA16" s="5" t="s">
        <v>107</v>
      </c>
      <c r="AB16" s="5" t="s">
        <v>12</v>
      </c>
      <c r="AC16" s="5" t="s">
        <v>108</v>
      </c>
      <c r="AD16" s="5" t="s">
        <v>109</v>
      </c>
      <c r="AE16" s="5" t="s">
        <v>1</v>
      </c>
      <c r="AF16" t="s">
        <v>110</v>
      </c>
      <c r="AI16" s="5" t="s">
        <v>107</v>
      </c>
      <c r="AJ16" s="5" t="s">
        <v>12</v>
      </c>
      <c r="AK16" s="5" t="s">
        <v>108</v>
      </c>
      <c r="AL16" s="5" t="s">
        <v>109</v>
      </c>
      <c r="AM16" s="5" t="s">
        <v>1</v>
      </c>
      <c r="AN16" t="s">
        <v>110</v>
      </c>
      <c r="AQ16" s="5" t="s">
        <v>109</v>
      </c>
      <c r="AR16" s="5" t="s">
        <v>1</v>
      </c>
      <c r="AS16" s="5" t="s">
        <v>104</v>
      </c>
      <c r="AT16" s="5" t="s">
        <v>111</v>
      </c>
      <c r="AU16" t="s">
        <v>112</v>
      </c>
      <c r="AV16" t="s">
        <v>113</v>
      </c>
    </row>
    <row r="17" spans="1:48" s="102" customFormat="1" x14ac:dyDescent="0.25">
      <c r="A17" s="102">
        <v>1</v>
      </c>
      <c r="B17" s="102">
        <v>840</v>
      </c>
      <c r="C17" s="102" t="s">
        <v>245</v>
      </c>
      <c r="D17" s="102">
        <v>10</v>
      </c>
      <c r="F17" s="103">
        <f>COUNTIF(T_p12135198289[stack],"&gt;0")</f>
        <v>2</v>
      </c>
      <c r="G17" s="102">
        <f>IF(T_init203448188[[#This Row],[p]]=1,mainpot+sidepot1+sidepot2+uncalled,IF(T_init203448188[[#This Row],[p]]&gt;1,0,T_init203448188[[#This Row],[stack]]-T_init203448188[[#This Row],[anteblinds]]))</f>
        <v>1345</v>
      </c>
      <c r="H17" s="102">
        <v>0.67249999999999999</v>
      </c>
      <c r="I17" s="104">
        <f>T_p12135198289[[#This Row],[EQ]]*prize</f>
        <v>19.798400000000001</v>
      </c>
      <c r="J17" s="105">
        <f>IF(T_init203448188[[#This Row],[p]]=1,T_p12135198289[[#This Row],[players]]*T_p12135198289[[#This Row],[stack]]/chips+COUNTIF(T_p12135198289[stack],0),T_p12135198289[[#This Row],[players]]*T_p12135198289[[#This Row],[stack]]/chips)</f>
        <v>5.3449999999999998</v>
      </c>
      <c r="K17" s="105">
        <f>T_p12135198289[[#This Row],[ICM]]+bounty*T_p12135198289[[#This Row],[KO]]</f>
        <v>19.798400000000001</v>
      </c>
      <c r="M17" s="106">
        <f>COUNTIF(T_p22236258390[stack],"&gt;0")</f>
        <v>3</v>
      </c>
      <c r="N17" s="102">
        <f>IF(T_init203448188[[#This Row],[p]]=1,uncalled,IF(T_init203448188[[#This Row],[p]]=2,mainpot+sidepot1+sidepot2,IF(T_init203448188[[#This Row],[p]]&gt;2,0,T_init203448188[[#This Row],[stack]]-T_init203448188[[#This Row],[anteblinds]])))</f>
        <v>515</v>
      </c>
      <c r="O17" s="102">
        <v>0.25750000000000001</v>
      </c>
      <c r="P17" s="104">
        <f>T_p22236258390[[#This Row],[EQ]]*prize</f>
        <v>7.5808000000000009</v>
      </c>
      <c r="Q17" s="105">
        <f>IF(T_init203448188[[#This Row],[p]]=2,T_p22236258390[[#This Row],[players]]*T_p22236258390[[#This Row],[stack]]/chips+COUNTIF(T_p22236258390[stack],0),T_p22236258390[[#This Row],[players]]*T_p22236258390[[#This Row],[stack]]/chips)</f>
        <v>0.77249999999999996</v>
      </c>
      <c r="R17" s="105">
        <f>T_p22236258390[[#This Row],[ICM]]+bounty*T_p22236258390[[#This Row],[KO]]</f>
        <v>7.5808000000000009</v>
      </c>
      <c r="T17" s="103">
        <f>COUNTIF(T_p3p12337268491[stack],"&gt;0")</f>
        <v>3</v>
      </c>
      <c r="U17" s="102">
        <f>IF(T_init203448188[[#This Row],[p]]=1,sidepot1+uncalled,IF(T_init203448188[[#This Row],[p]]=3,mainpot,IF(ISBLANK(T_init203448188[[#This Row],[p]]),T_init203448188[[#This Row],[stack]]-T_init203448188[[#This Row],[anteblinds]],0)))</f>
        <v>825</v>
      </c>
      <c r="V17" s="102">
        <v>0.41249999999999998</v>
      </c>
      <c r="W17" s="104">
        <f>T_p3p12337268491[[#This Row],[EQ]]*prize</f>
        <v>12.144</v>
      </c>
      <c r="X17" s="105">
        <f>IF(T_init203448188[[#This Row],[p]]=1,T_p3p12337268491[[#This Row],[players]]*T_p3p12337268491[[#This Row],[stack]]/chips+COUNTIF(T_p3p12337268491[stack],0),T_p3p12337268491[[#This Row],[players]]*T_p3p12337268491[[#This Row],[stack]]/chips)</f>
        <v>4.2374999999999998</v>
      </c>
      <c r="Y17" s="105">
        <f>T_p3p12337268491[[#This Row],[ICM]]+bounty*T_p3p12337268491[[#This Row],[KO]]</f>
        <v>12.144</v>
      </c>
      <c r="AA17" s="103">
        <f>COUNTIF(T_p3p22438278592[stack],"&gt;0")</f>
        <v>4</v>
      </c>
      <c r="AB17" s="102">
        <f>IF(T_init203448188[[#This Row],[p]]=1,uncalled,IF(T_init203448188[[#This Row],[p]]=2,sidepot1,IF(T_init203448188[[#This Row],[p]]=3,mainpot,IF(ISBLANK(T_init203448188[[#This Row],[p]]),T_init203448188[[#This Row],[stack]]-T_init203448188[[#This Row],[anteblinds]],0))))</f>
        <v>515</v>
      </c>
      <c r="AC17" s="102">
        <v>0.26</v>
      </c>
      <c r="AD17" s="104">
        <f>T_p3p22438278592[[#This Row],[EQ]]*prize</f>
        <v>7.6544000000000008</v>
      </c>
      <c r="AE17" s="105">
        <f>IF(T_init203448188[[#This Row],[p]]=2,T_p3p22438278592[[#This Row],[players]]*T_p3p22438278592[[#This Row],[stack]]/chips+COUNTIF(T_p3p22438278592[stack],0),T_p3p22438278592[[#This Row],[players]]*T_p3p22438278592[[#This Row],[stack]]/chips)</f>
        <v>1.03</v>
      </c>
      <c r="AF17" s="105">
        <f>T_p3p22438278592[[#This Row],[ICM]]+bounty*T_p3p22438278592[[#This Row],[KO]]</f>
        <v>7.6544000000000008</v>
      </c>
      <c r="AI17" s="103">
        <v>2</v>
      </c>
      <c r="AJ17" s="102">
        <f>IF(T_init203448188[[#This Row],[p]]=1,mainpot+sidepot1+sidepot2+uncalled,IF(T_init203448188[[#This Row],[p]]&gt;1,0,T_init203448188[[#This Row],[stack]]-T_init203448188[[#This Row],[anteblinds]]))</f>
        <v>1345</v>
      </c>
      <c r="AK17" s="102">
        <v>0.67249999999999999</v>
      </c>
      <c r="AL17" s="104">
        <f>T_fact2939288693[[#This Row],[EQ]]*prize</f>
        <v>19.798400000000001</v>
      </c>
      <c r="AM17" s="105">
        <f>IF(T_init203448188[[#This Row],[p]]=1,T_fact2939288693[[#This Row],[players]]*T_fact2939288693[[#This Row],[stack]]/chips+COUNTIF(T_fact2939288693[stack],0),T_fact2939288693[[#This Row],[players]]*T_fact2939288693[[#This Row],[stack]]/chips)</f>
        <v>5.3449999999999998</v>
      </c>
      <c r="AN17" s="105">
        <f>T_fact2939288693[[#This Row],[ICM]]+bounty*T_fact2939288693[[#This Row],[KO]]</f>
        <v>19.798400000000001</v>
      </c>
      <c r="AQ17" s="107">
        <f>'3wKs2s Ден v2'!p3win* ('3wKs2s Ден v2'!p1sp1win*T_p3p12337268491[[#This Row],[ICM]] + '3wKs2s Ден v2'!p2sp1win*T_p3p22438278592[[#This Row],[ICM]])
+'3wKs2s Ден v2'!p2win*T_p22236258390[[#This Row],[ICM]]
+'3wKs2s Ден v2'!p1win*T_p12135198289[[#This Row],[ICM]]</f>
        <v>14.898241052448</v>
      </c>
      <c r="AR17" s="108">
        <f>('3wKs2s Ден v2'!p3win* ('3wKs2s Ден v2'!p1sp1win*T_p3p12337268491[[#This Row],[KO]] + '3wKs2s Ден v2'!p2sp1win*T_p3p22438278592[[#This Row],[KO]])
+'3wKs2s Ден v2'!p2win*T_p22236258390[[#This Row],[KO]]
+'3wKs2s Ден v2'!p1win*T_p12135198289[[#This Row],[KO]])*bounty</f>
        <v>0</v>
      </c>
      <c r="AS17" s="107">
        <f>'3wKs2s Ден v2'!p3win* ('3wKs2s Ден v2'!p1sp1win*T_p3p12337268491[[#This Row],[$stack]] + '3wKs2s Ден v2'!p2sp1win*T_p3p22438278592[[#This Row],[$stack]])
+'3wKs2s Ден v2'!p2win*T_p22236258390[[#This Row],[$stack]]
+'3wKs2s Ден v2'!p1win*T_p12135198289[[#This Row],[$stack]]</f>
        <v>14.898241052448</v>
      </c>
      <c r="AT17" s="108">
        <f>'3wKs2s Ден v2'!p3win* ('3wKs2s Ден v2'!p1sp1win*T_p3p12337268491[[#This Row],[stack]] + '3wKs2s Ден v2'!p2sp1win*T_p3p22438278592[[#This Row],[stack]])
+'3wKs2s Ден v2'!p2win*T_p22236258390[[#This Row],[stack]]
+'3wKs2s Ден v2'!p1win*T_p12135198289[[#This Row],[stack]]</f>
        <v>1011.7478452999999</v>
      </c>
      <c r="AU17" s="104">
        <f>T_EV3340308794[[#This Row],[chipEV]]-T_fact2939288693[[#This Row],[stack]]</f>
        <v>-333.25215470000012</v>
      </c>
      <c r="AV17" s="104">
        <f>T_EV3340308794[[#This Row],[EV]]-(T_fact2939288693[[#This Row],[ICM]]+bounty*T_fact2939288693[[#This Row],[KO]])</f>
        <v>-4.9001589475520007</v>
      </c>
    </row>
    <row r="18" spans="1:48" x14ac:dyDescent="0.25">
      <c r="B18">
        <v>665</v>
      </c>
      <c r="D18">
        <v>10</v>
      </c>
      <c r="F18" s="5">
        <f>COUNTIF(T_p12135198289[stack],"&gt;0")</f>
        <v>2</v>
      </c>
      <c r="G18">
        <f>IF(T_init203448188[[#This Row],[p]]=1,mainpot+sidepot1+sidepot2+uncalled,IF(T_init203448188[[#This Row],[p]]&gt;1,0,T_init203448188[[#This Row],[stack]]-T_init203448188[[#This Row],[anteblinds]]))</f>
        <v>655</v>
      </c>
      <c r="H18">
        <v>0.32750000000000001</v>
      </c>
      <c r="I18" s="2">
        <f>T_p12135198289[[#This Row],[EQ]]*prize</f>
        <v>9.6416000000000004</v>
      </c>
      <c r="J18" s="66">
        <f>IF(T_init203448188[[#This Row],[p]]=1,T_p12135198289[[#This Row],[players]]*T_p12135198289[[#This Row],[stack]]/chips+COUNTIF(T_p12135198289[stack],0),T_p12135198289[[#This Row],[players]]*T_p12135198289[[#This Row],[stack]]/chips)</f>
        <v>0.65500000000000003</v>
      </c>
      <c r="K18" s="66">
        <f>T_p12135198289[[#This Row],[ICM]]+bounty*T_p12135198289[[#This Row],[KO]]</f>
        <v>9.6416000000000004</v>
      </c>
      <c r="M18" s="10">
        <f>COUNTIF(T_p22236258390[stack],"&gt;0")</f>
        <v>3</v>
      </c>
      <c r="N18" s="26">
        <f>IF(T_init203448188[[#This Row],[p]]=1,uncalled,IF(T_init203448188[[#This Row],[p]]=2,mainpot+sidepot1+sidepot2,IF(T_init203448188[[#This Row],[p]]&gt;2,0,T_init203448188[[#This Row],[stack]]-T_init203448188[[#This Row],[anteblinds]])))</f>
        <v>655</v>
      </c>
      <c r="O18">
        <v>0.32750000000000001</v>
      </c>
      <c r="P18" s="2">
        <f>T_p22236258390[[#This Row],[EQ]]*prize</f>
        <v>9.6416000000000004</v>
      </c>
      <c r="Q18" s="66">
        <f>IF(T_init203448188[[#This Row],[p]]=2,T_p22236258390[[#This Row],[players]]*T_p22236258390[[#This Row],[stack]]/chips+COUNTIF(T_p22236258390[stack],0),T_p22236258390[[#This Row],[players]]*T_p22236258390[[#This Row],[stack]]/chips)</f>
        <v>0.98250000000000004</v>
      </c>
      <c r="R18" s="66">
        <f>T_p22236258390[[#This Row],[ICM]]+bounty*T_p22236258390[[#This Row],[KO]]</f>
        <v>9.6416000000000004</v>
      </c>
      <c r="T18" s="5">
        <f>COUNTIF(T_p3p12337268491[stack],"&gt;0")</f>
        <v>3</v>
      </c>
      <c r="U18" s="26">
        <f>IF(T_init203448188[[#This Row],[p]]=1,sidepot1+uncalled,IF(T_init203448188[[#This Row],[p]]=3,mainpot,IF(ISBLANK(T_init203448188[[#This Row],[p]]),T_init203448188[[#This Row],[stack]]-T_init203448188[[#This Row],[anteblinds]],0)))</f>
        <v>655</v>
      </c>
      <c r="V18">
        <v>0.32750000000000001</v>
      </c>
      <c r="W18" s="2">
        <f>T_p3p12337268491[[#This Row],[EQ]]*prize</f>
        <v>9.6416000000000004</v>
      </c>
      <c r="X18" s="66">
        <f>IF(T_init203448188[[#This Row],[p]]=1,T_p3p12337268491[[#This Row],[players]]*T_p3p12337268491[[#This Row],[stack]]/chips+COUNTIF(T_p3p12337268491[stack],0),T_p3p12337268491[[#This Row],[players]]*T_p3p12337268491[[#This Row],[stack]]/chips)</f>
        <v>0.98250000000000004</v>
      </c>
      <c r="Y18" s="66">
        <f>T_p3p12337268491[[#This Row],[ICM]]+bounty*T_p3p12337268491[[#This Row],[KO]]</f>
        <v>9.6416000000000004</v>
      </c>
      <c r="AA18" s="5">
        <f>COUNTIF(T_p3p22438278592[stack],"&gt;0")</f>
        <v>4</v>
      </c>
      <c r="AB18">
        <f>IF(T_init203448188[[#This Row],[p]]=1,uncalled,IF(T_init203448188[[#This Row],[p]]=2,sidepot1,IF(T_init203448188[[#This Row],[p]]=3,mainpot,IF(ISBLANK(T_init203448188[[#This Row],[p]]),T_init203448188[[#This Row],[stack]]-T_init203448188[[#This Row],[anteblinds]],0))))</f>
        <v>655</v>
      </c>
      <c r="AC18">
        <v>0.32750000000000001</v>
      </c>
      <c r="AD18" s="2">
        <f>T_p3p22438278592[[#This Row],[EQ]]*prize</f>
        <v>9.6416000000000004</v>
      </c>
      <c r="AE18" s="66">
        <f>IF(T_init203448188[[#This Row],[p]]=2,T_p3p22438278592[[#This Row],[players]]*T_p3p22438278592[[#This Row],[stack]]/chips+COUNTIF(T_p3p22438278592[stack],0),T_p3p22438278592[[#This Row],[players]]*T_p3p22438278592[[#This Row],[stack]]/chips)</f>
        <v>1.31</v>
      </c>
      <c r="AF18" s="16">
        <f>T_p3p22438278592[[#This Row],[ICM]]+bounty*T_p3p22438278592[[#This Row],[KO]]</f>
        <v>9.6416000000000004</v>
      </c>
      <c r="AI18" s="73">
        <v>2</v>
      </c>
      <c r="AJ18">
        <f>IF(T_init203448188[[#This Row],[p]]=1,mainpot+sidepot1+sidepot2+uncalled,IF(T_init203448188[[#This Row],[p]]&gt;1,0,T_init203448188[[#This Row],[stack]]-T_init203448188[[#This Row],[anteblinds]]))</f>
        <v>655</v>
      </c>
      <c r="AK18">
        <v>0.32750000000000001</v>
      </c>
      <c r="AL18" s="2">
        <f>T_fact2939288693[[#This Row],[EQ]]*prize</f>
        <v>9.6416000000000004</v>
      </c>
      <c r="AM18" s="66">
        <f>IF(T_init203448188[[#This Row],[p]]=1,T_fact2939288693[[#This Row],[players]]*T_fact2939288693[[#This Row],[stack]]/chips+COUNTIF(T_fact2939288693[stack],0),T_fact2939288693[[#This Row],[players]]*T_fact2939288693[[#This Row],[stack]]/chips)</f>
        <v>0.65500000000000003</v>
      </c>
      <c r="AN18" s="16">
        <f>T_fact2939288693[[#This Row],[ICM]]+bounty*T_fact2939288693[[#This Row],[KO]]</f>
        <v>9.6416000000000004</v>
      </c>
      <c r="AQ18" s="68">
        <f>'3wKs2s Ден v2'!p3win* ('3wKs2s Ден v2'!p1sp1win*T_p3p12337268491[[#This Row],[ICM]] + '3wKs2s Ден v2'!p2sp1win*T_p3p22438278592[[#This Row],[ICM]])
+'3wKs2s Ден v2'!p2win*T_p22236258390[[#This Row],[ICM]]
+'3wKs2s Ден v2'!p1win*T_p12135198289[[#This Row],[ICM]]</f>
        <v>9.6416000000000004</v>
      </c>
      <c r="AR18" s="68">
        <f>('3wKs2s Ден v2'!p3win* ('3wKs2s Ден v2'!p1sp1win*T_p3p12337268491[[#This Row],[KO]] + '3wKs2s Ден v2'!p2sp1win*T_p3p22438278592[[#This Row],[KO]])
+'3wKs2s Ден v2'!p2win*T_p22236258390[[#This Row],[KO]]
+'3wKs2s Ден v2'!p1win*T_p12135198289[[#This Row],[KO]])*bounty</f>
        <v>0</v>
      </c>
      <c r="AS18" s="68">
        <f>'3wKs2s Ден v2'!p3win* ('3wKs2s Ден v2'!p1sp1win*T_p3p12337268491[[#This Row],[$stack]] + '3wKs2s Ден v2'!p2sp1win*T_p3p22438278592[[#This Row],[$stack]])
+'3wKs2s Ден v2'!p2win*T_p22236258390[[#This Row],[$stack]]
+'3wKs2s Ден v2'!p1win*T_p12135198289[[#This Row],[$stack]]</f>
        <v>9.6416000000000004</v>
      </c>
      <c r="AT18" s="68">
        <f>'3wKs2s Ден v2'!p3win* ('3wKs2s Ден v2'!p1sp1win*T_p3p12337268491[[#This Row],[stack]] + '3wKs2s Ден v2'!p2sp1win*T_p3p22438278592[[#This Row],[stack]])
+'3wKs2s Ден v2'!p2win*T_p22236258390[[#This Row],[stack]]
+'3wKs2s Ден v2'!p1win*T_p12135198289[[#This Row],[stack]]</f>
        <v>655</v>
      </c>
      <c r="AU18" s="2">
        <f>T_EV3340308794[[#This Row],[chipEV]]-T_fact2939288693[[#This Row],[stack]]</f>
        <v>0</v>
      </c>
      <c r="AV18" s="2">
        <f>T_EV3340308794[[#This Row],[EV]]-(T_fact2939288693[[#This Row],[ICM]]+bounty*T_fact2939288693[[#This Row],[KO]])</f>
        <v>0</v>
      </c>
    </row>
    <row r="19" spans="1:48" s="17" customFormat="1" x14ac:dyDescent="0.25">
      <c r="A19" s="17">
        <v>3</v>
      </c>
      <c r="B19" s="17">
        <v>170</v>
      </c>
      <c r="C19" s="17" t="s">
        <v>246</v>
      </c>
      <c r="D19" s="17">
        <v>60</v>
      </c>
      <c r="F19" s="83">
        <f>COUNTIF(T_p12135198289[stack],"&gt;0")</f>
        <v>2</v>
      </c>
      <c r="G19" s="17">
        <f>IF(T_init203448188[[#This Row],[p]]=1,mainpot+sidepot1+sidepot2+uncalled,IF(T_init203448188[[#This Row],[p]]&gt;1,0,T_init203448188[[#This Row],[stack]]-T_init203448188[[#This Row],[anteblinds]]))</f>
        <v>0</v>
      </c>
      <c r="I19" s="18">
        <f>T_p12135198289[[#This Row],[EQ]]*prize</f>
        <v>0</v>
      </c>
      <c r="J19" s="67">
        <f>IF(T_init203448188[[#This Row],[p]]=1,T_p12135198289[[#This Row],[players]]*T_p12135198289[[#This Row],[stack]]/chips+COUNTIF(T_p12135198289[stack],0),T_p12135198289[[#This Row],[players]]*T_p12135198289[[#This Row],[stack]]/chips)</f>
        <v>0</v>
      </c>
      <c r="K19" s="67">
        <f>T_p12135198289[[#This Row],[ICM]]+bounty*T_p12135198289[[#This Row],[KO]]</f>
        <v>0</v>
      </c>
      <c r="M19" s="19">
        <f>COUNTIF(T_p22236258390[stack],"&gt;0")</f>
        <v>3</v>
      </c>
      <c r="N19" s="17">
        <f>IF(T_init203448188[[#This Row],[p]]=1,uncalled,IF(T_init203448188[[#This Row],[p]]=2,mainpot+sidepot1+sidepot2,IF(T_init203448188[[#This Row],[p]]&gt;2,0,T_init203448188[[#This Row],[stack]]-T_init203448188[[#This Row],[anteblinds]])))</f>
        <v>0</v>
      </c>
      <c r="P19" s="18">
        <f>T_p22236258390[[#This Row],[EQ]]*prize</f>
        <v>0</v>
      </c>
      <c r="Q19" s="67">
        <f>IF(T_init203448188[[#This Row],[p]]=2,T_p22236258390[[#This Row],[players]]*T_p22236258390[[#This Row],[stack]]/chips+COUNTIF(T_p22236258390[stack],0),T_p22236258390[[#This Row],[players]]*T_p22236258390[[#This Row],[stack]]/chips)</f>
        <v>0</v>
      </c>
      <c r="R19" s="67">
        <f>T_p22236258390[[#This Row],[ICM]]+bounty*T_p22236258390[[#This Row],[KO]]</f>
        <v>0</v>
      </c>
      <c r="T19" s="83">
        <f>COUNTIF(T_p3p12337268491[stack],"&gt;0")</f>
        <v>3</v>
      </c>
      <c r="U19" s="17">
        <f>IF(T_init203448188[[#This Row],[p]]=1,sidepot1+uncalled,IF(T_init203448188[[#This Row],[p]]=3,mainpot,IF(ISBLANK(T_init203448188[[#This Row],[p]]),T_init203448188[[#This Row],[stack]]-T_init203448188[[#This Row],[anteblinds]],0)))</f>
        <v>520</v>
      </c>
      <c r="V19" s="17">
        <v>0.26</v>
      </c>
      <c r="W19" s="18">
        <f>T_p3p12337268491[[#This Row],[EQ]]*prize</f>
        <v>7.6544000000000008</v>
      </c>
      <c r="X19" s="67">
        <f>IF(T_init203448188[[#This Row],[p]]=1,T_p3p12337268491[[#This Row],[players]]*T_p3p12337268491[[#This Row],[stack]]/chips+COUNTIF(T_p3p12337268491[stack],0),T_p3p12337268491[[#This Row],[players]]*T_p3p12337268491[[#This Row],[stack]]/chips)</f>
        <v>0.78</v>
      </c>
      <c r="Y19" s="67">
        <f>T_p3p12337268491[[#This Row],[ICM]]+bounty*T_p3p12337268491[[#This Row],[KO]]</f>
        <v>7.6544000000000008</v>
      </c>
      <c r="AA19" s="83">
        <f>COUNTIF(T_p3p22438278592[stack],"&gt;0")</f>
        <v>4</v>
      </c>
      <c r="AB19" s="17">
        <f>IF(T_init203448188[[#This Row],[p]]=1,uncalled,IF(T_init203448188[[#This Row],[p]]=2,sidepot1,IF(T_init203448188[[#This Row],[p]]=3,mainpot,IF(ISBLANK(T_init203448188[[#This Row],[p]]),T_init203448188[[#This Row],[stack]]-T_init203448188[[#This Row],[anteblinds]],0))))</f>
        <v>520</v>
      </c>
      <c r="AC19" s="17">
        <v>0.155</v>
      </c>
      <c r="AD19" s="18">
        <f>T_p3p22438278592[[#This Row],[EQ]]*prize</f>
        <v>4.5632000000000001</v>
      </c>
      <c r="AE19" s="67">
        <f>IF(T_init203448188[[#This Row],[p]]=2,T_p3p22438278592[[#This Row],[players]]*T_p3p22438278592[[#This Row],[stack]]/chips+COUNTIF(T_p3p22438278592[stack],0),T_p3p22438278592[[#This Row],[players]]*T_p3p22438278592[[#This Row],[stack]]/chips)</f>
        <v>1.04</v>
      </c>
      <c r="AF19" s="24">
        <f>T_p3p22438278592[[#This Row],[ICM]]+bounty*T_p3p22438278592[[#This Row],[KO]]</f>
        <v>4.5632000000000001</v>
      </c>
      <c r="AI19" s="83">
        <v>2</v>
      </c>
      <c r="AJ19" s="17">
        <v>0</v>
      </c>
      <c r="AK19" s="17">
        <v>0</v>
      </c>
      <c r="AL19" s="18">
        <f>T_fact2939288693[[#This Row],[EQ]]*prize</f>
        <v>0</v>
      </c>
      <c r="AM19" s="67">
        <f>IF(T_init203448188[[#This Row],[p]]=1,T_fact2939288693[[#This Row],[players]]*T_fact2939288693[[#This Row],[stack]]/chips+COUNTIF(T_fact2939288693[stack],0),T_fact2939288693[[#This Row],[players]]*T_fact2939288693[[#This Row],[stack]]/chips)</f>
        <v>0</v>
      </c>
      <c r="AN19" s="24">
        <f>T_fact2939288693[[#This Row],[ICM]]+bounty*T_fact2939288693[[#This Row],[KO]]</f>
        <v>0</v>
      </c>
      <c r="AQ19" s="69">
        <f>'3wKs2s Ден v2'!p3win* ('3wKs2s Ден v2'!p1sp1win*T_p3p12337268491[[#This Row],[ICM]] + '3wKs2s Ден v2'!p2sp1win*T_p3p22438278592[[#This Row],[ICM]])
+'3wKs2s Ден v2'!p2win*T_p22236258390[[#This Row],[ICM]]
+'3wKs2s Ден v2'!p1win*T_p12135198289[[#This Row],[ICM]]</f>
        <v>1.3559663954560002</v>
      </c>
      <c r="AR19" s="69">
        <f>('3wKs2s Ден v2'!p3win* ('3wKs2s Ден v2'!p1sp1win*T_p3p12337268491[[#This Row],[KO]] + '3wKs2s Ден v2'!p2sp1win*T_p3p22438278592[[#This Row],[KO]])
+'3wKs2s Ден v2'!p2win*T_p22236258390[[#This Row],[KO]]
+'3wKs2s Ден v2'!p1win*T_p12135198289[[#This Row],[KO]])*bounty</f>
        <v>0</v>
      </c>
      <c r="AS19" s="69">
        <f>'3wKs2s Ден v2'!p3win* ('3wKs2s Ден v2'!p1sp1win*T_p3p12337268491[[#This Row],[$stack]] + '3wKs2s Ден v2'!p2sp1win*T_p3p22438278592[[#This Row],[$stack]])
+'3wKs2s Ден v2'!p2win*T_p22236258390[[#This Row],[$stack]]
+'3wKs2s Ден v2'!p1win*T_p12135198289[[#This Row],[$stack]]</f>
        <v>1.3559663954560002</v>
      </c>
      <c r="AT19" s="69">
        <f>'3wKs2s Ден v2'!p3win* ('3wKs2s Ден v2'!p1sp1win*T_p3p12337268491[[#This Row],[stack]] + '3wKs2s Ден v2'!p2sp1win*T_p3p22438278592[[#This Row],[stack]])
+'3wKs2s Ден v2'!p2win*T_p22236258390[[#This Row],[stack]]
+'3wKs2s Ден v2'!p1win*T_p12135198289[[#This Row],[stack]]</f>
        <v>107.27600000000001</v>
      </c>
      <c r="AU19" s="18">
        <f>T_EV3340308794[[#This Row],[chipEV]]-T_fact2939288693[[#This Row],[stack]]</f>
        <v>107.27600000000001</v>
      </c>
      <c r="AV19" s="18">
        <f>T_EV3340308794[[#This Row],[EV]]-(T_fact2939288693[[#This Row],[ICM]]+bounty*T_fact2939288693[[#This Row],[KO]])</f>
        <v>1.3559663954560002</v>
      </c>
    </row>
    <row r="20" spans="1:48" x14ac:dyDescent="0.25">
      <c r="A20" s="26">
        <v>2</v>
      </c>
      <c r="B20" s="26">
        <v>325</v>
      </c>
      <c r="C20" t="s">
        <v>247</v>
      </c>
      <c r="D20" s="26">
        <v>35</v>
      </c>
      <c r="F20" s="73">
        <f>COUNTIF(T_p12135198289[stack],"&gt;0")</f>
        <v>2</v>
      </c>
      <c r="G20" s="26">
        <f>IF(T_init203448188[[#This Row],[p]]=1,mainpot+sidepot1+sidepot2+uncalled,IF(T_init203448188[[#This Row],[p]]&gt;1,0,T_init203448188[[#This Row],[stack]]-T_init203448188[[#This Row],[anteblinds]]))</f>
        <v>0</v>
      </c>
      <c r="H20" s="26"/>
      <c r="I20" s="27">
        <f>T_p12135198289[[#This Row],[EQ]]*prize</f>
        <v>0</v>
      </c>
      <c r="J20" s="71">
        <f>IF(T_init203448188[[#This Row],[p]]=1,T_p12135198289[[#This Row],[players]]*T_p12135198289[[#This Row],[stack]]/chips+COUNTIF(T_p12135198289[stack],0),T_p12135198289[[#This Row],[players]]*T_p12135198289[[#This Row],[stack]]/chips)</f>
        <v>0</v>
      </c>
      <c r="K20" s="71">
        <f>T_p12135198289[[#This Row],[ICM]]+bounty*T_p12135198289[[#This Row],[KO]]</f>
        <v>0</v>
      </c>
      <c r="M20" s="29">
        <f>COUNTIF(T_p22236258390[stack],"&gt;0")</f>
        <v>3</v>
      </c>
      <c r="N20" s="26">
        <f>IF(T_init203448188[[#This Row],[p]]=1,uncalled,IF(T_init203448188[[#This Row],[p]]=2,mainpot+sidepot1+sidepot2,IF(T_init203448188[[#This Row],[p]]&gt;2,0,T_init203448188[[#This Row],[stack]]-T_init203448188[[#This Row],[anteblinds]])))</f>
        <v>830</v>
      </c>
      <c r="O20" s="26">
        <v>0.41499999999999998</v>
      </c>
      <c r="P20" s="27">
        <f>T_p22236258390[[#This Row],[EQ]]*prize</f>
        <v>12.217599999999999</v>
      </c>
      <c r="Q20" s="71">
        <f>IF(T_init203448188[[#This Row],[p]]=2,T_p22236258390[[#This Row],[players]]*T_p22236258390[[#This Row],[stack]]/chips+COUNTIF(T_p22236258390[stack],0),T_p22236258390[[#This Row],[players]]*T_p22236258390[[#This Row],[stack]]/chips)</f>
        <v>4.2450000000000001</v>
      </c>
      <c r="R20" s="71">
        <f>T_p22236258390[[#This Row],[ICM]]+bounty*T_p22236258390[[#This Row],[KO]]</f>
        <v>12.217599999999999</v>
      </c>
      <c r="T20" s="73">
        <f>COUNTIF(T_p3p12337268491[stack],"&gt;0")</f>
        <v>3</v>
      </c>
      <c r="U20" s="26">
        <f>IF(T_init203448188[[#This Row],[p]]=1,sidepot1+uncalled,IF(T_init203448188[[#This Row],[p]]=3,mainpot,IF(ISBLANK(T_init203448188[[#This Row],[p]]),T_init203448188[[#This Row],[stack]]-T_init203448188[[#This Row],[anteblinds]],0)))</f>
        <v>0</v>
      </c>
      <c r="V20" s="26">
        <v>0</v>
      </c>
      <c r="W20" s="27">
        <f>T_p3p12337268491[[#This Row],[EQ]]*prize</f>
        <v>0</v>
      </c>
      <c r="X20" s="71">
        <f>IF(T_init203448188[[#This Row],[p]]=1,T_p3p12337268491[[#This Row],[players]]*T_p3p12337268491[[#This Row],[stack]]/chips+COUNTIF(T_p3p12337268491[stack],0),T_p3p12337268491[[#This Row],[players]]*T_p3p12337268491[[#This Row],[stack]]/chips)</f>
        <v>0</v>
      </c>
      <c r="Y20" s="71">
        <f>T_p3p12337268491[[#This Row],[ICM]]+bounty*T_p3p12337268491[[#This Row],[KO]]</f>
        <v>0</v>
      </c>
      <c r="AA20" s="73">
        <f>COUNTIF(T_p3p22438278592[stack],"&gt;0")</f>
        <v>4</v>
      </c>
      <c r="AB20" s="26">
        <f>IF(T_init203448188[[#This Row],[p]]=1,uncalled,IF(T_init203448188[[#This Row],[p]]=2,sidepot1,IF(T_init203448188[[#This Row],[p]]=3,mainpot,IF(ISBLANK(T_init203448188[[#This Row],[p]]),T_init203448188[[#This Row],[stack]]-T_init203448188[[#This Row],[anteblinds]],0))))</f>
        <v>310</v>
      </c>
      <c r="AC20" s="26">
        <v>0.25750000000000001</v>
      </c>
      <c r="AD20" s="27">
        <f>T_p3p22438278592[[#This Row],[EQ]]*prize</f>
        <v>7.5808000000000009</v>
      </c>
      <c r="AE20" s="71">
        <f>IF(T_init203448188[[#This Row],[p]]=2,T_p3p22438278592[[#This Row],[players]]*T_p3p22438278592[[#This Row],[stack]]/chips+COUNTIF(T_p3p22438278592[stack],0),T_p3p22438278592[[#This Row],[players]]*T_p3p22438278592[[#This Row],[stack]]/chips)</f>
        <v>2.62</v>
      </c>
      <c r="AF20" s="16">
        <f>T_p3p22438278592[[#This Row],[ICM]]+bounty*T_p3p22438278592[[#This Row],[KO]]</f>
        <v>7.5808000000000009</v>
      </c>
      <c r="AI20" s="73">
        <v>2</v>
      </c>
      <c r="AJ20" s="26">
        <v>0</v>
      </c>
      <c r="AK20" s="26">
        <v>0</v>
      </c>
      <c r="AL20" s="27">
        <f>T_fact2939288693[[#This Row],[EQ]]*prize</f>
        <v>0</v>
      </c>
      <c r="AM20" s="71">
        <f>IF(T_init203448188[[#This Row],[p]]=1,T_fact2939288693[[#This Row],[players]]*T_fact2939288693[[#This Row],[stack]]/chips+COUNTIF(T_fact2939288693[stack],0),T_fact2939288693[[#This Row],[players]]*T_fact2939288693[[#This Row],[stack]]/chips)</f>
        <v>0</v>
      </c>
      <c r="AN20" s="16">
        <f>T_fact2939288693[[#This Row],[ICM]]+bounty*T_fact2939288693[[#This Row],[KO]]</f>
        <v>0</v>
      </c>
      <c r="AQ20" s="68">
        <f>'3wKs2s Ден v2'!p3win* ('3wKs2s Ден v2'!p1sp1win*T_p3p12337268491[[#This Row],[ICM]] + '3wKs2s Ден v2'!p2sp1win*T_p3p22438278592[[#This Row],[ICM]])
+'3wKs2s Ден v2'!p2win*T_p22236258390[[#This Row],[ICM]]
+'3wKs2s Ден v2'!p1win*T_p12135198289[[#This Row],[ICM]]</f>
        <v>3.5441925520959998</v>
      </c>
      <c r="AR20" s="72">
        <f>('3wKs2s Ден v2'!p3win* ('3wKs2s Ден v2'!p1sp1win*T_p3p12337268491[[#This Row],[KO]] + '3wKs2s Ден v2'!p2sp1win*T_p3p22438278592[[#This Row],[KO]])
+'3wKs2s Ден v2'!p2win*T_p22236258390[[#This Row],[KO]]
+'3wKs2s Ден v2'!p1win*T_p12135198289[[#This Row],[KO]])*bounty</f>
        <v>0</v>
      </c>
      <c r="AS20" s="72">
        <f>'3wKs2s Ден v2'!p3win* ('3wKs2s Ден v2'!p1sp1win*T_p3p12337268491[[#This Row],[$stack]] + '3wKs2s Ден v2'!p2sp1win*T_p3p22438278592[[#This Row],[$stack]])
+'3wKs2s Ден v2'!p2win*T_p22236258390[[#This Row],[$stack]]
+'3wKs2s Ден v2'!p1win*T_p12135198289[[#This Row],[$stack]]</f>
        <v>3.5441925520959998</v>
      </c>
      <c r="AT20" s="72">
        <f>'3wKs2s Ден v2'!p3win* ('3wKs2s Ден v2'!p1sp1win*T_p3p12337268491[[#This Row],[stack]] + '3wKs2s Ден v2'!p2sp1win*T_p3p22438278592[[#This Row],[stack]])
+'3wKs2s Ден v2'!p2win*T_p22236258390[[#This Row],[stack]]
+'3wKs2s Ден v2'!p1win*T_p12135198289[[#This Row],[stack]]</f>
        <v>225.9761547</v>
      </c>
      <c r="AU20" s="2">
        <f>T_EV3340308794[[#This Row],[chipEV]]-T_fact2939288693[[#This Row],[stack]]</f>
        <v>225.9761547</v>
      </c>
      <c r="AV20" s="2">
        <f>T_EV3340308794[[#This Row],[EV]]-(T_fact2939288693[[#This Row],[ICM]]+bounty*T_fact2939288693[[#This Row],[KO]])</f>
        <v>3.5441925520959998</v>
      </c>
    </row>
    <row r="21" spans="1:48" x14ac:dyDescent="0.25">
      <c r="B21">
        <v>0</v>
      </c>
      <c r="F21" s="5">
        <f>COUNTIF(T_p12135198289[stack],"&gt;0")</f>
        <v>2</v>
      </c>
      <c r="G21">
        <f>IF(T_init203448188[[#This Row],[p]]=1,mainpot+sidepot1+sidepot2+uncalled,IF(T_init203448188[[#This Row],[p]]&gt;1,0,T_init203448188[[#This Row],[stack]]-T_init203448188[[#This Row],[anteblinds]]))</f>
        <v>0</v>
      </c>
      <c r="I21" s="2">
        <f>T_p12135198289[[#This Row],[EQ]]*prize</f>
        <v>0</v>
      </c>
      <c r="J21" s="66">
        <f>IF(T_init203448188[[#This Row],[p]]=1,T_p12135198289[[#This Row],[players]]*T_p12135198289[[#This Row],[stack]]/chips+COUNTIF(T_p12135198289[stack],0),T_p12135198289[[#This Row],[players]]*T_p12135198289[[#This Row],[stack]]/chips)</f>
        <v>0</v>
      </c>
      <c r="K21" s="66">
        <f>T_p12135198289[[#This Row],[ICM]]+bounty*T_p12135198289[[#This Row],[KO]]</f>
        <v>0</v>
      </c>
      <c r="M21" s="10">
        <f>COUNTIF(T_p22236258390[stack],"&gt;0")</f>
        <v>3</v>
      </c>
      <c r="N21" s="26">
        <f>IF(T_init203448188[[#This Row],[p]]=1,uncalled,IF(T_init203448188[[#This Row],[p]]=2,mainpot+sidepot1+sidepot2,IF(T_init203448188[[#This Row],[p]]&gt;2,0,T_init203448188[[#This Row],[stack]]-T_init203448188[[#This Row],[anteblinds]])))</f>
        <v>0</v>
      </c>
      <c r="O21">
        <v>0</v>
      </c>
      <c r="P21" s="2">
        <f>T_p22236258390[[#This Row],[EQ]]*prize</f>
        <v>0</v>
      </c>
      <c r="Q21" s="66">
        <f>IF(T_init203448188[[#This Row],[p]]=2,T_p22236258390[[#This Row],[players]]*T_p22236258390[[#This Row],[stack]]/chips+COUNTIF(T_p22236258390[stack],0),T_p22236258390[[#This Row],[players]]*T_p22236258390[[#This Row],[stack]]/chips)</f>
        <v>0</v>
      </c>
      <c r="R21" s="66">
        <f>T_p22236258390[[#This Row],[ICM]]+bounty*T_p22236258390[[#This Row],[KO]]</f>
        <v>0</v>
      </c>
      <c r="T21" s="5">
        <f>COUNTIF(T_p3p12337268491[stack],"&gt;0")</f>
        <v>3</v>
      </c>
      <c r="U21" s="26">
        <f>IF(T_init203448188[[#This Row],[p]]=1,sidepot1+uncalled,IF(T_init203448188[[#This Row],[p]]=3,mainpot,IF(ISBLANK(T_init203448188[[#This Row],[p]]),T_init203448188[[#This Row],[stack]]-T_init203448188[[#This Row],[anteblinds]],0)))</f>
        <v>0</v>
      </c>
      <c r="V21">
        <v>0</v>
      </c>
      <c r="W21" s="2">
        <f>T_p3p12337268491[[#This Row],[EQ]]*prize</f>
        <v>0</v>
      </c>
      <c r="X21" s="66">
        <f>IF(T_init203448188[[#This Row],[p]]=1,T_p3p12337268491[[#This Row],[players]]*T_p3p12337268491[[#This Row],[stack]]/chips+COUNTIF(T_p3p12337268491[stack],0),T_p3p12337268491[[#This Row],[players]]*T_p3p12337268491[[#This Row],[stack]]/chips)</f>
        <v>0</v>
      </c>
      <c r="Y21" s="66">
        <f>T_p3p12337268491[[#This Row],[ICM]]+bounty*T_p3p12337268491[[#This Row],[KO]]</f>
        <v>0</v>
      </c>
      <c r="AA21" s="5">
        <f>COUNTIF(T_p3p22438278592[stack],"&gt;0")</f>
        <v>4</v>
      </c>
      <c r="AB21">
        <f>IF(T_init203448188[[#This Row],[p]]=1,uncalled,IF(T_init203448188[[#This Row],[p]]=2,sidepot1,IF(T_init203448188[[#This Row],[p]]=3,mainpot,IF(ISBLANK(T_init203448188[[#This Row],[p]]),T_init203448188[[#This Row],[stack]]-T_init203448188[[#This Row],[anteblinds]],0))))</f>
        <v>0</v>
      </c>
      <c r="AC21">
        <v>0</v>
      </c>
      <c r="AD21" s="2">
        <f>T_p3p22438278592[[#This Row],[EQ]]*prize</f>
        <v>0</v>
      </c>
      <c r="AE21" s="66">
        <f>IF(T_init203448188[[#This Row],[p]]=2,T_p3p22438278592[[#This Row],[players]]*T_p3p22438278592[[#This Row],[stack]]/chips+COUNTIF(T_p3p22438278592[stack],0),T_p3p22438278592[[#This Row],[players]]*T_p3p22438278592[[#This Row],[stack]]/chips)</f>
        <v>0</v>
      </c>
      <c r="AF21" s="16">
        <f>T_p3p22438278592[[#This Row],[ICM]]+bounty*T_p3p22438278592[[#This Row],[KO]]</f>
        <v>0</v>
      </c>
      <c r="AI21" s="73">
        <v>2</v>
      </c>
      <c r="AJ21" s="26">
        <v>0</v>
      </c>
      <c r="AL21" s="2">
        <f>T_fact2939288693[[#This Row],[EQ]]*prize</f>
        <v>0</v>
      </c>
      <c r="AM21" s="66">
        <f>IF(T_init203448188[[#This Row],[p]]=1,T_fact2939288693[[#This Row],[players]]*T_fact2939288693[[#This Row],[stack]]/chips+COUNTIF(T_fact2939288693[stack],0),T_fact2939288693[[#This Row],[players]]*T_fact2939288693[[#This Row],[stack]]/chips)</f>
        <v>0</v>
      </c>
      <c r="AN21" s="16">
        <f>T_fact2939288693[[#This Row],[ICM]]+bounty*T_fact2939288693[[#This Row],[KO]]</f>
        <v>0</v>
      </c>
      <c r="AQ21" s="68">
        <f>'3wKs2s Ден v2'!p3win* ('3wKs2s Ден v2'!p1sp1win*T_p3p12337268491[[#This Row],[ICM]] + '3wKs2s Ден v2'!p2sp1win*T_p3p22438278592[[#This Row],[ICM]])
+'3wKs2s Ден v2'!p2win*T_p22236258390[[#This Row],[ICM]]
+'3wKs2s Ден v2'!p1win*T_p12135198289[[#This Row],[ICM]]</f>
        <v>0</v>
      </c>
      <c r="AR21" s="68">
        <f>('3wKs2s Ден v2'!p3win* ('3wKs2s Ден v2'!p1sp1win*T_p3p12337268491[[#This Row],[KO]] + '3wKs2s Ден v2'!p2sp1win*T_p3p22438278592[[#This Row],[KO]])
+'3wKs2s Ден v2'!p2win*T_p22236258390[[#This Row],[KO]]
+'3wKs2s Ден v2'!p1win*T_p12135198289[[#This Row],[KO]])*bounty</f>
        <v>0</v>
      </c>
      <c r="AS21" s="68">
        <f>'3wKs2s Ден v2'!p3win* ('3wKs2s Ден v2'!p1sp1win*T_p3p12337268491[[#This Row],[$stack]] + '3wKs2s Ден v2'!p2sp1win*T_p3p22438278592[[#This Row],[$stack]])
+'3wKs2s Ден v2'!p2win*T_p22236258390[[#This Row],[$stack]]
+'3wKs2s Ден v2'!p1win*T_p12135198289[[#This Row],[$stack]]</f>
        <v>0</v>
      </c>
      <c r="AT21" s="68">
        <f>'3wKs2s Ден v2'!p3win* ('3wKs2s Ден v2'!p1sp1win*T_p3p12337268491[[#This Row],[stack]] + '3wKs2s Ден v2'!p2sp1win*T_p3p22438278592[[#This Row],[stack]])
+'3wKs2s Ден v2'!p2win*T_p22236258390[[#This Row],[stack]]
+'3wKs2s Ден v2'!p1win*T_p12135198289[[#This Row],[stack]]</f>
        <v>0</v>
      </c>
      <c r="AU21" s="2">
        <f>T_EV3340308794[[#This Row],[chipEV]]-T_fact2939288693[[#This Row],[stack]]</f>
        <v>0</v>
      </c>
      <c r="AV21" s="2">
        <f>T_EV3340308794[[#This Row],[EV]]-(T_fact2939288693[[#This Row],[ICM]]+bounty*T_fact2939288693[[#This Row],[KO]])</f>
        <v>0</v>
      </c>
    </row>
    <row r="22" spans="1:48" x14ac:dyDescent="0.25">
      <c r="B22">
        <v>0</v>
      </c>
      <c r="F22" s="5">
        <f>COUNTIF(T_p12135198289[stack],"&gt;0")</f>
        <v>2</v>
      </c>
      <c r="G22">
        <f>IF(T_init203448188[[#This Row],[p]]=1,mainpot+sidepot1+sidepot2+uncalled,IF(T_init203448188[[#This Row],[p]]&gt;1,0,T_init203448188[[#This Row],[stack]]-T_init203448188[[#This Row],[anteblinds]]))</f>
        <v>0</v>
      </c>
      <c r="I22" s="2">
        <f>T_p12135198289[[#This Row],[EQ]]*prize</f>
        <v>0</v>
      </c>
      <c r="J22" s="66">
        <f>IF(T_init203448188[[#This Row],[p]]=1,T_p12135198289[[#This Row],[players]]*T_p12135198289[[#This Row],[stack]]/chips+COUNTIF(T_p12135198289[stack],0),T_p12135198289[[#This Row],[players]]*T_p12135198289[[#This Row],[stack]]/chips)</f>
        <v>0</v>
      </c>
      <c r="K22" s="66">
        <f>T_p12135198289[[#This Row],[ICM]]+bounty*T_p12135198289[[#This Row],[KO]]</f>
        <v>0</v>
      </c>
      <c r="M22" s="10">
        <f>COUNTIF(T_p22236258390[stack],"&gt;0")</f>
        <v>3</v>
      </c>
      <c r="N22" s="26">
        <f>IF(T_init203448188[[#This Row],[p]]=1,uncalled,IF(T_init203448188[[#This Row],[p]]=2,mainpot+sidepot1+sidepot2,IF(T_init203448188[[#This Row],[p]]&gt;2,0,T_init203448188[[#This Row],[stack]]-T_init203448188[[#This Row],[anteblinds]])))</f>
        <v>0</v>
      </c>
      <c r="P22" s="2">
        <f>T_p22236258390[[#This Row],[EQ]]*prize</f>
        <v>0</v>
      </c>
      <c r="Q22" s="66">
        <f>IF(T_init203448188[[#This Row],[p]]=2,T_p22236258390[[#This Row],[players]]*T_p22236258390[[#This Row],[stack]]/chips+COUNTIF(T_p22236258390[stack],0),T_p22236258390[[#This Row],[players]]*T_p22236258390[[#This Row],[stack]]/chips)</f>
        <v>0</v>
      </c>
      <c r="R22" s="66">
        <f>T_p22236258390[[#This Row],[ICM]]+bounty*T_p22236258390[[#This Row],[KO]]</f>
        <v>0</v>
      </c>
      <c r="T22" s="5">
        <f>COUNTIF(T_p3p12337268491[stack],"&gt;0")</f>
        <v>3</v>
      </c>
      <c r="U22" s="26">
        <f>IF(T_init203448188[[#This Row],[p]]=1,sidepot1+uncalled,IF(T_init203448188[[#This Row],[p]]=3,mainpot,IF(ISBLANK(T_init203448188[[#This Row],[p]]),T_init203448188[[#This Row],[stack]]-T_init203448188[[#This Row],[anteblinds]],0)))</f>
        <v>0</v>
      </c>
      <c r="V22">
        <v>0</v>
      </c>
      <c r="W22" s="2">
        <f>T_p3p12337268491[[#This Row],[EQ]]*prize</f>
        <v>0</v>
      </c>
      <c r="X22" s="66">
        <f>IF(T_init203448188[[#This Row],[p]]=1,T_p3p12337268491[[#This Row],[players]]*T_p3p12337268491[[#This Row],[stack]]/chips+COUNTIF(T_p3p12337268491[stack],0),T_p3p12337268491[[#This Row],[players]]*T_p3p12337268491[[#This Row],[stack]]/chips)</f>
        <v>0</v>
      </c>
      <c r="Y22" s="66">
        <f>T_p3p12337268491[[#This Row],[ICM]]+bounty*T_p3p12337268491[[#This Row],[KO]]</f>
        <v>0</v>
      </c>
      <c r="AA22" s="5">
        <f>COUNTIF(T_p3p22438278592[stack],"&gt;0")</f>
        <v>4</v>
      </c>
      <c r="AB22">
        <f>IF(T_init203448188[[#This Row],[p]]=1,uncalled,IF(T_init203448188[[#This Row],[p]]=2,sidepot1,IF(T_init203448188[[#This Row],[p]]=3,mainpot,IF(ISBLANK(T_init203448188[[#This Row],[p]]),T_init203448188[[#This Row],[stack]]-T_init203448188[[#This Row],[anteblinds]],0))))</f>
        <v>0</v>
      </c>
      <c r="AC22">
        <v>0</v>
      </c>
      <c r="AD22" s="2">
        <f>T_p3p22438278592[[#This Row],[EQ]]*prize</f>
        <v>0</v>
      </c>
      <c r="AE22" s="66">
        <f>IF(T_init203448188[[#This Row],[p]]=2,T_p3p22438278592[[#This Row],[players]]*T_p3p22438278592[[#This Row],[stack]]/chips+COUNTIF(T_p3p22438278592[stack],0),T_p3p22438278592[[#This Row],[players]]*T_p3p22438278592[[#This Row],[stack]]/chips)</f>
        <v>0</v>
      </c>
      <c r="AF22" s="16">
        <f>T_p3p22438278592[[#This Row],[ICM]]+bounty*T_p3p22438278592[[#This Row],[KO]]</f>
        <v>0</v>
      </c>
      <c r="AI22" s="73">
        <v>2</v>
      </c>
      <c r="AJ22" s="26">
        <v>0</v>
      </c>
      <c r="AL22" s="2">
        <f>T_fact2939288693[[#This Row],[EQ]]*prize</f>
        <v>0</v>
      </c>
      <c r="AM22" s="66">
        <f>IF(T_init203448188[[#This Row],[p]]=1,T_fact2939288693[[#This Row],[players]]*T_fact2939288693[[#This Row],[stack]]/chips+COUNTIF(T_fact2939288693[stack],0),T_fact2939288693[[#This Row],[players]]*T_fact2939288693[[#This Row],[stack]]/chips)</f>
        <v>0</v>
      </c>
      <c r="AN22" s="16">
        <f>T_fact2939288693[[#This Row],[ICM]]+bounty*T_fact2939288693[[#This Row],[KO]]</f>
        <v>0</v>
      </c>
      <c r="AQ22" s="68">
        <f>'3wKs2s Ден v2'!p3win* ('3wKs2s Ден v2'!p1sp1win*T_p3p12337268491[[#This Row],[ICM]] + '3wKs2s Ден v2'!p2sp1win*T_p3p22438278592[[#This Row],[ICM]])
+'3wKs2s Ден v2'!p2win*T_p22236258390[[#This Row],[ICM]]
+'3wKs2s Ден v2'!p1win*T_p12135198289[[#This Row],[ICM]]</f>
        <v>0</v>
      </c>
      <c r="AR22" s="68">
        <f>('3wKs2s Ден v2'!p3win* ('3wKs2s Ден v2'!p1sp1win*T_p3p12337268491[[#This Row],[KO]] + '3wKs2s Ден v2'!p2sp1win*T_p3p22438278592[[#This Row],[KO]])
+'3wKs2s Ден v2'!p2win*T_p22236258390[[#This Row],[KO]]
+'3wKs2s Ден v2'!p1win*T_p12135198289[[#This Row],[KO]])*bounty</f>
        <v>0</v>
      </c>
      <c r="AS22" s="68">
        <f>'3wKs2s Ден v2'!p3win* ('3wKs2s Ден v2'!p1sp1win*T_p3p12337268491[[#This Row],[$stack]] + '3wKs2s Ден v2'!p2sp1win*T_p3p22438278592[[#This Row],[$stack]])
+'3wKs2s Ден v2'!p2win*T_p22236258390[[#This Row],[$stack]]
+'3wKs2s Ден v2'!p1win*T_p12135198289[[#This Row],[$stack]]</f>
        <v>0</v>
      </c>
      <c r="AT22" s="68">
        <f>'3wKs2s Ден v2'!p3win* ('3wKs2s Ден v2'!p1sp1win*T_p3p12337268491[[#This Row],[stack]] + '3wKs2s Ден v2'!p2sp1win*T_p3p22438278592[[#This Row],[stack]])
+'3wKs2s Ден v2'!p2win*T_p22236258390[[#This Row],[stack]]
+'3wKs2s Ден v2'!p1win*T_p12135198289[[#This Row],[stack]]</f>
        <v>0</v>
      </c>
      <c r="AU22" s="2">
        <f>T_EV3340308794[[#This Row],[chipEV]]-T_fact2939288693[[#This Row],[stack]]</f>
        <v>0</v>
      </c>
      <c r="AV22" s="2">
        <f>T_EV3340308794[[#This Row],[EV]]-(T_fact2939288693[[#This Row],[ICM]]+bounty*T_fact2939288693[[#This Row],[KO]])</f>
        <v>0</v>
      </c>
    </row>
    <row r="23" spans="1:48" x14ac:dyDescent="0.25">
      <c r="A23" t="s">
        <v>95</v>
      </c>
      <c r="D23">
        <f>SUBTOTAL(109,T_init203448188[anteblinds])</f>
        <v>115</v>
      </c>
      <c r="F23" s="53"/>
      <c r="G23" s="50">
        <f>SUM(T_p12135198289[stack])</f>
        <v>2000</v>
      </c>
      <c r="H23" s="50">
        <f>SUM(T_p12135198289[EQ])</f>
        <v>1</v>
      </c>
      <c r="I23" s="50">
        <f>SUM(T_p12135198289[ICM])</f>
        <v>29.44</v>
      </c>
      <c r="J23" s="50">
        <f>SUM(T_p12135198289[KO])</f>
        <v>6</v>
      </c>
      <c r="K23" s="50">
        <f>SUM(T_p12135198289[$stack])</f>
        <v>29.44</v>
      </c>
      <c r="M23" s="53"/>
      <c r="N23" s="55">
        <f>SUM(T_p22236258390[stack])</f>
        <v>2000</v>
      </c>
      <c r="O23" s="50">
        <f>SUM(T_p22236258390[EQ])</f>
        <v>1</v>
      </c>
      <c r="P23" s="51">
        <f>SUM(T_p22236258390[ICM])</f>
        <v>29.439999999999998</v>
      </c>
      <c r="Q23" s="52">
        <f>SUM(T_p22236258390[KO])</f>
        <v>6</v>
      </c>
      <c r="R23" s="50">
        <f>SUM(T_p22236258390[$stack])</f>
        <v>29.439999999999998</v>
      </c>
      <c r="T23" s="53"/>
      <c r="U23" s="55">
        <f>SUM(T_p3p12337268491[stack])</f>
        <v>2000</v>
      </c>
      <c r="V23" s="50">
        <f>SUM(T_p3p12337268491[EQ])</f>
        <v>1</v>
      </c>
      <c r="W23" s="51">
        <f>SUM(T_p3p12337268491[ICM])</f>
        <v>29.440000000000005</v>
      </c>
      <c r="X23" s="52">
        <f>SUM(T_p3p12337268491[KO])</f>
        <v>6</v>
      </c>
      <c r="Y23" s="50">
        <f>SUM(T_p3p12337268491[$stack])</f>
        <v>29.440000000000005</v>
      </c>
      <c r="AA23" s="53"/>
      <c r="AB23" s="55">
        <f>SUM(T_p3p22438278592[stack])</f>
        <v>2000</v>
      </c>
      <c r="AC23" s="50">
        <f>SUM(T_p3p22438278592[EQ])</f>
        <v>1</v>
      </c>
      <c r="AD23" s="51">
        <f>SUM(T_p3p22438278592[ICM])</f>
        <v>29.44</v>
      </c>
      <c r="AE23" s="52">
        <f>SUM(T_p3p22438278592[KO])</f>
        <v>6</v>
      </c>
      <c r="AF23" s="50">
        <f>SUM(T_p3p12337268491[$stack])</f>
        <v>29.440000000000005</v>
      </c>
      <c r="AI23" s="53"/>
      <c r="AJ23" s="55">
        <f>SUM(T_fact2939288693[stack])</f>
        <v>2000</v>
      </c>
      <c r="AK23" s="50">
        <f>SUM(T_fact2939288693[EQ])</f>
        <v>1</v>
      </c>
      <c r="AL23" s="51">
        <f>SUM(T_fact2939288693[ICM])</f>
        <v>29.44</v>
      </c>
      <c r="AM23" s="52">
        <f>SUM(T_fact2939288693[KO])</f>
        <v>6</v>
      </c>
      <c r="AN23" s="51">
        <f>SUM(T_fact2939288693[$stack])</f>
        <v>29.44</v>
      </c>
      <c r="AQ23" s="52">
        <f>SUM(T_EV3340308794[ICM])</f>
        <v>29.44</v>
      </c>
      <c r="AR23" s="52">
        <f>SUM(T_EV3340308794[KO])</f>
        <v>0</v>
      </c>
      <c r="AS23" s="52">
        <f>SUM(T_EV3340308794[EV])</f>
        <v>29.44</v>
      </c>
      <c r="AT23" s="50">
        <f>SUM(T_EV3340308794[chipEV])</f>
        <v>2000</v>
      </c>
    </row>
    <row r="25" spans="1:48" ht="18.75" x14ac:dyDescent="0.3">
      <c r="M25" s="79" t="s">
        <v>117</v>
      </c>
    </row>
    <row r="26" spans="1:48" x14ac:dyDescent="0.25">
      <c r="C26" t="s">
        <v>118</v>
      </c>
      <c r="M26" t="s">
        <v>248</v>
      </c>
    </row>
    <row r="27" spans="1:48" x14ac:dyDescent="0.25">
      <c r="C27" t="s">
        <v>120</v>
      </c>
      <c r="M27" t="s">
        <v>249</v>
      </c>
    </row>
    <row r="28" spans="1:48" x14ac:dyDescent="0.25">
      <c r="C28" t="s">
        <v>122</v>
      </c>
      <c r="M28" t="s">
        <v>250</v>
      </c>
    </row>
    <row r="29" spans="1:48" x14ac:dyDescent="0.25">
      <c r="M29" t="s">
        <v>251</v>
      </c>
    </row>
    <row r="30" spans="1:48" x14ac:dyDescent="0.25">
      <c r="M30" t="s">
        <v>252</v>
      </c>
    </row>
    <row r="31" spans="1:48" x14ac:dyDescent="0.25">
      <c r="C31" t="s">
        <v>126</v>
      </c>
      <c r="M31" t="s">
        <v>253</v>
      </c>
    </row>
    <row r="32" spans="1:48" x14ac:dyDescent="0.25">
      <c r="M32" t="s">
        <v>254</v>
      </c>
    </row>
    <row r="33" spans="2:13" x14ac:dyDescent="0.25">
      <c r="B33" t="s">
        <v>129</v>
      </c>
      <c r="M33" t="s">
        <v>255</v>
      </c>
    </row>
    <row r="34" spans="2:13" x14ac:dyDescent="0.25">
      <c r="B34" t="s">
        <v>131</v>
      </c>
      <c r="M34" t="s">
        <v>256</v>
      </c>
    </row>
    <row r="35" spans="2:13" x14ac:dyDescent="0.25">
      <c r="C35" t="s">
        <v>133</v>
      </c>
      <c r="M35" t="s">
        <v>132</v>
      </c>
    </row>
    <row r="36" spans="2:13" x14ac:dyDescent="0.25">
      <c r="D36" t="s">
        <v>135</v>
      </c>
      <c r="M36" t="s">
        <v>257</v>
      </c>
    </row>
    <row r="37" spans="2:13" x14ac:dyDescent="0.25">
      <c r="C37" t="s">
        <v>137</v>
      </c>
      <c r="M37" t="s">
        <v>138</v>
      </c>
    </row>
    <row r="38" spans="2:13" x14ac:dyDescent="0.25">
      <c r="D38" t="s">
        <v>135</v>
      </c>
      <c r="M38" t="s">
        <v>139</v>
      </c>
    </row>
    <row r="39" spans="2:13" x14ac:dyDescent="0.25">
      <c r="C39" t="s">
        <v>140</v>
      </c>
      <c r="M39" t="s">
        <v>258</v>
      </c>
    </row>
    <row r="40" spans="2:13" x14ac:dyDescent="0.25">
      <c r="D40" t="s">
        <v>142</v>
      </c>
      <c r="M40" t="s">
        <v>259</v>
      </c>
    </row>
    <row r="41" spans="2:13" x14ac:dyDescent="0.25">
      <c r="D41" t="s">
        <v>144</v>
      </c>
      <c r="E41" t="s">
        <v>145</v>
      </c>
      <c r="M41" t="s">
        <v>260</v>
      </c>
    </row>
    <row r="42" spans="2:13" x14ac:dyDescent="0.25">
      <c r="F42" t="s">
        <v>147</v>
      </c>
      <c r="M42" t="s">
        <v>261</v>
      </c>
    </row>
    <row r="43" spans="2:13" x14ac:dyDescent="0.25">
      <c r="E43" t="s">
        <v>149</v>
      </c>
      <c r="M43" t="s">
        <v>262</v>
      </c>
    </row>
    <row r="44" spans="2:13" x14ac:dyDescent="0.25">
      <c r="F44" t="s">
        <v>151</v>
      </c>
      <c r="M44" t="s">
        <v>263</v>
      </c>
    </row>
    <row r="45" spans="2:13" x14ac:dyDescent="0.25">
      <c r="M45" t="s">
        <v>264</v>
      </c>
    </row>
    <row r="46" spans="2:13" x14ac:dyDescent="0.25">
      <c r="C46" t="s">
        <v>154</v>
      </c>
      <c r="M46" t="s">
        <v>265</v>
      </c>
    </row>
    <row r="47" spans="2:13" x14ac:dyDescent="0.25">
      <c r="D47" t="s">
        <v>156</v>
      </c>
      <c r="M47" t="s">
        <v>266</v>
      </c>
    </row>
    <row r="48" spans="2:13" x14ac:dyDescent="0.25">
      <c r="D48" t="s">
        <v>158</v>
      </c>
      <c r="E48" t="s">
        <v>145</v>
      </c>
      <c r="M48" t="s">
        <v>166</v>
      </c>
    </row>
    <row r="49" spans="5:13" x14ac:dyDescent="0.25">
      <c r="F49" t="s">
        <v>160</v>
      </c>
      <c r="M49" t="s">
        <v>267</v>
      </c>
    </row>
    <row r="50" spans="5:13" x14ac:dyDescent="0.25">
      <c r="E50" t="s">
        <v>149</v>
      </c>
      <c r="M50" t="s">
        <v>268</v>
      </c>
    </row>
    <row r="51" spans="5:13" x14ac:dyDescent="0.25">
      <c r="F51" t="s">
        <v>163</v>
      </c>
      <c r="M51" t="s">
        <v>269</v>
      </c>
    </row>
    <row r="52" spans="5:13" x14ac:dyDescent="0.25">
      <c r="E52" t="s">
        <v>165</v>
      </c>
      <c r="M52" t="s">
        <v>270</v>
      </c>
    </row>
    <row r="53" spans="5:13" x14ac:dyDescent="0.25">
      <c r="F53" t="s">
        <v>167</v>
      </c>
      <c r="M53" t="s">
        <v>271</v>
      </c>
    </row>
    <row r="54" spans="5:13" x14ac:dyDescent="0.25">
      <c r="F54" t="s">
        <v>144</v>
      </c>
      <c r="M54" t="s">
        <v>272</v>
      </c>
    </row>
    <row r="55" spans="5:13" x14ac:dyDescent="0.25">
      <c r="G55" t="s">
        <v>145</v>
      </c>
      <c r="M55" t="s">
        <v>273</v>
      </c>
    </row>
    <row r="56" spans="5:13" x14ac:dyDescent="0.25">
      <c r="H56" t="s">
        <v>147</v>
      </c>
      <c r="M56" t="s">
        <v>173</v>
      </c>
    </row>
    <row r="57" spans="5:13" x14ac:dyDescent="0.25">
      <c r="G57" t="s">
        <v>149</v>
      </c>
      <c r="M57" t="s">
        <v>274</v>
      </c>
    </row>
    <row r="58" spans="5:13" x14ac:dyDescent="0.25">
      <c r="H58" t="s">
        <v>151</v>
      </c>
      <c r="M58" t="s">
        <v>275</v>
      </c>
    </row>
    <row r="59" spans="5:13" x14ac:dyDescent="0.25">
      <c r="M59" t="s">
        <v>276</v>
      </c>
    </row>
    <row r="60" spans="5:13" x14ac:dyDescent="0.25">
      <c r="M60" t="s">
        <v>277</v>
      </c>
    </row>
    <row r="61" spans="5:13" x14ac:dyDescent="0.25">
      <c r="M61" t="s">
        <v>278</v>
      </c>
    </row>
    <row r="62" spans="5:13" x14ac:dyDescent="0.25">
      <c r="M62" t="s">
        <v>279</v>
      </c>
    </row>
    <row r="64" spans="5:13" x14ac:dyDescent="0.25">
      <c r="M64" s="109" t="s">
        <v>556</v>
      </c>
    </row>
    <row r="65" spans="13:13" x14ac:dyDescent="0.25">
      <c r="M65" s="109" t="s">
        <v>521</v>
      </c>
    </row>
    <row r="66" spans="13:13" x14ac:dyDescent="0.25">
      <c r="M66" s="109" t="s">
        <v>557</v>
      </c>
    </row>
    <row r="67" spans="13:13" x14ac:dyDescent="0.25">
      <c r="M67" s="109" t="s">
        <v>558</v>
      </c>
    </row>
    <row r="68" spans="13:13" x14ac:dyDescent="0.25">
      <c r="M68" s="109" t="s">
        <v>559</v>
      </c>
    </row>
    <row r="69" spans="13:13" x14ac:dyDescent="0.25">
      <c r="M69" s="109" t="s">
        <v>560</v>
      </c>
    </row>
    <row r="70" spans="13:13" x14ac:dyDescent="0.25">
      <c r="M70" s="109" t="s">
        <v>545</v>
      </c>
    </row>
    <row r="71" spans="13:13" x14ac:dyDescent="0.25">
      <c r="M71" s="109" t="s">
        <v>527</v>
      </c>
    </row>
    <row r="72" spans="13:13" x14ac:dyDescent="0.25">
      <c r="M72" s="109" t="s">
        <v>528</v>
      </c>
    </row>
  </sheetData>
  <mergeCells count="11">
    <mergeCell ref="AQ15:AT15"/>
    <mergeCell ref="F10:F11"/>
    <mergeCell ref="T13:AE13"/>
    <mergeCell ref="AQ13:AT13"/>
    <mergeCell ref="T14:AE14"/>
    <mergeCell ref="AQ14:AT14"/>
    <mergeCell ref="F15:J15"/>
    <mergeCell ref="M15:Q15"/>
    <mergeCell ref="T15:X15"/>
    <mergeCell ref="AA15:AE15"/>
    <mergeCell ref="AI15:AM15"/>
  </mergeCells>
  <pageMargins left="0.7" right="0.7" top="0.75" bottom="0.75" header="0.3" footer="0.3"/>
  <pageSetup paperSize="9" orientation="portrait" horizontalDpi="4294967293" verticalDpi="0" r:id="rId1"/>
  <legacyDrawing r:id="rId2"/>
  <tableParts count="7">
    <tablePart r:id="rId3"/>
    <tablePart r:id="rId4"/>
    <tablePart r:id="rId5"/>
    <tablePart r:id="rId6"/>
    <tablePart r:id="rId7"/>
    <tablePart r:id="rId8"/>
    <tablePart r:id="rId9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E071E-B384-4CA3-A761-9A796562515E}">
  <dimension ref="A1:AV72"/>
  <sheetViews>
    <sheetView topLeftCell="A40" workbookViewId="0">
      <selection activeCell="O66" sqref="O66"/>
    </sheetView>
  </sheetViews>
  <sheetFormatPr defaultRowHeight="15" x14ac:dyDescent="0.25"/>
  <cols>
    <col min="1" max="1" width="9.28515625" customWidth="1"/>
    <col min="5" max="5" width="2.7109375" customWidth="1"/>
    <col min="6" max="6" width="10.28515625" customWidth="1"/>
    <col min="12" max="12" width="2.140625" customWidth="1"/>
    <col min="13" max="13" width="10.28515625" customWidth="1"/>
    <col min="19" max="19" width="2" customWidth="1"/>
    <col min="20" max="20" width="9.5703125" bestFit="1" customWidth="1"/>
    <col min="21" max="21" width="10.28515625" customWidth="1"/>
    <col min="26" max="26" width="2" customWidth="1"/>
    <col min="27" max="27" width="7.7109375" customWidth="1"/>
    <col min="28" max="29" width="8.5703125" customWidth="1"/>
    <col min="30" max="30" width="9.85546875" customWidth="1"/>
    <col min="31" max="31" width="8.42578125" customWidth="1"/>
    <col min="33" max="33" width="2.140625" customWidth="1"/>
    <col min="34" max="34" width="2" customWidth="1"/>
    <col min="35" max="35" width="10" customWidth="1"/>
    <col min="39" max="39" width="10.5703125" customWidth="1"/>
    <col min="41" max="41" width="1.5703125" customWidth="1"/>
    <col min="42" max="42" width="1.140625" customWidth="1"/>
    <col min="46" max="46" width="10.7109375" customWidth="1"/>
    <col min="47" max="47" width="10.85546875" customWidth="1"/>
  </cols>
  <sheetData>
    <row r="1" spans="1:48" ht="15.75" x14ac:dyDescent="0.25">
      <c r="C1" s="80" t="s">
        <v>0</v>
      </c>
      <c r="D1">
        <f>14.71*4</f>
        <v>58.84</v>
      </c>
      <c r="F1" s="80" t="s">
        <v>71</v>
      </c>
      <c r="G1">
        <v>0.41310000000000002</v>
      </c>
      <c r="I1" s="80" t="s">
        <v>72</v>
      </c>
      <c r="J1">
        <v>0.40789999999999998</v>
      </c>
      <c r="M1" s="80" t="s">
        <v>73</v>
      </c>
      <c r="N1">
        <v>1195</v>
      </c>
    </row>
    <row r="2" spans="1:48" ht="15.75" x14ac:dyDescent="0.25">
      <c r="C2" s="80" t="s">
        <v>1</v>
      </c>
      <c r="D2">
        <f>bounty</f>
        <v>0</v>
      </c>
      <c r="F2" s="80" t="s">
        <v>74</v>
      </c>
      <c r="G2">
        <v>0.2341</v>
      </c>
      <c r="I2" s="80" t="s">
        <v>75</v>
      </c>
      <c r="J2">
        <v>0.59209999999999996</v>
      </c>
      <c r="M2" s="80" t="s">
        <v>76</v>
      </c>
      <c r="N2">
        <v>100</v>
      </c>
    </row>
    <row r="3" spans="1:48" ht="15.75" x14ac:dyDescent="0.25">
      <c r="C3" s="80" t="s">
        <v>77</v>
      </c>
      <c r="D3">
        <v>2000</v>
      </c>
      <c r="F3" s="80" t="s">
        <v>78</v>
      </c>
      <c r="G3">
        <v>0.3528</v>
      </c>
      <c r="M3" s="80" t="s">
        <v>79</v>
      </c>
      <c r="N3">
        <v>0</v>
      </c>
    </row>
    <row r="4" spans="1:48" ht="15.75" x14ac:dyDescent="0.25">
      <c r="F4" s="80" t="s">
        <v>80</v>
      </c>
      <c r="G4">
        <v>0</v>
      </c>
      <c r="M4" s="80" t="s">
        <v>81</v>
      </c>
      <c r="N4">
        <v>205</v>
      </c>
    </row>
    <row r="5" spans="1:48" ht="6" customHeight="1" x14ac:dyDescent="0.25"/>
    <row r="6" spans="1:48" x14ac:dyDescent="0.25">
      <c r="C6" t="s">
        <v>82</v>
      </c>
      <c r="D6" t="s">
        <v>83</v>
      </c>
    </row>
    <row r="7" spans="1:48" x14ac:dyDescent="0.25">
      <c r="C7" t="s">
        <v>84</v>
      </c>
      <c r="D7" t="s">
        <v>85</v>
      </c>
    </row>
    <row r="8" spans="1:48" x14ac:dyDescent="0.25">
      <c r="C8" t="s">
        <v>86</v>
      </c>
      <c r="D8" t="s">
        <v>87</v>
      </c>
    </row>
    <row r="9" spans="1:48" ht="6" customHeight="1" x14ac:dyDescent="0.25"/>
    <row r="10" spans="1:48" x14ac:dyDescent="0.25">
      <c r="F10" s="94" t="s">
        <v>88</v>
      </c>
      <c r="G10" s="81" t="s">
        <v>89</v>
      </c>
      <c r="H10" s="81" t="s">
        <v>90</v>
      </c>
      <c r="I10" s="81" t="s">
        <v>91</v>
      </c>
    </row>
    <row r="11" spans="1:48" ht="18.75" x14ac:dyDescent="0.3">
      <c r="F11" s="95"/>
      <c r="G11" s="81">
        <v>1</v>
      </c>
      <c r="H11" s="81">
        <v>0</v>
      </c>
      <c r="I11" s="82">
        <v>0</v>
      </c>
      <c r="J11" s="84"/>
      <c r="K11" s="84"/>
    </row>
    <row r="12" spans="1:48" ht="19.5" thickBot="1" x14ac:dyDescent="0.35">
      <c r="F12" s="84"/>
      <c r="G12" s="84"/>
      <c r="H12" s="84"/>
      <c r="I12" s="84"/>
      <c r="J12" s="84"/>
      <c r="K12" s="84"/>
      <c r="V12" t="s">
        <v>92</v>
      </c>
      <c r="AC12" t="s">
        <v>93</v>
      </c>
    </row>
    <row r="13" spans="1:48" ht="20.25" thickTop="1" thickBot="1" x14ac:dyDescent="0.35">
      <c r="F13" s="84"/>
      <c r="G13" s="84"/>
      <c r="H13" s="84"/>
      <c r="I13" s="84"/>
      <c r="J13" s="84"/>
      <c r="K13" s="84"/>
      <c r="T13" s="96" t="s">
        <v>94</v>
      </c>
      <c r="U13" s="97"/>
      <c r="V13" s="97"/>
      <c r="W13" s="97"/>
      <c r="X13" s="97"/>
      <c r="Y13" s="97"/>
      <c r="Z13" s="97"/>
      <c r="AA13" s="97"/>
      <c r="AB13" s="97"/>
      <c r="AC13" s="97"/>
      <c r="AD13" s="97"/>
      <c r="AE13" s="98"/>
      <c r="AQ13" s="96" t="s">
        <v>95</v>
      </c>
      <c r="AR13" s="97"/>
      <c r="AS13" s="97"/>
      <c r="AT13" s="97"/>
    </row>
    <row r="14" spans="1:48" ht="20.25" thickTop="1" thickBot="1" x14ac:dyDescent="0.35">
      <c r="F14" s="84"/>
      <c r="G14" s="84"/>
      <c r="H14" s="84" t="s">
        <v>96</v>
      </c>
      <c r="I14" s="84"/>
      <c r="J14" s="84"/>
      <c r="K14" s="84"/>
      <c r="O14" t="s">
        <v>97</v>
      </c>
      <c r="T14" s="96" t="s">
        <v>98</v>
      </c>
      <c r="U14" s="97"/>
      <c r="V14" s="97"/>
      <c r="W14" s="97"/>
      <c r="X14" s="97"/>
      <c r="Y14" s="97"/>
      <c r="Z14" s="97"/>
      <c r="AA14" s="97"/>
      <c r="AB14" s="97"/>
      <c r="AC14" s="97"/>
      <c r="AD14" s="97"/>
      <c r="AE14" s="98"/>
      <c r="AK14" t="s">
        <v>99</v>
      </c>
      <c r="AQ14" s="96"/>
      <c r="AR14" s="97"/>
      <c r="AS14" s="97"/>
      <c r="AT14" s="97"/>
    </row>
    <row r="15" spans="1:48" ht="19.5" thickTop="1" x14ac:dyDescent="0.3">
      <c r="F15" s="88" t="s">
        <v>100</v>
      </c>
      <c r="G15" s="89"/>
      <c r="H15" s="89"/>
      <c r="I15" s="89"/>
      <c r="J15" s="90"/>
      <c r="K15" s="84"/>
      <c r="M15" s="88" t="s">
        <v>101</v>
      </c>
      <c r="N15" s="89"/>
      <c r="O15" s="89"/>
      <c r="P15" s="89"/>
      <c r="Q15" s="90"/>
      <c r="R15" s="84"/>
      <c r="T15" s="99" t="s">
        <v>102</v>
      </c>
      <c r="U15" s="100"/>
      <c r="V15" s="100"/>
      <c r="W15" s="100"/>
      <c r="X15" s="101"/>
      <c r="Y15" s="84"/>
      <c r="AA15" s="99" t="s">
        <v>103</v>
      </c>
      <c r="AB15" s="100"/>
      <c r="AC15" s="100"/>
      <c r="AD15" s="100"/>
      <c r="AE15" s="101"/>
      <c r="AI15" s="85" t="s">
        <v>10</v>
      </c>
      <c r="AJ15" s="86"/>
      <c r="AK15" s="86"/>
      <c r="AL15" s="86"/>
      <c r="AM15" s="87"/>
      <c r="AQ15" s="91" t="s">
        <v>104</v>
      </c>
      <c r="AR15" s="92"/>
      <c r="AS15" s="92"/>
      <c r="AT15" s="93"/>
    </row>
    <row r="16" spans="1:48" x14ac:dyDescent="0.25">
      <c r="A16" t="s">
        <v>105</v>
      </c>
      <c r="B16" t="s">
        <v>12</v>
      </c>
      <c r="C16" t="s">
        <v>13</v>
      </c>
      <c r="D16" t="s">
        <v>106</v>
      </c>
      <c r="F16" s="5" t="s">
        <v>107</v>
      </c>
      <c r="G16" t="s">
        <v>12</v>
      </c>
      <c r="H16" t="s">
        <v>108</v>
      </c>
      <c r="I16" t="s">
        <v>109</v>
      </c>
      <c r="J16" s="5" t="s">
        <v>1</v>
      </c>
      <c r="K16" s="5" t="s">
        <v>110</v>
      </c>
      <c r="M16" s="5" t="s">
        <v>107</v>
      </c>
      <c r="N16" s="5" t="s">
        <v>12</v>
      </c>
      <c r="O16" s="5" t="s">
        <v>108</v>
      </c>
      <c r="P16" s="5" t="s">
        <v>109</v>
      </c>
      <c r="Q16" s="5" t="s">
        <v>1</v>
      </c>
      <c r="R16" s="5" t="s">
        <v>110</v>
      </c>
      <c r="T16" s="5" t="s">
        <v>107</v>
      </c>
      <c r="U16" s="5" t="s">
        <v>12</v>
      </c>
      <c r="V16" s="5" t="s">
        <v>108</v>
      </c>
      <c r="W16" s="5" t="s">
        <v>109</v>
      </c>
      <c r="X16" s="5" t="s">
        <v>1</v>
      </c>
      <c r="Y16" s="5" t="s">
        <v>110</v>
      </c>
      <c r="AA16" s="5" t="s">
        <v>107</v>
      </c>
      <c r="AB16" s="5" t="s">
        <v>12</v>
      </c>
      <c r="AC16" s="5" t="s">
        <v>108</v>
      </c>
      <c r="AD16" s="5" t="s">
        <v>109</v>
      </c>
      <c r="AE16" s="5" t="s">
        <v>1</v>
      </c>
      <c r="AF16" t="s">
        <v>110</v>
      </c>
      <c r="AI16" s="5" t="s">
        <v>107</v>
      </c>
      <c r="AJ16" s="5" t="s">
        <v>12</v>
      </c>
      <c r="AK16" s="5" t="s">
        <v>108</v>
      </c>
      <c r="AL16" s="5" t="s">
        <v>109</v>
      </c>
      <c r="AM16" s="5" t="s">
        <v>1</v>
      </c>
      <c r="AN16" t="s">
        <v>110</v>
      </c>
      <c r="AQ16" s="5" t="s">
        <v>109</v>
      </c>
      <c r="AR16" s="5" t="s">
        <v>1</v>
      </c>
      <c r="AS16" s="5" t="s">
        <v>104</v>
      </c>
      <c r="AT16" s="5" t="s">
        <v>111</v>
      </c>
      <c r="AU16" t="s">
        <v>112</v>
      </c>
      <c r="AV16" t="s">
        <v>113</v>
      </c>
    </row>
    <row r="17" spans="1:48" s="102" customFormat="1" x14ac:dyDescent="0.25">
      <c r="A17" s="102">
        <v>3</v>
      </c>
      <c r="B17" s="102">
        <v>395</v>
      </c>
      <c r="C17" s="102" t="s">
        <v>46</v>
      </c>
      <c r="D17" s="102">
        <v>10</v>
      </c>
      <c r="F17" s="103">
        <f>COUNTIF(T_p1213519828996117124131[stack],"&gt;0")</f>
        <v>2</v>
      </c>
      <c r="G17" s="102">
        <f>IF(T_init20344818895116123130[[#This Row],[p]]=1,mainpot+sidepot1+sidepot2+uncalled,IF(T_init20344818895116123130[[#This Row],[p]]&gt;1,0,T_init20344818895116123130[[#This Row],[stack]]-T_init20344818895116123130[[#This Row],[anteblinds]]))</f>
        <v>0</v>
      </c>
      <c r="I17" s="104">
        <f>T_p1213519828996117124131[[#This Row],[EQ]]*prize</f>
        <v>0</v>
      </c>
      <c r="J17" s="105">
        <f>IF(T_init20344818895116123130[[#This Row],[p]]=1,T_p1213519828996117124131[[#This Row],[players]]*T_p1213519828996117124131[[#This Row],[stack]]/chips+COUNTIF(T_p1213519828996117124131[stack],0),T_p1213519828996117124131[[#This Row],[players]]*T_p1213519828996117124131[[#This Row],[stack]]/chips)</f>
        <v>0</v>
      </c>
      <c r="K17" s="105">
        <f>T_p1213519828996117124131[[#This Row],[ICM]]+bounty*T_p1213519828996117124131[[#This Row],[KO]]</f>
        <v>0</v>
      </c>
      <c r="M17" s="106">
        <f>COUNTIF(T_p2223625839097118125132[stack],"&gt;0")</f>
        <v>3</v>
      </c>
      <c r="N17" s="102">
        <f>IF(T_init20344818895116123130[[#This Row],[p]]=1,uncalled,IF(T_init20344818895116123130[[#This Row],[p]]=2,mainpot+sidepot1+sidepot2,IF(T_init20344818895116123130[[#This Row],[p]]&gt;2,0,T_init20344818895116123130[[#This Row],[stack]]-T_init20344818895116123130[[#This Row],[anteblinds]])))</f>
        <v>0</v>
      </c>
      <c r="P17" s="104">
        <f>T_p2223625839097118125132[[#This Row],[EQ]]*prize</f>
        <v>0</v>
      </c>
      <c r="Q17" s="105">
        <f>IF(T_init20344818895116123130[[#This Row],[p]]=2,T_p2223625839097118125132[[#This Row],[players]]*T_p2223625839097118125132[[#This Row],[stack]]/chips+COUNTIF(T_p2223625839097118125132[stack],0),T_p2223625839097118125132[[#This Row],[players]]*T_p2223625839097118125132[[#This Row],[stack]]/chips)</f>
        <v>0</v>
      </c>
      <c r="R17" s="105">
        <f>T_p2223625839097118125132[[#This Row],[ICM]]+bounty*T_p2223625839097118125132[[#This Row],[KO]]</f>
        <v>0</v>
      </c>
      <c r="T17" s="103">
        <f>COUNTIF(T_p3p1233726849198119126133[stack],"&gt;0")</f>
        <v>3</v>
      </c>
      <c r="U17" s="102">
        <f>IF(T_init20344818895116123130[[#This Row],[p]]=1,sidepot1+uncalled,IF(T_init20344818895116123130[[#This Row],[p]]=3,mainpot,IF(ISBLANK(T_init20344818895116123130[[#This Row],[p]]),T_init20344818895116123130[[#This Row],[stack]]-T_init20344818895116123130[[#This Row],[anteblinds]],0)))</f>
        <v>1195</v>
      </c>
      <c r="V17" s="102">
        <v>0.59750000000000003</v>
      </c>
      <c r="W17" s="104">
        <f>T_p3p1233726849198119126133[[#This Row],[EQ]]*prize</f>
        <v>35.156900000000007</v>
      </c>
      <c r="X17" s="105">
        <f>IF(T_init20344818895116123130[[#This Row],[p]]=1,T_p3p1233726849198119126133[[#This Row],[players]]*T_p3p1233726849198119126133[[#This Row],[stack]]/chips+COUNTIF(T_p3p1233726849198119126133[stack],0),T_p3p1233726849198119126133[[#This Row],[players]]*T_p3p1233726849198119126133[[#This Row],[stack]]/chips)</f>
        <v>1.7925</v>
      </c>
      <c r="Y17" s="105">
        <f>T_p3p1233726849198119126133[[#This Row],[ICM]]+bounty*T_p3p1233726849198119126133[[#This Row],[KO]]</f>
        <v>35.156900000000007</v>
      </c>
      <c r="AA17" s="103">
        <f>COUNTIF(T_p3p2243827859299120127134[stack],"&gt;0")</f>
        <v>4</v>
      </c>
      <c r="AB17" s="102">
        <f>IF(T_init20344818895116123130[[#This Row],[p]]=1,uncalled,IF(T_init20344818895116123130[[#This Row],[p]]=2,sidepot1,IF(T_init20344818895116123130[[#This Row],[p]]=3,mainpot,IF(ISBLANK(T_init20344818895116123130[[#This Row],[p]]),T_init20344818895116123130[[#This Row],[stack]]-T_init20344818895116123130[[#This Row],[anteblinds]],0))))</f>
        <v>1195</v>
      </c>
      <c r="AC17" s="102">
        <v>0.59750000000000003</v>
      </c>
      <c r="AD17" s="104">
        <f>T_p3p2243827859299120127134[[#This Row],[EQ]]*prize</f>
        <v>35.156900000000007</v>
      </c>
      <c r="AE17" s="105">
        <f>IF(T_init20344818895116123130[[#This Row],[p]]=2,T_p3p2243827859299120127134[[#This Row],[players]]*T_p3p2243827859299120127134[[#This Row],[stack]]/chips+COUNTIF(T_p3p2243827859299120127134[stack],0),T_p3p2243827859299120127134[[#This Row],[players]]*T_p3p2243827859299120127134[[#This Row],[stack]]/chips)</f>
        <v>2.39</v>
      </c>
      <c r="AF17" s="105">
        <f>T_p3p2243827859299120127134[[#This Row],[ICM]]+bounty*T_p3p2243827859299120127134[[#This Row],[KO]]</f>
        <v>35.156900000000007</v>
      </c>
      <c r="AI17" s="103">
        <v>2</v>
      </c>
      <c r="AJ17" s="102">
        <v>0</v>
      </c>
      <c r="AK17" s="102">
        <v>0</v>
      </c>
      <c r="AL17" s="104">
        <f>T_fact2939288693100121128135[[#This Row],[EQ]]*prize</f>
        <v>0</v>
      </c>
      <c r="AM17" s="105">
        <f>IF(T_init20344818895116123130[[#This Row],[p]]=1,T_fact2939288693100121128135[[#This Row],[players]]*T_fact2939288693100121128135[[#This Row],[stack]]/chips+COUNTIF(T_fact2939288693100121128135[stack],0),T_fact2939288693100121128135[[#This Row],[players]]*T_fact2939288693100121128135[[#This Row],[stack]]/chips)</f>
        <v>0</v>
      </c>
      <c r="AN17" s="105">
        <f>T_fact2939288693100121128135[[#This Row],[ICM]]+bounty*T_fact2939288693100121128135[[#This Row],[KO]]</f>
        <v>0</v>
      </c>
      <c r="AQ17" s="107">
        <f>'3w Ac5c Ден'!p3win* ('3w Ac5c Ден'!p1sp1win*T_p3p1233726849198119126133[[#This Row],[ICM]] + '3w Ac5c Ден'!p2sp1win*T_p3p2243827859299120127134[[#This Row],[ICM]])
+'3w Ac5c Ден'!p2win*T_p2223625839097118125132[[#This Row],[ICM]]
+'3w Ac5c Ден'!p1win*T_p1213519828996117124131[[#This Row],[ICM]]</f>
        <v>12.403354320000002</v>
      </c>
      <c r="AR17" s="108">
        <f>('3w Ac5c Ден'!p3win* ('3w Ac5c Ден'!p1sp1win*T_p3p1233726849198119126133[[#This Row],[KO]] + '3w Ac5c Ден'!p2sp1win*T_p3p2243827859299120127134[[#This Row],[KO]])
+'3w Ac5c Ден'!p2win*T_p2223625839097118125132[[#This Row],[KO]]
+'3w Ac5c Ден'!p1win*T_p1213519828996117124131[[#This Row],[KO]])*bounty</f>
        <v>0</v>
      </c>
      <c r="AS17" s="107">
        <f>'3w Ac5c Ден'!p3win* ('3w Ac5c Ден'!p1sp1win*T_p3p1233726849198119126133[[#This Row],[$stack]] + '3w Ac5c Ден'!p2sp1win*T_p3p2243827859299120127134[[#This Row],[$stack]])
+'3w Ac5c Ден'!p2win*T_p2223625839097118125132[[#This Row],[$stack]]
+'3w Ac5c Ден'!p1win*T_p1213519828996117124131[[#This Row],[$stack]]</f>
        <v>12.403354320000002</v>
      </c>
      <c r="AT17" s="108">
        <f>'3w Ac5c Ден'!p3win* ('3w Ac5c Ден'!p1sp1win*T_p3p1233726849198119126133[[#This Row],[stack]] + '3w Ac5c Ден'!p2sp1win*T_p3p2243827859299120127134[[#This Row],[stack]])
+'3w Ac5c Ден'!p2win*T_p2223625839097118125132[[#This Row],[stack]]
+'3w Ac5c Ден'!p1win*T_p1213519828996117124131[[#This Row],[stack]]</f>
        <v>421.596</v>
      </c>
      <c r="AU17" s="104">
        <f>T_EV3340308794101122129136[[#This Row],[chipEV]]-T_fact2939288693100121128135[[#This Row],[stack]]</f>
        <v>421.596</v>
      </c>
      <c r="AV17" s="104">
        <f>T_EV3340308794101122129136[[#This Row],[EV]]-(T_fact2939288693100121128135[[#This Row],[ICM]]+bounty*T_fact2939288693100121128135[[#This Row],[KO]])</f>
        <v>12.403354320000002</v>
      </c>
    </row>
    <row r="18" spans="1:48" x14ac:dyDescent="0.25">
      <c r="B18">
        <v>510</v>
      </c>
      <c r="D18">
        <v>10</v>
      </c>
      <c r="F18" s="5">
        <f>COUNTIF(T_p1213519828996117124131[stack],"&gt;0")</f>
        <v>2</v>
      </c>
      <c r="G18">
        <f>IF(T_init20344818895116123130[[#This Row],[p]]=1,mainpot+sidepot1+sidepot2+uncalled,IF(T_init20344818895116123130[[#This Row],[p]]&gt;1,0,T_init20344818895116123130[[#This Row],[stack]]-T_init20344818895116123130[[#This Row],[anteblinds]]))</f>
        <v>500</v>
      </c>
      <c r="H18">
        <v>0.25</v>
      </c>
      <c r="I18" s="2">
        <f>T_p1213519828996117124131[[#This Row],[EQ]]*prize</f>
        <v>14.71</v>
      </c>
      <c r="J18" s="66">
        <f>IF(T_init20344818895116123130[[#This Row],[p]]=1,T_p1213519828996117124131[[#This Row],[players]]*T_p1213519828996117124131[[#This Row],[stack]]/chips+COUNTIF(T_p1213519828996117124131[stack],0),T_p1213519828996117124131[[#This Row],[players]]*T_p1213519828996117124131[[#This Row],[stack]]/chips)</f>
        <v>0.5</v>
      </c>
      <c r="K18" s="66">
        <f>T_p1213519828996117124131[[#This Row],[ICM]]+bounty*T_p1213519828996117124131[[#This Row],[KO]]</f>
        <v>14.71</v>
      </c>
      <c r="M18" s="10">
        <f>COUNTIF(T_p2223625839097118125132[stack],"&gt;0")</f>
        <v>3</v>
      </c>
      <c r="N18" s="26">
        <f>IF(T_init20344818895116123130[[#This Row],[p]]=1,uncalled,IF(T_init20344818895116123130[[#This Row],[p]]=2,mainpot+sidepot1+sidepot2,IF(T_init20344818895116123130[[#This Row],[p]]&gt;2,0,T_init20344818895116123130[[#This Row],[stack]]-T_init20344818895116123130[[#This Row],[anteblinds]])))</f>
        <v>500</v>
      </c>
      <c r="O18">
        <v>0.25</v>
      </c>
      <c r="P18" s="2">
        <f>T_p2223625839097118125132[[#This Row],[EQ]]*prize</f>
        <v>14.71</v>
      </c>
      <c r="Q18" s="66">
        <f>IF(T_init20344818895116123130[[#This Row],[p]]=2,T_p2223625839097118125132[[#This Row],[players]]*T_p2223625839097118125132[[#This Row],[stack]]/chips+COUNTIF(T_p2223625839097118125132[stack],0),T_p2223625839097118125132[[#This Row],[players]]*T_p2223625839097118125132[[#This Row],[stack]]/chips)</f>
        <v>0.75</v>
      </c>
      <c r="R18" s="66">
        <f>T_p2223625839097118125132[[#This Row],[ICM]]+bounty*T_p2223625839097118125132[[#This Row],[KO]]</f>
        <v>14.71</v>
      </c>
      <c r="T18" s="5">
        <f>COUNTIF(T_p3p1233726849198119126133[stack],"&gt;0")</f>
        <v>3</v>
      </c>
      <c r="U18" s="26">
        <f>IF(T_init20344818895116123130[[#This Row],[p]]=1,sidepot1+uncalled,IF(T_init20344818895116123130[[#This Row],[p]]=3,mainpot,IF(ISBLANK(T_init20344818895116123130[[#This Row],[p]]),T_init20344818895116123130[[#This Row],[stack]]-T_init20344818895116123130[[#This Row],[anteblinds]],0)))</f>
        <v>500</v>
      </c>
      <c r="V18">
        <v>0.25</v>
      </c>
      <c r="W18" s="2">
        <f>T_p3p1233726849198119126133[[#This Row],[EQ]]*prize</f>
        <v>14.71</v>
      </c>
      <c r="X18" s="66">
        <f>IF(T_init20344818895116123130[[#This Row],[p]]=1,T_p3p1233726849198119126133[[#This Row],[players]]*T_p3p1233726849198119126133[[#This Row],[stack]]/chips+COUNTIF(T_p3p1233726849198119126133[stack],0),T_p3p1233726849198119126133[[#This Row],[players]]*T_p3p1233726849198119126133[[#This Row],[stack]]/chips)</f>
        <v>0.75</v>
      </c>
      <c r="Y18" s="66">
        <f>T_p3p1233726849198119126133[[#This Row],[ICM]]+bounty*T_p3p1233726849198119126133[[#This Row],[KO]]</f>
        <v>14.71</v>
      </c>
      <c r="AA18" s="5">
        <f>COUNTIF(T_p3p2243827859299120127134[stack],"&gt;0")</f>
        <v>4</v>
      </c>
      <c r="AB18">
        <f>IF(T_init20344818895116123130[[#This Row],[p]]=1,uncalled,IF(T_init20344818895116123130[[#This Row],[p]]=2,sidepot1,IF(T_init20344818895116123130[[#This Row],[p]]=3,mainpot,IF(ISBLANK(T_init20344818895116123130[[#This Row],[p]]),T_init20344818895116123130[[#This Row],[stack]]-T_init20344818895116123130[[#This Row],[anteblinds]],0))))</f>
        <v>500</v>
      </c>
      <c r="AC18">
        <v>0.25</v>
      </c>
      <c r="AD18" s="2">
        <f>T_p3p2243827859299120127134[[#This Row],[EQ]]*prize</f>
        <v>14.71</v>
      </c>
      <c r="AE18" s="66">
        <f>IF(T_init20344818895116123130[[#This Row],[p]]=2,T_p3p2243827859299120127134[[#This Row],[players]]*T_p3p2243827859299120127134[[#This Row],[stack]]/chips+COUNTIF(T_p3p2243827859299120127134[stack],0),T_p3p2243827859299120127134[[#This Row],[players]]*T_p3p2243827859299120127134[[#This Row],[stack]]/chips)</f>
        <v>1</v>
      </c>
      <c r="AF18" s="16">
        <f>T_p3p2243827859299120127134[[#This Row],[ICM]]+bounty*T_p3p2243827859299120127134[[#This Row],[KO]]</f>
        <v>14.71</v>
      </c>
      <c r="AI18" s="73">
        <v>2</v>
      </c>
      <c r="AJ18">
        <f>IF(T_init20344818895116123130[[#This Row],[p]]=1,mainpot+sidepot1+sidepot2+uncalled,IF(T_init20344818895116123130[[#This Row],[p]]&gt;1,0,T_init20344818895116123130[[#This Row],[stack]]-T_init20344818895116123130[[#This Row],[anteblinds]]))</f>
        <v>500</v>
      </c>
      <c r="AK18">
        <v>0.25</v>
      </c>
      <c r="AL18" s="2">
        <f>T_fact2939288693100121128135[[#This Row],[EQ]]*prize</f>
        <v>14.71</v>
      </c>
      <c r="AM18" s="66">
        <f>IF(T_init20344818895116123130[[#This Row],[p]]=1,T_fact2939288693100121128135[[#This Row],[players]]*T_fact2939288693100121128135[[#This Row],[stack]]/chips+COUNTIF(T_fact2939288693100121128135[stack],0),T_fact2939288693100121128135[[#This Row],[players]]*T_fact2939288693100121128135[[#This Row],[stack]]/chips)</f>
        <v>0.5</v>
      </c>
      <c r="AN18" s="16">
        <f>T_fact2939288693100121128135[[#This Row],[ICM]]+bounty*T_fact2939288693100121128135[[#This Row],[KO]]</f>
        <v>14.71</v>
      </c>
      <c r="AQ18" s="68">
        <f>'3w Ac5c Ден'!p3win* ('3w Ac5c Ден'!p1sp1win*T_p3p1233726849198119126133[[#This Row],[ICM]] + '3w Ac5c Ден'!p2sp1win*T_p3p2243827859299120127134[[#This Row],[ICM]])
+'3w Ac5c Ден'!p2win*T_p2223625839097118125132[[#This Row],[ICM]]
+'3w Ac5c Ден'!p1win*T_p1213519828996117124131[[#This Row],[ICM]]</f>
        <v>14.71</v>
      </c>
      <c r="AR18" s="68">
        <f>('3w Ac5c Ден'!p3win* ('3w Ac5c Ден'!p1sp1win*T_p3p1233726849198119126133[[#This Row],[KO]] + '3w Ac5c Ден'!p2sp1win*T_p3p2243827859299120127134[[#This Row],[KO]])
+'3w Ac5c Ден'!p2win*T_p2223625839097118125132[[#This Row],[KO]]
+'3w Ac5c Ден'!p1win*T_p1213519828996117124131[[#This Row],[KO]])*bounty</f>
        <v>0</v>
      </c>
      <c r="AS18" s="68">
        <f>'3w Ac5c Ден'!p3win* ('3w Ac5c Ден'!p1sp1win*T_p3p1233726849198119126133[[#This Row],[$stack]] + '3w Ac5c Ден'!p2sp1win*T_p3p2243827859299120127134[[#This Row],[$stack]])
+'3w Ac5c Ден'!p2win*T_p2223625839097118125132[[#This Row],[$stack]]
+'3w Ac5c Ден'!p1win*T_p1213519828996117124131[[#This Row],[$stack]]</f>
        <v>14.71</v>
      </c>
      <c r="AT18" s="68">
        <f>'3w Ac5c Ден'!p3win* ('3w Ac5c Ден'!p1sp1win*T_p3p1233726849198119126133[[#This Row],[stack]] + '3w Ac5c Ден'!p2sp1win*T_p3p2243827859299120127134[[#This Row],[stack]])
+'3w Ac5c Ден'!p2win*T_p2223625839097118125132[[#This Row],[stack]]
+'3w Ac5c Ден'!p1win*T_p1213519828996117124131[[#This Row],[stack]]</f>
        <v>500</v>
      </c>
      <c r="AU18" s="2">
        <f>T_EV3340308794101122129136[[#This Row],[chipEV]]-T_fact2939288693100121128135[[#This Row],[stack]]</f>
        <v>0</v>
      </c>
      <c r="AV18" s="2">
        <f>T_EV3340308794101122129136[[#This Row],[EV]]-(T_fact2939288693100121128135[[#This Row],[ICM]]+bounty*T_fact2939288693100121128135[[#This Row],[KO]])</f>
        <v>0</v>
      </c>
    </row>
    <row r="19" spans="1:48" x14ac:dyDescent="0.25">
      <c r="A19">
        <v>1</v>
      </c>
      <c r="B19">
        <v>650</v>
      </c>
      <c r="C19" s="26" t="s">
        <v>412</v>
      </c>
      <c r="D19">
        <v>35</v>
      </c>
      <c r="F19" s="5">
        <f>COUNTIF(T_p1213519828996117124131[stack],"&gt;0")</f>
        <v>2</v>
      </c>
      <c r="G19">
        <f>IF(T_init20344818895116123130[[#This Row],[p]]=1,mainpot+sidepot1+sidepot2+uncalled,IF(T_init20344818895116123130[[#This Row],[p]]&gt;1,0,T_init20344818895116123130[[#This Row],[stack]]-T_init20344818895116123130[[#This Row],[anteblinds]]))</f>
        <v>1500</v>
      </c>
      <c r="H19">
        <v>0.75</v>
      </c>
      <c r="I19" s="2">
        <f>T_p1213519828996117124131[[#This Row],[EQ]]*prize</f>
        <v>44.13</v>
      </c>
      <c r="J19" s="66">
        <f>IF(T_init20344818895116123130[[#This Row],[p]]=1,T_p1213519828996117124131[[#This Row],[players]]*T_p1213519828996117124131[[#This Row],[stack]]/chips+COUNTIF(T_p1213519828996117124131[stack],0),T_p1213519828996117124131[[#This Row],[players]]*T_p1213519828996117124131[[#This Row],[stack]]/chips)</f>
        <v>5.5</v>
      </c>
      <c r="K19" s="66">
        <f>T_p1213519828996117124131[[#This Row],[ICM]]+bounty*T_p1213519828996117124131[[#This Row],[KO]]</f>
        <v>44.13</v>
      </c>
      <c r="M19" s="10">
        <f>COUNTIF(T_p2223625839097118125132[stack],"&gt;0")</f>
        <v>3</v>
      </c>
      <c r="N19" s="26">
        <f>IF(T_init20344818895116123130[[#This Row],[p]]=1,uncalled,IF(T_init20344818895116123130[[#This Row],[p]]=2,mainpot+sidepot1+sidepot2,IF(T_init20344818895116123130[[#This Row],[p]]&gt;2,0,T_init20344818895116123130[[#This Row],[stack]]-T_init20344818895116123130[[#This Row],[anteblinds]])))</f>
        <v>205</v>
      </c>
      <c r="O19">
        <v>0.10249999999999999</v>
      </c>
      <c r="P19" s="2">
        <f>T_p2223625839097118125132[[#This Row],[EQ]]*prize</f>
        <v>6.0311000000000003</v>
      </c>
      <c r="Q19" s="66">
        <f>IF(T_init20344818895116123130[[#This Row],[p]]=2,T_p2223625839097118125132[[#This Row],[players]]*T_p2223625839097118125132[[#This Row],[stack]]/chips+COUNTIF(T_p2223625839097118125132[stack],0),T_p2223625839097118125132[[#This Row],[players]]*T_p2223625839097118125132[[#This Row],[stack]]/chips)</f>
        <v>0.3075</v>
      </c>
      <c r="R19" s="66">
        <f>T_p2223625839097118125132[[#This Row],[ICM]]+bounty*T_p2223625839097118125132[[#This Row],[KO]]</f>
        <v>6.0311000000000003</v>
      </c>
      <c r="T19" s="5">
        <f>COUNTIF(T_p3p1233726849198119126133[stack],"&gt;0")</f>
        <v>3</v>
      </c>
      <c r="U19" s="26">
        <f>IF(T_init20344818895116123130[[#This Row],[p]]=1,sidepot1+uncalled,IF(T_init20344818895116123130[[#This Row],[p]]=3,mainpot,IF(ISBLANK(T_init20344818895116123130[[#This Row],[p]]),T_init20344818895116123130[[#This Row],[stack]]-T_init20344818895116123130[[#This Row],[anteblinds]],0)))</f>
        <v>305</v>
      </c>
      <c r="V19">
        <v>0.1525</v>
      </c>
      <c r="W19" s="2">
        <f>T_p3p1233726849198119126133[[#This Row],[EQ]]*prize</f>
        <v>8.9731000000000005</v>
      </c>
      <c r="X19" s="66">
        <f>IF(T_init20344818895116123130[[#This Row],[p]]=1,T_p3p1233726849198119126133[[#This Row],[players]]*T_p3p1233726849198119126133[[#This Row],[stack]]/chips+COUNTIF(T_p3p1233726849198119126133[stack],0),T_p3p1233726849198119126133[[#This Row],[players]]*T_p3p1233726849198119126133[[#This Row],[stack]]/chips)</f>
        <v>3.4575</v>
      </c>
      <c r="Y19" s="66">
        <f>T_p3p1233726849198119126133[[#This Row],[ICM]]+bounty*T_p3p1233726849198119126133[[#This Row],[KO]]</f>
        <v>8.9731000000000005</v>
      </c>
      <c r="AA19" s="5">
        <f>COUNTIF(T_p3p2243827859299120127134[stack],"&gt;0")</f>
        <v>4</v>
      </c>
      <c r="AB19">
        <f>IF(T_init20344818895116123130[[#This Row],[p]]=1,uncalled,IF(T_init20344818895116123130[[#This Row],[p]]=2,sidepot1,IF(T_init20344818895116123130[[#This Row],[p]]=3,mainpot,IF(ISBLANK(T_init20344818895116123130[[#This Row],[p]]),T_init20344818895116123130[[#This Row],[stack]]-T_init20344818895116123130[[#This Row],[anteblinds]],0))))</f>
        <v>205</v>
      </c>
      <c r="AC19">
        <v>0.10249999999999999</v>
      </c>
      <c r="AD19" s="2">
        <f>T_p3p2243827859299120127134[[#This Row],[EQ]]*prize</f>
        <v>6.0311000000000003</v>
      </c>
      <c r="AE19" s="66">
        <f>IF(T_init20344818895116123130[[#This Row],[p]]=2,T_p3p2243827859299120127134[[#This Row],[players]]*T_p3p2243827859299120127134[[#This Row],[stack]]/chips+COUNTIF(T_p3p2243827859299120127134[stack],0),T_p3p2243827859299120127134[[#This Row],[players]]*T_p3p2243827859299120127134[[#This Row],[stack]]/chips)</f>
        <v>0.41</v>
      </c>
      <c r="AF19" s="16">
        <f>T_p3p2243827859299120127134[[#This Row],[ICM]]+bounty*T_p3p2243827859299120127134[[#This Row],[KO]]</f>
        <v>6.0311000000000003</v>
      </c>
      <c r="AI19" s="73">
        <v>2</v>
      </c>
      <c r="AJ19">
        <f>IF(T_init20344818895116123130[[#This Row],[p]]=1,mainpot+sidepot1+sidepot2+uncalled,IF(T_init20344818895116123130[[#This Row],[p]]&gt;1,0,T_init20344818895116123130[[#This Row],[stack]]-T_init20344818895116123130[[#This Row],[anteblinds]]))</f>
        <v>1500</v>
      </c>
      <c r="AK19">
        <v>0.75</v>
      </c>
      <c r="AL19" s="2">
        <f>T_fact2939288693100121128135[[#This Row],[EQ]]*prize</f>
        <v>44.13</v>
      </c>
      <c r="AM19" s="66">
        <f>IF(T_init20344818895116123130[[#This Row],[p]]=1,T_fact2939288693100121128135[[#This Row],[players]]*T_fact2939288693100121128135[[#This Row],[stack]]/chips+COUNTIF(T_fact2939288693100121128135[stack],0),T_fact2939288693100121128135[[#This Row],[players]]*T_fact2939288693100121128135[[#This Row],[stack]]/chips)</f>
        <v>5.5</v>
      </c>
      <c r="AN19" s="16">
        <f>T_fact2939288693100121128135[[#This Row],[ICM]]+bounty*T_fact2939288693100121128135[[#This Row],[KO]]</f>
        <v>44.13</v>
      </c>
      <c r="AQ19" s="68">
        <f>'3w Ac5c Ден'!p3win* ('3w Ac5c Ден'!p1sp1win*T_p3p1233726849198119126133[[#This Row],[ICM]] + '3w Ac5c Ден'!p2sp1win*T_p3p2243827859299120127134[[#This Row],[ICM]])
+'3w Ac5c Ден'!p2win*T_p2223625839097118125132[[#This Row],[ICM]]
+'3w Ac5c Ден'!p1win*T_p1213519828996117124131[[#This Row],[ICM]]</f>
        <v>22.193130337040003</v>
      </c>
      <c r="AR19" s="68">
        <f>('3w Ac5c Ден'!p3win* ('3w Ac5c Ден'!p1sp1win*T_p3p1233726849198119126133[[#This Row],[KO]] + '3w Ac5c Ден'!p2sp1win*T_p3p2243827859299120127134[[#This Row],[KO]])
+'3w Ac5c Ден'!p2win*T_p2223625839097118125132[[#This Row],[KO]]
+'3w Ac5c Ден'!p1win*T_p1213519828996117124131[[#This Row],[KO]])*bounty</f>
        <v>0</v>
      </c>
      <c r="AS19" s="68">
        <f>'3w Ac5c Ден'!p3win* ('3w Ac5c Ден'!p1sp1win*T_p3p1233726849198119126133[[#This Row],[$stack]] + '3w Ac5c Ден'!p2sp1win*T_p3p2243827859299120127134[[#This Row],[$stack]])
+'3w Ac5c Ден'!p2win*T_p2223625839097118125132[[#This Row],[$stack]]
+'3w Ac5c Ден'!p1win*T_p1213519828996117124131[[#This Row],[$stack]]</f>
        <v>22.193130337040003</v>
      </c>
      <c r="AT19" s="68">
        <f>'3w Ac5c Ден'!p3win* ('3w Ac5c Ден'!p1sp1win*T_p3p1233726849198119126133[[#This Row],[stack]] + '3w Ac5c Ден'!p2sp1win*T_p3p2243827859299120127134[[#This Row],[stack]])
+'3w Ac5c Ден'!p2win*T_p2223625839097118125132[[#This Row],[stack]]
+'3w Ac5c Ден'!p1win*T_p1213519828996117124131[[#This Row],[stack]]</f>
        <v>754.35521200000005</v>
      </c>
      <c r="AU19" s="2">
        <f>T_EV3340308794101122129136[[#This Row],[chipEV]]-T_fact2939288693100121128135[[#This Row],[stack]]</f>
        <v>-745.64478799999995</v>
      </c>
      <c r="AV19" s="2">
        <f>T_EV3340308794101122129136[[#This Row],[EV]]-(T_fact2939288693100121128135[[#This Row],[ICM]]+bounty*T_fact2939288693100121128135[[#This Row],[KO]])</f>
        <v>-21.93686966296</v>
      </c>
    </row>
    <row r="20" spans="1:48" s="17" customFormat="1" x14ac:dyDescent="0.25">
      <c r="A20" s="17">
        <v>2</v>
      </c>
      <c r="B20" s="17">
        <v>445</v>
      </c>
      <c r="C20" s="17" t="s">
        <v>413</v>
      </c>
      <c r="D20" s="17">
        <v>60</v>
      </c>
      <c r="F20" s="83">
        <f>COUNTIF(T_p1213519828996117124131[stack],"&gt;0")</f>
        <v>2</v>
      </c>
      <c r="G20" s="17">
        <f>IF(T_init20344818895116123130[[#This Row],[p]]=1,mainpot+sidepot1+sidepot2+uncalled,IF(T_init20344818895116123130[[#This Row],[p]]&gt;1,0,T_init20344818895116123130[[#This Row],[stack]]-T_init20344818895116123130[[#This Row],[anteblinds]]))</f>
        <v>0</v>
      </c>
      <c r="I20" s="18">
        <f>T_p1213519828996117124131[[#This Row],[EQ]]*prize</f>
        <v>0</v>
      </c>
      <c r="J20" s="67">
        <f>IF(T_init20344818895116123130[[#This Row],[p]]=1,T_p1213519828996117124131[[#This Row],[players]]*T_p1213519828996117124131[[#This Row],[stack]]/chips+COUNTIF(T_p1213519828996117124131[stack],0),T_p1213519828996117124131[[#This Row],[players]]*T_p1213519828996117124131[[#This Row],[stack]]/chips)</f>
        <v>0</v>
      </c>
      <c r="K20" s="67">
        <f>T_p1213519828996117124131[[#This Row],[ICM]]+bounty*T_p1213519828996117124131[[#This Row],[KO]]</f>
        <v>0</v>
      </c>
      <c r="M20" s="19">
        <f>COUNTIF(T_p2223625839097118125132[stack],"&gt;0")</f>
        <v>3</v>
      </c>
      <c r="N20" s="17">
        <f>IF(T_init20344818895116123130[[#This Row],[p]]=1,uncalled,IF(T_init20344818895116123130[[#This Row],[p]]=2,mainpot+sidepot1+sidepot2,IF(T_init20344818895116123130[[#This Row],[p]]&gt;2,0,T_init20344818895116123130[[#This Row],[stack]]-T_init20344818895116123130[[#This Row],[anteblinds]])))</f>
        <v>1295</v>
      </c>
      <c r="O20" s="17">
        <v>0.64749999999999996</v>
      </c>
      <c r="P20" s="18">
        <f>T_p2223625839097118125132[[#This Row],[EQ]]*prize</f>
        <v>38.0989</v>
      </c>
      <c r="Q20" s="67">
        <f>IF(T_init20344818895116123130[[#This Row],[p]]=2,T_p2223625839097118125132[[#This Row],[players]]*T_p2223625839097118125132[[#This Row],[stack]]/chips+COUNTIF(T_p2223625839097118125132[stack],0),T_p2223625839097118125132[[#This Row],[players]]*T_p2223625839097118125132[[#This Row],[stack]]/chips)</f>
        <v>4.9424999999999999</v>
      </c>
      <c r="R20" s="67">
        <f>T_p2223625839097118125132[[#This Row],[ICM]]+bounty*T_p2223625839097118125132[[#This Row],[KO]]</f>
        <v>38.0989</v>
      </c>
      <c r="T20" s="83">
        <f>COUNTIF(T_p3p1233726849198119126133[stack],"&gt;0")</f>
        <v>3</v>
      </c>
      <c r="U20" s="17">
        <f>IF(T_init20344818895116123130[[#This Row],[p]]=1,sidepot1+uncalled,IF(T_init20344818895116123130[[#This Row],[p]]=3,mainpot,IF(ISBLANK(T_init20344818895116123130[[#This Row],[p]]),T_init20344818895116123130[[#This Row],[stack]]-T_init20344818895116123130[[#This Row],[anteblinds]],0)))</f>
        <v>0</v>
      </c>
      <c r="W20" s="18">
        <f>T_p3p1233726849198119126133[[#This Row],[EQ]]*prize</f>
        <v>0</v>
      </c>
      <c r="X20" s="67">
        <f>IF(T_init20344818895116123130[[#This Row],[p]]=1,T_p3p1233726849198119126133[[#This Row],[players]]*T_p3p1233726849198119126133[[#This Row],[stack]]/chips+COUNTIF(T_p3p1233726849198119126133[stack],0),T_p3p1233726849198119126133[[#This Row],[players]]*T_p3p1233726849198119126133[[#This Row],[stack]]/chips)</f>
        <v>0</v>
      </c>
      <c r="Y20" s="67">
        <f>T_p3p1233726849198119126133[[#This Row],[ICM]]+bounty*T_p3p1233726849198119126133[[#This Row],[KO]]</f>
        <v>0</v>
      </c>
      <c r="AA20" s="83">
        <f>COUNTIF(T_p3p2243827859299120127134[stack],"&gt;0")</f>
        <v>4</v>
      </c>
      <c r="AB20" s="17">
        <f>IF(T_init20344818895116123130[[#This Row],[p]]=1,uncalled,IF(T_init20344818895116123130[[#This Row],[p]]=2,sidepot1,IF(T_init20344818895116123130[[#This Row],[p]]=3,mainpot,IF(ISBLANK(T_init20344818895116123130[[#This Row],[p]]),T_init20344818895116123130[[#This Row],[stack]]-T_init20344818895116123130[[#This Row],[anteblinds]],0))))</f>
        <v>100</v>
      </c>
      <c r="AC20" s="17">
        <v>0.05</v>
      </c>
      <c r="AD20" s="18">
        <f>T_p3p2243827859299120127134[[#This Row],[EQ]]*prize</f>
        <v>2.9420000000000002</v>
      </c>
      <c r="AE20" s="67">
        <f>IF(T_init20344818895116123130[[#This Row],[p]]=2,T_p3p2243827859299120127134[[#This Row],[players]]*T_p3p2243827859299120127134[[#This Row],[stack]]/chips+COUNTIF(T_p3p2243827859299120127134[stack],0),T_p3p2243827859299120127134[[#This Row],[players]]*T_p3p2243827859299120127134[[#This Row],[stack]]/chips)</f>
        <v>2.2000000000000002</v>
      </c>
      <c r="AF20" s="24">
        <f>T_p3p2243827859299120127134[[#This Row],[ICM]]+bounty*T_p3p2243827859299120127134[[#This Row],[KO]]</f>
        <v>2.9420000000000002</v>
      </c>
      <c r="AI20" s="83">
        <v>2</v>
      </c>
      <c r="AJ20" s="17">
        <v>0</v>
      </c>
      <c r="AK20" s="17">
        <v>0</v>
      </c>
      <c r="AL20" s="18">
        <f>T_fact2939288693100121128135[[#This Row],[EQ]]*prize</f>
        <v>0</v>
      </c>
      <c r="AM20" s="67">
        <f>IF(T_init20344818895116123130[[#This Row],[p]]=1,T_fact2939288693100121128135[[#This Row],[players]]*T_fact2939288693100121128135[[#This Row],[stack]]/chips+COUNTIF(T_fact2939288693100121128135[stack],0),T_fact2939288693100121128135[[#This Row],[players]]*T_fact2939288693100121128135[[#This Row],[stack]]/chips)</f>
        <v>0</v>
      </c>
      <c r="AN20" s="24">
        <f>T_fact2939288693100121128135[[#This Row],[ICM]]+bounty*T_fact2939288693100121128135[[#This Row],[KO]]</f>
        <v>0</v>
      </c>
      <c r="AQ20" s="69">
        <f>'3w Ac5c Ден'!p3win* ('3w Ac5c Ден'!p1sp1win*T_p3p1233726849198119126133[[#This Row],[ICM]] + '3w Ac5c Ден'!p2sp1win*T_p3p2243827859299120127134[[#This Row],[ICM]])
+'3w Ac5c Ден'!p2win*T_p2223625839097118125132[[#This Row],[ICM]]
+'3w Ac5c Ден'!p1win*T_p1213519828996117124131[[#This Row],[ICM]]</f>
        <v>9.5335153429600012</v>
      </c>
      <c r="AR20" s="69">
        <f>('3w Ac5c Ден'!p3win* ('3w Ac5c Ден'!p1sp1win*T_p3p1233726849198119126133[[#This Row],[KO]] + '3w Ac5c Ден'!p2sp1win*T_p3p2243827859299120127134[[#This Row],[KO]])
+'3w Ac5c Ден'!p2win*T_p2223625839097118125132[[#This Row],[KO]]
+'3w Ac5c Ден'!p1win*T_p1213519828996117124131[[#This Row],[KO]])*bounty</f>
        <v>0</v>
      </c>
      <c r="AS20" s="69">
        <f>'3w Ac5c Ден'!p3win* ('3w Ac5c Ден'!p1sp1win*T_p3p1233726849198119126133[[#This Row],[$stack]] + '3w Ac5c Ден'!p2sp1win*T_p3p2243827859299120127134[[#This Row],[$stack]])
+'3w Ac5c Ден'!p2win*T_p2223625839097118125132[[#This Row],[$stack]]
+'3w Ac5c Ден'!p1win*T_p1213519828996117124131[[#This Row],[$stack]]</f>
        <v>9.5335153429600012</v>
      </c>
      <c r="AT20" s="69">
        <f>'3w Ac5c Ден'!p3win* ('3w Ac5c Ден'!p1sp1win*T_p3p1233726849198119126133[[#This Row],[stack]] + '3w Ac5c Ден'!p2sp1win*T_p3p2243827859299120127134[[#This Row],[stack]])
+'3w Ac5c Ден'!p2win*T_p2223625839097118125132[[#This Row],[stack]]
+'3w Ac5c Ден'!p1win*T_p1213519828996117124131[[#This Row],[stack]]</f>
        <v>324.048788</v>
      </c>
      <c r="AU20" s="18">
        <f>T_EV3340308794101122129136[[#This Row],[chipEV]]-T_fact2939288693100121128135[[#This Row],[stack]]</f>
        <v>324.048788</v>
      </c>
      <c r="AV20" s="18">
        <f>T_EV3340308794101122129136[[#This Row],[EV]]-(T_fact2939288693100121128135[[#This Row],[ICM]]+bounty*T_fact2939288693100121128135[[#This Row],[KO]])</f>
        <v>9.5335153429600012</v>
      </c>
    </row>
    <row r="21" spans="1:48" x14ac:dyDescent="0.25">
      <c r="B21">
        <v>0</v>
      </c>
      <c r="F21" s="5">
        <f>COUNTIF(T_p1213519828996117124131[stack],"&gt;0")</f>
        <v>2</v>
      </c>
      <c r="G21">
        <f>IF(T_init20344818895116123130[[#This Row],[p]]=1,mainpot+sidepot1+sidepot2+uncalled,IF(T_init20344818895116123130[[#This Row],[p]]&gt;1,0,T_init20344818895116123130[[#This Row],[stack]]-T_init20344818895116123130[[#This Row],[anteblinds]]))</f>
        <v>0</v>
      </c>
      <c r="I21" s="2">
        <f>T_p1213519828996117124131[[#This Row],[EQ]]*prize</f>
        <v>0</v>
      </c>
      <c r="J21" s="66">
        <f>IF(T_init20344818895116123130[[#This Row],[p]]=1,T_p1213519828996117124131[[#This Row],[players]]*T_p1213519828996117124131[[#This Row],[stack]]/chips+COUNTIF(T_p1213519828996117124131[stack],0),T_p1213519828996117124131[[#This Row],[players]]*T_p1213519828996117124131[[#This Row],[stack]]/chips)</f>
        <v>0</v>
      </c>
      <c r="K21" s="66">
        <f>T_p1213519828996117124131[[#This Row],[ICM]]+bounty*T_p1213519828996117124131[[#This Row],[KO]]</f>
        <v>0</v>
      </c>
      <c r="M21" s="10">
        <f>COUNTIF(T_p2223625839097118125132[stack],"&gt;0")</f>
        <v>3</v>
      </c>
      <c r="N21" s="26">
        <f>IF(T_init20344818895116123130[[#This Row],[p]]=1,uncalled,IF(T_init20344818895116123130[[#This Row],[p]]=2,mainpot+sidepot1+sidepot2,IF(T_init20344818895116123130[[#This Row],[p]]&gt;2,0,T_init20344818895116123130[[#This Row],[stack]]-T_init20344818895116123130[[#This Row],[anteblinds]])))</f>
        <v>0</v>
      </c>
      <c r="O21">
        <v>0</v>
      </c>
      <c r="P21" s="2">
        <f>T_p2223625839097118125132[[#This Row],[EQ]]*prize</f>
        <v>0</v>
      </c>
      <c r="Q21" s="66">
        <f>IF(T_init20344818895116123130[[#This Row],[p]]=2,T_p2223625839097118125132[[#This Row],[players]]*T_p2223625839097118125132[[#This Row],[stack]]/chips+COUNTIF(T_p2223625839097118125132[stack],0),T_p2223625839097118125132[[#This Row],[players]]*T_p2223625839097118125132[[#This Row],[stack]]/chips)</f>
        <v>0</v>
      </c>
      <c r="R21" s="66">
        <f>T_p2223625839097118125132[[#This Row],[ICM]]+bounty*T_p2223625839097118125132[[#This Row],[KO]]</f>
        <v>0</v>
      </c>
      <c r="T21" s="5">
        <f>COUNTIF(T_p3p1233726849198119126133[stack],"&gt;0")</f>
        <v>3</v>
      </c>
      <c r="U21" s="26">
        <f>IF(T_init20344818895116123130[[#This Row],[p]]=1,sidepot1+uncalled,IF(T_init20344818895116123130[[#This Row],[p]]=3,mainpot,IF(ISBLANK(T_init20344818895116123130[[#This Row],[p]]),T_init20344818895116123130[[#This Row],[stack]]-T_init20344818895116123130[[#This Row],[anteblinds]],0)))</f>
        <v>0</v>
      </c>
      <c r="V21">
        <v>0</v>
      </c>
      <c r="W21" s="2">
        <f>T_p3p1233726849198119126133[[#This Row],[EQ]]*prize</f>
        <v>0</v>
      </c>
      <c r="X21" s="66">
        <f>IF(T_init20344818895116123130[[#This Row],[p]]=1,T_p3p1233726849198119126133[[#This Row],[players]]*T_p3p1233726849198119126133[[#This Row],[stack]]/chips+COUNTIF(T_p3p1233726849198119126133[stack],0),T_p3p1233726849198119126133[[#This Row],[players]]*T_p3p1233726849198119126133[[#This Row],[stack]]/chips)</f>
        <v>0</v>
      </c>
      <c r="Y21" s="66">
        <f>T_p3p1233726849198119126133[[#This Row],[ICM]]+bounty*T_p3p1233726849198119126133[[#This Row],[KO]]</f>
        <v>0</v>
      </c>
      <c r="AA21" s="5">
        <f>COUNTIF(T_p3p2243827859299120127134[stack],"&gt;0")</f>
        <v>4</v>
      </c>
      <c r="AB21">
        <f>IF(T_init20344818895116123130[[#This Row],[p]]=1,uncalled,IF(T_init20344818895116123130[[#This Row],[p]]=2,sidepot1,IF(T_init20344818895116123130[[#This Row],[p]]=3,mainpot,IF(ISBLANK(T_init20344818895116123130[[#This Row],[p]]),T_init20344818895116123130[[#This Row],[stack]]-T_init20344818895116123130[[#This Row],[anteblinds]],0))))</f>
        <v>0</v>
      </c>
      <c r="AC21">
        <v>0</v>
      </c>
      <c r="AD21" s="2">
        <f>T_p3p2243827859299120127134[[#This Row],[EQ]]*prize</f>
        <v>0</v>
      </c>
      <c r="AE21" s="66">
        <f>IF(T_init20344818895116123130[[#This Row],[p]]=2,T_p3p2243827859299120127134[[#This Row],[players]]*T_p3p2243827859299120127134[[#This Row],[stack]]/chips+COUNTIF(T_p3p2243827859299120127134[stack],0),T_p3p2243827859299120127134[[#This Row],[players]]*T_p3p2243827859299120127134[[#This Row],[stack]]/chips)</f>
        <v>0</v>
      </c>
      <c r="AF21" s="16">
        <f>T_p3p2243827859299120127134[[#This Row],[ICM]]+bounty*T_p3p2243827859299120127134[[#This Row],[KO]]</f>
        <v>0</v>
      </c>
      <c r="AI21" s="73">
        <v>2</v>
      </c>
      <c r="AJ21" s="26">
        <v>0</v>
      </c>
      <c r="AL21" s="2">
        <f>T_fact2939288693100121128135[[#This Row],[EQ]]*prize</f>
        <v>0</v>
      </c>
      <c r="AM21" s="66">
        <f>IF(T_init20344818895116123130[[#This Row],[p]]=1,T_fact2939288693100121128135[[#This Row],[players]]*T_fact2939288693100121128135[[#This Row],[stack]]/chips+COUNTIF(T_fact2939288693100121128135[stack],0),T_fact2939288693100121128135[[#This Row],[players]]*T_fact2939288693100121128135[[#This Row],[stack]]/chips)</f>
        <v>0</v>
      </c>
      <c r="AN21" s="16">
        <f>T_fact2939288693100121128135[[#This Row],[ICM]]+bounty*T_fact2939288693100121128135[[#This Row],[KO]]</f>
        <v>0</v>
      </c>
      <c r="AQ21" s="68">
        <f>'3w Ac5c Ден'!p3win* ('3w Ac5c Ден'!p1sp1win*T_p3p1233726849198119126133[[#This Row],[ICM]] + '3w Ac5c Ден'!p2sp1win*T_p3p2243827859299120127134[[#This Row],[ICM]])
+'3w Ac5c Ден'!p2win*T_p2223625839097118125132[[#This Row],[ICM]]
+'3w Ac5c Ден'!p1win*T_p1213519828996117124131[[#This Row],[ICM]]</f>
        <v>0</v>
      </c>
      <c r="AR21" s="68">
        <f>('3w Ac5c Ден'!p3win* ('3w Ac5c Ден'!p1sp1win*T_p3p1233726849198119126133[[#This Row],[KO]] + '3w Ac5c Ден'!p2sp1win*T_p3p2243827859299120127134[[#This Row],[KO]])
+'3w Ac5c Ден'!p2win*T_p2223625839097118125132[[#This Row],[KO]]
+'3w Ac5c Ден'!p1win*T_p1213519828996117124131[[#This Row],[KO]])*bounty</f>
        <v>0</v>
      </c>
      <c r="AS21" s="68">
        <f>'3w Ac5c Ден'!p3win* ('3w Ac5c Ден'!p1sp1win*T_p3p1233726849198119126133[[#This Row],[$stack]] + '3w Ac5c Ден'!p2sp1win*T_p3p2243827859299120127134[[#This Row],[$stack]])
+'3w Ac5c Ден'!p2win*T_p2223625839097118125132[[#This Row],[$stack]]
+'3w Ac5c Ден'!p1win*T_p1213519828996117124131[[#This Row],[$stack]]</f>
        <v>0</v>
      </c>
      <c r="AT21" s="68">
        <f>'3w Ac5c Ден'!p3win* ('3w Ac5c Ден'!p1sp1win*T_p3p1233726849198119126133[[#This Row],[stack]] + '3w Ac5c Ден'!p2sp1win*T_p3p2243827859299120127134[[#This Row],[stack]])
+'3w Ac5c Ден'!p2win*T_p2223625839097118125132[[#This Row],[stack]]
+'3w Ac5c Ден'!p1win*T_p1213519828996117124131[[#This Row],[stack]]</f>
        <v>0</v>
      </c>
      <c r="AU21" s="2">
        <f>T_EV3340308794101122129136[[#This Row],[chipEV]]-T_fact2939288693100121128135[[#This Row],[stack]]</f>
        <v>0</v>
      </c>
      <c r="AV21" s="2">
        <f>T_EV3340308794101122129136[[#This Row],[EV]]-(T_fact2939288693100121128135[[#This Row],[ICM]]+bounty*T_fact2939288693100121128135[[#This Row],[KO]])</f>
        <v>0</v>
      </c>
    </row>
    <row r="22" spans="1:48" x14ac:dyDescent="0.25">
      <c r="B22">
        <v>0</v>
      </c>
      <c r="F22" s="5">
        <f>COUNTIF(T_p1213519828996117124131[stack],"&gt;0")</f>
        <v>2</v>
      </c>
      <c r="G22">
        <f>IF(T_init20344818895116123130[[#This Row],[p]]=1,mainpot+sidepot1+sidepot2+uncalled,IF(T_init20344818895116123130[[#This Row],[p]]&gt;1,0,T_init20344818895116123130[[#This Row],[stack]]-T_init20344818895116123130[[#This Row],[anteblinds]]))</f>
        <v>0</v>
      </c>
      <c r="I22" s="2">
        <f>T_p1213519828996117124131[[#This Row],[EQ]]*prize</f>
        <v>0</v>
      </c>
      <c r="J22" s="66">
        <f>IF(T_init20344818895116123130[[#This Row],[p]]=1,T_p1213519828996117124131[[#This Row],[players]]*T_p1213519828996117124131[[#This Row],[stack]]/chips+COUNTIF(T_p1213519828996117124131[stack],0),T_p1213519828996117124131[[#This Row],[players]]*T_p1213519828996117124131[[#This Row],[stack]]/chips)</f>
        <v>0</v>
      </c>
      <c r="K22" s="66">
        <f>T_p1213519828996117124131[[#This Row],[ICM]]+bounty*T_p1213519828996117124131[[#This Row],[KO]]</f>
        <v>0</v>
      </c>
      <c r="M22" s="10">
        <f>COUNTIF(T_p2223625839097118125132[stack],"&gt;0")</f>
        <v>3</v>
      </c>
      <c r="N22" s="26">
        <f>IF(T_init20344818895116123130[[#This Row],[p]]=1,uncalled,IF(T_init20344818895116123130[[#This Row],[p]]=2,mainpot+sidepot1+sidepot2,IF(T_init20344818895116123130[[#This Row],[p]]&gt;2,0,T_init20344818895116123130[[#This Row],[stack]]-T_init20344818895116123130[[#This Row],[anteblinds]])))</f>
        <v>0</v>
      </c>
      <c r="P22" s="2">
        <f>T_p2223625839097118125132[[#This Row],[EQ]]*prize</f>
        <v>0</v>
      </c>
      <c r="Q22" s="66">
        <f>IF(T_init20344818895116123130[[#This Row],[p]]=2,T_p2223625839097118125132[[#This Row],[players]]*T_p2223625839097118125132[[#This Row],[stack]]/chips+COUNTIF(T_p2223625839097118125132[stack],0),T_p2223625839097118125132[[#This Row],[players]]*T_p2223625839097118125132[[#This Row],[stack]]/chips)</f>
        <v>0</v>
      </c>
      <c r="R22" s="66">
        <f>T_p2223625839097118125132[[#This Row],[ICM]]+bounty*T_p2223625839097118125132[[#This Row],[KO]]</f>
        <v>0</v>
      </c>
      <c r="T22" s="5">
        <f>COUNTIF(T_p3p1233726849198119126133[stack],"&gt;0")</f>
        <v>3</v>
      </c>
      <c r="U22" s="26">
        <f>IF(T_init20344818895116123130[[#This Row],[p]]=1,sidepot1+uncalled,IF(T_init20344818895116123130[[#This Row],[p]]=3,mainpot,IF(ISBLANK(T_init20344818895116123130[[#This Row],[p]]),T_init20344818895116123130[[#This Row],[stack]]-T_init20344818895116123130[[#This Row],[anteblinds]],0)))</f>
        <v>0</v>
      </c>
      <c r="V22">
        <v>0</v>
      </c>
      <c r="W22" s="2">
        <f>T_p3p1233726849198119126133[[#This Row],[EQ]]*prize</f>
        <v>0</v>
      </c>
      <c r="X22" s="66">
        <f>IF(T_init20344818895116123130[[#This Row],[p]]=1,T_p3p1233726849198119126133[[#This Row],[players]]*T_p3p1233726849198119126133[[#This Row],[stack]]/chips+COUNTIF(T_p3p1233726849198119126133[stack],0),T_p3p1233726849198119126133[[#This Row],[players]]*T_p3p1233726849198119126133[[#This Row],[stack]]/chips)</f>
        <v>0</v>
      </c>
      <c r="Y22" s="66">
        <f>T_p3p1233726849198119126133[[#This Row],[ICM]]+bounty*T_p3p1233726849198119126133[[#This Row],[KO]]</f>
        <v>0</v>
      </c>
      <c r="AA22" s="5">
        <f>COUNTIF(T_p3p2243827859299120127134[stack],"&gt;0")</f>
        <v>4</v>
      </c>
      <c r="AB22">
        <f>IF(T_init20344818895116123130[[#This Row],[p]]=1,uncalled,IF(T_init20344818895116123130[[#This Row],[p]]=2,sidepot1,IF(T_init20344818895116123130[[#This Row],[p]]=3,mainpot,IF(ISBLANK(T_init20344818895116123130[[#This Row],[p]]),T_init20344818895116123130[[#This Row],[stack]]-T_init20344818895116123130[[#This Row],[anteblinds]],0))))</f>
        <v>0</v>
      </c>
      <c r="AC22">
        <v>0</v>
      </c>
      <c r="AD22" s="2">
        <f>T_p3p2243827859299120127134[[#This Row],[EQ]]*prize</f>
        <v>0</v>
      </c>
      <c r="AE22" s="66">
        <f>IF(T_init20344818895116123130[[#This Row],[p]]=2,T_p3p2243827859299120127134[[#This Row],[players]]*T_p3p2243827859299120127134[[#This Row],[stack]]/chips+COUNTIF(T_p3p2243827859299120127134[stack],0),T_p3p2243827859299120127134[[#This Row],[players]]*T_p3p2243827859299120127134[[#This Row],[stack]]/chips)</f>
        <v>0</v>
      </c>
      <c r="AF22" s="16">
        <f>T_p3p2243827859299120127134[[#This Row],[ICM]]+bounty*T_p3p2243827859299120127134[[#This Row],[KO]]</f>
        <v>0</v>
      </c>
      <c r="AI22" s="73">
        <v>2</v>
      </c>
      <c r="AJ22" s="26">
        <v>0</v>
      </c>
      <c r="AL22" s="2">
        <f>T_fact2939288693100121128135[[#This Row],[EQ]]*prize</f>
        <v>0</v>
      </c>
      <c r="AM22" s="66">
        <f>IF(T_init20344818895116123130[[#This Row],[p]]=1,T_fact2939288693100121128135[[#This Row],[players]]*T_fact2939288693100121128135[[#This Row],[stack]]/chips+COUNTIF(T_fact2939288693100121128135[stack],0),T_fact2939288693100121128135[[#This Row],[players]]*T_fact2939288693100121128135[[#This Row],[stack]]/chips)</f>
        <v>0</v>
      </c>
      <c r="AN22" s="16">
        <f>T_fact2939288693100121128135[[#This Row],[ICM]]+bounty*T_fact2939288693100121128135[[#This Row],[KO]]</f>
        <v>0</v>
      </c>
      <c r="AQ22" s="68">
        <f>'3w Ac5c Ден'!p3win* ('3w Ac5c Ден'!p1sp1win*T_p3p1233726849198119126133[[#This Row],[ICM]] + '3w Ac5c Ден'!p2sp1win*T_p3p2243827859299120127134[[#This Row],[ICM]])
+'3w Ac5c Ден'!p2win*T_p2223625839097118125132[[#This Row],[ICM]]
+'3w Ac5c Ден'!p1win*T_p1213519828996117124131[[#This Row],[ICM]]</f>
        <v>0</v>
      </c>
      <c r="AR22" s="68">
        <f>('3w Ac5c Ден'!p3win* ('3w Ac5c Ден'!p1sp1win*T_p3p1233726849198119126133[[#This Row],[KO]] + '3w Ac5c Ден'!p2sp1win*T_p3p2243827859299120127134[[#This Row],[KO]])
+'3w Ac5c Ден'!p2win*T_p2223625839097118125132[[#This Row],[KO]]
+'3w Ac5c Ден'!p1win*T_p1213519828996117124131[[#This Row],[KO]])*bounty</f>
        <v>0</v>
      </c>
      <c r="AS22" s="68">
        <f>'3w Ac5c Ден'!p3win* ('3w Ac5c Ден'!p1sp1win*T_p3p1233726849198119126133[[#This Row],[$stack]] + '3w Ac5c Ден'!p2sp1win*T_p3p2243827859299120127134[[#This Row],[$stack]])
+'3w Ac5c Ден'!p2win*T_p2223625839097118125132[[#This Row],[$stack]]
+'3w Ac5c Ден'!p1win*T_p1213519828996117124131[[#This Row],[$stack]]</f>
        <v>0</v>
      </c>
      <c r="AT22" s="68">
        <f>'3w Ac5c Ден'!p3win* ('3w Ac5c Ден'!p1sp1win*T_p3p1233726849198119126133[[#This Row],[stack]] + '3w Ac5c Ден'!p2sp1win*T_p3p2243827859299120127134[[#This Row],[stack]])
+'3w Ac5c Ден'!p2win*T_p2223625839097118125132[[#This Row],[stack]]
+'3w Ac5c Ден'!p1win*T_p1213519828996117124131[[#This Row],[stack]]</f>
        <v>0</v>
      </c>
      <c r="AU22" s="2">
        <f>T_EV3340308794101122129136[[#This Row],[chipEV]]-T_fact2939288693100121128135[[#This Row],[stack]]</f>
        <v>0</v>
      </c>
      <c r="AV22" s="2">
        <f>T_EV3340308794101122129136[[#This Row],[EV]]-(T_fact2939288693100121128135[[#This Row],[ICM]]+bounty*T_fact2939288693100121128135[[#This Row],[KO]])</f>
        <v>0</v>
      </c>
    </row>
    <row r="23" spans="1:48" x14ac:dyDescent="0.25">
      <c r="A23" t="s">
        <v>95</v>
      </c>
      <c r="D23">
        <f>SUBTOTAL(109,T_init20344818895116123130[anteblinds])</f>
        <v>115</v>
      </c>
      <c r="F23" s="53"/>
      <c r="G23" s="50">
        <f>SUM(T_p1213519828996117124131[stack])</f>
        <v>2000</v>
      </c>
      <c r="H23" s="50">
        <f>SUM(T_p1213519828996117124131[EQ])</f>
        <v>1</v>
      </c>
      <c r="I23" s="50">
        <f>SUM(T_p1213519828996117124131[ICM])</f>
        <v>58.84</v>
      </c>
      <c r="J23" s="50">
        <f>SUM(T_p1213519828996117124131[KO])</f>
        <v>6</v>
      </c>
      <c r="K23" s="50">
        <f>SUM(T_p1213519828996117124131[$stack])</f>
        <v>58.84</v>
      </c>
      <c r="M23" s="53"/>
      <c r="N23" s="55">
        <f>SUM(T_p2223625839097118125132[stack])</f>
        <v>2000</v>
      </c>
      <c r="O23" s="50">
        <f>SUM(T_p2223625839097118125132[EQ])</f>
        <v>1</v>
      </c>
      <c r="P23" s="51">
        <f>SUM(T_p2223625839097118125132[ICM])</f>
        <v>58.84</v>
      </c>
      <c r="Q23" s="52">
        <f>SUM(T_p2223625839097118125132[KO])</f>
        <v>6</v>
      </c>
      <c r="R23" s="50">
        <f>SUM(T_p2223625839097118125132[$stack])</f>
        <v>58.84</v>
      </c>
      <c r="T23" s="53"/>
      <c r="U23" s="55">
        <f>SUM(T_p3p1233726849198119126133[stack])</f>
        <v>2000</v>
      </c>
      <c r="V23" s="50">
        <f>SUM(T_p3p1233726849198119126133[EQ])</f>
        <v>1</v>
      </c>
      <c r="W23" s="51">
        <f>SUM(T_p3p1233726849198119126133[ICM])</f>
        <v>58.840000000000011</v>
      </c>
      <c r="X23" s="52">
        <f>SUM(T_p3p1233726849198119126133[KO])</f>
        <v>6</v>
      </c>
      <c r="Y23" s="50">
        <f>SUM(T_p3p1233726849198119126133[$stack])</f>
        <v>58.840000000000011</v>
      </c>
      <c r="AA23" s="53"/>
      <c r="AB23" s="55">
        <f>SUM(T_p3p2243827859299120127134[stack])</f>
        <v>2000</v>
      </c>
      <c r="AC23" s="50">
        <f>SUM(T_p3p2243827859299120127134[EQ])</f>
        <v>1</v>
      </c>
      <c r="AD23" s="51">
        <f>SUM(T_p3p2243827859299120127134[ICM])</f>
        <v>58.840000000000011</v>
      </c>
      <c r="AE23" s="52">
        <f>SUM(T_p3p2243827859299120127134[KO])</f>
        <v>6</v>
      </c>
      <c r="AF23" s="50">
        <f>SUM(T_p3p1233726849198119126133[$stack])</f>
        <v>58.840000000000011</v>
      </c>
      <c r="AI23" s="53"/>
      <c r="AJ23" s="55">
        <f>SUM(T_fact2939288693100121128135[stack])</f>
        <v>2000</v>
      </c>
      <c r="AK23" s="50">
        <f>SUM(T_fact2939288693100121128135[EQ])</f>
        <v>1</v>
      </c>
      <c r="AL23" s="51">
        <f>SUM(T_fact2939288693100121128135[ICM])</f>
        <v>58.84</v>
      </c>
      <c r="AM23" s="52">
        <f>SUM(T_fact2939288693100121128135[KO])</f>
        <v>6</v>
      </c>
      <c r="AN23" s="51">
        <f>SUM(T_fact2939288693100121128135[$stack])</f>
        <v>58.84</v>
      </c>
      <c r="AQ23" s="52">
        <f>SUM(T_EV3340308794101122129136[ICM])</f>
        <v>58.84</v>
      </c>
      <c r="AR23" s="52">
        <f>SUM(T_EV3340308794101122129136[KO])</f>
        <v>0</v>
      </c>
      <c r="AS23" s="52">
        <f>SUM(T_EV3340308794101122129136[EV])</f>
        <v>58.84</v>
      </c>
      <c r="AT23" s="50">
        <f>SUM(T_EV3340308794101122129136[chipEV])</f>
        <v>2000</v>
      </c>
    </row>
    <row r="25" spans="1:48" ht="18.75" x14ac:dyDescent="0.3">
      <c r="M25" s="79" t="s">
        <v>117</v>
      </c>
    </row>
    <row r="26" spans="1:48" x14ac:dyDescent="0.25">
      <c r="C26" t="s">
        <v>118</v>
      </c>
      <c r="M26" t="s">
        <v>414</v>
      </c>
    </row>
    <row r="27" spans="1:48" x14ac:dyDescent="0.25">
      <c r="C27" t="s">
        <v>120</v>
      </c>
      <c r="M27" t="s">
        <v>415</v>
      </c>
    </row>
    <row r="28" spans="1:48" x14ac:dyDescent="0.25">
      <c r="C28" t="s">
        <v>122</v>
      </c>
      <c r="M28" t="s">
        <v>416</v>
      </c>
    </row>
    <row r="29" spans="1:48" x14ac:dyDescent="0.25">
      <c r="M29" t="s">
        <v>385</v>
      </c>
    </row>
    <row r="30" spans="1:48" x14ac:dyDescent="0.25">
      <c r="M30" t="s">
        <v>417</v>
      </c>
    </row>
    <row r="31" spans="1:48" x14ac:dyDescent="0.25">
      <c r="C31" t="s">
        <v>126</v>
      </c>
      <c r="M31" t="s">
        <v>418</v>
      </c>
    </row>
    <row r="32" spans="1:48" x14ac:dyDescent="0.25">
      <c r="M32" t="s">
        <v>419</v>
      </c>
    </row>
    <row r="33" spans="2:13" x14ac:dyDescent="0.25">
      <c r="B33" t="s">
        <v>129</v>
      </c>
      <c r="M33" t="s">
        <v>132</v>
      </c>
    </row>
    <row r="34" spans="2:13" x14ac:dyDescent="0.25">
      <c r="B34" t="s">
        <v>131</v>
      </c>
      <c r="M34" t="s">
        <v>291</v>
      </c>
    </row>
    <row r="35" spans="2:13" x14ac:dyDescent="0.25">
      <c r="C35" t="s">
        <v>133</v>
      </c>
      <c r="M35" t="s">
        <v>420</v>
      </c>
    </row>
    <row r="36" spans="2:13" x14ac:dyDescent="0.25">
      <c r="D36" t="s">
        <v>135</v>
      </c>
      <c r="M36" t="s">
        <v>421</v>
      </c>
    </row>
    <row r="37" spans="2:13" x14ac:dyDescent="0.25">
      <c r="C37" t="s">
        <v>137</v>
      </c>
      <c r="M37" t="s">
        <v>138</v>
      </c>
    </row>
    <row r="38" spans="2:13" x14ac:dyDescent="0.25">
      <c r="D38" t="s">
        <v>135</v>
      </c>
      <c r="M38" t="s">
        <v>139</v>
      </c>
    </row>
    <row r="39" spans="2:13" x14ac:dyDescent="0.25">
      <c r="C39" t="s">
        <v>140</v>
      </c>
      <c r="M39" t="s">
        <v>422</v>
      </c>
    </row>
    <row r="40" spans="2:13" x14ac:dyDescent="0.25">
      <c r="D40" t="s">
        <v>142</v>
      </c>
      <c r="M40" t="s">
        <v>423</v>
      </c>
    </row>
    <row r="41" spans="2:13" x14ac:dyDescent="0.25">
      <c r="D41" t="s">
        <v>144</v>
      </c>
      <c r="E41" t="s">
        <v>145</v>
      </c>
      <c r="M41" t="s">
        <v>424</v>
      </c>
    </row>
    <row r="42" spans="2:13" x14ac:dyDescent="0.25">
      <c r="F42" t="s">
        <v>147</v>
      </c>
      <c r="M42" t="s">
        <v>425</v>
      </c>
    </row>
    <row r="43" spans="2:13" x14ac:dyDescent="0.25">
      <c r="E43" t="s">
        <v>149</v>
      </c>
      <c r="M43" t="s">
        <v>426</v>
      </c>
    </row>
    <row r="44" spans="2:13" x14ac:dyDescent="0.25">
      <c r="F44" t="s">
        <v>151</v>
      </c>
      <c r="M44" t="s">
        <v>427</v>
      </c>
    </row>
    <row r="45" spans="2:13" x14ac:dyDescent="0.25">
      <c r="M45" t="s">
        <v>428</v>
      </c>
    </row>
    <row r="46" spans="2:13" x14ac:dyDescent="0.25">
      <c r="C46" t="s">
        <v>154</v>
      </c>
      <c r="M46" t="s">
        <v>429</v>
      </c>
    </row>
    <row r="47" spans="2:13" x14ac:dyDescent="0.25">
      <c r="D47" t="s">
        <v>156</v>
      </c>
      <c r="M47" t="s">
        <v>430</v>
      </c>
    </row>
    <row r="48" spans="2:13" x14ac:dyDescent="0.25">
      <c r="D48" t="s">
        <v>158</v>
      </c>
      <c r="E48" t="s">
        <v>145</v>
      </c>
      <c r="M48" t="s">
        <v>166</v>
      </c>
    </row>
    <row r="49" spans="5:15" x14ac:dyDescent="0.25">
      <c r="F49" t="s">
        <v>160</v>
      </c>
      <c r="M49" t="s">
        <v>431</v>
      </c>
    </row>
    <row r="50" spans="5:15" x14ac:dyDescent="0.25">
      <c r="E50" t="s">
        <v>149</v>
      </c>
      <c r="M50" t="s">
        <v>432</v>
      </c>
    </row>
    <row r="51" spans="5:15" x14ac:dyDescent="0.25">
      <c r="F51" t="s">
        <v>163</v>
      </c>
      <c r="M51" t="s">
        <v>433</v>
      </c>
    </row>
    <row r="52" spans="5:15" x14ac:dyDescent="0.25">
      <c r="E52" t="s">
        <v>165</v>
      </c>
      <c r="M52" t="s">
        <v>434</v>
      </c>
    </row>
    <row r="53" spans="5:15" x14ac:dyDescent="0.25">
      <c r="F53" t="s">
        <v>167</v>
      </c>
      <c r="M53" t="s">
        <v>435</v>
      </c>
    </row>
    <row r="54" spans="5:15" x14ac:dyDescent="0.25">
      <c r="F54" t="s">
        <v>144</v>
      </c>
      <c r="M54" t="s">
        <v>436</v>
      </c>
    </row>
    <row r="55" spans="5:15" x14ac:dyDescent="0.25">
      <c r="G55" t="s">
        <v>145</v>
      </c>
      <c r="M55" t="s">
        <v>437</v>
      </c>
    </row>
    <row r="56" spans="5:15" x14ac:dyDescent="0.25">
      <c r="H56" t="s">
        <v>147</v>
      </c>
      <c r="M56" t="s">
        <v>173</v>
      </c>
    </row>
    <row r="57" spans="5:15" x14ac:dyDescent="0.25">
      <c r="G57" t="s">
        <v>149</v>
      </c>
      <c r="M57" t="s">
        <v>438</v>
      </c>
    </row>
    <row r="58" spans="5:15" x14ac:dyDescent="0.25">
      <c r="H58" t="s">
        <v>151</v>
      </c>
      <c r="M58" t="s">
        <v>439</v>
      </c>
    </row>
    <row r="59" spans="5:15" x14ac:dyDescent="0.25">
      <c r="M59" t="s">
        <v>440</v>
      </c>
    </row>
    <row r="60" spans="5:15" x14ac:dyDescent="0.25">
      <c r="M60" t="s">
        <v>441</v>
      </c>
    </row>
    <row r="61" spans="5:15" x14ac:dyDescent="0.25">
      <c r="M61" t="s">
        <v>442</v>
      </c>
    </row>
    <row r="62" spans="5:15" x14ac:dyDescent="0.25">
      <c r="M62" t="s">
        <v>443</v>
      </c>
    </row>
    <row r="64" spans="5:15" x14ac:dyDescent="0.25">
      <c r="M64" s="109" t="s">
        <v>520</v>
      </c>
      <c r="O64" t="s">
        <v>565</v>
      </c>
    </row>
    <row r="65" spans="13:15" x14ac:dyDescent="0.25">
      <c r="M65" s="109" t="s">
        <v>521</v>
      </c>
      <c r="O65" t="s">
        <v>566</v>
      </c>
    </row>
    <row r="66" spans="13:15" x14ac:dyDescent="0.25">
      <c r="M66" s="109" t="s">
        <v>522</v>
      </c>
    </row>
    <row r="67" spans="13:15" x14ac:dyDescent="0.25">
      <c r="M67" s="109" t="s">
        <v>523</v>
      </c>
    </row>
    <row r="68" spans="13:15" x14ac:dyDescent="0.25">
      <c r="M68" s="109" t="s">
        <v>524</v>
      </c>
    </row>
    <row r="69" spans="13:15" x14ac:dyDescent="0.25">
      <c r="M69" s="109" t="s">
        <v>525</v>
      </c>
    </row>
    <row r="70" spans="13:15" x14ac:dyDescent="0.25">
      <c r="M70" s="109" t="s">
        <v>526</v>
      </c>
    </row>
    <row r="71" spans="13:15" x14ac:dyDescent="0.25">
      <c r="M71" s="109" t="s">
        <v>527</v>
      </c>
    </row>
    <row r="72" spans="13:15" x14ac:dyDescent="0.25">
      <c r="M72" s="109" t="s">
        <v>528</v>
      </c>
    </row>
  </sheetData>
  <mergeCells count="11">
    <mergeCell ref="AQ15:AT15"/>
    <mergeCell ref="F10:F11"/>
    <mergeCell ref="T13:AE13"/>
    <mergeCell ref="AQ13:AT13"/>
    <mergeCell ref="T14:AE14"/>
    <mergeCell ref="AQ14:AT14"/>
    <mergeCell ref="F15:J15"/>
    <mergeCell ref="M15:Q15"/>
    <mergeCell ref="T15:X15"/>
    <mergeCell ref="AA15:AE15"/>
    <mergeCell ref="AI15:AM15"/>
  </mergeCells>
  <pageMargins left="0.7" right="0.7" top="0.75" bottom="0.75" header="0.3" footer="0.3"/>
  <pageSetup paperSize="9" orientation="portrait" horizontalDpi="4294967293" verticalDpi="0" r:id="rId1"/>
  <legacyDrawing r:id="rId2"/>
  <tableParts count="7">
    <tablePart r:id="rId3"/>
    <tablePart r:id="rId4"/>
    <tablePart r:id="rId5"/>
    <tablePart r:id="rId6"/>
    <tablePart r:id="rId7"/>
    <tablePart r:id="rId8"/>
    <tablePart r:id="rId9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BAAA9-6193-47C2-A35D-C74AC839D87C}">
  <dimension ref="A1:AV69"/>
  <sheetViews>
    <sheetView topLeftCell="A19" workbookViewId="0">
      <selection activeCell="M61" sqref="M61:M69"/>
    </sheetView>
  </sheetViews>
  <sheetFormatPr defaultRowHeight="15" x14ac:dyDescent="0.25"/>
  <cols>
    <col min="1" max="1" width="9.28515625" customWidth="1"/>
    <col min="5" max="5" width="2.7109375" customWidth="1"/>
    <col min="6" max="6" width="10.28515625" customWidth="1"/>
    <col min="12" max="12" width="2.140625" customWidth="1"/>
    <col min="13" max="13" width="10.28515625" customWidth="1"/>
    <col min="19" max="19" width="2" customWidth="1"/>
    <col min="20" max="20" width="9.5703125" bestFit="1" customWidth="1"/>
    <col min="21" max="21" width="10.28515625" customWidth="1"/>
    <col min="26" max="26" width="2" customWidth="1"/>
    <col min="27" max="27" width="7.7109375" customWidth="1"/>
    <col min="28" max="29" width="8.5703125" customWidth="1"/>
    <col min="30" max="30" width="9.85546875" customWidth="1"/>
    <col min="31" max="31" width="8.42578125" customWidth="1"/>
    <col min="33" max="33" width="2.140625" customWidth="1"/>
    <col min="34" max="34" width="2" customWidth="1"/>
    <col min="35" max="35" width="10" customWidth="1"/>
    <col min="39" max="39" width="10.5703125" customWidth="1"/>
    <col min="41" max="41" width="1.5703125" customWidth="1"/>
    <col min="42" max="42" width="1.140625" customWidth="1"/>
    <col min="46" max="46" width="10.7109375" customWidth="1"/>
    <col min="47" max="47" width="10.85546875" customWidth="1"/>
  </cols>
  <sheetData>
    <row r="1" spans="1:48" ht="15.75" x14ac:dyDescent="0.25">
      <c r="C1" s="80" t="s">
        <v>0</v>
      </c>
      <c r="D1">
        <f>14.71*4</f>
        <v>58.84</v>
      </c>
      <c r="F1" s="80" t="s">
        <v>71</v>
      </c>
      <c r="G1">
        <v>0.26019999999999999</v>
      </c>
      <c r="I1" s="80" t="s">
        <v>72</v>
      </c>
      <c r="J1">
        <v>0.5</v>
      </c>
      <c r="M1" s="80" t="s">
        <v>73</v>
      </c>
      <c r="N1">
        <v>1165</v>
      </c>
    </row>
    <row r="2" spans="1:48" ht="15.75" x14ac:dyDescent="0.25">
      <c r="C2" s="80" t="s">
        <v>1</v>
      </c>
      <c r="D2">
        <f>bounty</f>
        <v>0</v>
      </c>
      <c r="F2" s="80" t="s">
        <v>74</v>
      </c>
      <c r="G2">
        <v>0.35099999999999998</v>
      </c>
      <c r="I2" s="80" t="s">
        <v>75</v>
      </c>
      <c r="J2">
        <v>0.5</v>
      </c>
      <c r="M2" s="80" t="s">
        <v>76</v>
      </c>
      <c r="N2">
        <v>0</v>
      </c>
    </row>
    <row r="3" spans="1:48" ht="15.75" x14ac:dyDescent="0.25">
      <c r="C3" s="80" t="s">
        <v>77</v>
      </c>
      <c r="D3">
        <v>2000</v>
      </c>
      <c r="F3" s="80" t="s">
        <v>78</v>
      </c>
      <c r="G3">
        <v>0.38890000000000002</v>
      </c>
      <c r="M3" s="80" t="s">
        <v>79</v>
      </c>
      <c r="N3">
        <v>0</v>
      </c>
    </row>
    <row r="4" spans="1:48" ht="15.75" x14ac:dyDescent="0.25">
      <c r="F4" s="80" t="s">
        <v>80</v>
      </c>
      <c r="G4">
        <v>0</v>
      </c>
      <c r="M4" s="80" t="s">
        <v>81</v>
      </c>
      <c r="N4">
        <v>345</v>
      </c>
    </row>
    <row r="5" spans="1:48" ht="6" customHeight="1" x14ac:dyDescent="0.25"/>
    <row r="6" spans="1:48" x14ac:dyDescent="0.25">
      <c r="C6" t="s">
        <v>82</v>
      </c>
      <c r="D6" t="s">
        <v>83</v>
      </c>
    </row>
    <row r="7" spans="1:48" x14ac:dyDescent="0.25">
      <c r="C7" t="s">
        <v>84</v>
      </c>
      <c r="D7" t="s">
        <v>85</v>
      </c>
    </row>
    <row r="8" spans="1:48" x14ac:dyDescent="0.25">
      <c r="C8" t="s">
        <v>86</v>
      </c>
      <c r="D8" t="s">
        <v>87</v>
      </c>
    </row>
    <row r="9" spans="1:48" ht="6" customHeight="1" x14ac:dyDescent="0.25"/>
    <row r="10" spans="1:48" x14ac:dyDescent="0.25">
      <c r="F10" s="94" t="s">
        <v>88</v>
      </c>
      <c r="G10" s="81" t="s">
        <v>89</v>
      </c>
      <c r="H10" s="81" t="s">
        <v>90</v>
      </c>
      <c r="I10" s="81" t="s">
        <v>91</v>
      </c>
    </row>
    <row r="11" spans="1:48" ht="18.75" x14ac:dyDescent="0.3">
      <c r="F11" s="95"/>
      <c r="G11" s="81">
        <v>1</v>
      </c>
      <c r="H11" s="81">
        <v>0</v>
      </c>
      <c r="I11" s="82">
        <v>0</v>
      </c>
      <c r="J11" s="84"/>
      <c r="K11" s="84"/>
    </row>
    <row r="12" spans="1:48" ht="19.5" thickBot="1" x14ac:dyDescent="0.35">
      <c r="F12" s="84"/>
      <c r="G12" s="84"/>
      <c r="H12" s="84"/>
      <c r="I12" s="84"/>
      <c r="J12" s="84"/>
      <c r="K12" s="84"/>
      <c r="V12" t="s">
        <v>92</v>
      </c>
      <c r="AC12" t="s">
        <v>93</v>
      </c>
    </row>
    <row r="13" spans="1:48" ht="20.25" thickTop="1" thickBot="1" x14ac:dyDescent="0.35">
      <c r="F13" s="84"/>
      <c r="G13" s="84"/>
      <c r="H13" s="84"/>
      <c r="I13" s="84"/>
      <c r="J13" s="84"/>
      <c r="K13" s="84"/>
      <c r="T13" s="96" t="s">
        <v>94</v>
      </c>
      <c r="U13" s="97"/>
      <c r="V13" s="97"/>
      <c r="W13" s="97"/>
      <c r="X13" s="97"/>
      <c r="Y13" s="97"/>
      <c r="Z13" s="97"/>
      <c r="AA13" s="97"/>
      <c r="AB13" s="97"/>
      <c r="AC13" s="97"/>
      <c r="AD13" s="97"/>
      <c r="AE13" s="98"/>
      <c r="AQ13" s="96" t="s">
        <v>95</v>
      </c>
      <c r="AR13" s="97"/>
      <c r="AS13" s="97"/>
      <c r="AT13" s="97"/>
    </row>
    <row r="14" spans="1:48" ht="20.25" thickTop="1" thickBot="1" x14ac:dyDescent="0.35">
      <c r="F14" s="84"/>
      <c r="G14" s="84"/>
      <c r="H14" s="84" t="s">
        <v>96</v>
      </c>
      <c r="I14" s="84"/>
      <c r="J14" s="84"/>
      <c r="K14" s="84"/>
      <c r="O14" t="s">
        <v>97</v>
      </c>
      <c r="T14" s="96" t="s">
        <v>98</v>
      </c>
      <c r="U14" s="97"/>
      <c r="V14" s="97"/>
      <c r="W14" s="97"/>
      <c r="X14" s="97"/>
      <c r="Y14" s="97"/>
      <c r="Z14" s="97"/>
      <c r="AA14" s="97"/>
      <c r="AB14" s="97"/>
      <c r="AC14" s="97"/>
      <c r="AD14" s="97"/>
      <c r="AE14" s="98"/>
      <c r="AK14" t="s">
        <v>99</v>
      </c>
      <c r="AQ14" s="96"/>
      <c r="AR14" s="97"/>
      <c r="AS14" s="97"/>
      <c r="AT14" s="97"/>
    </row>
    <row r="15" spans="1:48" ht="19.5" thickTop="1" x14ac:dyDescent="0.3">
      <c r="F15" s="88" t="s">
        <v>100</v>
      </c>
      <c r="G15" s="89"/>
      <c r="H15" s="89"/>
      <c r="I15" s="89"/>
      <c r="J15" s="90"/>
      <c r="K15" s="84"/>
      <c r="M15" s="88" t="s">
        <v>101</v>
      </c>
      <c r="N15" s="89"/>
      <c r="O15" s="89"/>
      <c r="P15" s="89"/>
      <c r="Q15" s="90"/>
      <c r="R15" s="84"/>
      <c r="T15" s="99" t="s">
        <v>102</v>
      </c>
      <c r="U15" s="100"/>
      <c r="V15" s="100"/>
      <c r="W15" s="100"/>
      <c r="X15" s="101"/>
      <c r="Y15" s="84"/>
      <c r="AA15" s="99" t="s">
        <v>103</v>
      </c>
      <c r="AB15" s="100"/>
      <c r="AC15" s="100"/>
      <c r="AD15" s="100"/>
      <c r="AE15" s="101"/>
      <c r="AI15" s="85" t="s">
        <v>10</v>
      </c>
      <c r="AJ15" s="86"/>
      <c r="AK15" s="86"/>
      <c r="AL15" s="86"/>
      <c r="AM15" s="87"/>
      <c r="AQ15" s="91" t="s">
        <v>104</v>
      </c>
      <c r="AR15" s="92"/>
      <c r="AS15" s="92"/>
      <c r="AT15" s="93"/>
    </row>
    <row r="16" spans="1:48" x14ac:dyDescent="0.25">
      <c r="A16" t="s">
        <v>105</v>
      </c>
      <c r="B16" t="s">
        <v>12</v>
      </c>
      <c r="C16" t="s">
        <v>13</v>
      </c>
      <c r="D16" t="s">
        <v>106</v>
      </c>
      <c r="F16" s="5" t="s">
        <v>107</v>
      </c>
      <c r="G16" t="s">
        <v>12</v>
      </c>
      <c r="H16" t="s">
        <v>108</v>
      </c>
      <c r="I16" t="s">
        <v>109</v>
      </c>
      <c r="J16" s="5" t="s">
        <v>1</v>
      </c>
      <c r="K16" s="5" t="s">
        <v>110</v>
      </c>
      <c r="M16" s="5" t="s">
        <v>107</v>
      </c>
      <c r="N16" s="5" t="s">
        <v>12</v>
      </c>
      <c r="O16" s="5" t="s">
        <v>108</v>
      </c>
      <c r="P16" s="5" t="s">
        <v>109</v>
      </c>
      <c r="Q16" s="5" t="s">
        <v>1</v>
      </c>
      <c r="R16" s="5" t="s">
        <v>110</v>
      </c>
      <c r="T16" s="5" t="s">
        <v>107</v>
      </c>
      <c r="U16" s="5" t="s">
        <v>12</v>
      </c>
      <c r="V16" s="5" t="s">
        <v>108</v>
      </c>
      <c r="W16" s="5" t="s">
        <v>109</v>
      </c>
      <c r="X16" s="5" t="s">
        <v>1</v>
      </c>
      <c r="Y16" s="5" t="s">
        <v>110</v>
      </c>
      <c r="AA16" s="5" t="s">
        <v>107</v>
      </c>
      <c r="AB16" s="5" t="s">
        <v>12</v>
      </c>
      <c r="AC16" s="5" t="s">
        <v>108</v>
      </c>
      <c r="AD16" s="5" t="s">
        <v>109</v>
      </c>
      <c r="AE16" s="5" t="s">
        <v>1</v>
      </c>
      <c r="AF16" t="s">
        <v>110</v>
      </c>
      <c r="AI16" s="5" t="s">
        <v>107</v>
      </c>
      <c r="AJ16" s="5" t="s">
        <v>12</v>
      </c>
      <c r="AK16" s="5" t="s">
        <v>108</v>
      </c>
      <c r="AL16" s="5" t="s">
        <v>109</v>
      </c>
      <c r="AM16" s="5" t="s">
        <v>1</v>
      </c>
      <c r="AN16" t="s">
        <v>110</v>
      </c>
      <c r="AQ16" s="5" t="s">
        <v>109</v>
      </c>
      <c r="AR16" s="5" t="s">
        <v>1</v>
      </c>
      <c r="AS16" s="5" t="s">
        <v>104</v>
      </c>
      <c r="AT16" s="5" t="s">
        <v>111</v>
      </c>
      <c r="AU16" t="s">
        <v>112</v>
      </c>
      <c r="AV16" t="s">
        <v>113</v>
      </c>
    </row>
    <row r="17" spans="1:48" s="17" customFormat="1" x14ac:dyDescent="0.25">
      <c r="A17" s="17">
        <v>1</v>
      </c>
      <c r="B17" s="26">
        <v>730</v>
      </c>
      <c r="C17" s="26" t="s">
        <v>215</v>
      </c>
      <c r="D17" s="17">
        <v>60</v>
      </c>
      <c r="F17" s="83">
        <f>COUNTIF(T_p121351982[stack],"&gt;0")</f>
        <v>2</v>
      </c>
      <c r="G17" s="17">
        <f>IF(T_init2034481[[#This Row],[p]]=1,mainpot+sidepot1+sidepot2+uncalled,IF(T_init2034481[[#This Row],[p]]&gt;1,0,T_init2034481[[#This Row],[stack]]-T_init2034481[[#This Row],[anteblinds]]))</f>
        <v>1510</v>
      </c>
      <c r="H17" s="26">
        <v>0.755</v>
      </c>
      <c r="I17" s="18">
        <f>T_p121351982[[#This Row],[EQ]]*prize</f>
        <v>44.424200000000006</v>
      </c>
      <c r="J17" s="67">
        <f>IF(T_init2034481[[#This Row],[p]]=1,T_p121351982[[#This Row],[players]]*T_p121351982[[#This Row],[stack]]/chips+COUNTIF(T_p121351982[stack],0),T_p121351982[[#This Row],[players]]*T_p121351982[[#This Row],[stack]]/chips)</f>
        <v>5.51</v>
      </c>
      <c r="K17" s="67">
        <f>T_p121351982[[#This Row],[ICM]]+bounty*T_p121351982[[#This Row],[KO]]</f>
        <v>44.424200000000006</v>
      </c>
      <c r="M17" s="19">
        <f>COUNTIF(T_p222362583[stack],"&gt;0")</f>
        <v>3</v>
      </c>
      <c r="N17" s="17">
        <f>IF(T_init2034481[[#This Row],[p]]=1,uncalled,IF(T_init2034481[[#This Row],[p]]=2,mainpot+sidepot1+sidepot2,IF(T_init2034481[[#This Row],[p]]&gt;2,0,T_init2034481[[#This Row],[stack]]-T_init2034481[[#This Row],[anteblinds]])))</f>
        <v>345</v>
      </c>
      <c r="O17" s="26">
        <v>0.17249999999999999</v>
      </c>
      <c r="P17" s="18">
        <f>T_p222362583[[#This Row],[EQ]]*prize</f>
        <v>10.149900000000001</v>
      </c>
      <c r="Q17" s="67">
        <f>IF(T_init2034481[[#This Row],[p]]=2,T_p222362583[[#This Row],[players]]*T_p222362583[[#This Row],[stack]]/chips+COUNTIF(T_p222362583[stack],0),T_p222362583[[#This Row],[players]]*T_p222362583[[#This Row],[stack]]/chips)</f>
        <v>0.51749999999999996</v>
      </c>
      <c r="R17" s="67">
        <f>T_p222362583[[#This Row],[ICM]]+bounty*T_p222362583[[#This Row],[KO]]</f>
        <v>10.149900000000001</v>
      </c>
      <c r="T17" s="83">
        <f>COUNTIF(T_p3p123372684[stack],"&gt;0")</f>
        <v>3</v>
      </c>
      <c r="U17" s="17">
        <f>IF(T_init2034481[[#This Row],[p]]=1,sidepot1+uncalled,IF(T_init2034481[[#This Row],[p]]=3,mainpot,IF(ISBLANK(T_init2034481[[#This Row],[p]]),T_init2034481[[#This Row],[stack]]-T_init2034481[[#This Row],[anteblinds]],0)))</f>
        <v>345</v>
      </c>
      <c r="V17">
        <v>0.17249999999999999</v>
      </c>
      <c r="W17" s="18">
        <f>T_p3p123372684[[#This Row],[EQ]]*prize</f>
        <v>10.149900000000001</v>
      </c>
      <c r="X17" s="67">
        <f>IF(T_init2034481[[#This Row],[p]]=1,T_p3p123372684[[#This Row],[players]]*T_p3p123372684[[#This Row],[stack]]/chips+COUNTIF(T_p3p123372684[stack],0),T_p3p123372684[[#This Row],[players]]*T_p3p123372684[[#This Row],[stack]]/chips)</f>
        <v>3.5175000000000001</v>
      </c>
      <c r="Y17" s="67">
        <f>T_p3p123372684[[#This Row],[ICM]]+bounty*T_p3p123372684[[#This Row],[KO]]</f>
        <v>10.149900000000001</v>
      </c>
      <c r="AA17" s="83">
        <f>COUNTIF(T_p3p224382785[stack],"&gt;0")</f>
        <v>3</v>
      </c>
      <c r="AB17" s="17">
        <f>IF(T_init2034481[[#This Row],[p]]=1,uncalled,IF(T_init2034481[[#This Row],[p]]=2,sidepot1,IF(T_init2034481[[#This Row],[p]]=3,mainpot,IF(ISBLANK(T_init2034481[[#This Row],[p]]),T_init2034481[[#This Row],[stack]]-T_init2034481[[#This Row],[anteblinds]],0))))</f>
        <v>345</v>
      </c>
      <c r="AC17">
        <v>0.17249999999999999</v>
      </c>
      <c r="AD17" s="18">
        <f>T_p3p224382785[[#This Row],[EQ]]*prize</f>
        <v>10.149900000000001</v>
      </c>
      <c r="AE17" s="67">
        <f>IF(T_init2034481[[#This Row],[p]]=2,T_p3p224382785[[#This Row],[players]]*T_p3p224382785[[#This Row],[stack]]/chips+COUNTIF(T_p3p224382785[stack],0),T_p3p224382785[[#This Row],[players]]*T_p3p224382785[[#This Row],[stack]]/chips)</f>
        <v>0.51749999999999996</v>
      </c>
      <c r="AF17" s="67">
        <f>T_p3p224382785[[#This Row],[ICM]]+bounty*T_p3p224382785[[#This Row],[KO]]</f>
        <v>10.149900000000001</v>
      </c>
      <c r="AI17" s="83">
        <v>3</v>
      </c>
      <c r="AJ17" s="17">
        <v>345</v>
      </c>
      <c r="AK17">
        <v>0.17249999999999999</v>
      </c>
      <c r="AL17" s="18">
        <f>T_fact29392886[[#This Row],[EQ]]*prize</f>
        <v>10.149900000000001</v>
      </c>
      <c r="AM17" s="67">
        <f>IF(T_init2034481[[#This Row],[p]]=1,T_fact29392886[[#This Row],[players]]*T_fact29392886[[#This Row],[stack]]/chips+COUNTIF(T_fact29392886[stack],0),T_fact29392886[[#This Row],[players]]*T_fact29392886[[#This Row],[stack]]/chips)</f>
        <v>3.5175000000000001</v>
      </c>
      <c r="AN17" s="67">
        <f>T_fact29392886[[#This Row],[ICM]]+bounty*T_fact29392886[[#This Row],[KO]]</f>
        <v>10.149900000000001</v>
      </c>
      <c r="AQ17" s="69">
        <f>'3w 98s v2'!p3win* ('3w 98s v2'!p1sp1win*T_p3p123372684[[#This Row],[ICM]] + '3w 98s v2'!p2sp1win*T_p3p224382785[[#This Row],[ICM]])
+'3w 98s v2'!p2win*T_p222362583[[#This Row],[ICM]]
+'3w 98s v2'!p1win*T_p121351982[[#This Row],[ICM]]</f>
        <v>19.069087850000003</v>
      </c>
      <c r="AR17" s="23">
        <f>('3w 98s v2'!p3win* ('3w 98s v2'!p1sp1win*T_p3p123372684[[#This Row],[KO]] + '3w 98s v2'!p2sp1win*T_p3p224382785[[#This Row],[KO]])
+'3w 98s v2'!p2win*T_p222362583[[#This Row],[KO]]
+'3w 98s v2'!p1win*T_p121351982[[#This Row],[KO]])*bounty</f>
        <v>0</v>
      </c>
      <c r="AS17" s="69">
        <f>'3w 98s v2'!p3win* ('3w 98s v2'!p1sp1win*T_p3p123372684[[#This Row],[$stack]] + '3w 98s v2'!p2sp1win*T_p3p224382785[[#This Row],[$stack]])
+'3w 98s v2'!p2win*T_p222362583[[#This Row],[$stack]]
+'3w 98s v2'!p1win*T_p121351982[[#This Row],[$stack]]</f>
        <v>19.069087850000003</v>
      </c>
      <c r="AT17" s="23">
        <f>'3w 98s v2'!p3win* ('3w 98s v2'!p1sp1win*T_p3p123372684[[#This Row],[stack]] + '3w 98s v2'!p2sp1win*T_p3p224382785[[#This Row],[stack]])
+'3w 98s v2'!p2win*T_p222362583[[#This Row],[stack]]
+'3w 98s v2'!p1win*T_p121351982[[#This Row],[stack]]</f>
        <v>648.16750000000002</v>
      </c>
      <c r="AU17" s="18">
        <f>T_EV33403087[[#This Row],[chipEV]]-T_fact29392886[[#This Row],[stack]]</f>
        <v>303.16750000000002</v>
      </c>
      <c r="AV17" s="18">
        <f>T_EV33403087[[#This Row],[EV]]-(T_fact29392886[[#This Row],[ICM]]+bounty*T_fact29392886[[#This Row],[KO]])</f>
        <v>8.9191878500000019</v>
      </c>
    </row>
    <row r="18" spans="1:48" x14ac:dyDescent="0.25">
      <c r="B18">
        <v>500</v>
      </c>
      <c r="D18">
        <v>10</v>
      </c>
      <c r="F18" s="5">
        <f>COUNTIF(T_p121351982[stack],"&gt;0")</f>
        <v>2</v>
      </c>
      <c r="G18">
        <f>IF(T_init2034481[[#This Row],[p]]=1,mainpot+sidepot1+sidepot2+uncalled,IF(T_init2034481[[#This Row],[p]]&gt;1,0,T_init2034481[[#This Row],[stack]]-T_init2034481[[#This Row],[anteblinds]]))</f>
        <v>490</v>
      </c>
      <c r="H18">
        <v>0.245</v>
      </c>
      <c r="I18" s="2">
        <f>T_p121351982[[#This Row],[EQ]]*prize</f>
        <v>14.415800000000001</v>
      </c>
      <c r="J18" s="66">
        <f>IF(T_init2034481[[#This Row],[p]]=1,T_p121351982[[#This Row],[players]]*T_p121351982[[#This Row],[stack]]/chips+COUNTIF(T_p121351982[stack],0),T_p121351982[[#This Row],[players]]*T_p121351982[[#This Row],[stack]]/chips)</f>
        <v>0.49</v>
      </c>
      <c r="K18" s="66">
        <f>T_p121351982[[#This Row],[ICM]]+bounty*T_p121351982[[#This Row],[KO]]</f>
        <v>14.415800000000001</v>
      </c>
      <c r="M18" s="10">
        <f>COUNTIF(T_p222362583[stack],"&gt;0")</f>
        <v>3</v>
      </c>
      <c r="N18" s="26">
        <f>IF(T_init2034481[[#This Row],[p]]=1,uncalled,IF(T_init2034481[[#This Row],[p]]=2,mainpot+sidepot1+sidepot2,IF(T_init2034481[[#This Row],[p]]&gt;2,0,T_init2034481[[#This Row],[stack]]-T_init2034481[[#This Row],[anteblinds]])))</f>
        <v>490</v>
      </c>
      <c r="O18">
        <v>0.245</v>
      </c>
      <c r="P18" s="2">
        <f>T_p222362583[[#This Row],[EQ]]*prize</f>
        <v>14.415800000000001</v>
      </c>
      <c r="Q18" s="66">
        <f>IF(T_init2034481[[#This Row],[p]]=2,T_p222362583[[#This Row],[players]]*T_p222362583[[#This Row],[stack]]/chips+COUNTIF(T_p222362583[stack],0),T_p222362583[[#This Row],[players]]*T_p222362583[[#This Row],[stack]]/chips)</f>
        <v>0.73499999999999999</v>
      </c>
      <c r="R18" s="66">
        <f>T_p222362583[[#This Row],[ICM]]+bounty*T_p222362583[[#This Row],[KO]]</f>
        <v>14.415800000000001</v>
      </c>
      <c r="T18" s="5">
        <f>COUNTIF(T_p3p123372684[stack],"&gt;0")</f>
        <v>3</v>
      </c>
      <c r="U18" s="26">
        <f>IF(T_init2034481[[#This Row],[p]]=1,sidepot1+uncalled,IF(T_init2034481[[#This Row],[p]]=3,mainpot,IF(ISBLANK(T_init2034481[[#This Row],[p]]),T_init2034481[[#This Row],[stack]]-T_init2034481[[#This Row],[anteblinds]],0)))</f>
        <v>490</v>
      </c>
      <c r="V18">
        <v>0.245</v>
      </c>
      <c r="W18" s="2">
        <f>T_p3p123372684[[#This Row],[EQ]]*prize</f>
        <v>14.415800000000001</v>
      </c>
      <c r="X18" s="66">
        <f>IF(T_init2034481[[#This Row],[p]]=1,T_p3p123372684[[#This Row],[players]]*T_p3p123372684[[#This Row],[stack]]/chips+COUNTIF(T_p3p123372684[stack],0),T_p3p123372684[[#This Row],[players]]*T_p3p123372684[[#This Row],[stack]]/chips)</f>
        <v>0.73499999999999999</v>
      </c>
      <c r="Y18" s="66">
        <f>T_p3p123372684[[#This Row],[ICM]]+bounty*T_p3p123372684[[#This Row],[KO]]</f>
        <v>14.415800000000001</v>
      </c>
      <c r="AA18" s="5">
        <f>COUNTIF(T_p3p224382785[stack],"&gt;0")</f>
        <v>3</v>
      </c>
      <c r="AB18">
        <f>IF(T_init2034481[[#This Row],[p]]=1,uncalled,IF(T_init2034481[[#This Row],[p]]=2,sidepot1,IF(T_init2034481[[#This Row],[p]]=3,mainpot,IF(ISBLANK(T_init2034481[[#This Row],[p]]),T_init2034481[[#This Row],[stack]]-T_init2034481[[#This Row],[anteblinds]],0))))</f>
        <v>490</v>
      </c>
      <c r="AC18">
        <v>0.245</v>
      </c>
      <c r="AD18" s="2">
        <f>T_p3p224382785[[#This Row],[EQ]]*prize</f>
        <v>14.415800000000001</v>
      </c>
      <c r="AE18" s="66">
        <f>IF(T_init2034481[[#This Row],[p]]=2,T_p3p224382785[[#This Row],[players]]*T_p3p224382785[[#This Row],[stack]]/chips+COUNTIF(T_p3p224382785[stack],0),T_p3p224382785[[#This Row],[players]]*T_p3p224382785[[#This Row],[stack]]/chips)</f>
        <v>0.73499999999999999</v>
      </c>
      <c r="AF18" s="16">
        <f>T_p3p224382785[[#This Row],[ICM]]+bounty*T_p3p224382785[[#This Row],[KO]]</f>
        <v>14.415800000000001</v>
      </c>
      <c r="AI18" s="73">
        <v>3</v>
      </c>
      <c r="AJ18" s="26">
        <v>490</v>
      </c>
      <c r="AK18">
        <v>0.245</v>
      </c>
      <c r="AL18" s="2">
        <f>T_fact29392886[[#This Row],[EQ]]*prize</f>
        <v>14.415800000000001</v>
      </c>
      <c r="AM18" s="66">
        <f>IF(T_init2034481[[#This Row],[p]]=1,T_fact29392886[[#This Row],[players]]*T_fact29392886[[#This Row],[stack]]/chips+COUNTIF(T_fact29392886[stack],0),T_fact29392886[[#This Row],[players]]*T_fact29392886[[#This Row],[stack]]/chips)</f>
        <v>0.73499999999999999</v>
      </c>
      <c r="AN18" s="16">
        <f>T_fact29392886[[#This Row],[ICM]]+bounty*T_fact29392886[[#This Row],[KO]]</f>
        <v>14.415800000000001</v>
      </c>
      <c r="AQ18" s="68">
        <f>'3w 98s v2'!p3win* ('3w 98s v2'!p1sp1win*T_p3p123372684[[#This Row],[ICM]] + '3w 98s v2'!p2sp1win*T_p3p224382785[[#This Row],[ICM]])
+'3w 98s v2'!p2win*T_p222362583[[#This Row],[ICM]]
+'3w 98s v2'!p1win*T_p121351982[[#This Row],[ICM]]</f>
        <v>14.417241580000001</v>
      </c>
      <c r="AR18" s="68">
        <f>('3w 98s v2'!p3win* ('3w 98s v2'!p1sp1win*T_p3p123372684[[#This Row],[KO]] + '3w 98s v2'!p2sp1win*T_p3p224382785[[#This Row],[KO]])
+'3w 98s v2'!p2win*T_p222362583[[#This Row],[KO]]
+'3w 98s v2'!p1win*T_p121351982[[#This Row],[KO]])*bounty</f>
        <v>0</v>
      </c>
      <c r="AS18" s="68">
        <f>'3w 98s v2'!p3win* ('3w 98s v2'!p1sp1win*T_p3p123372684[[#This Row],[$stack]] + '3w 98s v2'!p2sp1win*T_p3p224382785[[#This Row],[$stack]])
+'3w 98s v2'!p2win*T_p222362583[[#This Row],[$stack]]
+'3w 98s v2'!p1win*T_p121351982[[#This Row],[$stack]]</f>
        <v>14.417241580000001</v>
      </c>
      <c r="AT18" s="68">
        <f>'3w 98s v2'!p3win* ('3w 98s v2'!p1sp1win*T_p3p123372684[[#This Row],[stack]] + '3w 98s v2'!p2sp1win*T_p3p224382785[[#This Row],[stack]])
+'3w 98s v2'!p2win*T_p222362583[[#This Row],[stack]]
+'3w 98s v2'!p1win*T_p121351982[[#This Row],[stack]]</f>
        <v>490.04899999999998</v>
      </c>
      <c r="AU18" s="2">
        <f>T_EV33403087[[#This Row],[chipEV]]-T_fact29392886[[#This Row],[stack]]</f>
        <v>4.8999999999978172E-2</v>
      </c>
      <c r="AV18" s="2">
        <f>T_EV33403087[[#This Row],[EV]]-(T_fact29392886[[#This Row],[ICM]]+bounty*T_fact29392886[[#This Row],[KO]])</f>
        <v>1.4415799999998313E-3</v>
      </c>
    </row>
    <row r="19" spans="1:48" x14ac:dyDescent="0.25">
      <c r="A19">
        <v>3</v>
      </c>
      <c r="B19">
        <v>385</v>
      </c>
      <c r="C19" s="26" t="s">
        <v>216</v>
      </c>
      <c r="D19">
        <v>10</v>
      </c>
      <c r="F19" s="5">
        <f>COUNTIF(T_p121351982[stack],"&gt;0")</f>
        <v>2</v>
      </c>
      <c r="G19">
        <f>IF(T_init2034481[[#This Row],[p]]=1,mainpot+sidepot1+sidepot2+uncalled,IF(T_init2034481[[#This Row],[p]]&gt;1,0,T_init2034481[[#This Row],[stack]]-T_init2034481[[#This Row],[anteblinds]]))</f>
        <v>0</v>
      </c>
      <c r="I19" s="2">
        <f>T_p121351982[[#This Row],[EQ]]*prize</f>
        <v>0</v>
      </c>
      <c r="J19" s="66">
        <f>IF(T_init2034481[[#This Row],[p]]=1,T_p121351982[[#This Row],[players]]*T_p121351982[[#This Row],[stack]]/chips+COUNTIF(T_p121351982[stack],0),T_p121351982[[#This Row],[players]]*T_p121351982[[#This Row],[stack]]/chips)</f>
        <v>0</v>
      </c>
      <c r="K19" s="66">
        <f>T_p121351982[[#This Row],[ICM]]+bounty*T_p121351982[[#This Row],[KO]]</f>
        <v>0</v>
      </c>
      <c r="M19" s="10">
        <f>COUNTIF(T_p222362583[stack],"&gt;0")</f>
        <v>3</v>
      </c>
      <c r="N19" s="26">
        <f>IF(T_init2034481[[#This Row],[p]]=1,uncalled,IF(T_init2034481[[#This Row],[p]]=2,mainpot+sidepot1+sidepot2,IF(T_init2034481[[#This Row],[p]]&gt;2,0,T_init2034481[[#This Row],[stack]]-T_init2034481[[#This Row],[anteblinds]])))</f>
        <v>0</v>
      </c>
      <c r="P19" s="2">
        <f>T_p222362583[[#This Row],[EQ]]*prize</f>
        <v>0</v>
      </c>
      <c r="Q19" s="66">
        <f>IF(T_init2034481[[#This Row],[p]]=2,T_p222362583[[#This Row],[players]]*T_p222362583[[#This Row],[stack]]/chips+COUNTIF(T_p222362583[stack],0),T_p222362583[[#This Row],[players]]*T_p222362583[[#This Row],[stack]]/chips)</f>
        <v>0</v>
      </c>
      <c r="R19" s="66">
        <f>T_p222362583[[#This Row],[ICM]]+bounty*T_p222362583[[#This Row],[KO]]</f>
        <v>0</v>
      </c>
      <c r="T19" s="5">
        <f>COUNTIF(T_p3p123372684[stack],"&gt;0")</f>
        <v>3</v>
      </c>
      <c r="U19" s="26">
        <f>IF(T_init2034481[[#This Row],[p]]=1,sidepot1+uncalled,IF(T_init2034481[[#This Row],[p]]=3,mainpot,IF(ISBLANK(T_init2034481[[#This Row],[p]]),T_init2034481[[#This Row],[stack]]-T_init2034481[[#This Row],[anteblinds]],0)))</f>
        <v>1165</v>
      </c>
      <c r="V19" s="26">
        <v>0.58250000000000002</v>
      </c>
      <c r="W19" s="2">
        <f>T_p3p123372684[[#This Row],[EQ]]*prize</f>
        <v>34.274300000000004</v>
      </c>
      <c r="X19" s="66">
        <f>IF(T_init2034481[[#This Row],[p]]=1,T_p3p123372684[[#This Row],[players]]*T_p3p123372684[[#This Row],[stack]]/chips+COUNTIF(T_p3p123372684[stack],0),T_p3p123372684[[#This Row],[players]]*T_p3p123372684[[#This Row],[stack]]/chips)</f>
        <v>1.7475000000000001</v>
      </c>
      <c r="Y19" s="66">
        <f>T_p3p123372684[[#This Row],[ICM]]+bounty*T_p3p123372684[[#This Row],[KO]]</f>
        <v>34.274300000000004</v>
      </c>
      <c r="AA19" s="5">
        <f>COUNTIF(T_p3p224382785[stack],"&gt;0")</f>
        <v>3</v>
      </c>
      <c r="AB19">
        <f>IF(T_init2034481[[#This Row],[p]]=1,uncalled,IF(T_init2034481[[#This Row],[p]]=2,sidepot1,IF(T_init2034481[[#This Row],[p]]=3,mainpot,IF(ISBLANK(T_init2034481[[#This Row],[p]]),T_init2034481[[#This Row],[stack]]-T_init2034481[[#This Row],[anteblinds]],0))))</f>
        <v>1165</v>
      </c>
      <c r="AC19" s="26">
        <v>0.58250000000000002</v>
      </c>
      <c r="AD19" s="2">
        <f>T_p3p224382785[[#This Row],[EQ]]*prize</f>
        <v>34.274300000000004</v>
      </c>
      <c r="AE19" s="66">
        <f>IF(T_init2034481[[#This Row],[p]]=2,T_p3p224382785[[#This Row],[players]]*T_p3p224382785[[#This Row],[stack]]/chips+COUNTIF(T_p3p224382785[stack],0),T_p3p224382785[[#This Row],[players]]*T_p3p224382785[[#This Row],[stack]]/chips)</f>
        <v>1.7475000000000001</v>
      </c>
      <c r="AF19" s="16">
        <f>T_p3p224382785[[#This Row],[ICM]]+bounty*T_p3p224382785[[#This Row],[KO]]</f>
        <v>34.274300000000004</v>
      </c>
      <c r="AI19" s="73">
        <v>3</v>
      </c>
      <c r="AJ19" s="26">
        <v>1165</v>
      </c>
      <c r="AK19" s="26">
        <v>0.58250000000000002</v>
      </c>
      <c r="AL19" s="2">
        <f>T_fact29392886[[#This Row],[EQ]]*prize</f>
        <v>34.274300000000004</v>
      </c>
      <c r="AM19" s="66">
        <f>IF(T_init2034481[[#This Row],[p]]=1,T_fact29392886[[#This Row],[players]]*T_fact29392886[[#This Row],[stack]]/chips+COUNTIF(T_fact29392886[stack],0),T_fact29392886[[#This Row],[players]]*T_fact29392886[[#This Row],[stack]]/chips)</f>
        <v>1.7475000000000001</v>
      </c>
      <c r="AN19" s="16">
        <f>T_fact29392886[[#This Row],[ICM]]+bounty*T_fact29392886[[#This Row],[KO]]</f>
        <v>34.274300000000004</v>
      </c>
      <c r="AQ19" s="68">
        <f>'3w 98s v2'!p3win* ('3w 98s v2'!p1sp1win*T_p3p123372684[[#This Row],[ICM]] + '3w 98s v2'!p2sp1win*T_p3p224382785[[#This Row],[ICM]])
+'3w 98s v2'!p2win*T_p222362583[[#This Row],[ICM]]
+'3w 98s v2'!p1win*T_p121351982[[#This Row],[ICM]]</f>
        <v>13.329275270000002</v>
      </c>
      <c r="AR19" s="68">
        <f>('3w 98s v2'!p3win* ('3w 98s v2'!p1sp1win*T_p3p123372684[[#This Row],[KO]] + '3w 98s v2'!p2sp1win*T_p3p224382785[[#This Row],[KO]])
+'3w 98s v2'!p2win*T_p222362583[[#This Row],[KO]]
+'3w 98s v2'!p1win*T_p121351982[[#This Row],[KO]])*bounty</f>
        <v>0</v>
      </c>
      <c r="AS19" s="68">
        <f>'3w 98s v2'!p3win* ('3w 98s v2'!p1sp1win*T_p3p123372684[[#This Row],[$stack]] + '3w 98s v2'!p2sp1win*T_p3p224382785[[#This Row],[$stack]])
+'3w 98s v2'!p2win*T_p222362583[[#This Row],[$stack]]
+'3w 98s v2'!p1win*T_p121351982[[#This Row],[$stack]]</f>
        <v>13.329275270000002</v>
      </c>
      <c r="AT19" s="68">
        <f>'3w 98s v2'!p3win* ('3w 98s v2'!p1sp1win*T_p3p123372684[[#This Row],[stack]] + '3w 98s v2'!p2sp1win*T_p3p224382785[[#This Row],[stack]])
+'3w 98s v2'!p2win*T_p222362583[[#This Row],[stack]]
+'3w 98s v2'!p1win*T_p121351982[[#This Row],[stack]]</f>
        <v>453.06850000000003</v>
      </c>
      <c r="AU19" s="2">
        <f>T_EV33403087[[#This Row],[chipEV]]-T_fact29392886[[#This Row],[stack]]</f>
        <v>-711.93149999999991</v>
      </c>
      <c r="AV19" s="2">
        <f>T_EV33403087[[#This Row],[EV]]-(T_fact29392886[[#This Row],[ICM]]+bounty*T_fact29392886[[#This Row],[KO]])</f>
        <v>-20.94502473</v>
      </c>
    </row>
    <row r="20" spans="1:48" x14ac:dyDescent="0.25">
      <c r="A20" s="26">
        <v>2</v>
      </c>
      <c r="B20" s="26">
        <v>385</v>
      </c>
      <c r="C20" t="s">
        <v>217</v>
      </c>
      <c r="D20" s="26">
        <v>35</v>
      </c>
      <c r="F20" s="73">
        <f>COUNTIF(T_p121351982[stack],"&gt;0")</f>
        <v>2</v>
      </c>
      <c r="G20" s="26">
        <f>IF(T_init2034481[[#This Row],[p]]=1,mainpot+sidepot1+sidepot2+uncalled,IF(T_init2034481[[#This Row],[p]]&gt;1,0,T_init2034481[[#This Row],[stack]]-T_init2034481[[#This Row],[anteblinds]]))</f>
        <v>0</v>
      </c>
      <c r="H20" s="26"/>
      <c r="I20" s="27">
        <f>T_p121351982[[#This Row],[EQ]]*prize</f>
        <v>0</v>
      </c>
      <c r="J20" s="71">
        <f>IF(T_init2034481[[#This Row],[p]]=1,T_p121351982[[#This Row],[players]]*T_p121351982[[#This Row],[stack]]/chips+COUNTIF(T_p121351982[stack],0),T_p121351982[[#This Row],[players]]*T_p121351982[[#This Row],[stack]]/chips)</f>
        <v>0</v>
      </c>
      <c r="K20" s="71">
        <f>T_p121351982[[#This Row],[ICM]]+bounty*T_p121351982[[#This Row],[KO]]</f>
        <v>0</v>
      </c>
      <c r="M20" s="29">
        <f>COUNTIF(T_p222362583[stack],"&gt;0")</f>
        <v>3</v>
      </c>
      <c r="N20" s="26">
        <f>IF(T_init2034481[[#This Row],[p]]=1,uncalled,IF(T_init2034481[[#This Row],[p]]=2,mainpot+sidepot1+sidepot2,IF(T_init2034481[[#This Row],[p]]&gt;2,0,T_init2034481[[#This Row],[stack]]-T_init2034481[[#This Row],[anteblinds]])))</f>
        <v>1165</v>
      </c>
      <c r="O20">
        <v>0.58250000000000002</v>
      </c>
      <c r="P20" s="27">
        <f>T_p222362583[[#This Row],[EQ]]*prize</f>
        <v>34.274300000000004</v>
      </c>
      <c r="Q20" s="71">
        <f>IF(T_init2034481[[#This Row],[p]]=2,T_p222362583[[#This Row],[players]]*T_p222362583[[#This Row],[stack]]/chips+COUNTIF(T_p222362583[stack],0),T_p222362583[[#This Row],[players]]*T_p222362583[[#This Row],[stack]]/chips)</f>
        <v>4.7475000000000005</v>
      </c>
      <c r="R20" s="71">
        <f>T_p222362583[[#This Row],[ICM]]+bounty*T_p222362583[[#This Row],[KO]]</f>
        <v>34.274300000000004</v>
      </c>
      <c r="T20" s="73">
        <f>COUNTIF(T_p3p123372684[stack],"&gt;0")</f>
        <v>3</v>
      </c>
      <c r="U20" s="26">
        <f>IF(T_init2034481[[#This Row],[p]]=1,sidepot1+uncalled,IF(T_init2034481[[#This Row],[p]]=3,mainpot,IF(ISBLANK(T_init2034481[[#This Row],[p]]),T_init2034481[[#This Row],[stack]]-T_init2034481[[#This Row],[anteblinds]],0)))</f>
        <v>0</v>
      </c>
      <c r="V20" s="26">
        <v>0</v>
      </c>
      <c r="W20" s="27">
        <f>T_p3p123372684[[#This Row],[EQ]]*prize</f>
        <v>0</v>
      </c>
      <c r="X20" s="71">
        <f>IF(T_init2034481[[#This Row],[p]]=1,T_p3p123372684[[#This Row],[players]]*T_p3p123372684[[#This Row],[stack]]/chips+COUNTIF(T_p3p123372684[stack],0),T_p3p123372684[[#This Row],[players]]*T_p3p123372684[[#This Row],[stack]]/chips)</f>
        <v>0</v>
      </c>
      <c r="Y20" s="71">
        <f>T_p3p123372684[[#This Row],[ICM]]+bounty*T_p3p123372684[[#This Row],[KO]]</f>
        <v>0</v>
      </c>
      <c r="AA20" s="73">
        <f>COUNTIF(T_p3p224382785[stack],"&gt;0")</f>
        <v>3</v>
      </c>
      <c r="AB20" s="26">
        <f>IF(T_init2034481[[#This Row],[p]]=1,uncalled,IF(T_init2034481[[#This Row],[p]]=2,sidepot1,IF(T_init2034481[[#This Row],[p]]=3,mainpot,IF(ISBLANK(T_init2034481[[#This Row],[p]]),T_init2034481[[#This Row],[stack]]-T_init2034481[[#This Row],[anteblinds]],0))))</f>
        <v>0</v>
      </c>
      <c r="AC20" s="26">
        <v>0</v>
      </c>
      <c r="AD20" s="27">
        <f>T_p3p224382785[[#This Row],[EQ]]*prize</f>
        <v>0</v>
      </c>
      <c r="AE20" s="71">
        <f>IF(T_init2034481[[#This Row],[p]]=2,T_p3p224382785[[#This Row],[players]]*T_p3p224382785[[#This Row],[stack]]/chips+COUNTIF(T_p3p224382785[stack],0),T_p3p224382785[[#This Row],[players]]*T_p3p224382785[[#This Row],[stack]]/chips)</f>
        <v>3</v>
      </c>
      <c r="AF20" s="16">
        <f>T_p3p224382785[[#This Row],[ICM]]+bounty*T_p3p224382785[[#This Row],[KO]]</f>
        <v>0</v>
      </c>
      <c r="AI20" s="73">
        <v>3</v>
      </c>
      <c r="AJ20" s="26">
        <v>0</v>
      </c>
      <c r="AK20" s="26">
        <v>0</v>
      </c>
      <c r="AL20" s="27">
        <f>T_fact29392886[[#This Row],[EQ]]*prize</f>
        <v>0</v>
      </c>
      <c r="AM20" s="71">
        <f>IF(T_init2034481[[#This Row],[p]]=1,T_fact29392886[[#This Row],[players]]*T_fact29392886[[#This Row],[stack]]/chips+COUNTIF(T_fact29392886[stack],0),T_fact29392886[[#This Row],[players]]*T_fact29392886[[#This Row],[stack]]/chips)</f>
        <v>0</v>
      </c>
      <c r="AN20" s="16">
        <f>T_fact29392886[[#This Row],[ICM]]+bounty*T_fact29392886[[#This Row],[KO]]</f>
        <v>0</v>
      </c>
      <c r="AQ20" s="68">
        <f>'3w 98s v2'!p3win* ('3w 98s v2'!p1sp1win*T_p3p123372684[[#This Row],[ICM]] + '3w 98s v2'!p2sp1win*T_p3p224382785[[#This Row],[ICM]])
+'3w 98s v2'!p2win*T_p222362583[[#This Row],[ICM]]
+'3w 98s v2'!p1win*T_p121351982[[#This Row],[ICM]]</f>
        <v>12.0302793</v>
      </c>
      <c r="AR20" s="72">
        <f>('3w 98s v2'!p3win* ('3w 98s v2'!p1sp1win*T_p3p123372684[[#This Row],[KO]] + '3w 98s v2'!p2sp1win*T_p3p224382785[[#This Row],[KO]])
+'3w 98s v2'!p2win*T_p222362583[[#This Row],[KO]]
+'3w 98s v2'!p1win*T_p121351982[[#This Row],[KO]])*bounty</f>
        <v>0</v>
      </c>
      <c r="AS20" s="72">
        <f>'3w 98s v2'!p3win* ('3w 98s v2'!p1sp1win*T_p3p123372684[[#This Row],[$stack]] + '3w 98s v2'!p2sp1win*T_p3p224382785[[#This Row],[$stack]])
+'3w 98s v2'!p2win*T_p222362583[[#This Row],[$stack]]
+'3w 98s v2'!p1win*T_p121351982[[#This Row],[$stack]]</f>
        <v>12.0302793</v>
      </c>
      <c r="AT20" s="72">
        <f>'3w 98s v2'!p3win* ('3w 98s v2'!p1sp1win*T_p3p123372684[[#This Row],[stack]] + '3w 98s v2'!p2sp1win*T_p3p224382785[[#This Row],[stack]])
+'3w 98s v2'!p2win*T_p222362583[[#This Row],[stack]]
+'3w 98s v2'!p1win*T_p121351982[[#This Row],[stack]]</f>
        <v>408.91499999999996</v>
      </c>
      <c r="AU20" s="2">
        <f>T_EV33403087[[#This Row],[chipEV]]-T_fact29392886[[#This Row],[stack]]</f>
        <v>408.91499999999996</v>
      </c>
      <c r="AV20" s="2">
        <f>T_EV33403087[[#This Row],[EV]]-(T_fact29392886[[#This Row],[ICM]]+bounty*T_fact29392886[[#This Row],[KO]])</f>
        <v>12.0302793</v>
      </c>
    </row>
    <row r="21" spans="1:48" x14ac:dyDescent="0.25">
      <c r="B21">
        <v>0</v>
      </c>
      <c r="F21" s="5">
        <f>COUNTIF(T_p121351982[stack],"&gt;0")</f>
        <v>2</v>
      </c>
      <c r="G21">
        <f>IF(T_init2034481[[#This Row],[p]]=1,mainpot+sidepot1+sidepot2+uncalled,IF(T_init2034481[[#This Row],[p]]&gt;1,0,T_init2034481[[#This Row],[stack]]-T_init2034481[[#This Row],[anteblinds]]))</f>
        <v>0</v>
      </c>
      <c r="I21" s="2">
        <f>T_p121351982[[#This Row],[EQ]]*prize</f>
        <v>0</v>
      </c>
      <c r="J21" s="66">
        <f>IF(T_init2034481[[#This Row],[p]]=1,T_p121351982[[#This Row],[players]]*T_p121351982[[#This Row],[stack]]/chips+COUNTIF(T_p121351982[stack],0),T_p121351982[[#This Row],[players]]*T_p121351982[[#This Row],[stack]]/chips)</f>
        <v>0</v>
      </c>
      <c r="K21" s="66">
        <f>T_p121351982[[#This Row],[ICM]]+bounty*T_p121351982[[#This Row],[KO]]</f>
        <v>0</v>
      </c>
      <c r="M21" s="10">
        <f>COUNTIF(T_p222362583[stack],"&gt;0")</f>
        <v>3</v>
      </c>
      <c r="N21" s="26">
        <f>IF(T_init2034481[[#This Row],[p]]=1,uncalled,IF(T_init2034481[[#This Row],[p]]=2,mainpot+sidepot1+sidepot2,IF(T_init2034481[[#This Row],[p]]&gt;2,0,T_init2034481[[#This Row],[stack]]-T_init2034481[[#This Row],[anteblinds]])))</f>
        <v>0</v>
      </c>
      <c r="O21">
        <v>0</v>
      </c>
      <c r="P21" s="2">
        <f>T_p222362583[[#This Row],[EQ]]*prize</f>
        <v>0</v>
      </c>
      <c r="Q21" s="66">
        <f>IF(T_init2034481[[#This Row],[p]]=2,T_p222362583[[#This Row],[players]]*T_p222362583[[#This Row],[stack]]/chips+COUNTIF(T_p222362583[stack],0),T_p222362583[[#This Row],[players]]*T_p222362583[[#This Row],[stack]]/chips)</f>
        <v>0</v>
      </c>
      <c r="R21" s="66">
        <f>T_p222362583[[#This Row],[ICM]]+bounty*T_p222362583[[#This Row],[KO]]</f>
        <v>0</v>
      </c>
      <c r="T21" s="5">
        <f>COUNTIF(T_p3p123372684[stack],"&gt;0")</f>
        <v>3</v>
      </c>
      <c r="U21" s="26">
        <f>IF(T_init2034481[[#This Row],[p]]=1,sidepot1+uncalled,IF(T_init2034481[[#This Row],[p]]=3,mainpot,IF(ISBLANK(T_init2034481[[#This Row],[p]]),T_init2034481[[#This Row],[stack]]-T_init2034481[[#This Row],[anteblinds]],0)))</f>
        <v>0</v>
      </c>
      <c r="V21">
        <v>0</v>
      </c>
      <c r="W21" s="2">
        <f>T_p3p123372684[[#This Row],[EQ]]*prize</f>
        <v>0</v>
      </c>
      <c r="X21" s="66">
        <f>IF(T_init2034481[[#This Row],[p]]=1,T_p3p123372684[[#This Row],[players]]*T_p3p123372684[[#This Row],[stack]]/chips+COUNTIF(T_p3p123372684[stack],0),T_p3p123372684[[#This Row],[players]]*T_p3p123372684[[#This Row],[stack]]/chips)</f>
        <v>0</v>
      </c>
      <c r="Y21" s="66">
        <f>T_p3p123372684[[#This Row],[ICM]]+bounty*T_p3p123372684[[#This Row],[KO]]</f>
        <v>0</v>
      </c>
      <c r="AA21" s="5">
        <f>COUNTIF(T_p3p224382785[stack],"&gt;0")</f>
        <v>3</v>
      </c>
      <c r="AB21">
        <f>IF(T_init2034481[[#This Row],[p]]=1,uncalled,IF(T_init2034481[[#This Row],[p]]=2,sidepot1,IF(T_init2034481[[#This Row],[p]]=3,mainpot,IF(ISBLANK(T_init2034481[[#This Row],[p]]),T_init2034481[[#This Row],[stack]]-T_init2034481[[#This Row],[anteblinds]],0))))</f>
        <v>0</v>
      </c>
      <c r="AC21">
        <v>0</v>
      </c>
      <c r="AD21" s="2">
        <f>T_p3p224382785[[#This Row],[EQ]]*prize</f>
        <v>0</v>
      </c>
      <c r="AE21" s="66">
        <f>IF(T_init2034481[[#This Row],[p]]=2,T_p3p224382785[[#This Row],[players]]*T_p3p224382785[[#This Row],[stack]]/chips+COUNTIF(T_p3p224382785[stack],0),T_p3p224382785[[#This Row],[players]]*T_p3p224382785[[#This Row],[stack]]/chips)</f>
        <v>0</v>
      </c>
      <c r="AF21" s="16">
        <f>T_p3p224382785[[#This Row],[ICM]]+bounty*T_p3p224382785[[#This Row],[KO]]</f>
        <v>0</v>
      </c>
      <c r="AI21" s="73">
        <v>3</v>
      </c>
      <c r="AJ21" s="26">
        <v>0</v>
      </c>
      <c r="AL21" s="2">
        <f>T_fact29392886[[#This Row],[EQ]]*prize</f>
        <v>0</v>
      </c>
      <c r="AM21" s="66">
        <f>IF(T_init2034481[[#This Row],[p]]=1,T_fact29392886[[#This Row],[players]]*T_fact29392886[[#This Row],[stack]]/chips+COUNTIF(T_fact29392886[stack],0),T_fact29392886[[#This Row],[players]]*T_fact29392886[[#This Row],[stack]]/chips)</f>
        <v>0</v>
      </c>
      <c r="AN21" s="16">
        <f>T_fact29392886[[#This Row],[ICM]]+bounty*T_fact29392886[[#This Row],[KO]]</f>
        <v>0</v>
      </c>
      <c r="AQ21" s="68">
        <f>'3w 98s v2'!p3win* ('3w 98s v2'!p1sp1win*T_p3p123372684[[#This Row],[ICM]] + '3w 98s v2'!p2sp1win*T_p3p224382785[[#This Row],[ICM]])
+'3w 98s v2'!p2win*T_p222362583[[#This Row],[ICM]]
+'3w 98s v2'!p1win*T_p121351982[[#This Row],[ICM]]</f>
        <v>0</v>
      </c>
      <c r="AR21" s="68">
        <f>('3w 98s v2'!p3win* ('3w 98s v2'!p1sp1win*T_p3p123372684[[#This Row],[KO]] + '3w 98s v2'!p2sp1win*T_p3p224382785[[#This Row],[KO]])
+'3w 98s v2'!p2win*T_p222362583[[#This Row],[KO]]
+'3w 98s v2'!p1win*T_p121351982[[#This Row],[KO]])*bounty</f>
        <v>0</v>
      </c>
      <c r="AS21" s="68">
        <f>'3w 98s v2'!p3win* ('3w 98s v2'!p1sp1win*T_p3p123372684[[#This Row],[$stack]] + '3w 98s v2'!p2sp1win*T_p3p224382785[[#This Row],[$stack]])
+'3w 98s v2'!p2win*T_p222362583[[#This Row],[$stack]]
+'3w 98s v2'!p1win*T_p121351982[[#This Row],[$stack]]</f>
        <v>0</v>
      </c>
      <c r="AT21" s="68">
        <f>'3w 98s v2'!p3win* ('3w 98s v2'!p1sp1win*T_p3p123372684[[#This Row],[stack]] + '3w 98s v2'!p2sp1win*T_p3p224382785[[#This Row],[stack]])
+'3w 98s v2'!p2win*T_p222362583[[#This Row],[stack]]
+'3w 98s v2'!p1win*T_p121351982[[#This Row],[stack]]</f>
        <v>0</v>
      </c>
      <c r="AU21" s="2">
        <f>T_EV33403087[[#This Row],[chipEV]]-T_fact29392886[[#This Row],[stack]]</f>
        <v>0</v>
      </c>
      <c r="AV21" s="2">
        <f>T_EV33403087[[#This Row],[EV]]-(T_fact29392886[[#This Row],[ICM]]+bounty*T_fact29392886[[#This Row],[KO]])</f>
        <v>0</v>
      </c>
    </row>
    <row r="22" spans="1:48" x14ac:dyDescent="0.25">
      <c r="B22">
        <v>0</v>
      </c>
      <c r="F22" s="5">
        <f>COUNTIF(T_p121351982[stack],"&gt;0")</f>
        <v>2</v>
      </c>
      <c r="G22">
        <f>IF(T_init2034481[[#This Row],[p]]=1,mainpot+sidepot1+sidepot2+uncalled,IF(T_init2034481[[#This Row],[p]]&gt;1,0,T_init2034481[[#This Row],[stack]]-T_init2034481[[#This Row],[anteblinds]]))</f>
        <v>0</v>
      </c>
      <c r="I22" s="2">
        <f>T_p121351982[[#This Row],[EQ]]*prize</f>
        <v>0</v>
      </c>
      <c r="J22" s="66">
        <f>IF(T_init2034481[[#This Row],[p]]=1,T_p121351982[[#This Row],[players]]*T_p121351982[[#This Row],[stack]]/chips+COUNTIF(T_p121351982[stack],0),T_p121351982[[#This Row],[players]]*T_p121351982[[#This Row],[stack]]/chips)</f>
        <v>0</v>
      </c>
      <c r="K22" s="66">
        <f>T_p121351982[[#This Row],[ICM]]+bounty*T_p121351982[[#This Row],[KO]]</f>
        <v>0</v>
      </c>
      <c r="M22" s="10">
        <f>COUNTIF(T_p222362583[stack],"&gt;0")</f>
        <v>3</v>
      </c>
      <c r="N22" s="26">
        <f>IF(T_init2034481[[#This Row],[p]]=1,uncalled,IF(T_init2034481[[#This Row],[p]]=2,mainpot+sidepot1+sidepot2,IF(T_init2034481[[#This Row],[p]]&gt;2,0,T_init2034481[[#This Row],[stack]]-T_init2034481[[#This Row],[anteblinds]])))</f>
        <v>0</v>
      </c>
      <c r="P22" s="2">
        <f>T_p222362583[[#This Row],[EQ]]*prize</f>
        <v>0</v>
      </c>
      <c r="Q22" s="66">
        <f>IF(T_init2034481[[#This Row],[p]]=2,T_p222362583[[#This Row],[players]]*T_p222362583[[#This Row],[stack]]/chips+COUNTIF(T_p222362583[stack],0),T_p222362583[[#This Row],[players]]*T_p222362583[[#This Row],[stack]]/chips)</f>
        <v>0</v>
      </c>
      <c r="R22" s="66">
        <f>T_p222362583[[#This Row],[ICM]]+bounty*T_p222362583[[#This Row],[KO]]</f>
        <v>0</v>
      </c>
      <c r="T22" s="5">
        <f>COUNTIF(T_p3p123372684[stack],"&gt;0")</f>
        <v>3</v>
      </c>
      <c r="U22" s="26">
        <f>IF(T_init2034481[[#This Row],[p]]=1,sidepot1+uncalled,IF(T_init2034481[[#This Row],[p]]=3,mainpot,IF(ISBLANK(T_init2034481[[#This Row],[p]]),T_init2034481[[#This Row],[stack]]-T_init2034481[[#This Row],[anteblinds]],0)))</f>
        <v>0</v>
      </c>
      <c r="V22">
        <v>0</v>
      </c>
      <c r="W22" s="2">
        <f>T_p3p123372684[[#This Row],[EQ]]*prize</f>
        <v>0</v>
      </c>
      <c r="X22" s="66">
        <f>IF(T_init2034481[[#This Row],[p]]=1,T_p3p123372684[[#This Row],[players]]*T_p3p123372684[[#This Row],[stack]]/chips+COUNTIF(T_p3p123372684[stack],0),T_p3p123372684[[#This Row],[players]]*T_p3p123372684[[#This Row],[stack]]/chips)</f>
        <v>0</v>
      </c>
      <c r="Y22" s="66">
        <f>T_p3p123372684[[#This Row],[ICM]]+bounty*T_p3p123372684[[#This Row],[KO]]</f>
        <v>0</v>
      </c>
      <c r="AA22" s="5">
        <f>COUNTIF(T_p3p224382785[stack],"&gt;0")</f>
        <v>3</v>
      </c>
      <c r="AB22">
        <f>IF(T_init2034481[[#This Row],[p]]=1,uncalled,IF(T_init2034481[[#This Row],[p]]=2,sidepot1,IF(T_init2034481[[#This Row],[p]]=3,mainpot,IF(ISBLANK(T_init2034481[[#This Row],[p]]),T_init2034481[[#This Row],[stack]]-T_init2034481[[#This Row],[anteblinds]],0))))</f>
        <v>0</v>
      </c>
      <c r="AC22">
        <v>0</v>
      </c>
      <c r="AD22" s="2">
        <f>T_p3p224382785[[#This Row],[EQ]]*prize</f>
        <v>0</v>
      </c>
      <c r="AE22" s="66">
        <f>IF(T_init2034481[[#This Row],[p]]=2,T_p3p224382785[[#This Row],[players]]*T_p3p224382785[[#This Row],[stack]]/chips+COUNTIF(T_p3p224382785[stack],0),T_p3p224382785[[#This Row],[players]]*T_p3p224382785[[#This Row],[stack]]/chips)</f>
        <v>0</v>
      </c>
      <c r="AF22" s="16">
        <f>T_p3p224382785[[#This Row],[ICM]]+bounty*T_p3p224382785[[#This Row],[KO]]</f>
        <v>0</v>
      </c>
      <c r="AI22" s="73">
        <v>3</v>
      </c>
      <c r="AJ22" s="26">
        <v>0</v>
      </c>
      <c r="AL22" s="2">
        <f>T_fact29392886[[#This Row],[EQ]]*prize</f>
        <v>0</v>
      </c>
      <c r="AM22" s="66">
        <f>IF(T_init2034481[[#This Row],[p]]=1,T_fact29392886[[#This Row],[players]]*T_fact29392886[[#This Row],[stack]]/chips+COUNTIF(T_fact29392886[stack],0),T_fact29392886[[#This Row],[players]]*T_fact29392886[[#This Row],[stack]]/chips)</f>
        <v>0</v>
      </c>
      <c r="AN22" s="16">
        <f>T_fact29392886[[#This Row],[ICM]]+bounty*T_fact29392886[[#This Row],[KO]]</f>
        <v>0</v>
      </c>
      <c r="AQ22" s="68">
        <f>'3w 98s v2'!p3win* ('3w 98s v2'!p1sp1win*T_p3p123372684[[#This Row],[ICM]] + '3w 98s v2'!p2sp1win*T_p3p224382785[[#This Row],[ICM]])
+'3w 98s v2'!p2win*T_p222362583[[#This Row],[ICM]]
+'3w 98s v2'!p1win*T_p121351982[[#This Row],[ICM]]</f>
        <v>0</v>
      </c>
      <c r="AR22" s="68">
        <f>('3w 98s v2'!p3win* ('3w 98s v2'!p1sp1win*T_p3p123372684[[#This Row],[KO]] + '3w 98s v2'!p2sp1win*T_p3p224382785[[#This Row],[KO]])
+'3w 98s v2'!p2win*T_p222362583[[#This Row],[KO]]
+'3w 98s v2'!p1win*T_p121351982[[#This Row],[KO]])*bounty</f>
        <v>0</v>
      </c>
      <c r="AS22" s="68">
        <f>'3w 98s v2'!p3win* ('3w 98s v2'!p1sp1win*T_p3p123372684[[#This Row],[$stack]] + '3w 98s v2'!p2sp1win*T_p3p224382785[[#This Row],[$stack]])
+'3w 98s v2'!p2win*T_p222362583[[#This Row],[$stack]]
+'3w 98s v2'!p1win*T_p121351982[[#This Row],[$stack]]</f>
        <v>0</v>
      </c>
      <c r="AT22" s="68">
        <f>'3w 98s v2'!p3win* ('3w 98s v2'!p1sp1win*T_p3p123372684[[#This Row],[stack]] + '3w 98s v2'!p2sp1win*T_p3p224382785[[#This Row],[stack]])
+'3w 98s v2'!p2win*T_p222362583[[#This Row],[stack]]
+'3w 98s v2'!p1win*T_p121351982[[#This Row],[stack]]</f>
        <v>0</v>
      </c>
      <c r="AU22" s="2">
        <f>T_EV33403087[[#This Row],[chipEV]]-T_fact29392886[[#This Row],[stack]]</f>
        <v>0</v>
      </c>
      <c r="AV22" s="2">
        <f>T_EV33403087[[#This Row],[EV]]-(T_fact29392886[[#This Row],[ICM]]+bounty*T_fact29392886[[#This Row],[KO]])</f>
        <v>0</v>
      </c>
    </row>
    <row r="23" spans="1:48" x14ac:dyDescent="0.25">
      <c r="A23" t="s">
        <v>95</v>
      </c>
      <c r="D23">
        <f>SUBTOTAL(109,T_init2034481[anteblinds])</f>
        <v>115</v>
      </c>
      <c r="F23" s="53"/>
      <c r="G23" s="50">
        <f>SUM(T_p121351982[stack])</f>
        <v>2000</v>
      </c>
      <c r="H23" s="50">
        <f>SUM(T_p121351982[EQ])</f>
        <v>1</v>
      </c>
      <c r="I23" s="50">
        <f>SUM(T_p121351982[ICM])</f>
        <v>58.84</v>
      </c>
      <c r="J23" s="50">
        <f>SUM(T_p121351982[KO])</f>
        <v>6</v>
      </c>
      <c r="K23" s="50">
        <f>SUM(T_p121351982[$stack])</f>
        <v>58.84</v>
      </c>
      <c r="M23" s="53"/>
      <c r="N23" s="55">
        <f>SUM(T_p222362583[stack])</f>
        <v>2000</v>
      </c>
      <c r="O23" s="50">
        <f>SUM(T_p222362583[EQ])</f>
        <v>1</v>
      </c>
      <c r="P23" s="51">
        <f>SUM(T_p222362583[ICM])</f>
        <v>58.84</v>
      </c>
      <c r="Q23" s="52">
        <f>SUM(T_p222362583[KO])</f>
        <v>6</v>
      </c>
      <c r="R23" s="50">
        <f>SUM(T_p222362583[$stack])</f>
        <v>58.84</v>
      </c>
      <c r="T23" s="53"/>
      <c r="U23" s="55">
        <f>SUM(T_p3p123372684[stack])</f>
        <v>2000</v>
      </c>
      <c r="V23" s="50">
        <f>SUM(T_p3p123372684[EQ])</f>
        <v>1</v>
      </c>
      <c r="W23" s="51">
        <f>SUM(T_p3p123372684[ICM])</f>
        <v>58.84</v>
      </c>
      <c r="X23" s="52">
        <f>SUM(T_p3p123372684[KO])</f>
        <v>6</v>
      </c>
      <c r="Y23" s="50">
        <f>SUM(T_p3p123372684[$stack])</f>
        <v>58.84</v>
      </c>
      <c r="AA23" s="53"/>
      <c r="AB23" s="55">
        <f>SUM(T_p3p224382785[stack])</f>
        <v>2000</v>
      </c>
      <c r="AC23" s="50">
        <f>SUM(T_p3p224382785[EQ])</f>
        <v>1</v>
      </c>
      <c r="AD23" s="51">
        <f>SUM(T_p3p224382785[ICM])</f>
        <v>58.84</v>
      </c>
      <c r="AE23" s="52">
        <f>SUM(T_p3p224382785[KO])</f>
        <v>6</v>
      </c>
      <c r="AF23" s="50">
        <f>SUM(T_p3p123372684[$stack])</f>
        <v>58.84</v>
      </c>
      <c r="AI23" s="53"/>
      <c r="AJ23" s="55">
        <f>SUM(T_fact29392886[stack])</f>
        <v>2000</v>
      </c>
      <c r="AK23" s="50">
        <f>SUM(T_fact29392886[EQ])</f>
        <v>1</v>
      </c>
      <c r="AL23" s="51">
        <f>SUM(T_fact29392886[ICM])</f>
        <v>58.84</v>
      </c>
      <c r="AM23" s="52">
        <f>SUM(T_fact29392886[KO])</f>
        <v>6</v>
      </c>
      <c r="AN23" s="51">
        <f>SUM(T_fact29392886[$stack])</f>
        <v>58.84</v>
      </c>
      <c r="AQ23" s="52">
        <f>SUM(T_EV33403087[ICM])</f>
        <v>58.845884000000012</v>
      </c>
      <c r="AR23" s="52">
        <f>SUM(T_EV33403087[KO])</f>
        <v>0</v>
      </c>
      <c r="AS23" s="52">
        <f>SUM(T_EV33403087[EV])</f>
        <v>58.845884000000012</v>
      </c>
      <c r="AT23" s="50">
        <f>SUM(T_EV33403087[chipEV])</f>
        <v>2000.2</v>
      </c>
    </row>
    <row r="25" spans="1:48" ht="18.75" x14ac:dyDescent="0.3">
      <c r="M25" s="79" t="s">
        <v>117</v>
      </c>
    </row>
    <row r="26" spans="1:48" x14ac:dyDescent="0.25">
      <c r="C26" t="s">
        <v>118</v>
      </c>
      <c r="M26" t="s">
        <v>218</v>
      </c>
    </row>
    <row r="27" spans="1:48" x14ac:dyDescent="0.25">
      <c r="C27" t="s">
        <v>120</v>
      </c>
      <c r="M27" t="s">
        <v>219</v>
      </c>
    </row>
    <row r="28" spans="1:48" x14ac:dyDescent="0.25">
      <c r="C28" t="s">
        <v>122</v>
      </c>
      <c r="M28" t="s">
        <v>220</v>
      </c>
    </row>
    <row r="29" spans="1:48" x14ac:dyDescent="0.25">
      <c r="M29" t="s">
        <v>221</v>
      </c>
    </row>
    <row r="30" spans="1:48" x14ac:dyDescent="0.25">
      <c r="M30" t="s">
        <v>222</v>
      </c>
    </row>
    <row r="31" spans="1:48" x14ac:dyDescent="0.25">
      <c r="C31" t="s">
        <v>126</v>
      </c>
      <c r="M31" t="s">
        <v>223</v>
      </c>
    </row>
    <row r="32" spans="1:48" x14ac:dyDescent="0.25">
      <c r="M32" t="s">
        <v>192</v>
      </c>
    </row>
    <row r="33" spans="2:13" x14ac:dyDescent="0.25">
      <c r="B33" t="s">
        <v>129</v>
      </c>
      <c r="M33" t="s">
        <v>224</v>
      </c>
    </row>
    <row r="34" spans="2:13" x14ac:dyDescent="0.25">
      <c r="B34" t="s">
        <v>131</v>
      </c>
      <c r="M34" t="s">
        <v>132</v>
      </c>
    </row>
    <row r="35" spans="2:13" x14ac:dyDescent="0.25">
      <c r="C35" t="s">
        <v>133</v>
      </c>
      <c r="M35" t="s">
        <v>225</v>
      </c>
    </row>
    <row r="36" spans="2:13" x14ac:dyDescent="0.25">
      <c r="D36" t="s">
        <v>135</v>
      </c>
      <c r="M36" t="s">
        <v>226</v>
      </c>
    </row>
    <row r="37" spans="2:13" x14ac:dyDescent="0.25">
      <c r="C37" t="s">
        <v>137</v>
      </c>
      <c r="M37" t="s">
        <v>138</v>
      </c>
    </row>
    <row r="38" spans="2:13" x14ac:dyDescent="0.25">
      <c r="D38" t="s">
        <v>135</v>
      </c>
      <c r="M38" t="s">
        <v>139</v>
      </c>
    </row>
    <row r="39" spans="2:13" x14ac:dyDescent="0.25">
      <c r="C39" t="s">
        <v>140</v>
      </c>
      <c r="M39" t="s">
        <v>227</v>
      </c>
    </row>
    <row r="40" spans="2:13" x14ac:dyDescent="0.25">
      <c r="D40" t="s">
        <v>142</v>
      </c>
      <c r="M40" t="s">
        <v>228</v>
      </c>
    </row>
    <row r="41" spans="2:13" x14ac:dyDescent="0.25">
      <c r="D41" t="s">
        <v>144</v>
      </c>
      <c r="E41" t="s">
        <v>145</v>
      </c>
      <c r="M41" t="s">
        <v>229</v>
      </c>
    </row>
    <row r="42" spans="2:13" x14ac:dyDescent="0.25">
      <c r="F42" t="s">
        <v>147</v>
      </c>
      <c r="M42" t="s">
        <v>230</v>
      </c>
    </row>
    <row r="43" spans="2:13" x14ac:dyDescent="0.25">
      <c r="E43" t="s">
        <v>149</v>
      </c>
      <c r="M43" t="s">
        <v>231</v>
      </c>
    </row>
    <row r="44" spans="2:13" x14ac:dyDescent="0.25">
      <c r="F44" t="s">
        <v>151</v>
      </c>
      <c r="M44" t="s">
        <v>232</v>
      </c>
    </row>
    <row r="45" spans="2:13" x14ac:dyDescent="0.25">
      <c r="M45" t="s">
        <v>233</v>
      </c>
    </row>
    <row r="46" spans="2:13" x14ac:dyDescent="0.25">
      <c r="C46" t="s">
        <v>154</v>
      </c>
      <c r="M46" t="s">
        <v>234</v>
      </c>
    </row>
    <row r="47" spans="2:13" x14ac:dyDescent="0.25">
      <c r="D47" t="s">
        <v>156</v>
      </c>
      <c r="M47" t="s">
        <v>166</v>
      </c>
    </row>
    <row r="48" spans="2:13" x14ac:dyDescent="0.25">
      <c r="D48" t="s">
        <v>158</v>
      </c>
      <c r="E48" t="s">
        <v>145</v>
      </c>
      <c r="M48" t="s">
        <v>235</v>
      </c>
    </row>
    <row r="49" spans="5:13" x14ac:dyDescent="0.25">
      <c r="F49" t="s">
        <v>160</v>
      </c>
      <c r="M49" t="s">
        <v>236</v>
      </c>
    </row>
    <row r="50" spans="5:13" x14ac:dyDescent="0.25">
      <c r="E50" t="s">
        <v>149</v>
      </c>
      <c r="M50" t="s">
        <v>237</v>
      </c>
    </row>
    <row r="51" spans="5:13" x14ac:dyDescent="0.25">
      <c r="F51" t="s">
        <v>163</v>
      </c>
      <c r="M51" t="s">
        <v>238</v>
      </c>
    </row>
    <row r="52" spans="5:13" x14ac:dyDescent="0.25">
      <c r="E52" t="s">
        <v>165</v>
      </c>
      <c r="M52" t="s">
        <v>239</v>
      </c>
    </row>
    <row r="53" spans="5:13" x14ac:dyDescent="0.25">
      <c r="F53" t="s">
        <v>167</v>
      </c>
      <c r="M53" t="s">
        <v>173</v>
      </c>
    </row>
    <row r="54" spans="5:13" x14ac:dyDescent="0.25">
      <c r="F54" t="s">
        <v>144</v>
      </c>
      <c r="M54" t="s">
        <v>174</v>
      </c>
    </row>
    <row r="55" spans="5:13" x14ac:dyDescent="0.25">
      <c r="G55" t="s">
        <v>145</v>
      </c>
      <c r="M55" t="s">
        <v>240</v>
      </c>
    </row>
    <row r="56" spans="5:13" x14ac:dyDescent="0.25">
      <c r="H56" t="s">
        <v>147</v>
      </c>
      <c r="M56" t="s">
        <v>241</v>
      </c>
    </row>
    <row r="57" spans="5:13" x14ac:dyDescent="0.25">
      <c r="G57" t="s">
        <v>149</v>
      </c>
      <c r="M57" t="s">
        <v>242</v>
      </c>
    </row>
    <row r="58" spans="5:13" x14ac:dyDescent="0.25">
      <c r="H58" t="s">
        <v>151</v>
      </c>
      <c r="M58" t="s">
        <v>243</v>
      </c>
    </row>
    <row r="59" spans="5:13" x14ac:dyDescent="0.25">
      <c r="M59" t="s">
        <v>244</v>
      </c>
    </row>
    <row r="61" spans="5:13" x14ac:dyDescent="0.25">
      <c r="M61" s="111" t="s">
        <v>561</v>
      </c>
    </row>
    <row r="62" spans="5:13" x14ac:dyDescent="0.25">
      <c r="M62" s="111" t="s">
        <v>521</v>
      </c>
    </row>
    <row r="63" spans="5:13" x14ac:dyDescent="0.25">
      <c r="M63" s="111" t="s">
        <v>562</v>
      </c>
    </row>
    <row r="64" spans="5:13" x14ac:dyDescent="0.25">
      <c r="M64" s="111" t="s">
        <v>563</v>
      </c>
    </row>
    <row r="65" spans="13:13" x14ac:dyDescent="0.25">
      <c r="M65" s="111" t="s">
        <v>532</v>
      </c>
    </row>
    <row r="66" spans="13:13" x14ac:dyDescent="0.25">
      <c r="M66" s="111" t="s">
        <v>564</v>
      </c>
    </row>
    <row r="67" spans="13:13" x14ac:dyDescent="0.25">
      <c r="M67" s="111" t="s">
        <v>526</v>
      </c>
    </row>
    <row r="68" spans="13:13" x14ac:dyDescent="0.25">
      <c r="M68" s="111" t="s">
        <v>527</v>
      </c>
    </row>
    <row r="69" spans="13:13" x14ac:dyDescent="0.25">
      <c r="M69" s="111" t="s">
        <v>528</v>
      </c>
    </row>
  </sheetData>
  <mergeCells count="11">
    <mergeCell ref="AQ15:AT15"/>
    <mergeCell ref="F10:F11"/>
    <mergeCell ref="T13:AE13"/>
    <mergeCell ref="AQ13:AT13"/>
    <mergeCell ref="T14:AE14"/>
    <mergeCell ref="AQ14:AT14"/>
    <mergeCell ref="F15:J15"/>
    <mergeCell ref="M15:Q15"/>
    <mergeCell ref="T15:X15"/>
    <mergeCell ref="AA15:AE15"/>
    <mergeCell ref="AI15:AM15"/>
  </mergeCells>
  <pageMargins left="0.7" right="0.7" top="0.75" bottom="0.75" header="0.3" footer="0.3"/>
  <pageSetup paperSize="9" orientation="portrait" horizontalDpi="4294967293" verticalDpi="0" r:id="rId1"/>
  <legacyDrawing r:id="rId2"/>
  <tableParts count="7">
    <tablePart r:id="rId3"/>
    <tablePart r:id="rId4"/>
    <tablePart r:id="rId5"/>
    <tablePart r:id="rId6"/>
    <tablePart r:id="rId7"/>
    <tablePart r:id="rId8"/>
    <tablePart r:id="rId9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8BD3C-F0A8-4118-A56A-CF50FFB237A5}">
  <dimension ref="A1:AV70"/>
  <sheetViews>
    <sheetView topLeftCell="A37" workbookViewId="0">
      <selection activeCell="Q59" sqref="Q59"/>
    </sheetView>
  </sheetViews>
  <sheetFormatPr defaultRowHeight="15" x14ac:dyDescent="0.25"/>
  <cols>
    <col min="1" max="1" width="9.28515625" customWidth="1"/>
    <col min="5" max="5" width="2.7109375" customWidth="1"/>
    <col min="6" max="6" width="10.28515625" customWidth="1"/>
    <col min="12" max="12" width="2.140625" customWidth="1"/>
    <col min="13" max="13" width="10.28515625" customWidth="1"/>
    <col min="19" max="19" width="2" customWidth="1"/>
    <col min="20" max="20" width="9.5703125" bestFit="1" customWidth="1"/>
    <col min="21" max="21" width="10.28515625" customWidth="1"/>
    <col min="26" max="26" width="2" customWidth="1"/>
    <col min="27" max="27" width="7.7109375" customWidth="1"/>
    <col min="28" max="29" width="8.5703125" customWidth="1"/>
    <col min="30" max="30" width="9.85546875" customWidth="1"/>
    <col min="31" max="31" width="8.42578125" customWidth="1"/>
    <col min="33" max="33" width="2.140625" customWidth="1"/>
    <col min="34" max="34" width="2" customWidth="1"/>
    <col min="35" max="35" width="10" customWidth="1"/>
    <col min="39" max="39" width="10.5703125" customWidth="1"/>
    <col min="41" max="41" width="1.5703125" customWidth="1"/>
    <col min="42" max="42" width="1.140625" customWidth="1"/>
    <col min="46" max="46" width="10.7109375" customWidth="1"/>
    <col min="47" max="47" width="10.85546875" customWidth="1"/>
  </cols>
  <sheetData>
    <row r="1" spans="1:48" ht="15.75" x14ac:dyDescent="0.25">
      <c r="C1" s="80" t="s">
        <v>0</v>
      </c>
      <c r="D1">
        <f>7.36*4</f>
        <v>29.44</v>
      </c>
      <c r="F1" s="80" t="s">
        <v>71</v>
      </c>
      <c r="G1">
        <v>0.35089999999999999</v>
      </c>
      <c r="I1" s="80" t="s">
        <v>72</v>
      </c>
      <c r="J1">
        <v>0.69820000000000004</v>
      </c>
      <c r="M1" s="80" t="s">
        <v>73</v>
      </c>
      <c r="N1">
        <v>1280</v>
      </c>
    </row>
    <row r="2" spans="1:48" ht="15.75" x14ac:dyDescent="0.25">
      <c r="C2" s="80" t="s">
        <v>1</v>
      </c>
      <c r="D2">
        <f>bounty</f>
        <v>0</v>
      </c>
      <c r="F2" s="80" t="s">
        <v>74</v>
      </c>
      <c r="G2">
        <v>0.2387</v>
      </c>
      <c r="I2" s="80" t="s">
        <v>75</v>
      </c>
      <c r="J2">
        <v>0.30180000000000001</v>
      </c>
      <c r="M2" s="80" t="s">
        <v>76</v>
      </c>
      <c r="N2">
        <v>520</v>
      </c>
    </row>
    <row r="3" spans="1:48" ht="15.75" x14ac:dyDescent="0.25">
      <c r="C3" s="80" t="s">
        <v>77</v>
      </c>
      <c r="D3">
        <v>2000</v>
      </c>
      <c r="F3" s="80" t="s">
        <v>78</v>
      </c>
      <c r="G3">
        <v>0.41039999999999999</v>
      </c>
      <c r="M3" s="80" t="s">
        <v>79</v>
      </c>
      <c r="N3">
        <v>0</v>
      </c>
    </row>
    <row r="4" spans="1:48" ht="15.75" x14ac:dyDescent="0.25">
      <c r="F4" s="80" t="s">
        <v>80</v>
      </c>
      <c r="G4">
        <v>0</v>
      </c>
      <c r="M4" s="80" t="s">
        <v>81</v>
      </c>
      <c r="N4">
        <v>130</v>
      </c>
    </row>
    <row r="5" spans="1:48" ht="6" customHeight="1" x14ac:dyDescent="0.25"/>
    <row r="6" spans="1:48" x14ac:dyDescent="0.25">
      <c r="C6" t="s">
        <v>82</v>
      </c>
      <c r="D6" t="s">
        <v>83</v>
      </c>
    </row>
    <row r="7" spans="1:48" x14ac:dyDescent="0.25">
      <c r="C7" t="s">
        <v>84</v>
      </c>
      <c r="D7" t="s">
        <v>85</v>
      </c>
    </row>
    <row r="8" spans="1:48" x14ac:dyDescent="0.25">
      <c r="C8" t="s">
        <v>86</v>
      </c>
      <c r="D8" t="s">
        <v>87</v>
      </c>
    </row>
    <row r="9" spans="1:48" ht="6" customHeight="1" x14ac:dyDescent="0.25"/>
    <row r="10" spans="1:48" x14ac:dyDescent="0.25">
      <c r="F10" s="94" t="s">
        <v>88</v>
      </c>
      <c r="G10" s="81" t="s">
        <v>89</v>
      </c>
      <c r="H10" s="81" t="s">
        <v>90</v>
      </c>
      <c r="I10" s="81" t="s">
        <v>91</v>
      </c>
    </row>
    <row r="11" spans="1:48" ht="18.75" x14ac:dyDescent="0.3">
      <c r="F11" s="95"/>
      <c r="G11" s="81">
        <v>1</v>
      </c>
      <c r="H11" s="81">
        <v>0</v>
      </c>
      <c r="I11" s="82">
        <v>0</v>
      </c>
      <c r="J11" s="84"/>
      <c r="K11" s="84"/>
    </row>
    <row r="12" spans="1:48" ht="19.5" thickBot="1" x14ac:dyDescent="0.35">
      <c r="F12" s="84"/>
      <c r="G12" s="84"/>
      <c r="H12" s="84"/>
      <c r="I12" s="84"/>
      <c r="J12" s="84"/>
      <c r="K12" s="84"/>
      <c r="V12" t="s">
        <v>92</v>
      </c>
      <c r="AC12" t="s">
        <v>93</v>
      </c>
    </row>
    <row r="13" spans="1:48" ht="20.25" thickTop="1" thickBot="1" x14ac:dyDescent="0.35">
      <c r="F13" s="84"/>
      <c r="G13" s="84"/>
      <c r="H13" s="84"/>
      <c r="I13" s="84"/>
      <c r="J13" s="84"/>
      <c r="K13" s="84"/>
      <c r="T13" s="96" t="s">
        <v>94</v>
      </c>
      <c r="U13" s="97"/>
      <c r="V13" s="97"/>
      <c r="W13" s="97"/>
      <c r="X13" s="97"/>
      <c r="Y13" s="97"/>
      <c r="Z13" s="97"/>
      <c r="AA13" s="97"/>
      <c r="AB13" s="97"/>
      <c r="AC13" s="97"/>
      <c r="AD13" s="97"/>
      <c r="AE13" s="98"/>
      <c r="AQ13" s="96" t="s">
        <v>95</v>
      </c>
      <c r="AR13" s="97"/>
      <c r="AS13" s="97"/>
      <c r="AT13" s="97"/>
    </row>
    <row r="14" spans="1:48" ht="20.25" thickTop="1" thickBot="1" x14ac:dyDescent="0.35">
      <c r="F14" s="84"/>
      <c r="G14" s="84"/>
      <c r="H14" s="84" t="s">
        <v>96</v>
      </c>
      <c r="I14" s="84"/>
      <c r="J14" s="84"/>
      <c r="K14" s="84"/>
      <c r="O14" t="s">
        <v>97</v>
      </c>
      <c r="T14" s="96" t="s">
        <v>98</v>
      </c>
      <c r="U14" s="97"/>
      <c r="V14" s="97"/>
      <c r="W14" s="97"/>
      <c r="X14" s="97"/>
      <c r="Y14" s="97"/>
      <c r="Z14" s="97"/>
      <c r="AA14" s="97"/>
      <c r="AB14" s="97"/>
      <c r="AC14" s="97"/>
      <c r="AD14" s="97"/>
      <c r="AE14" s="98"/>
      <c r="AK14" t="s">
        <v>99</v>
      </c>
      <c r="AQ14" s="96"/>
      <c r="AR14" s="97"/>
      <c r="AS14" s="97"/>
      <c r="AT14" s="97"/>
    </row>
    <row r="15" spans="1:48" ht="19.5" thickTop="1" x14ac:dyDescent="0.3">
      <c r="F15" s="88" t="s">
        <v>100</v>
      </c>
      <c r="G15" s="89"/>
      <c r="H15" s="89"/>
      <c r="I15" s="89"/>
      <c r="J15" s="90"/>
      <c r="K15" s="84"/>
      <c r="M15" s="88" t="s">
        <v>101</v>
      </c>
      <c r="N15" s="89"/>
      <c r="O15" s="89"/>
      <c r="P15" s="89"/>
      <c r="Q15" s="90"/>
      <c r="R15" s="84"/>
      <c r="T15" s="99" t="s">
        <v>102</v>
      </c>
      <c r="U15" s="100"/>
      <c r="V15" s="100"/>
      <c r="W15" s="100"/>
      <c r="X15" s="101"/>
      <c r="Y15" s="84"/>
      <c r="AA15" s="99" t="s">
        <v>103</v>
      </c>
      <c r="AB15" s="100"/>
      <c r="AC15" s="100"/>
      <c r="AD15" s="100"/>
      <c r="AE15" s="101"/>
      <c r="AI15" s="85" t="s">
        <v>10</v>
      </c>
      <c r="AJ15" s="86"/>
      <c r="AK15" s="86"/>
      <c r="AL15" s="86"/>
      <c r="AM15" s="87"/>
      <c r="AQ15" s="91" t="s">
        <v>104</v>
      </c>
      <c r="AR15" s="92"/>
      <c r="AS15" s="92"/>
      <c r="AT15" s="93"/>
    </row>
    <row r="16" spans="1:48" x14ac:dyDescent="0.25">
      <c r="A16" t="s">
        <v>105</v>
      </c>
      <c r="B16" t="s">
        <v>12</v>
      </c>
      <c r="C16" t="s">
        <v>13</v>
      </c>
      <c r="D16" t="s">
        <v>106</v>
      </c>
      <c r="F16" s="5" t="s">
        <v>107</v>
      </c>
      <c r="G16" t="s">
        <v>12</v>
      </c>
      <c r="H16" t="s">
        <v>108</v>
      </c>
      <c r="I16" t="s">
        <v>109</v>
      </c>
      <c r="J16" s="5" t="s">
        <v>1</v>
      </c>
      <c r="K16" s="5" t="s">
        <v>110</v>
      </c>
      <c r="M16" s="5" t="s">
        <v>107</v>
      </c>
      <c r="N16" s="5" t="s">
        <v>12</v>
      </c>
      <c r="O16" s="5" t="s">
        <v>108</v>
      </c>
      <c r="P16" s="5" t="s">
        <v>109</v>
      </c>
      <c r="Q16" s="5" t="s">
        <v>1</v>
      </c>
      <c r="R16" s="5" t="s">
        <v>110</v>
      </c>
      <c r="T16" s="5" t="s">
        <v>107</v>
      </c>
      <c r="U16" s="5" t="s">
        <v>12</v>
      </c>
      <c r="V16" s="5" t="s">
        <v>108</v>
      </c>
      <c r="W16" s="5" t="s">
        <v>109</v>
      </c>
      <c r="X16" s="5" t="s">
        <v>1</v>
      </c>
      <c r="Y16" s="5" t="s">
        <v>110</v>
      </c>
      <c r="AA16" s="5" t="s">
        <v>107</v>
      </c>
      <c r="AB16" s="5" t="s">
        <v>12</v>
      </c>
      <c r="AC16" s="5" t="s">
        <v>108</v>
      </c>
      <c r="AD16" s="5" t="s">
        <v>109</v>
      </c>
      <c r="AE16" s="5" t="s">
        <v>1</v>
      </c>
      <c r="AF16" t="s">
        <v>110</v>
      </c>
      <c r="AI16" s="5" t="s">
        <v>107</v>
      </c>
      <c r="AJ16" s="5" t="s">
        <v>12</v>
      </c>
      <c r="AK16" s="5" t="s">
        <v>108</v>
      </c>
      <c r="AL16" s="5" t="s">
        <v>109</v>
      </c>
      <c r="AM16" s="5" t="s">
        <v>1</v>
      </c>
      <c r="AN16" t="s">
        <v>110</v>
      </c>
      <c r="AQ16" s="5" t="s">
        <v>109</v>
      </c>
      <c r="AR16" s="5" t="s">
        <v>1</v>
      </c>
      <c r="AS16" s="5" t="s">
        <v>104</v>
      </c>
      <c r="AT16" s="5" t="s">
        <v>111</v>
      </c>
      <c r="AU16" t="s">
        <v>112</v>
      </c>
      <c r="AV16" t="s">
        <v>113</v>
      </c>
    </row>
    <row r="17" spans="1:48" s="17" customFormat="1" x14ac:dyDescent="0.25">
      <c r="A17" s="17">
        <v>1</v>
      </c>
      <c r="B17" s="26">
        <v>810</v>
      </c>
      <c r="C17" s="26" t="s">
        <v>344</v>
      </c>
      <c r="D17" s="26">
        <v>120</v>
      </c>
      <c r="F17" s="83">
        <f>COUNTIF(T_p1213519828996[stack],"&gt;0")</f>
        <v>2</v>
      </c>
      <c r="G17" s="17">
        <f>IF(T_init20344818895[[#This Row],[p]]=1,mainpot+sidepot1+sidepot2+uncalled,IF(T_init20344818895[[#This Row],[p]]&gt;1,0,T_init20344818895[[#This Row],[stack]]-T_init20344818895[[#This Row],[anteblinds]]))</f>
        <v>1930</v>
      </c>
      <c r="H17" s="26">
        <v>0.96499999999999997</v>
      </c>
      <c r="I17" s="18">
        <f>T_p1213519828996[[#This Row],[EQ]]*prize</f>
        <v>28.409600000000001</v>
      </c>
      <c r="J17" s="67">
        <f>IF(T_init20344818895[[#This Row],[p]]=1,T_p1213519828996[[#This Row],[players]]*T_p1213519828996[[#This Row],[stack]]/chips+COUNTIF(T_p1213519828996[stack],0),T_p1213519828996[[#This Row],[players]]*T_p1213519828996[[#This Row],[stack]]/chips)</f>
        <v>5.93</v>
      </c>
      <c r="K17" s="67">
        <f>T_p1213519828996[[#This Row],[ICM]]+bounty*T_p1213519828996[[#This Row],[KO]]</f>
        <v>28.409600000000001</v>
      </c>
      <c r="M17" s="19">
        <f>COUNTIF(T_p2223625839097[stack],"&gt;0")</f>
        <v>3</v>
      </c>
      <c r="N17" s="17">
        <f>IF(T_init20344818895[[#This Row],[p]]=1,uncalled,IF(T_init20344818895[[#This Row],[p]]=2,mainpot+sidepot1+sidepot2,IF(T_init20344818895[[#This Row],[p]]&gt;2,0,T_init20344818895[[#This Row],[stack]]-T_init20344818895[[#This Row],[anteblinds]])))</f>
        <v>130</v>
      </c>
      <c r="O17" s="26">
        <v>6.5000000000000002E-2</v>
      </c>
      <c r="P17" s="18">
        <f>T_p2223625839097[[#This Row],[EQ]]*prize</f>
        <v>1.9136000000000002</v>
      </c>
      <c r="Q17" s="67">
        <f>IF(T_init20344818895[[#This Row],[p]]=2,T_p2223625839097[[#This Row],[players]]*T_p2223625839097[[#This Row],[stack]]/chips+COUNTIF(T_p2223625839097[stack],0),T_p2223625839097[[#This Row],[players]]*T_p2223625839097[[#This Row],[stack]]/chips)</f>
        <v>0.19500000000000001</v>
      </c>
      <c r="R17" s="67">
        <f>T_p2223625839097[[#This Row],[ICM]]+bounty*T_p2223625839097[[#This Row],[KO]]</f>
        <v>1.9136000000000002</v>
      </c>
      <c r="T17" s="83">
        <f>COUNTIF(T_p3p1233726849198[stack],"&gt;0")</f>
        <v>3</v>
      </c>
      <c r="U17" s="17">
        <f>IF(T_init20344818895[[#This Row],[p]]=1,sidepot1+uncalled,IF(T_init20344818895[[#This Row],[p]]=3,mainpot,IF(ISBLANK(T_init20344818895[[#This Row],[p]]),T_init20344818895[[#This Row],[stack]]-T_init20344818895[[#This Row],[anteblinds]],0)))</f>
        <v>650</v>
      </c>
      <c r="V17" s="26">
        <v>0.32500000000000001</v>
      </c>
      <c r="W17" s="18">
        <f>T_p3p1233726849198[[#This Row],[EQ]]*prize</f>
        <v>9.5680000000000014</v>
      </c>
      <c r="X17" s="67">
        <f>IF(T_init20344818895[[#This Row],[p]]=1,T_p3p1233726849198[[#This Row],[players]]*T_p3p1233726849198[[#This Row],[stack]]/chips+COUNTIF(T_p3p1233726849198[stack],0),T_p3p1233726849198[[#This Row],[players]]*T_p3p1233726849198[[#This Row],[stack]]/chips)</f>
        <v>3.9750000000000001</v>
      </c>
      <c r="Y17" s="67">
        <f>T_p3p1233726849198[[#This Row],[ICM]]+bounty*T_p3p1233726849198[[#This Row],[KO]]</f>
        <v>9.5680000000000014</v>
      </c>
      <c r="AA17" s="83">
        <f>COUNTIF(T_p3p2243827859299[stack],"&gt;0")</f>
        <v>4</v>
      </c>
      <c r="AB17" s="17">
        <f>IF(T_init20344818895[[#This Row],[p]]=1,uncalled,IF(T_init20344818895[[#This Row],[p]]=2,sidepot1,IF(T_init20344818895[[#This Row],[p]]=3,mainpot,IF(ISBLANK(T_init20344818895[[#This Row],[p]]),T_init20344818895[[#This Row],[stack]]-T_init20344818895[[#This Row],[anteblinds]],0))))</f>
        <v>130</v>
      </c>
      <c r="AC17" s="26">
        <v>6.5000000000000002E-2</v>
      </c>
      <c r="AD17" s="18">
        <f>T_p3p2243827859299[[#This Row],[EQ]]*prize</f>
        <v>1.9136000000000002</v>
      </c>
      <c r="AE17" s="67">
        <f>IF(T_init20344818895[[#This Row],[p]]=2,T_p3p2243827859299[[#This Row],[players]]*T_p3p2243827859299[[#This Row],[stack]]/chips+COUNTIF(T_p3p2243827859299[stack],0),T_p3p2243827859299[[#This Row],[players]]*T_p3p2243827859299[[#This Row],[stack]]/chips)</f>
        <v>0.26</v>
      </c>
      <c r="AF17" s="67">
        <f>T_p3p2243827859299[[#This Row],[ICM]]+bounty*T_p3p2243827859299[[#This Row],[KO]]</f>
        <v>1.9136000000000002</v>
      </c>
      <c r="AI17" s="83">
        <v>3</v>
      </c>
      <c r="AJ17" s="26">
        <v>650</v>
      </c>
      <c r="AK17" s="26">
        <v>0.32500000000000001</v>
      </c>
      <c r="AL17" s="18">
        <f>T_fact2939288693100[[#This Row],[EQ]]*prize</f>
        <v>9.5680000000000014</v>
      </c>
      <c r="AM17" s="67">
        <f>IF(T_init20344818895[[#This Row],[p]]=1,T_fact2939288693100[[#This Row],[players]]*T_fact2939288693100[[#This Row],[stack]]/chips+COUNTIF(T_fact2939288693100[stack],0),T_fact2939288693100[[#This Row],[players]]*T_fact2939288693100[[#This Row],[stack]]/chips)</f>
        <v>3.9750000000000001</v>
      </c>
      <c r="AN17" s="67">
        <f>T_fact2939288693100[[#This Row],[ICM]]+bounty*T_fact2939288693100[[#This Row],[KO]]</f>
        <v>9.5680000000000014</v>
      </c>
      <c r="AQ17" s="69">
        <f>'3w KsJs Ден v2 '!p3win* ('3w KsJs Ден v2 '!p1sp1win*T_p3p1233726849198[[#This Row],[ICM]] + '3w KsJs Ден v2 '!p2sp1win*T_p3p2243827859299[[#This Row],[ICM]])
+'3w KsJs Ден v2 '!p2win*T_p2223625839097[[#This Row],[ICM]]
+'3w KsJs Ден v2 '!p1win*T_p1213519828996[[#This Row],[ICM]]</f>
        <v>13.404347973631999</v>
      </c>
      <c r="AR17" s="23">
        <f>('3w KsJs Ден v2 '!p3win* ('3w KsJs Ден v2 '!p1sp1win*T_p3p1233726849198[[#This Row],[KO]] + '3w KsJs Ден v2 '!p2sp1win*T_p3p2243827859299[[#This Row],[KO]])
+'3w KsJs Ден v2 '!p2win*T_p2223625839097[[#This Row],[KO]]
+'3w KsJs Ден v2 '!p1win*T_p1213519828996[[#This Row],[KO]])*bounty</f>
        <v>0</v>
      </c>
      <c r="AS17" s="69">
        <f>'3w KsJs Ден v2 '!p3win* ('3w KsJs Ден v2 '!p1sp1win*T_p3p1233726849198[[#This Row],[$stack]] + '3w KsJs Ден v2 '!p2sp1win*T_p3p2243827859299[[#This Row],[$stack]])
+'3w KsJs Ден v2 '!p2win*T_p2223625839097[[#This Row],[$stack]]
+'3w KsJs Ден v2 '!p1win*T_p1213519828996[[#This Row],[$stack]]</f>
        <v>13.404347973631999</v>
      </c>
      <c r="AT17" s="23">
        <f>'3w KsJs Ден v2 '!p3win* ('3w KsJs Ден v2 '!p1sp1win*T_p3p1233726849198[[#This Row],[stack]] + '3w KsJs Ден v2 '!p2sp1win*T_p3p2243827859299[[#This Row],[stack]])
+'3w KsJs Ден v2 '!p2win*T_p2223625839097[[#This Row],[stack]]
+'3w KsJs Ден v2 '!p1win*T_p1213519828996[[#This Row],[stack]]</f>
        <v>910.62146559999996</v>
      </c>
      <c r="AU17" s="18">
        <f>T_EV3340308794101[[#This Row],[chipEV]]-T_fact2939288693100[[#This Row],[stack]]</f>
        <v>260.62146559999996</v>
      </c>
      <c r="AV17" s="18">
        <f>T_EV3340308794101[[#This Row],[EV]]-(T_fact2939288693100[[#This Row],[ICM]]+bounty*T_fact2939288693100[[#This Row],[KO]])</f>
        <v>3.8363479736319981</v>
      </c>
    </row>
    <row r="18" spans="1:48" x14ac:dyDescent="0.25">
      <c r="B18">
        <v>90</v>
      </c>
      <c r="D18">
        <v>20</v>
      </c>
      <c r="F18" s="5">
        <f>COUNTIF(T_p1213519828996[stack],"&gt;0")</f>
        <v>2</v>
      </c>
      <c r="G18">
        <f>IF(T_init20344818895[[#This Row],[p]]=1,mainpot+sidepot1+sidepot2+uncalled,IF(T_init20344818895[[#This Row],[p]]&gt;1,0,T_init20344818895[[#This Row],[stack]]-T_init20344818895[[#This Row],[anteblinds]]))</f>
        <v>70</v>
      </c>
      <c r="H18">
        <v>3.5000000000000003E-2</v>
      </c>
      <c r="I18" s="2">
        <f>T_p1213519828996[[#This Row],[EQ]]*prize</f>
        <v>1.0304000000000002</v>
      </c>
      <c r="J18" s="66">
        <f>IF(T_init20344818895[[#This Row],[p]]=1,T_p1213519828996[[#This Row],[players]]*T_p1213519828996[[#This Row],[stack]]/chips+COUNTIF(T_p1213519828996[stack],0),T_p1213519828996[[#This Row],[players]]*T_p1213519828996[[#This Row],[stack]]/chips)</f>
        <v>7.0000000000000007E-2</v>
      </c>
      <c r="K18" s="66">
        <f>T_p1213519828996[[#This Row],[ICM]]+bounty*T_p1213519828996[[#This Row],[KO]]</f>
        <v>1.0304000000000002</v>
      </c>
      <c r="M18" s="10">
        <f>COUNTIF(T_p2223625839097[stack],"&gt;0")</f>
        <v>3</v>
      </c>
      <c r="N18" s="26">
        <f>IF(T_init20344818895[[#This Row],[p]]=1,uncalled,IF(T_init20344818895[[#This Row],[p]]=2,mainpot+sidepot1+sidepot2,IF(T_init20344818895[[#This Row],[p]]&gt;2,0,T_init20344818895[[#This Row],[stack]]-T_init20344818895[[#This Row],[anteblinds]])))</f>
        <v>70</v>
      </c>
      <c r="O18">
        <v>3.5000000000000003E-2</v>
      </c>
      <c r="P18" s="2">
        <f>T_p2223625839097[[#This Row],[EQ]]*prize</f>
        <v>1.0304000000000002</v>
      </c>
      <c r="Q18" s="66">
        <f>IF(T_init20344818895[[#This Row],[p]]=2,T_p2223625839097[[#This Row],[players]]*T_p2223625839097[[#This Row],[stack]]/chips+COUNTIF(T_p2223625839097[stack],0),T_p2223625839097[[#This Row],[players]]*T_p2223625839097[[#This Row],[stack]]/chips)</f>
        <v>0.105</v>
      </c>
      <c r="R18" s="66">
        <f>T_p2223625839097[[#This Row],[ICM]]+bounty*T_p2223625839097[[#This Row],[KO]]</f>
        <v>1.0304000000000002</v>
      </c>
      <c r="T18" s="5">
        <f>COUNTIF(T_p3p1233726849198[stack],"&gt;0")</f>
        <v>3</v>
      </c>
      <c r="U18" s="26">
        <f>IF(T_init20344818895[[#This Row],[p]]=1,sidepot1+uncalled,IF(T_init20344818895[[#This Row],[p]]=3,mainpot,IF(ISBLANK(T_init20344818895[[#This Row],[p]]),T_init20344818895[[#This Row],[stack]]-T_init20344818895[[#This Row],[anteblinds]],0)))</f>
        <v>70</v>
      </c>
      <c r="V18">
        <v>3.5000000000000003E-2</v>
      </c>
      <c r="W18" s="2">
        <f>T_p3p1233726849198[[#This Row],[EQ]]*prize</f>
        <v>1.0304000000000002</v>
      </c>
      <c r="X18" s="66">
        <f>IF(T_init20344818895[[#This Row],[p]]=1,T_p3p1233726849198[[#This Row],[players]]*T_p3p1233726849198[[#This Row],[stack]]/chips+COUNTIF(T_p3p1233726849198[stack],0),T_p3p1233726849198[[#This Row],[players]]*T_p3p1233726849198[[#This Row],[stack]]/chips)</f>
        <v>0.105</v>
      </c>
      <c r="Y18" s="66">
        <f>T_p3p1233726849198[[#This Row],[ICM]]+bounty*T_p3p1233726849198[[#This Row],[KO]]</f>
        <v>1.0304000000000002</v>
      </c>
      <c r="AA18" s="5">
        <f>COUNTIF(T_p3p2243827859299[stack],"&gt;0")</f>
        <v>4</v>
      </c>
      <c r="AB18">
        <f>IF(T_init20344818895[[#This Row],[p]]=1,uncalled,IF(T_init20344818895[[#This Row],[p]]=2,sidepot1,IF(T_init20344818895[[#This Row],[p]]=3,mainpot,IF(ISBLANK(T_init20344818895[[#This Row],[p]]),T_init20344818895[[#This Row],[stack]]-T_init20344818895[[#This Row],[anteblinds]],0))))</f>
        <v>70</v>
      </c>
      <c r="AC18">
        <v>3.5000000000000003E-2</v>
      </c>
      <c r="AD18" s="2">
        <f>T_p3p2243827859299[[#This Row],[EQ]]*prize</f>
        <v>1.0304000000000002</v>
      </c>
      <c r="AE18" s="66">
        <f>IF(T_init20344818895[[#This Row],[p]]=2,T_p3p2243827859299[[#This Row],[players]]*T_p3p2243827859299[[#This Row],[stack]]/chips+COUNTIF(T_p3p2243827859299[stack],0),T_p3p2243827859299[[#This Row],[players]]*T_p3p2243827859299[[#This Row],[stack]]/chips)</f>
        <v>0.14000000000000001</v>
      </c>
      <c r="AF18" s="16">
        <f>T_p3p2243827859299[[#This Row],[ICM]]+bounty*T_p3p2243827859299[[#This Row],[KO]]</f>
        <v>1.0304000000000002</v>
      </c>
      <c r="AI18" s="73">
        <v>3</v>
      </c>
      <c r="AJ18" s="26">
        <v>70</v>
      </c>
      <c r="AK18">
        <v>3.5000000000000003E-2</v>
      </c>
      <c r="AL18" s="2">
        <f>T_fact2939288693100[[#This Row],[EQ]]*prize</f>
        <v>1.0304000000000002</v>
      </c>
      <c r="AM18" s="66">
        <f>IF(T_init20344818895[[#This Row],[p]]=1,T_fact2939288693100[[#This Row],[players]]*T_fact2939288693100[[#This Row],[stack]]/chips+COUNTIF(T_fact2939288693100[stack],0),T_fact2939288693100[[#This Row],[players]]*T_fact2939288693100[[#This Row],[stack]]/chips)</f>
        <v>0.105</v>
      </c>
      <c r="AN18" s="16">
        <f>T_fact2939288693100[[#This Row],[ICM]]+bounty*T_fact2939288693100[[#This Row],[KO]]</f>
        <v>1.0304000000000002</v>
      </c>
      <c r="AQ18" s="68">
        <f>'3w KsJs Ден v2 '!p3win* ('3w KsJs Ден v2 '!p1sp1win*T_p3p1233726849198[[#This Row],[ICM]] + '3w KsJs Ден v2 '!p2sp1win*T_p3p2243827859299[[#This Row],[ICM]])
+'3w KsJs Ден v2 '!p2win*T_p2223625839097[[#This Row],[ICM]]
+'3w KsJs Ден v2 '!p1win*T_p1213519828996[[#This Row],[ICM]]</f>
        <v>1.0304000000000002</v>
      </c>
      <c r="AR18" s="68">
        <f>('3w KsJs Ден v2 '!p3win* ('3w KsJs Ден v2 '!p1sp1win*T_p3p1233726849198[[#This Row],[KO]] + '3w KsJs Ден v2 '!p2sp1win*T_p3p2243827859299[[#This Row],[KO]])
+'3w KsJs Ден v2 '!p2win*T_p2223625839097[[#This Row],[KO]]
+'3w KsJs Ден v2 '!p1win*T_p1213519828996[[#This Row],[KO]])*bounty</f>
        <v>0</v>
      </c>
      <c r="AS18" s="68">
        <f>'3w KsJs Ден v2 '!p3win* ('3w KsJs Ден v2 '!p1sp1win*T_p3p1233726849198[[#This Row],[$stack]] + '3w KsJs Ден v2 '!p2sp1win*T_p3p2243827859299[[#This Row],[$stack]])
+'3w KsJs Ден v2 '!p2win*T_p2223625839097[[#This Row],[$stack]]
+'3w KsJs Ден v2 '!p1win*T_p1213519828996[[#This Row],[$stack]]</f>
        <v>1.0304000000000002</v>
      </c>
      <c r="AT18" s="68">
        <f>'3w KsJs Ден v2 '!p3win* ('3w KsJs Ден v2 '!p1sp1win*T_p3p1233726849198[[#This Row],[stack]] + '3w KsJs Ден v2 '!p2sp1win*T_p3p2243827859299[[#This Row],[stack]])
+'3w KsJs Ден v2 '!p2win*T_p2223625839097[[#This Row],[stack]]
+'3w KsJs Ден v2 '!p1win*T_p1213519828996[[#This Row],[stack]]</f>
        <v>70</v>
      </c>
      <c r="AU18" s="2">
        <f>T_EV3340308794101[[#This Row],[chipEV]]-T_fact2939288693100[[#This Row],[stack]]</f>
        <v>0</v>
      </c>
      <c r="AV18" s="2">
        <f>T_EV3340308794101[[#This Row],[EV]]-(T_fact2939288693100[[#This Row],[ICM]]+bounty*T_fact2939288693100[[#This Row],[KO]])</f>
        <v>0</v>
      </c>
    </row>
    <row r="19" spans="1:48" x14ac:dyDescent="0.25">
      <c r="A19">
        <v>3</v>
      </c>
      <c r="B19">
        <v>420</v>
      </c>
      <c r="C19" s="26" t="s">
        <v>345</v>
      </c>
      <c r="D19">
        <v>20</v>
      </c>
      <c r="F19" s="5">
        <f>COUNTIF(T_p1213519828996[stack],"&gt;0")</f>
        <v>2</v>
      </c>
      <c r="G19">
        <f>IF(T_init20344818895[[#This Row],[p]]=1,mainpot+sidepot1+sidepot2+uncalled,IF(T_init20344818895[[#This Row],[p]]&gt;1,0,T_init20344818895[[#This Row],[stack]]-T_init20344818895[[#This Row],[anteblinds]]))</f>
        <v>0</v>
      </c>
      <c r="I19" s="2">
        <f>T_p1213519828996[[#This Row],[EQ]]*prize</f>
        <v>0</v>
      </c>
      <c r="J19" s="66">
        <f>IF(T_init20344818895[[#This Row],[p]]=1,T_p1213519828996[[#This Row],[players]]*T_p1213519828996[[#This Row],[stack]]/chips+COUNTIF(T_p1213519828996[stack],0),T_p1213519828996[[#This Row],[players]]*T_p1213519828996[[#This Row],[stack]]/chips)</f>
        <v>0</v>
      </c>
      <c r="K19" s="66">
        <f>T_p1213519828996[[#This Row],[ICM]]+bounty*T_p1213519828996[[#This Row],[KO]]</f>
        <v>0</v>
      </c>
      <c r="M19" s="10">
        <f>COUNTIF(T_p2223625839097[stack],"&gt;0")</f>
        <v>3</v>
      </c>
      <c r="N19" s="26">
        <f>IF(T_init20344818895[[#This Row],[p]]=1,uncalled,IF(T_init20344818895[[#This Row],[p]]=2,mainpot+sidepot1+sidepot2,IF(T_init20344818895[[#This Row],[p]]&gt;2,0,T_init20344818895[[#This Row],[stack]]-T_init20344818895[[#This Row],[anteblinds]])))</f>
        <v>0</v>
      </c>
      <c r="P19" s="2">
        <f>T_p2223625839097[[#This Row],[EQ]]*prize</f>
        <v>0</v>
      </c>
      <c r="Q19" s="66">
        <f>IF(T_init20344818895[[#This Row],[p]]=2,T_p2223625839097[[#This Row],[players]]*T_p2223625839097[[#This Row],[stack]]/chips+COUNTIF(T_p2223625839097[stack],0),T_p2223625839097[[#This Row],[players]]*T_p2223625839097[[#This Row],[stack]]/chips)</f>
        <v>0</v>
      </c>
      <c r="R19" s="66">
        <f>T_p2223625839097[[#This Row],[ICM]]+bounty*T_p2223625839097[[#This Row],[KO]]</f>
        <v>0</v>
      </c>
      <c r="T19" s="5">
        <f>COUNTIF(T_p3p1233726849198[stack],"&gt;0")</f>
        <v>3</v>
      </c>
      <c r="U19" s="26">
        <f>IF(T_init20344818895[[#This Row],[p]]=1,sidepot1+uncalled,IF(T_init20344818895[[#This Row],[p]]=3,mainpot,IF(ISBLANK(T_init20344818895[[#This Row],[p]]),T_init20344818895[[#This Row],[stack]]-T_init20344818895[[#This Row],[anteblinds]],0)))</f>
        <v>1280</v>
      </c>
      <c r="V19">
        <v>0.64</v>
      </c>
      <c r="W19" s="2">
        <f>T_p3p1233726849198[[#This Row],[EQ]]*prize</f>
        <v>18.8416</v>
      </c>
      <c r="X19" s="66">
        <f>IF(T_init20344818895[[#This Row],[p]]=1,T_p3p1233726849198[[#This Row],[players]]*T_p3p1233726849198[[#This Row],[stack]]/chips+COUNTIF(T_p3p1233726849198[stack],0),T_p3p1233726849198[[#This Row],[players]]*T_p3p1233726849198[[#This Row],[stack]]/chips)</f>
        <v>1.92</v>
      </c>
      <c r="Y19" s="66">
        <f>T_p3p1233726849198[[#This Row],[ICM]]+bounty*T_p3p1233726849198[[#This Row],[KO]]</f>
        <v>18.8416</v>
      </c>
      <c r="AA19" s="5">
        <f>COUNTIF(T_p3p2243827859299[stack],"&gt;0")</f>
        <v>4</v>
      </c>
      <c r="AB19">
        <f>IF(T_init20344818895[[#This Row],[p]]=1,uncalled,IF(T_init20344818895[[#This Row],[p]]=2,sidepot1,IF(T_init20344818895[[#This Row],[p]]=3,mainpot,IF(ISBLANK(T_init20344818895[[#This Row],[p]]),T_init20344818895[[#This Row],[stack]]-T_init20344818895[[#This Row],[anteblinds]],0))))</f>
        <v>1280</v>
      </c>
      <c r="AC19">
        <v>0.64</v>
      </c>
      <c r="AD19" s="2">
        <f>T_p3p2243827859299[[#This Row],[EQ]]*prize</f>
        <v>18.8416</v>
      </c>
      <c r="AE19" s="66">
        <f>IF(T_init20344818895[[#This Row],[p]]=2,T_p3p2243827859299[[#This Row],[players]]*T_p3p2243827859299[[#This Row],[stack]]/chips+COUNTIF(T_p3p2243827859299[stack],0),T_p3p2243827859299[[#This Row],[players]]*T_p3p2243827859299[[#This Row],[stack]]/chips)</f>
        <v>2.56</v>
      </c>
      <c r="AF19" s="16">
        <f>T_p3p2243827859299[[#This Row],[ICM]]+bounty*T_p3p2243827859299[[#This Row],[KO]]</f>
        <v>18.8416</v>
      </c>
      <c r="AI19" s="73">
        <v>3</v>
      </c>
      <c r="AJ19" s="26">
        <v>1280</v>
      </c>
      <c r="AK19">
        <v>0.64</v>
      </c>
      <c r="AL19" s="2">
        <f>T_fact2939288693100[[#This Row],[EQ]]*prize</f>
        <v>18.8416</v>
      </c>
      <c r="AM19" s="66">
        <f>IF(T_init20344818895[[#This Row],[p]]=1,T_fact2939288693100[[#This Row],[players]]*T_fact2939288693100[[#This Row],[stack]]/chips+COUNTIF(T_fact2939288693100[stack],0),T_fact2939288693100[[#This Row],[players]]*T_fact2939288693100[[#This Row],[stack]]/chips)</f>
        <v>1.92</v>
      </c>
      <c r="AN19" s="16">
        <f>T_fact2939288693100[[#This Row],[ICM]]+bounty*T_fact2939288693100[[#This Row],[KO]]</f>
        <v>18.8416</v>
      </c>
      <c r="AQ19" s="68">
        <f>'3w KsJs Ден v2 '!p3win* ('3w KsJs Ден v2 '!p1sp1win*T_p3p1233726849198[[#This Row],[ICM]] + '3w KsJs Ден v2 '!p2sp1win*T_p3p2243827859299[[#This Row],[ICM]])
+'3w KsJs Ден v2 '!p2win*T_p2223625839097[[#This Row],[ICM]]
+'3w KsJs Ден v2 '!p1win*T_p1213519828996[[#This Row],[ICM]]</f>
        <v>7.73259264</v>
      </c>
      <c r="AR19" s="68">
        <f>('3w KsJs Ден v2 '!p3win* ('3w KsJs Ден v2 '!p1sp1win*T_p3p1233726849198[[#This Row],[KO]] + '3w KsJs Ден v2 '!p2sp1win*T_p3p2243827859299[[#This Row],[KO]])
+'3w KsJs Ден v2 '!p2win*T_p2223625839097[[#This Row],[KO]]
+'3w KsJs Ден v2 '!p1win*T_p1213519828996[[#This Row],[KO]])*bounty</f>
        <v>0</v>
      </c>
      <c r="AS19" s="68">
        <f>'3w KsJs Ден v2 '!p3win* ('3w KsJs Ден v2 '!p1sp1win*T_p3p1233726849198[[#This Row],[$stack]] + '3w KsJs Ден v2 '!p2sp1win*T_p3p2243827859299[[#This Row],[$stack]])
+'3w KsJs Ден v2 '!p2win*T_p2223625839097[[#This Row],[$stack]]
+'3w KsJs Ден v2 '!p1win*T_p1213519828996[[#This Row],[$stack]]</f>
        <v>7.73259264</v>
      </c>
      <c r="AT19" s="68">
        <f>'3w KsJs Ден v2 '!p3win* ('3w KsJs Ден v2 '!p1sp1win*T_p3p1233726849198[[#This Row],[stack]] + '3w KsJs Ден v2 '!p2sp1win*T_p3p2243827859299[[#This Row],[stack]])
+'3w KsJs Ден v2 '!p2win*T_p2223625839097[[#This Row],[stack]]
+'3w KsJs Ден v2 '!p1win*T_p1213519828996[[#This Row],[stack]]</f>
        <v>525.31200000000001</v>
      </c>
      <c r="AU19" s="2">
        <f>T_EV3340308794101[[#This Row],[chipEV]]-T_fact2939288693100[[#This Row],[stack]]</f>
        <v>-754.68799999999999</v>
      </c>
      <c r="AV19" s="2">
        <f>T_EV3340308794101[[#This Row],[EV]]-(T_fact2939288693100[[#This Row],[ICM]]+bounty*T_fact2939288693100[[#This Row],[KO]])</f>
        <v>-11.10900736</v>
      </c>
    </row>
    <row r="20" spans="1:48" x14ac:dyDescent="0.25">
      <c r="A20" s="26">
        <v>2</v>
      </c>
      <c r="B20" s="26">
        <v>680</v>
      </c>
      <c r="C20" t="s">
        <v>346</v>
      </c>
      <c r="D20" s="26">
        <v>70</v>
      </c>
      <c r="F20" s="73">
        <f>COUNTIF(T_p1213519828996[stack],"&gt;0")</f>
        <v>2</v>
      </c>
      <c r="G20" s="26">
        <f>IF(T_init20344818895[[#This Row],[p]]=1,mainpot+sidepot1+sidepot2+uncalled,IF(T_init20344818895[[#This Row],[p]]&gt;1,0,T_init20344818895[[#This Row],[stack]]-T_init20344818895[[#This Row],[anteblinds]]))</f>
        <v>0</v>
      </c>
      <c r="H20" s="26"/>
      <c r="I20" s="27">
        <f>T_p1213519828996[[#This Row],[EQ]]*prize</f>
        <v>0</v>
      </c>
      <c r="J20" s="71">
        <f>IF(T_init20344818895[[#This Row],[p]]=1,T_p1213519828996[[#This Row],[players]]*T_p1213519828996[[#This Row],[stack]]/chips+COUNTIF(T_p1213519828996[stack],0),T_p1213519828996[[#This Row],[players]]*T_p1213519828996[[#This Row],[stack]]/chips)</f>
        <v>0</v>
      </c>
      <c r="K20" s="71">
        <f>T_p1213519828996[[#This Row],[ICM]]+bounty*T_p1213519828996[[#This Row],[KO]]</f>
        <v>0</v>
      </c>
      <c r="M20" s="29">
        <f>COUNTIF(T_p2223625839097[stack],"&gt;0")</f>
        <v>3</v>
      </c>
      <c r="N20" s="26">
        <f>IF(T_init20344818895[[#This Row],[p]]=1,uncalled,IF(T_init20344818895[[#This Row],[p]]=2,mainpot+sidepot1+sidepot2,IF(T_init20344818895[[#This Row],[p]]&gt;2,0,T_init20344818895[[#This Row],[stack]]-T_init20344818895[[#This Row],[anteblinds]])))</f>
        <v>1800</v>
      </c>
      <c r="O20" s="26">
        <v>0.9</v>
      </c>
      <c r="P20" s="27">
        <f>T_p2223625839097[[#This Row],[EQ]]*prize</f>
        <v>26.496000000000002</v>
      </c>
      <c r="Q20" s="71">
        <f>IF(T_init20344818895[[#This Row],[p]]=2,T_p2223625839097[[#This Row],[players]]*T_p2223625839097[[#This Row],[stack]]/chips+COUNTIF(T_p2223625839097[stack],0),T_p2223625839097[[#This Row],[players]]*T_p2223625839097[[#This Row],[stack]]/chips)</f>
        <v>5.7</v>
      </c>
      <c r="R20" s="71">
        <f>T_p2223625839097[[#This Row],[ICM]]+bounty*T_p2223625839097[[#This Row],[KO]]</f>
        <v>26.496000000000002</v>
      </c>
      <c r="T20" s="73">
        <f>COUNTIF(T_p3p1233726849198[stack],"&gt;0")</f>
        <v>3</v>
      </c>
      <c r="U20" s="26">
        <f>IF(T_init20344818895[[#This Row],[p]]=1,sidepot1+uncalled,IF(T_init20344818895[[#This Row],[p]]=3,mainpot,IF(ISBLANK(T_init20344818895[[#This Row],[p]]),T_init20344818895[[#This Row],[stack]]-T_init20344818895[[#This Row],[anteblinds]],0)))</f>
        <v>0</v>
      </c>
      <c r="V20" s="26">
        <v>0</v>
      </c>
      <c r="W20" s="27">
        <f>T_p3p1233726849198[[#This Row],[EQ]]*prize</f>
        <v>0</v>
      </c>
      <c r="X20" s="71">
        <f>IF(T_init20344818895[[#This Row],[p]]=1,T_p3p1233726849198[[#This Row],[players]]*T_p3p1233726849198[[#This Row],[stack]]/chips+COUNTIF(T_p3p1233726849198[stack],0),T_p3p1233726849198[[#This Row],[players]]*T_p3p1233726849198[[#This Row],[stack]]/chips)</f>
        <v>0</v>
      </c>
      <c r="Y20" s="71">
        <f>T_p3p1233726849198[[#This Row],[ICM]]+bounty*T_p3p1233726849198[[#This Row],[KO]]</f>
        <v>0</v>
      </c>
      <c r="AA20" s="73">
        <f>COUNTIF(T_p3p2243827859299[stack],"&gt;0")</f>
        <v>4</v>
      </c>
      <c r="AB20" s="26">
        <f>IF(T_init20344818895[[#This Row],[p]]=1,uncalled,IF(T_init20344818895[[#This Row],[p]]=2,sidepot1,IF(T_init20344818895[[#This Row],[p]]=3,mainpot,IF(ISBLANK(T_init20344818895[[#This Row],[p]]),T_init20344818895[[#This Row],[stack]]-T_init20344818895[[#This Row],[anteblinds]],0))))</f>
        <v>520</v>
      </c>
      <c r="AC20" s="26">
        <v>0.26</v>
      </c>
      <c r="AD20" s="27">
        <f>T_p3p2243827859299[[#This Row],[EQ]]*prize</f>
        <v>7.6544000000000008</v>
      </c>
      <c r="AE20" s="71">
        <f>IF(T_init20344818895[[#This Row],[p]]=2,T_p3p2243827859299[[#This Row],[players]]*T_p3p2243827859299[[#This Row],[stack]]/chips+COUNTIF(T_p3p2243827859299[stack],0),T_p3p2243827859299[[#This Row],[players]]*T_p3p2243827859299[[#This Row],[stack]]/chips)</f>
        <v>3.04</v>
      </c>
      <c r="AF20" s="16">
        <f>T_p3p2243827859299[[#This Row],[ICM]]+bounty*T_p3p2243827859299[[#This Row],[KO]]</f>
        <v>7.6544000000000008</v>
      </c>
      <c r="AI20" s="73">
        <v>3</v>
      </c>
      <c r="AJ20" s="26">
        <v>0</v>
      </c>
      <c r="AK20" s="26">
        <v>0</v>
      </c>
      <c r="AL20" s="27">
        <f>T_fact2939288693100[[#This Row],[EQ]]*prize</f>
        <v>0</v>
      </c>
      <c r="AM20" s="71">
        <f>IF(T_init20344818895[[#This Row],[p]]=1,T_fact2939288693100[[#This Row],[players]]*T_fact2939288693100[[#This Row],[stack]]/chips+COUNTIF(T_fact2939288693100[stack],0),T_fact2939288693100[[#This Row],[players]]*T_fact2939288693100[[#This Row],[stack]]/chips)</f>
        <v>0</v>
      </c>
      <c r="AN20" s="16">
        <f>T_fact2939288693100[[#This Row],[ICM]]+bounty*T_fact2939288693100[[#This Row],[KO]]</f>
        <v>0</v>
      </c>
      <c r="AQ20" s="68">
        <f>'3w KsJs Ден v2 '!p3win* ('3w KsJs Ден v2 '!p1sp1win*T_p3p1233726849198[[#This Row],[ICM]] + '3w KsJs Ден v2 '!p2sp1win*T_p3p2243827859299[[#This Row],[ICM]])
+'3w KsJs Ден v2 '!p2win*T_p2223625839097[[#This Row],[ICM]]
+'3w KsJs Ден v2 '!p1win*T_p1213519828996[[#This Row],[ICM]]</f>
        <v>7.2726593863679998</v>
      </c>
      <c r="AR20" s="72">
        <f>('3w KsJs Ден v2 '!p3win* ('3w KsJs Ден v2 '!p1sp1win*T_p3p1233726849198[[#This Row],[KO]] + '3w KsJs Ден v2 '!p2sp1win*T_p3p2243827859299[[#This Row],[KO]])
+'3w KsJs Ден v2 '!p2win*T_p2223625839097[[#This Row],[KO]]
+'3w KsJs Ден v2 '!p1win*T_p1213519828996[[#This Row],[KO]])*bounty</f>
        <v>0</v>
      </c>
      <c r="AS20" s="72">
        <f>'3w KsJs Ден v2 '!p3win* ('3w KsJs Ден v2 '!p1sp1win*T_p3p1233726849198[[#This Row],[$stack]] + '3w KsJs Ден v2 '!p2sp1win*T_p3p2243827859299[[#This Row],[$stack]])
+'3w KsJs Ден v2 '!p2win*T_p2223625839097[[#This Row],[$stack]]
+'3w KsJs Ден v2 '!p1win*T_p1213519828996[[#This Row],[$stack]]</f>
        <v>7.2726593863679998</v>
      </c>
      <c r="AT20" s="72">
        <f>'3w KsJs Ден v2 '!p3win* ('3w KsJs Ден v2 '!p1sp1win*T_p3p1233726849198[[#This Row],[stack]] + '3w KsJs Ден v2 '!p2sp1win*T_p3p2243827859299[[#This Row],[stack]])
+'3w KsJs Ден v2 '!p2win*T_p2223625839097[[#This Row],[stack]]
+'3w KsJs Ден v2 '!p1win*T_p1213519828996[[#This Row],[stack]]</f>
        <v>494.06653439999997</v>
      </c>
      <c r="AU20" s="2">
        <f>T_EV3340308794101[[#This Row],[chipEV]]-T_fact2939288693100[[#This Row],[stack]]</f>
        <v>494.06653439999997</v>
      </c>
      <c r="AV20" s="2">
        <f>T_EV3340308794101[[#This Row],[EV]]-(T_fact2939288693100[[#This Row],[ICM]]+bounty*T_fact2939288693100[[#This Row],[KO]])</f>
        <v>7.2726593863679998</v>
      </c>
    </row>
    <row r="21" spans="1:48" x14ac:dyDescent="0.25">
      <c r="B21">
        <v>0</v>
      </c>
      <c r="F21" s="5">
        <f>COUNTIF(T_p1213519828996[stack],"&gt;0")</f>
        <v>2</v>
      </c>
      <c r="G21">
        <f>IF(T_init20344818895[[#This Row],[p]]=1,mainpot+sidepot1+sidepot2+uncalled,IF(T_init20344818895[[#This Row],[p]]&gt;1,0,T_init20344818895[[#This Row],[stack]]-T_init20344818895[[#This Row],[anteblinds]]))</f>
        <v>0</v>
      </c>
      <c r="I21" s="2">
        <f>T_p1213519828996[[#This Row],[EQ]]*prize</f>
        <v>0</v>
      </c>
      <c r="J21" s="66">
        <f>IF(T_init20344818895[[#This Row],[p]]=1,T_p1213519828996[[#This Row],[players]]*T_p1213519828996[[#This Row],[stack]]/chips+COUNTIF(T_p1213519828996[stack],0),T_p1213519828996[[#This Row],[players]]*T_p1213519828996[[#This Row],[stack]]/chips)</f>
        <v>0</v>
      </c>
      <c r="K21" s="66">
        <f>T_p1213519828996[[#This Row],[ICM]]+bounty*T_p1213519828996[[#This Row],[KO]]</f>
        <v>0</v>
      </c>
      <c r="M21" s="10">
        <f>COUNTIF(T_p2223625839097[stack],"&gt;0")</f>
        <v>3</v>
      </c>
      <c r="N21" s="26">
        <f>IF(T_init20344818895[[#This Row],[p]]=1,uncalled,IF(T_init20344818895[[#This Row],[p]]=2,mainpot+sidepot1+sidepot2,IF(T_init20344818895[[#This Row],[p]]&gt;2,0,T_init20344818895[[#This Row],[stack]]-T_init20344818895[[#This Row],[anteblinds]])))</f>
        <v>0</v>
      </c>
      <c r="O21">
        <v>0</v>
      </c>
      <c r="P21" s="2">
        <f>T_p2223625839097[[#This Row],[EQ]]*prize</f>
        <v>0</v>
      </c>
      <c r="Q21" s="66">
        <f>IF(T_init20344818895[[#This Row],[p]]=2,T_p2223625839097[[#This Row],[players]]*T_p2223625839097[[#This Row],[stack]]/chips+COUNTIF(T_p2223625839097[stack],0),T_p2223625839097[[#This Row],[players]]*T_p2223625839097[[#This Row],[stack]]/chips)</f>
        <v>0</v>
      </c>
      <c r="R21" s="66">
        <f>T_p2223625839097[[#This Row],[ICM]]+bounty*T_p2223625839097[[#This Row],[KO]]</f>
        <v>0</v>
      </c>
      <c r="T21" s="5">
        <f>COUNTIF(T_p3p1233726849198[stack],"&gt;0")</f>
        <v>3</v>
      </c>
      <c r="U21" s="26">
        <f>IF(T_init20344818895[[#This Row],[p]]=1,sidepot1+uncalled,IF(T_init20344818895[[#This Row],[p]]=3,mainpot,IF(ISBLANK(T_init20344818895[[#This Row],[p]]),T_init20344818895[[#This Row],[stack]]-T_init20344818895[[#This Row],[anteblinds]],0)))</f>
        <v>0</v>
      </c>
      <c r="V21">
        <v>0</v>
      </c>
      <c r="W21" s="2">
        <f>T_p3p1233726849198[[#This Row],[EQ]]*prize</f>
        <v>0</v>
      </c>
      <c r="X21" s="66">
        <f>IF(T_init20344818895[[#This Row],[p]]=1,T_p3p1233726849198[[#This Row],[players]]*T_p3p1233726849198[[#This Row],[stack]]/chips+COUNTIF(T_p3p1233726849198[stack],0),T_p3p1233726849198[[#This Row],[players]]*T_p3p1233726849198[[#This Row],[stack]]/chips)</f>
        <v>0</v>
      </c>
      <c r="Y21" s="66">
        <f>T_p3p1233726849198[[#This Row],[ICM]]+bounty*T_p3p1233726849198[[#This Row],[KO]]</f>
        <v>0</v>
      </c>
      <c r="AA21" s="5">
        <f>COUNTIF(T_p3p2243827859299[stack],"&gt;0")</f>
        <v>4</v>
      </c>
      <c r="AB21">
        <f>IF(T_init20344818895[[#This Row],[p]]=1,uncalled,IF(T_init20344818895[[#This Row],[p]]=2,sidepot1,IF(T_init20344818895[[#This Row],[p]]=3,mainpot,IF(ISBLANK(T_init20344818895[[#This Row],[p]]),T_init20344818895[[#This Row],[stack]]-T_init20344818895[[#This Row],[anteblinds]],0))))</f>
        <v>0</v>
      </c>
      <c r="AC21">
        <v>0</v>
      </c>
      <c r="AD21" s="2">
        <f>T_p3p2243827859299[[#This Row],[EQ]]*prize</f>
        <v>0</v>
      </c>
      <c r="AE21" s="66">
        <f>IF(T_init20344818895[[#This Row],[p]]=2,T_p3p2243827859299[[#This Row],[players]]*T_p3p2243827859299[[#This Row],[stack]]/chips+COUNTIF(T_p3p2243827859299[stack],0),T_p3p2243827859299[[#This Row],[players]]*T_p3p2243827859299[[#This Row],[stack]]/chips)</f>
        <v>0</v>
      </c>
      <c r="AF21" s="16">
        <f>T_p3p2243827859299[[#This Row],[ICM]]+bounty*T_p3p2243827859299[[#This Row],[KO]]</f>
        <v>0</v>
      </c>
      <c r="AI21" s="73">
        <v>3</v>
      </c>
      <c r="AJ21" s="26">
        <v>0</v>
      </c>
      <c r="AL21" s="2">
        <f>T_fact2939288693100[[#This Row],[EQ]]*prize</f>
        <v>0</v>
      </c>
      <c r="AM21" s="66">
        <f>IF(T_init20344818895[[#This Row],[p]]=1,T_fact2939288693100[[#This Row],[players]]*T_fact2939288693100[[#This Row],[stack]]/chips+COUNTIF(T_fact2939288693100[stack],0),T_fact2939288693100[[#This Row],[players]]*T_fact2939288693100[[#This Row],[stack]]/chips)</f>
        <v>0</v>
      </c>
      <c r="AN21" s="16">
        <f>T_fact2939288693100[[#This Row],[ICM]]+bounty*T_fact2939288693100[[#This Row],[KO]]</f>
        <v>0</v>
      </c>
      <c r="AQ21" s="68">
        <f>'3w KsJs Ден v2 '!p3win* ('3w KsJs Ден v2 '!p1sp1win*T_p3p1233726849198[[#This Row],[ICM]] + '3w KsJs Ден v2 '!p2sp1win*T_p3p2243827859299[[#This Row],[ICM]])
+'3w KsJs Ден v2 '!p2win*T_p2223625839097[[#This Row],[ICM]]
+'3w KsJs Ден v2 '!p1win*T_p1213519828996[[#This Row],[ICM]]</f>
        <v>0</v>
      </c>
      <c r="AR21" s="68">
        <f>('3w KsJs Ден v2 '!p3win* ('3w KsJs Ден v2 '!p1sp1win*T_p3p1233726849198[[#This Row],[KO]] + '3w KsJs Ден v2 '!p2sp1win*T_p3p2243827859299[[#This Row],[KO]])
+'3w KsJs Ден v2 '!p2win*T_p2223625839097[[#This Row],[KO]]
+'3w KsJs Ден v2 '!p1win*T_p1213519828996[[#This Row],[KO]])*bounty</f>
        <v>0</v>
      </c>
      <c r="AS21" s="68">
        <f>'3w KsJs Ден v2 '!p3win* ('3w KsJs Ден v2 '!p1sp1win*T_p3p1233726849198[[#This Row],[$stack]] + '3w KsJs Ден v2 '!p2sp1win*T_p3p2243827859299[[#This Row],[$stack]])
+'3w KsJs Ден v2 '!p2win*T_p2223625839097[[#This Row],[$stack]]
+'3w KsJs Ден v2 '!p1win*T_p1213519828996[[#This Row],[$stack]]</f>
        <v>0</v>
      </c>
      <c r="AT21" s="68">
        <f>'3w KsJs Ден v2 '!p3win* ('3w KsJs Ден v2 '!p1sp1win*T_p3p1233726849198[[#This Row],[stack]] + '3w KsJs Ден v2 '!p2sp1win*T_p3p2243827859299[[#This Row],[stack]])
+'3w KsJs Ден v2 '!p2win*T_p2223625839097[[#This Row],[stack]]
+'3w KsJs Ден v2 '!p1win*T_p1213519828996[[#This Row],[stack]]</f>
        <v>0</v>
      </c>
      <c r="AU21" s="2">
        <f>T_EV3340308794101[[#This Row],[chipEV]]-T_fact2939288693100[[#This Row],[stack]]</f>
        <v>0</v>
      </c>
      <c r="AV21" s="2">
        <f>T_EV3340308794101[[#This Row],[EV]]-(T_fact2939288693100[[#This Row],[ICM]]+bounty*T_fact2939288693100[[#This Row],[KO]])</f>
        <v>0</v>
      </c>
    </row>
    <row r="22" spans="1:48" x14ac:dyDescent="0.25">
      <c r="B22">
        <v>0</v>
      </c>
      <c r="F22" s="5">
        <f>COUNTIF(T_p1213519828996[stack],"&gt;0")</f>
        <v>2</v>
      </c>
      <c r="G22">
        <f>IF(T_init20344818895[[#This Row],[p]]=1,mainpot+sidepot1+sidepot2+uncalled,IF(T_init20344818895[[#This Row],[p]]&gt;1,0,T_init20344818895[[#This Row],[stack]]-T_init20344818895[[#This Row],[anteblinds]]))</f>
        <v>0</v>
      </c>
      <c r="I22" s="2">
        <f>T_p1213519828996[[#This Row],[EQ]]*prize</f>
        <v>0</v>
      </c>
      <c r="J22" s="66">
        <f>IF(T_init20344818895[[#This Row],[p]]=1,T_p1213519828996[[#This Row],[players]]*T_p1213519828996[[#This Row],[stack]]/chips+COUNTIF(T_p1213519828996[stack],0),T_p1213519828996[[#This Row],[players]]*T_p1213519828996[[#This Row],[stack]]/chips)</f>
        <v>0</v>
      </c>
      <c r="K22" s="66">
        <f>T_p1213519828996[[#This Row],[ICM]]+bounty*T_p1213519828996[[#This Row],[KO]]</f>
        <v>0</v>
      </c>
      <c r="M22" s="10">
        <f>COUNTIF(T_p2223625839097[stack],"&gt;0")</f>
        <v>3</v>
      </c>
      <c r="N22" s="26">
        <f>IF(T_init20344818895[[#This Row],[p]]=1,uncalled,IF(T_init20344818895[[#This Row],[p]]=2,mainpot+sidepot1+sidepot2,IF(T_init20344818895[[#This Row],[p]]&gt;2,0,T_init20344818895[[#This Row],[stack]]-T_init20344818895[[#This Row],[anteblinds]])))</f>
        <v>0</v>
      </c>
      <c r="P22" s="2">
        <f>T_p2223625839097[[#This Row],[EQ]]*prize</f>
        <v>0</v>
      </c>
      <c r="Q22" s="66">
        <f>IF(T_init20344818895[[#This Row],[p]]=2,T_p2223625839097[[#This Row],[players]]*T_p2223625839097[[#This Row],[stack]]/chips+COUNTIF(T_p2223625839097[stack],0),T_p2223625839097[[#This Row],[players]]*T_p2223625839097[[#This Row],[stack]]/chips)</f>
        <v>0</v>
      </c>
      <c r="R22" s="66">
        <f>T_p2223625839097[[#This Row],[ICM]]+bounty*T_p2223625839097[[#This Row],[KO]]</f>
        <v>0</v>
      </c>
      <c r="T22" s="5">
        <f>COUNTIF(T_p3p1233726849198[stack],"&gt;0")</f>
        <v>3</v>
      </c>
      <c r="U22" s="26">
        <f>IF(T_init20344818895[[#This Row],[p]]=1,sidepot1+uncalled,IF(T_init20344818895[[#This Row],[p]]=3,mainpot,IF(ISBLANK(T_init20344818895[[#This Row],[p]]),T_init20344818895[[#This Row],[stack]]-T_init20344818895[[#This Row],[anteblinds]],0)))</f>
        <v>0</v>
      </c>
      <c r="V22">
        <v>0</v>
      </c>
      <c r="W22" s="2">
        <f>T_p3p1233726849198[[#This Row],[EQ]]*prize</f>
        <v>0</v>
      </c>
      <c r="X22" s="66">
        <f>IF(T_init20344818895[[#This Row],[p]]=1,T_p3p1233726849198[[#This Row],[players]]*T_p3p1233726849198[[#This Row],[stack]]/chips+COUNTIF(T_p3p1233726849198[stack],0),T_p3p1233726849198[[#This Row],[players]]*T_p3p1233726849198[[#This Row],[stack]]/chips)</f>
        <v>0</v>
      </c>
      <c r="Y22" s="66">
        <f>T_p3p1233726849198[[#This Row],[ICM]]+bounty*T_p3p1233726849198[[#This Row],[KO]]</f>
        <v>0</v>
      </c>
      <c r="AA22" s="5">
        <f>COUNTIF(T_p3p2243827859299[stack],"&gt;0")</f>
        <v>4</v>
      </c>
      <c r="AB22">
        <f>IF(T_init20344818895[[#This Row],[p]]=1,uncalled,IF(T_init20344818895[[#This Row],[p]]=2,sidepot1,IF(T_init20344818895[[#This Row],[p]]=3,mainpot,IF(ISBLANK(T_init20344818895[[#This Row],[p]]),T_init20344818895[[#This Row],[stack]]-T_init20344818895[[#This Row],[anteblinds]],0))))</f>
        <v>0</v>
      </c>
      <c r="AC22">
        <v>0</v>
      </c>
      <c r="AD22" s="2">
        <f>T_p3p2243827859299[[#This Row],[EQ]]*prize</f>
        <v>0</v>
      </c>
      <c r="AE22" s="66">
        <f>IF(T_init20344818895[[#This Row],[p]]=2,T_p3p2243827859299[[#This Row],[players]]*T_p3p2243827859299[[#This Row],[stack]]/chips+COUNTIF(T_p3p2243827859299[stack],0),T_p3p2243827859299[[#This Row],[players]]*T_p3p2243827859299[[#This Row],[stack]]/chips)</f>
        <v>0</v>
      </c>
      <c r="AF22" s="16">
        <f>T_p3p2243827859299[[#This Row],[ICM]]+bounty*T_p3p2243827859299[[#This Row],[KO]]</f>
        <v>0</v>
      </c>
      <c r="AI22" s="73">
        <v>3</v>
      </c>
      <c r="AJ22" s="26">
        <v>0</v>
      </c>
      <c r="AL22" s="2">
        <f>T_fact2939288693100[[#This Row],[EQ]]*prize</f>
        <v>0</v>
      </c>
      <c r="AM22" s="66">
        <f>IF(T_init20344818895[[#This Row],[p]]=1,T_fact2939288693100[[#This Row],[players]]*T_fact2939288693100[[#This Row],[stack]]/chips+COUNTIF(T_fact2939288693100[stack],0),T_fact2939288693100[[#This Row],[players]]*T_fact2939288693100[[#This Row],[stack]]/chips)</f>
        <v>0</v>
      </c>
      <c r="AN22" s="16">
        <f>T_fact2939288693100[[#This Row],[ICM]]+bounty*T_fact2939288693100[[#This Row],[KO]]</f>
        <v>0</v>
      </c>
      <c r="AQ22" s="68">
        <f>'3w KsJs Ден v2 '!p3win* ('3w KsJs Ден v2 '!p1sp1win*T_p3p1233726849198[[#This Row],[ICM]] + '3w KsJs Ден v2 '!p2sp1win*T_p3p2243827859299[[#This Row],[ICM]])
+'3w KsJs Ден v2 '!p2win*T_p2223625839097[[#This Row],[ICM]]
+'3w KsJs Ден v2 '!p1win*T_p1213519828996[[#This Row],[ICM]]</f>
        <v>0</v>
      </c>
      <c r="AR22" s="68">
        <f>('3w KsJs Ден v2 '!p3win* ('3w KsJs Ден v2 '!p1sp1win*T_p3p1233726849198[[#This Row],[KO]] + '3w KsJs Ден v2 '!p2sp1win*T_p3p2243827859299[[#This Row],[KO]])
+'3w KsJs Ден v2 '!p2win*T_p2223625839097[[#This Row],[KO]]
+'3w KsJs Ден v2 '!p1win*T_p1213519828996[[#This Row],[KO]])*bounty</f>
        <v>0</v>
      </c>
      <c r="AS22" s="68">
        <f>'3w KsJs Ден v2 '!p3win* ('3w KsJs Ден v2 '!p1sp1win*T_p3p1233726849198[[#This Row],[$stack]] + '3w KsJs Ден v2 '!p2sp1win*T_p3p2243827859299[[#This Row],[$stack]])
+'3w KsJs Ден v2 '!p2win*T_p2223625839097[[#This Row],[$stack]]
+'3w KsJs Ден v2 '!p1win*T_p1213519828996[[#This Row],[$stack]]</f>
        <v>0</v>
      </c>
      <c r="AT22" s="68">
        <f>'3w KsJs Ден v2 '!p3win* ('3w KsJs Ден v2 '!p1sp1win*T_p3p1233726849198[[#This Row],[stack]] + '3w KsJs Ден v2 '!p2sp1win*T_p3p2243827859299[[#This Row],[stack]])
+'3w KsJs Ден v2 '!p2win*T_p2223625839097[[#This Row],[stack]]
+'3w KsJs Ден v2 '!p1win*T_p1213519828996[[#This Row],[stack]]</f>
        <v>0</v>
      </c>
      <c r="AU22" s="2">
        <f>T_EV3340308794101[[#This Row],[chipEV]]-T_fact2939288693100[[#This Row],[stack]]</f>
        <v>0</v>
      </c>
      <c r="AV22" s="2">
        <f>T_EV3340308794101[[#This Row],[EV]]-(T_fact2939288693100[[#This Row],[ICM]]+bounty*T_fact2939288693100[[#This Row],[KO]])</f>
        <v>0</v>
      </c>
    </row>
    <row r="23" spans="1:48" x14ac:dyDescent="0.25">
      <c r="A23" t="s">
        <v>95</v>
      </c>
      <c r="D23">
        <f>SUBTOTAL(109,T_init20344818895[anteblinds])</f>
        <v>230</v>
      </c>
      <c r="F23" s="53"/>
      <c r="G23" s="50">
        <f>SUM(T_p1213519828996[stack])</f>
        <v>2000</v>
      </c>
      <c r="H23" s="50">
        <f>SUM(T_p1213519828996[EQ])</f>
        <v>1</v>
      </c>
      <c r="I23" s="50">
        <f>SUM(T_p1213519828996[ICM])</f>
        <v>29.44</v>
      </c>
      <c r="J23" s="50">
        <f>SUM(T_p1213519828996[KO])</f>
        <v>6</v>
      </c>
      <c r="K23" s="50">
        <f>SUM(T_p1213519828996[$stack])</f>
        <v>29.44</v>
      </c>
      <c r="M23" s="53"/>
      <c r="N23" s="55">
        <f>SUM(T_p2223625839097[stack])</f>
        <v>2000</v>
      </c>
      <c r="O23" s="50">
        <f>SUM(T_p2223625839097[EQ])</f>
        <v>1</v>
      </c>
      <c r="P23" s="51">
        <f>SUM(T_p2223625839097[ICM])</f>
        <v>29.44</v>
      </c>
      <c r="Q23" s="52">
        <f>SUM(T_p2223625839097[KO])</f>
        <v>6</v>
      </c>
      <c r="R23" s="50">
        <f>SUM(T_p2223625839097[$stack])</f>
        <v>29.44</v>
      </c>
      <c r="T23" s="53"/>
      <c r="U23" s="55">
        <f>SUM(T_p3p1233726849198[stack])</f>
        <v>2000</v>
      </c>
      <c r="V23" s="50">
        <f>SUM(T_p3p1233726849198[EQ])</f>
        <v>1</v>
      </c>
      <c r="W23" s="51">
        <f>SUM(T_p3p1233726849198[ICM])</f>
        <v>29.44</v>
      </c>
      <c r="X23" s="52">
        <f>SUM(T_p3p1233726849198[KO])</f>
        <v>6</v>
      </c>
      <c r="Y23" s="50">
        <f>SUM(T_p3p1233726849198[$stack])</f>
        <v>29.44</v>
      </c>
      <c r="AA23" s="53"/>
      <c r="AB23" s="55">
        <f>SUM(T_p3p2243827859299[stack])</f>
        <v>2000</v>
      </c>
      <c r="AC23" s="50">
        <f>SUM(T_p3p2243827859299[EQ])</f>
        <v>1</v>
      </c>
      <c r="AD23" s="51">
        <f>SUM(T_p3p2243827859299[ICM])</f>
        <v>29.439999999999998</v>
      </c>
      <c r="AE23" s="52">
        <f>SUM(T_p3p2243827859299[KO])</f>
        <v>6</v>
      </c>
      <c r="AF23" s="50">
        <f>SUM(T_p3p1233726849198[$stack])</f>
        <v>29.44</v>
      </c>
      <c r="AI23" s="53"/>
      <c r="AJ23" s="55">
        <f>SUM(T_fact2939288693100[stack])</f>
        <v>2000</v>
      </c>
      <c r="AK23" s="50">
        <f>SUM(T_fact2939288693100[EQ])</f>
        <v>1</v>
      </c>
      <c r="AL23" s="51">
        <f>SUM(T_fact2939288693100[ICM])</f>
        <v>29.44</v>
      </c>
      <c r="AM23" s="52">
        <f>SUM(T_fact2939288693100[KO])</f>
        <v>6</v>
      </c>
      <c r="AN23" s="51">
        <f>SUM(T_fact2939288693100[$stack])</f>
        <v>29.44</v>
      </c>
      <c r="AQ23" s="52">
        <f>SUM(T_EV3340308794101[ICM])</f>
        <v>29.439999999999998</v>
      </c>
      <c r="AR23" s="52">
        <f>SUM(T_EV3340308794101[KO])</f>
        <v>0</v>
      </c>
      <c r="AS23" s="52">
        <f>SUM(T_EV3340308794101[EV])</f>
        <v>29.439999999999998</v>
      </c>
      <c r="AT23" s="50">
        <f>SUM(T_EV3340308794101[chipEV])</f>
        <v>2000</v>
      </c>
    </row>
    <row r="25" spans="1:48" ht="18.75" x14ac:dyDescent="0.3">
      <c r="M25" s="79" t="s">
        <v>117</v>
      </c>
    </row>
    <row r="26" spans="1:48" x14ac:dyDescent="0.25">
      <c r="C26" t="s">
        <v>118</v>
      </c>
      <c r="M26" t="s">
        <v>347</v>
      </c>
    </row>
    <row r="27" spans="1:48" x14ac:dyDescent="0.25">
      <c r="C27" t="s">
        <v>120</v>
      </c>
      <c r="M27" t="s">
        <v>348</v>
      </c>
    </row>
    <row r="28" spans="1:48" x14ac:dyDescent="0.25">
      <c r="C28" t="s">
        <v>122</v>
      </c>
      <c r="M28" t="s">
        <v>349</v>
      </c>
    </row>
    <row r="29" spans="1:48" x14ac:dyDescent="0.25">
      <c r="M29" t="s">
        <v>350</v>
      </c>
    </row>
    <row r="30" spans="1:48" x14ac:dyDescent="0.25">
      <c r="M30" t="s">
        <v>351</v>
      </c>
    </row>
    <row r="31" spans="1:48" x14ac:dyDescent="0.25">
      <c r="C31" t="s">
        <v>126</v>
      </c>
      <c r="M31" t="s">
        <v>352</v>
      </c>
    </row>
    <row r="32" spans="1:48" x14ac:dyDescent="0.25">
      <c r="M32" t="s">
        <v>353</v>
      </c>
    </row>
    <row r="33" spans="2:13" x14ac:dyDescent="0.25">
      <c r="B33" t="s">
        <v>129</v>
      </c>
      <c r="M33" t="s">
        <v>354</v>
      </c>
    </row>
    <row r="34" spans="2:13" x14ac:dyDescent="0.25">
      <c r="B34" t="s">
        <v>131</v>
      </c>
      <c r="M34" t="s">
        <v>355</v>
      </c>
    </row>
    <row r="35" spans="2:13" x14ac:dyDescent="0.25">
      <c r="C35" t="s">
        <v>133</v>
      </c>
      <c r="M35" t="s">
        <v>356</v>
      </c>
    </row>
    <row r="36" spans="2:13" x14ac:dyDescent="0.25">
      <c r="D36" t="s">
        <v>135</v>
      </c>
      <c r="M36" t="s">
        <v>357</v>
      </c>
    </row>
    <row r="37" spans="2:13" x14ac:dyDescent="0.25">
      <c r="C37" t="s">
        <v>137</v>
      </c>
      <c r="M37" t="s">
        <v>358</v>
      </c>
    </row>
    <row r="38" spans="2:13" x14ac:dyDescent="0.25">
      <c r="D38" t="s">
        <v>135</v>
      </c>
      <c r="M38" t="s">
        <v>139</v>
      </c>
    </row>
    <row r="39" spans="2:13" x14ac:dyDescent="0.25">
      <c r="C39" t="s">
        <v>140</v>
      </c>
      <c r="M39" t="s">
        <v>359</v>
      </c>
    </row>
    <row r="40" spans="2:13" x14ac:dyDescent="0.25">
      <c r="D40" t="s">
        <v>142</v>
      </c>
      <c r="M40" t="s">
        <v>360</v>
      </c>
    </row>
    <row r="41" spans="2:13" x14ac:dyDescent="0.25">
      <c r="D41" t="s">
        <v>144</v>
      </c>
      <c r="E41" t="s">
        <v>145</v>
      </c>
      <c r="M41" t="s">
        <v>361</v>
      </c>
    </row>
    <row r="42" spans="2:13" x14ac:dyDescent="0.25">
      <c r="F42" t="s">
        <v>147</v>
      </c>
      <c r="M42" t="s">
        <v>362</v>
      </c>
    </row>
    <row r="43" spans="2:13" x14ac:dyDescent="0.25">
      <c r="E43" t="s">
        <v>149</v>
      </c>
      <c r="M43" t="s">
        <v>363</v>
      </c>
    </row>
    <row r="44" spans="2:13" x14ac:dyDescent="0.25">
      <c r="F44" t="s">
        <v>151</v>
      </c>
      <c r="M44" t="s">
        <v>364</v>
      </c>
    </row>
    <row r="45" spans="2:13" x14ac:dyDescent="0.25">
      <c r="M45" t="s">
        <v>365</v>
      </c>
    </row>
    <row r="46" spans="2:13" x14ac:dyDescent="0.25">
      <c r="C46" t="s">
        <v>154</v>
      </c>
      <c r="M46" t="s">
        <v>366</v>
      </c>
    </row>
    <row r="47" spans="2:13" x14ac:dyDescent="0.25">
      <c r="D47" t="s">
        <v>156</v>
      </c>
      <c r="M47" t="s">
        <v>166</v>
      </c>
    </row>
    <row r="48" spans="2:13" x14ac:dyDescent="0.25">
      <c r="D48" t="s">
        <v>158</v>
      </c>
      <c r="E48" t="s">
        <v>145</v>
      </c>
      <c r="M48" t="s">
        <v>367</v>
      </c>
    </row>
    <row r="49" spans="5:13" x14ac:dyDescent="0.25">
      <c r="F49" t="s">
        <v>160</v>
      </c>
      <c r="M49" t="s">
        <v>368</v>
      </c>
    </row>
    <row r="50" spans="5:13" x14ac:dyDescent="0.25">
      <c r="E50" t="s">
        <v>149</v>
      </c>
      <c r="M50" t="s">
        <v>369</v>
      </c>
    </row>
    <row r="51" spans="5:13" x14ac:dyDescent="0.25">
      <c r="F51" t="s">
        <v>163</v>
      </c>
      <c r="M51" t="s">
        <v>370</v>
      </c>
    </row>
    <row r="52" spans="5:13" x14ac:dyDescent="0.25">
      <c r="E52" t="s">
        <v>165</v>
      </c>
      <c r="M52" t="s">
        <v>371</v>
      </c>
    </row>
    <row r="53" spans="5:13" x14ac:dyDescent="0.25">
      <c r="F53" t="s">
        <v>167</v>
      </c>
      <c r="M53" t="s">
        <v>372</v>
      </c>
    </row>
    <row r="54" spans="5:13" x14ac:dyDescent="0.25">
      <c r="F54" t="s">
        <v>144</v>
      </c>
      <c r="M54" t="s">
        <v>173</v>
      </c>
    </row>
    <row r="55" spans="5:13" x14ac:dyDescent="0.25">
      <c r="G55" t="s">
        <v>145</v>
      </c>
      <c r="M55" t="s">
        <v>373</v>
      </c>
    </row>
    <row r="56" spans="5:13" x14ac:dyDescent="0.25">
      <c r="H56" t="s">
        <v>147</v>
      </c>
      <c r="M56" t="s">
        <v>374</v>
      </c>
    </row>
    <row r="57" spans="5:13" x14ac:dyDescent="0.25">
      <c r="G57" t="s">
        <v>149</v>
      </c>
      <c r="M57" t="s">
        <v>375</v>
      </c>
    </row>
    <row r="58" spans="5:13" x14ac:dyDescent="0.25">
      <c r="H58" t="s">
        <v>151</v>
      </c>
      <c r="M58" t="s">
        <v>376</v>
      </c>
    </row>
    <row r="59" spans="5:13" x14ac:dyDescent="0.25">
      <c r="M59" t="s">
        <v>377</v>
      </c>
    </row>
    <row r="60" spans="5:13" x14ac:dyDescent="0.25">
      <c r="M60" t="s">
        <v>378</v>
      </c>
    </row>
    <row r="62" spans="5:13" x14ac:dyDescent="0.25">
      <c r="M62" s="111" t="s">
        <v>540</v>
      </c>
    </row>
    <row r="63" spans="5:13" x14ac:dyDescent="0.25">
      <c r="M63" s="111" t="s">
        <v>521</v>
      </c>
    </row>
    <row r="64" spans="5:13" x14ac:dyDescent="0.25">
      <c r="M64" s="111" t="s">
        <v>541</v>
      </c>
    </row>
    <row r="65" spans="13:13" x14ac:dyDescent="0.25">
      <c r="M65" s="111" t="s">
        <v>542</v>
      </c>
    </row>
    <row r="66" spans="13:13" x14ac:dyDescent="0.25">
      <c r="M66" s="111" t="s">
        <v>543</v>
      </c>
    </row>
    <row r="67" spans="13:13" x14ac:dyDescent="0.25">
      <c r="M67" s="111" t="s">
        <v>544</v>
      </c>
    </row>
    <row r="68" spans="13:13" x14ac:dyDescent="0.25">
      <c r="M68" s="111" t="s">
        <v>545</v>
      </c>
    </row>
    <row r="69" spans="13:13" x14ac:dyDescent="0.25">
      <c r="M69" s="111" t="s">
        <v>527</v>
      </c>
    </row>
    <row r="70" spans="13:13" x14ac:dyDescent="0.25">
      <c r="M70" s="111" t="s">
        <v>528</v>
      </c>
    </row>
  </sheetData>
  <mergeCells count="11">
    <mergeCell ref="AQ15:AT15"/>
    <mergeCell ref="F10:F11"/>
    <mergeCell ref="T13:AE13"/>
    <mergeCell ref="AQ13:AT13"/>
    <mergeCell ref="T14:AE14"/>
    <mergeCell ref="AQ14:AT14"/>
    <mergeCell ref="F15:J15"/>
    <mergeCell ref="M15:Q15"/>
    <mergeCell ref="T15:X15"/>
    <mergeCell ref="AA15:AE15"/>
    <mergeCell ref="AI15:AM15"/>
  </mergeCells>
  <pageMargins left="0.7" right="0.7" top="0.75" bottom="0.75" header="0.3" footer="0.3"/>
  <pageSetup paperSize="9" orientation="portrait" horizontalDpi="4294967293" verticalDpi="0" r:id="rId1"/>
  <legacyDrawing r:id="rId2"/>
  <tableParts count="7">
    <tablePart r:id="rId3"/>
    <tablePart r:id="rId4"/>
    <tablePart r:id="rId5"/>
    <tablePart r:id="rId6"/>
    <tablePart r:id="rId7"/>
    <tablePart r:id="rId8"/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F6BD8-BC2F-4C9F-A93C-1074E5E336B3}">
  <dimension ref="A1:AV70"/>
  <sheetViews>
    <sheetView topLeftCell="A43" workbookViewId="0">
      <selection activeCell="M62" sqref="M62:M70"/>
    </sheetView>
  </sheetViews>
  <sheetFormatPr defaultRowHeight="15" x14ac:dyDescent="0.25"/>
  <cols>
    <col min="1" max="1" width="9.28515625" customWidth="1"/>
    <col min="5" max="5" width="2.7109375" customWidth="1"/>
    <col min="6" max="6" width="10.28515625" customWidth="1"/>
    <col min="12" max="12" width="2.140625" customWidth="1"/>
    <col min="13" max="13" width="10.28515625" customWidth="1"/>
    <col min="19" max="19" width="2" customWidth="1"/>
    <col min="20" max="20" width="9.5703125" bestFit="1" customWidth="1"/>
    <col min="21" max="21" width="10.28515625" customWidth="1"/>
    <col min="26" max="26" width="2" customWidth="1"/>
    <col min="27" max="27" width="7.7109375" customWidth="1"/>
    <col min="28" max="29" width="8.5703125" customWidth="1"/>
    <col min="30" max="30" width="9.85546875" customWidth="1"/>
    <col min="31" max="31" width="8.42578125" customWidth="1"/>
    <col min="33" max="33" width="2.140625" customWidth="1"/>
    <col min="34" max="34" width="2" customWidth="1"/>
    <col min="35" max="35" width="10" customWidth="1"/>
    <col min="39" max="39" width="10.5703125" customWidth="1"/>
    <col min="41" max="41" width="1.5703125" customWidth="1"/>
    <col min="42" max="42" width="1.140625" customWidth="1"/>
    <col min="46" max="46" width="10.7109375" customWidth="1"/>
    <col min="47" max="47" width="10.85546875" customWidth="1"/>
  </cols>
  <sheetData>
    <row r="1" spans="1:48" ht="15.75" x14ac:dyDescent="0.25">
      <c r="C1" s="80" t="s">
        <v>0</v>
      </c>
      <c r="D1">
        <f>7.36*4</f>
        <v>29.44</v>
      </c>
      <c r="F1" s="80" t="s">
        <v>71</v>
      </c>
      <c r="G1">
        <v>0.24399999999999999</v>
      </c>
      <c r="I1" s="80" t="s">
        <v>72</v>
      </c>
      <c r="J1">
        <v>0.5</v>
      </c>
      <c r="M1" s="80" t="s">
        <v>73</v>
      </c>
      <c r="N1">
        <v>1510</v>
      </c>
    </row>
    <row r="2" spans="1:48" ht="15.75" x14ac:dyDescent="0.25">
      <c r="C2" s="80" t="s">
        <v>1</v>
      </c>
      <c r="D2">
        <f>bounty</f>
        <v>0</v>
      </c>
      <c r="F2" s="80" t="s">
        <v>74</v>
      </c>
      <c r="G2">
        <v>0.1913</v>
      </c>
      <c r="I2" s="80" t="s">
        <v>75</v>
      </c>
      <c r="J2">
        <v>0.5</v>
      </c>
      <c r="M2" s="80" t="s">
        <v>76</v>
      </c>
      <c r="N2">
        <v>0</v>
      </c>
    </row>
    <row r="3" spans="1:48" ht="15.75" x14ac:dyDescent="0.25">
      <c r="C3" s="80" t="s">
        <v>77</v>
      </c>
      <c r="D3">
        <v>2000</v>
      </c>
      <c r="F3" s="80" t="s">
        <v>78</v>
      </c>
      <c r="G3">
        <v>0.56469999999999998</v>
      </c>
      <c r="M3" s="80" t="s">
        <v>79</v>
      </c>
      <c r="N3">
        <v>0</v>
      </c>
    </row>
    <row r="4" spans="1:48" ht="15.75" x14ac:dyDescent="0.25">
      <c r="F4" s="80" t="s">
        <v>80</v>
      </c>
      <c r="G4">
        <v>0</v>
      </c>
      <c r="M4" s="80" t="s">
        <v>81</v>
      </c>
      <c r="N4">
        <v>0</v>
      </c>
    </row>
    <row r="5" spans="1:48" ht="6" customHeight="1" x14ac:dyDescent="0.25"/>
    <row r="6" spans="1:48" x14ac:dyDescent="0.25">
      <c r="C6" t="s">
        <v>82</v>
      </c>
      <c r="D6" t="s">
        <v>83</v>
      </c>
    </row>
    <row r="7" spans="1:48" x14ac:dyDescent="0.25">
      <c r="C7" t="s">
        <v>84</v>
      </c>
      <c r="D7" t="s">
        <v>85</v>
      </c>
    </row>
    <row r="8" spans="1:48" x14ac:dyDescent="0.25">
      <c r="C8" t="s">
        <v>86</v>
      </c>
      <c r="D8" t="s">
        <v>87</v>
      </c>
    </row>
    <row r="9" spans="1:48" ht="6" customHeight="1" x14ac:dyDescent="0.25"/>
    <row r="10" spans="1:48" x14ac:dyDescent="0.25">
      <c r="F10" s="94" t="s">
        <v>88</v>
      </c>
      <c r="G10" s="81" t="s">
        <v>89</v>
      </c>
      <c r="H10" s="81" t="s">
        <v>90</v>
      </c>
      <c r="I10" s="81" t="s">
        <v>91</v>
      </c>
    </row>
    <row r="11" spans="1:48" ht="18.75" x14ac:dyDescent="0.3">
      <c r="F11" s="95"/>
      <c r="G11" s="81">
        <v>1</v>
      </c>
      <c r="H11" s="81">
        <v>0</v>
      </c>
      <c r="I11" s="82">
        <v>0</v>
      </c>
      <c r="J11" s="84"/>
      <c r="K11" s="84"/>
    </row>
    <row r="12" spans="1:48" ht="19.5" thickBot="1" x14ac:dyDescent="0.35">
      <c r="F12" s="84"/>
      <c r="G12" s="84"/>
      <c r="H12" s="84"/>
      <c r="I12" s="84"/>
      <c r="J12" s="84"/>
      <c r="K12" s="84"/>
      <c r="V12" t="s">
        <v>92</v>
      </c>
      <c r="AC12" t="s">
        <v>93</v>
      </c>
    </row>
    <row r="13" spans="1:48" ht="20.25" thickTop="1" thickBot="1" x14ac:dyDescent="0.35">
      <c r="F13" s="84"/>
      <c r="G13" s="84"/>
      <c r="H13" s="84"/>
      <c r="I13" s="84"/>
      <c r="J13" s="84"/>
      <c r="K13" s="84"/>
      <c r="T13" s="96" t="s">
        <v>94</v>
      </c>
      <c r="U13" s="97"/>
      <c r="V13" s="97"/>
      <c r="W13" s="97"/>
      <c r="X13" s="97"/>
      <c r="Y13" s="97"/>
      <c r="Z13" s="97"/>
      <c r="AA13" s="97"/>
      <c r="AB13" s="97"/>
      <c r="AC13" s="97"/>
      <c r="AD13" s="97"/>
      <c r="AE13" s="98"/>
      <c r="AQ13" s="96" t="s">
        <v>95</v>
      </c>
      <c r="AR13" s="97"/>
      <c r="AS13" s="97"/>
      <c r="AT13" s="97"/>
    </row>
    <row r="14" spans="1:48" ht="20.25" thickTop="1" thickBot="1" x14ac:dyDescent="0.35">
      <c r="F14" s="84"/>
      <c r="G14" s="84"/>
      <c r="H14" s="84" t="s">
        <v>96</v>
      </c>
      <c r="I14" s="84"/>
      <c r="J14" s="84"/>
      <c r="K14" s="84"/>
      <c r="O14" t="s">
        <v>97</v>
      </c>
      <c r="T14" s="96" t="s">
        <v>98</v>
      </c>
      <c r="U14" s="97"/>
      <c r="V14" s="97"/>
      <c r="W14" s="97"/>
      <c r="X14" s="97"/>
      <c r="Y14" s="97"/>
      <c r="Z14" s="97"/>
      <c r="AA14" s="97"/>
      <c r="AB14" s="97"/>
      <c r="AC14" s="97"/>
      <c r="AD14" s="97"/>
      <c r="AE14" s="98"/>
      <c r="AK14" t="s">
        <v>99</v>
      </c>
      <c r="AQ14" s="96"/>
      <c r="AR14" s="97"/>
      <c r="AS14" s="97"/>
      <c r="AT14" s="97"/>
    </row>
    <row r="15" spans="1:48" ht="19.5" thickTop="1" x14ac:dyDescent="0.3">
      <c r="F15" s="88" t="s">
        <v>100</v>
      </c>
      <c r="G15" s="89"/>
      <c r="H15" s="89"/>
      <c r="I15" s="89"/>
      <c r="J15" s="90"/>
      <c r="K15" s="84"/>
      <c r="M15" s="88" t="s">
        <v>101</v>
      </c>
      <c r="N15" s="89"/>
      <c r="O15" s="89"/>
      <c r="P15" s="89"/>
      <c r="Q15" s="90"/>
      <c r="R15" s="84"/>
      <c r="T15" s="99" t="s">
        <v>102</v>
      </c>
      <c r="U15" s="100"/>
      <c r="V15" s="100"/>
      <c r="W15" s="100"/>
      <c r="X15" s="101"/>
      <c r="Y15" s="84"/>
      <c r="AA15" s="99" t="s">
        <v>103</v>
      </c>
      <c r="AB15" s="100"/>
      <c r="AC15" s="100"/>
      <c r="AD15" s="100"/>
      <c r="AE15" s="101"/>
      <c r="AI15" s="85" t="s">
        <v>10</v>
      </c>
      <c r="AJ15" s="86"/>
      <c r="AK15" s="86"/>
      <c r="AL15" s="86"/>
      <c r="AM15" s="87"/>
      <c r="AQ15" s="91" t="s">
        <v>104</v>
      </c>
      <c r="AR15" s="92"/>
      <c r="AS15" s="92"/>
      <c r="AT15" s="93"/>
    </row>
    <row r="16" spans="1:48" x14ac:dyDescent="0.25">
      <c r="A16" t="s">
        <v>105</v>
      </c>
      <c r="B16" t="s">
        <v>12</v>
      </c>
      <c r="C16" t="s">
        <v>13</v>
      </c>
      <c r="D16" t="s">
        <v>106</v>
      </c>
      <c r="F16" s="5" t="s">
        <v>107</v>
      </c>
      <c r="G16" t="s">
        <v>12</v>
      </c>
      <c r="H16" t="s">
        <v>108</v>
      </c>
      <c r="I16" t="s">
        <v>109</v>
      </c>
      <c r="J16" s="5" t="s">
        <v>1</v>
      </c>
      <c r="K16" s="5" t="s">
        <v>110</v>
      </c>
      <c r="M16" s="5" t="s">
        <v>107</v>
      </c>
      <c r="N16" s="5" t="s">
        <v>12</v>
      </c>
      <c r="O16" s="5" t="s">
        <v>108</v>
      </c>
      <c r="P16" s="5" t="s">
        <v>109</v>
      </c>
      <c r="Q16" s="5" t="s">
        <v>1</v>
      </c>
      <c r="R16" s="5" t="s">
        <v>110</v>
      </c>
      <c r="T16" s="5" t="s">
        <v>107</v>
      </c>
      <c r="U16" s="5" t="s">
        <v>12</v>
      </c>
      <c r="V16" s="5" t="s">
        <v>108</v>
      </c>
      <c r="W16" s="5" t="s">
        <v>109</v>
      </c>
      <c r="X16" s="5" t="s">
        <v>1</v>
      </c>
      <c r="Y16" s="5" t="s">
        <v>110</v>
      </c>
      <c r="AA16" s="5" t="s">
        <v>107</v>
      </c>
      <c r="AB16" s="5" t="s">
        <v>12</v>
      </c>
      <c r="AC16" s="5" t="s">
        <v>108</v>
      </c>
      <c r="AD16" s="5" t="s">
        <v>109</v>
      </c>
      <c r="AE16" s="5" t="s">
        <v>1</v>
      </c>
      <c r="AF16" t="s">
        <v>110</v>
      </c>
      <c r="AI16" s="5" t="s">
        <v>107</v>
      </c>
      <c r="AJ16" s="5" t="s">
        <v>12</v>
      </c>
      <c r="AK16" s="5" t="s">
        <v>108</v>
      </c>
      <c r="AL16" s="5" t="s">
        <v>109</v>
      </c>
      <c r="AM16" s="5" t="s">
        <v>1</v>
      </c>
      <c r="AN16" t="s">
        <v>110</v>
      </c>
      <c r="AQ16" s="5" t="s">
        <v>109</v>
      </c>
      <c r="AR16" s="5" t="s">
        <v>1</v>
      </c>
      <c r="AS16" s="5" t="s">
        <v>104</v>
      </c>
      <c r="AT16" s="5" t="s">
        <v>111</v>
      </c>
      <c r="AU16" t="s">
        <v>112</v>
      </c>
      <c r="AV16" t="s">
        <v>113</v>
      </c>
    </row>
    <row r="17" spans="1:48" s="26" customFormat="1" x14ac:dyDescent="0.25">
      <c r="B17" s="26">
        <v>500</v>
      </c>
      <c r="D17" s="26">
        <v>10</v>
      </c>
      <c r="F17" s="73">
        <f>COUNTIF(T_p1213519828996117[stack],"&gt;0")</f>
        <v>2</v>
      </c>
      <c r="G17" s="26">
        <f>IF(T_init20344818895116[[#This Row],[p]]=1,mainpot+sidepot1+sidepot2+uncalled,IF(T_init20344818895116[[#This Row],[p]]&gt;1,0,T_init20344818895116[[#This Row],[stack]]-T_init20344818895116[[#This Row],[anteblinds]]))</f>
        <v>490</v>
      </c>
      <c r="H17" s="26">
        <v>0.245</v>
      </c>
      <c r="I17" s="27">
        <f>T_p1213519828996117[[#This Row],[EQ]]*prize</f>
        <v>7.2128000000000005</v>
      </c>
      <c r="J17" s="71">
        <f>IF(T_init20344818895116[[#This Row],[p]]=1,T_p1213519828996117[[#This Row],[players]]*T_p1213519828996117[[#This Row],[stack]]/chips+COUNTIF(T_p1213519828996117[stack],0),T_p1213519828996117[[#This Row],[players]]*T_p1213519828996117[[#This Row],[stack]]/chips)</f>
        <v>0.49</v>
      </c>
      <c r="K17" s="71">
        <f>T_p1213519828996117[[#This Row],[ICM]]+bounty*T_p1213519828996117[[#This Row],[KO]]</f>
        <v>7.2128000000000005</v>
      </c>
      <c r="M17" s="29">
        <f>COUNTIF(T_p2223625839097118[stack],"&gt;0")</f>
        <v>2</v>
      </c>
      <c r="N17" s="26">
        <f>IF(T_init20344818895116[[#This Row],[p]]=1,uncalled,IF(T_init20344818895116[[#This Row],[p]]=2,mainpot+sidepot1+sidepot2,IF(T_init20344818895116[[#This Row],[p]]&gt;2,0,T_init20344818895116[[#This Row],[stack]]-T_init20344818895116[[#This Row],[anteblinds]])))</f>
        <v>490</v>
      </c>
      <c r="O17" s="26">
        <v>0.245</v>
      </c>
      <c r="P17" s="27">
        <f>T_p2223625839097118[[#This Row],[EQ]]*prize</f>
        <v>7.2128000000000005</v>
      </c>
      <c r="Q17" s="71">
        <f>IF(T_init20344818895116[[#This Row],[p]]=2,T_p2223625839097118[[#This Row],[players]]*T_p2223625839097118[[#This Row],[stack]]/chips+COUNTIF(T_p2223625839097118[stack],0),T_p2223625839097118[[#This Row],[players]]*T_p2223625839097118[[#This Row],[stack]]/chips)</f>
        <v>0.49</v>
      </c>
      <c r="R17" s="71">
        <f>T_p2223625839097118[[#This Row],[ICM]]+bounty*T_p2223625839097118[[#This Row],[KO]]</f>
        <v>7.2128000000000005</v>
      </c>
      <c r="T17" s="73">
        <f>COUNTIF(T_p3p1233726849198119[stack],"&gt;0")</f>
        <v>2</v>
      </c>
      <c r="U17" s="26">
        <f>IF(T_init20344818895116[[#This Row],[p]]=1,sidepot1+uncalled,IF(T_init20344818895116[[#This Row],[p]]=3,mainpot,IF(ISBLANK(T_init20344818895116[[#This Row],[p]]),T_init20344818895116[[#This Row],[stack]]-T_init20344818895116[[#This Row],[anteblinds]],0)))</f>
        <v>490</v>
      </c>
      <c r="V17" s="26">
        <v>0.245</v>
      </c>
      <c r="W17" s="27">
        <f>T_p3p1233726849198119[[#This Row],[EQ]]*prize</f>
        <v>7.2128000000000005</v>
      </c>
      <c r="X17" s="71">
        <f>IF(T_init20344818895116[[#This Row],[p]]=1,T_p3p1233726849198119[[#This Row],[players]]*T_p3p1233726849198119[[#This Row],[stack]]/chips+COUNTIF(T_p3p1233726849198119[stack],0),T_p3p1233726849198119[[#This Row],[players]]*T_p3p1233726849198119[[#This Row],[stack]]/chips)</f>
        <v>0.49</v>
      </c>
      <c r="Y17" s="71">
        <f>T_p3p1233726849198119[[#This Row],[ICM]]+bounty*T_p3p1233726849198119[[#This Row],[KO]]</f>
        <v>7.2128000000000005</v>
      </c>
      <c r="AA17" s="73">
        <f>COUNTIF(T_p3p2243827859299120[stack],"&gt;0")</f>
        <v>2</v>
      </c>
      <c r="AB17" s="26">
        <f>IF(T_init20344818895116[[#This Row],[p]]=1,uncalled,IF(T_init20344818895116[[#This Row],[p]]=2,sidepot1,IF(T_init20344818895116[[#This Row],[p]]=3,mainpot,IF(ISBLANK(T_init20344818895116[[#This Row],[p]]),T_init20344818895116[[#This Row],[stack]]-T_init20344818895116[[#This Row],[anteblinds]],0))))</f>
        <v>490</v>
      </c>
      <c r="AC17" s="26">
        <v>0.245</v>
      </c>
      <c r="AD17" s="27">
        <f>T_p3p2243827859299120[[#This Row],[EQ]]*prize</f>
        <v>7.2128000000000005</v>
      </c>
      <c r="AE17" s="71">
        <f>IF(T_init20344818895116[[#This Row],[p]]=2,T_p3p2243827859299120[[#This Row],[players]]*T_p3p2243827859299120[[#This Row],[stack]]/chips+COUNTIF(T_p3p2243827859299120[stack],0),T_p3p2243827859299120[[#This Row],[players]]*T_p3p2243827859299120[[#This Row],[stack]]/chips)</f>
        <v>0.49</v>
      </c>
      <c r="AF17" s="71">
        <f>T_p3p2243827859299120[[#This Row],[ICM]]+bounty*T_p3p2243827859299120[[#This Row],[KO]]</f>
        <v>7.2128000000000005</v>
      </c>
      <c r="AI17" s="73">
        <v>2</v>
      </c>
      <c r="AJ17" s="26">
        <f>IF(T_init20344818895116[[#This Row],[p]]=1,uncalled,IF(T_init20344818895116[[#This Row],[p]]=2,mainpot+sidepot1+sidepot2,IF(T_init20344818895116[[#This Row],[p]]&gt;2,0,T_init20344818895116[[#This Row],[stack]]-T_init20344818895116[[#This Row],[anteblinds]])))</f>
        <v>490</v>
      </c>
      <c r="AK17" s="26">
        <v>0.245</v>
      </c>
      <c r="AL17" s="27">
        <f>T_fact2939288693100121[[#This Row],[EQ]]*prize</f>
        <v>7.2128000000000005</v>
      </c>
      <c r="AM17" s="71">
        <f>IF(T_init20344818895116[[#This Row],[p]]=1,T_fact2939288693100121[[#This Row],[players]]*T_fact2939288693100121[[#This Row],[stack]]/chips+COUNTIF(T_fact2939288693100121[stack],0),T_fact2939288693100121[[#This Row],[players]]*T_fact2939288693100121[[#This Row],[stack]]/chips)</f>
        <v>0.49</v>
      </c>
      <c r="AN17" s="71">
        <f>T_fact2939288693100121[[#This Row],[ICM]]+bounty*T_fact2939288693100121[[#This Row],[KO]]</f>
        <v>7.2128000000000005</v>
      </c>
      <c r="AQ17" s="72">
        <f>'3w 8h8c Ден'!p3win* ('3w 8h8c Ден'!p1sp1win*T_p3p1233726849198119[[#This Row],[ICM]] + '3w 8h8c Ден'!p2sp1win*T_p3p2243827859299120[[#This Row],[ICM]])
+'3w 8h8c Ден'!p2win*T_p2223625839097118[[#This Row],[ICM]]
+'3w 8h8c Ден'!p1win*T_p1213519828996117[[#This Row],[ICM]]</f>
        <v>7.2128000000000005</v>
      </c>
      <c r="AR17" s="33">
        <f>('3w 8h8c Ден'!p3win* ('3w 8h8c Ден'!p1sp1win*T_p3p1233726849198119[[#This Row],[KO]] + '3w 8h8c Ден'!p2sp1win*T_p3p2243827859299120[[#This Row],[KO]])
+'3w 8h8c Ден'!p2win*T_p2223625839097118[[#This Row],[KO]]
+'3w 8h8c Ден'!p1win*T_p1213519828996117[[#This Row],[KO]])*bounty</f>
        <v>0</v>
      </c>
      <c r="AS17" s="72">
        <f>'3w 8h8c Ден'!p3win* ('3w 8h8c Ден'!p1sp1win*T_p3p1233726849198119[[#This Row],[$stack]] + '3w 8h8c Ден'!p2sp1win*T_p3p2243827859299120[[#This Row],[$stack]])
+'3w 8h8c Ден'!p2win*T_p2223625839097118[[#This Row],[$stack]]
+'3w 8h8c Ден'!p1win*T_p1213519828996117[[#This Row],[$stack]]</f>
        <v>7.2128000000000005</v>
      </c>
      <c r="AT17" s="33">
        <f>'3w 8h8c Ден'!p3win* ('3w 8h8c Ден'!p1sp1win*T_p3p1233726849198119[[#This Row],[stack]] + '3w 8h8c Ден'!p2sp1win*T_p3p2243827859299120[[#This Row],[stack]])
+'3w 8h8c Ден'!p2win*T_p2223625839097118[[#This Row],[stack]]
+'3w 8h8c Ден'!p1win*T_p1213519828996117[[#This Row],[stack]]</f>
        <v>489.99999999999994</v>
      </c>
      <c r="AU17" s="27">
        <f>T_EV3340308794101122[[#This Row],[chipEV]]-T_fact2939288693100121[[#This Row],[stack]]</f>
        <v>0</v>
      </c>
      <c r="AV17" s="27">
        <f>T_EV3340308794101122[[#This Row],[EV]]-(T_fact2939288693100121[[#This Row],[ICM]]+bounty*T_fact2939288693100121[[#This Row],[KO]])</f>
        <v>0</v>
      </c>
    </row>
    <row r="18" spans="1:48" x14ac:dyDescent="0.25">
      <c r="A18">
        <v>1</v>
      </c>
      <c r="B18">
        <v>500</v>
      </c>
      <c r="C18" t="s">
        <v>280</v>
      </c>
      <c r="D18">
        <v>10</v>
      </c>
      <c r="F18" s="5">
        <f>COUNTIF(T_p1213519828996117[stack],"&gt;0")</f>
        <v>2</v>
      </c>
      <c r="G18">
        <f>IF(T_init20344818895116[[#This Row],[p]]=1,mainpot+sidepot1+sidepot2+uncalled,IF(T_init20344818895116[[#This Row],[p]]&gt;1,0,T_init20344818895116[[#This Row],[stack]]-T_init20344818895116[[#This Row],[anteblinds]]))</f>
        <v>1510</v>
      </c>
      <c r="H18">
        <v>0.755</v>
      </c>
      <c r="I18" s="2">
        <f>T_p1213519828996117[[#This Row],[EQ]]*prize</f>
        <v>22.2272</v>
      </c>
      <c r="J18" s="66">
        <f>IF(T_init20344818895116[[#This Row],[p]]=1,T_p1213519828996117[[#This Row],[players]]*T_p1213519828996117[[#This Row],[stack]]/chips+COUNTIF(T_p1213519828996117[stack],0),T_p1213519828996117[[#This Row],[players]]*T_p1213519828996117[[#This Row],[stack]]/chips)</f>
        <v>5.51</v>
      </c>
      <c r="K18" s="66">
        <f>T_p1213519828996117[[#This Row],[ICM]]+bounty*T_p1213519828996117[[#This Row],[KO]]</f>
        <v>22.2272</v>
      </c>
      <c r="M18" s="10">
        <f>COUNTIF(T_p2223625839097118[stack],"&gt;0")</f>
        <v>2</v>
      </c>
      <c r="N18" s="26">
        <f>IF(T_init20344818895116[[#This Row],[p]]=1,uncalled,IF(T_init20344818895116[[#This Row],[p]]=2,mainpot+sidepot1+sidepot2,IF(T_init20344818895116[[#This Row],[p]]&gt;2,0,T_init20344818895116[[#This Row],[stack]]-T_init20344818895116[[#This Row],[anteblinds]])))</f>
        <v>0</v>
      </c>
      <c r="O18">
        <v>0</v>
      </c>
      <c r="P18" s="2">
        <f>T_p2223625839097118[[#This Row],[EQ]]*prize</f>
        <v>0</v>
      </c>
      <c r="Q18" s="66">
        <f>IF(T_init20344818895116[[#This Row],[p]]=2,T_p2223625839097118[[#This Row],[players]]*T_p2223625839097118[[#This Row],[stack]]/chips+COUNTIF(T_p2223625839097118[stack],0),T_p2223625839097118[[#This Row],[players]]*T_p2223625839097118[[#This Row],[stack]]/chips)</f>
        <v>0</v>
      </c>
      <c r="R18" s="66">
        <f>T_p2223625839097118[[#This Row],[ICM]]+bounty*T_p2223625839097118[[#This Row],[KO]]</f>
        <v>0</v>
      </c>
      <c r="T18" s="5">
        <f>COUNTIF(T_p3p1233726849198119[stack],"&gt;0")</f>
        <v>2</v>
      </c>
      <c r="U18" s="26">
        <f>IF(T_init20344818895116[[#This Row],[p]]=1,sidepot1+uncalled,IF(T_init20344818895116[[#This Row],[p]]=3,mainpot,IF(ISBLANK(T_init20344818895116[[#This Row],[p]]),T_init20344818895116[[#This Row],[stack]]-T_init20344818895116[[#This Row],[anteblinds]],0)))</f>
        <v>0</v>
      </c>
      <c r="V18">
        <v>0</v>
      </c>
      <c r="W18" s="2">
        <f>T_p3p1233726849198119[[#This Row],[EQ]]*prize</f>
        <v>0</v>
      </c>
      <c r="X18" s="66">
        <f>IF(T_init20344818895116[[#This Row],[p]]=1,T_p3p1233726849198119[[#This Row],[players]]*T_p3p1233726849198119[[#This Row],[stack]]/chips+COUNTIF(T_p3p1233726849198119[stack],0),T_p3p1233726849198119[[#This Row],[players]]*T_p3p1233726849198119[[#This Row],[stack]]/chips)</f>
        <v>4</v>
      </c>
      <c r="Y18" s="66">
        <f>T_p3p1233726849198119[[#This Row],[ICM]]+bounty*T_p3p1233726849198119[[#This Row],[KO]]</f>
        <v>0</v>
      </c>
      <c r="AA18" s="5">
        <f>COUNTIF(T_p3p2243827859299120[stack],"&gt;0")</f>
        <v>2</v>
      </c>
      <c r="AB18">
        <f>IF(T_init20344818895116[[#This Row],[p]]=1,uncalled,IF(T_init20344818895116[[#This Row],[p]]=2,sidepot1,IF(T_init20344818895116[[#This Row],[p]]=3,mainpot,IF(ISBLANK(T_init20344818895116[[#This Row],[p]]),T_init20344818895116[[#This Row],[stack]]-T_init20344818895116[[#This Row],[anteblinds]],0))))</f>
        <v>0</v>
      </c>
      <c r="AC18">
        <v>0</v>
      </c>
      <c r="AD18" s="2">
        <f>T_p3p2243827859299120[[#This Row],[EQ]]*prize</f>
        <v>0</v>
      </c>
      <c r="AE18" s="66">
        <f>IF(T_init20344818895116[[#This Row],[p]]=2,T_p3p2243827859299120[[#This Row],[players]]*T_p3p2243827859299120[[#This Row],[stack]]/chips+COUNTIF(T_p3p2243827859299120[stack],0),T_p3p2243827859299120[[#This Row],[players]]*T_p3p2243827859299120[[#This Row],[stack]]/chips)</f>
        <v>0</v>
      </c>
      <c r="AF18" s="16">
        <f>T_p3p2243827859299120[[#This Row],[ICM]]+bounty*T_p3p2243827859299120[[#This Row],[KO]]</f>
        <v>0</v>
      </c>
      <c r="AI18" s="73">
        <v>2</v>
      </c>
      <c r="AJ18" s="26">
        <f>IF(T_init20344818895116[[#This Row],[p]]=1,uncalled,IF(T_init20344818895116[[#This Row],[p]]=2,mainpot+sidepot1+sidepot2,IF(T_init20344818895116[[#This Row],[p]]&gt;2,0,T_init20344818895116[[#This Row],[stack]]-T_init20344818895116[[#This Row],[anteblinds]])))</f>
        <v>0</v>
      </c>
      <c r="AK18">
        <v>0</v>
      </c>
      <c r="AL18" s="2">
        <f>T_fact2939288693100121[[#This Row],[EQ]]*prize</f>
        <v>0</v>
      </c>
      <c r="AM18" s="66">
        <f>IF(T_init20344818895116[[#This Row],[p]]=1,T_fact2939288693100121[[#This Row],[players]]*T_fact2939288693100121[[#This Row],[stack]]/chips+COUNTIF(T_fact2939288693100121[stack],0),T_fact2939288693100121[[#This Row],[players]]*T_fact2939288693100121[[#This Row],[stack]]/chips)</f>
        <v>4</v>
      </c>
      <c r="AN18" s="16">
        <f>T_fact2939288693100121[[#This Row],[ICM]]+bounty*T_fact2939288693100121[[#This Row],[KO]]</f>
        <v>0</v>
      </c>
      <c r="AQ18" s="68">
        <f>'3w 8h8c Ден'!p3win* ('3w 8h8c Ден'!p1sp1win*T_p3p1233726849198119[[#This Row],[ICM]] + '3w 8h8c Ден'!p2sp1win*T_p3p2243827859299120[[#This Row],[ICM]])
+'3w 8h8c Ден'!p2win*T_p2223625839097118[[#This Row],[ICM]]
+'3w 8h8c Ден'!p1win*T_p1213519828996117[[#This Row],[ICM]]</f>
        <v>5.4234368000000002</v>
      </c>
      <c r="AR18" s="68">
        <f>('3w 8h8c Ден'!p3win* ('3w 8h8c Ден'!p1sp1win*T_p3p1233726849198119[[#This Row],[KO]] + '3w 8h8c Ден'!p2sp1win*T_p3p2243827859299120[[#This Row],[KO]])
+'3w 8h8c Ден'!p2win*T_p2223625839097118[[#This Row],[KO]]
+'3w 8h8c Ден'!p1win*T_p1213519828996117[[#This Row],[KO]])*bounty</f>
        <v>0</v>
      </c>
      <c r="AS18" s="68">
        <f>'3w 8h8c Ден'!p3win* ('3w 8h8c Ден'!p1sp1win*T_p3p1233726849198119[[#This Row],[$stack]] + '3w 8h8c Ден'!p2sp1win*T_p3p2243827859299120[[#This Row],[$stack]])
+'3w 8h8c Ден'!p2win*T_p2223625839097118[[#This Row],[$stack]]
+'3w 8h8c Ден'!p1win*T_p1213519828996117[[#This Row],[$stack]]</f>
        <v>5.4234368000000002</v>
      </c>
      <c r="AT18" s="68">
        <f>'3w 8h8c Ден'!p3win* ('3w 8h8c Ден'!p1sp1win*T_p3p1233726849198119[[#This Row],[stack]] + '3w 8h8c Ден'!p2sp1win*T_p3p2243827859299120[[#This Row],[stack]])
+'3w 8h8c Ден'!p2win*T_p2223625839097118[[#This Row],[stack]]
+'3w 8h8c Ден'!p1win*T_p1213519828996117[[#This Row],[stack]]</f>
        <v>368.44</v>
      </c>
      <c r="AU18" s="2">
        <f>T_EV3340308794101122[[#This Row],[chipEV]]-T_fact2939288693100121[[#This Row],[stack]]</f>
        <v>368.44</v>
      </c>
      <c r="AV18" s="2">
        <f>T_EV3340308794101122[[#This Row],[EV]]-(T_fact2939288693100121[[#This Row],[ICM]]+bounty*T_fact2939288693100121[[#This Row],[KO]])</f>
        <v>5.4234368000000002</v>
      </c>
    </row>
    <row r="19" spans="1:48" x14ac:dyDescent="0.25">
      <c r="A19">
        <v>3</v>
      </c>
      <c r="B19">
        <v>500</v>
      </c>
      <c r="C19" s="26" t="s">
        <v>281</v>
      </c>
      <c r="D19">
        <v>35</v>
      </c>
      <c r="F19" s="5">
        <f>COUNTIF(T_p1213519828996117[stack],"&gt;0")</f>
        <v>2</v>
      </c>
      <c r="G19">
        <f>IF(T_init20344818895116[[#This Row],[p]]=1,mainpot+sidepot1+sidepot2+uncalled,IF(T_init20344818895116[[#This Row],[p]]&gt;1,0,T_init20344818895116[[#This Row],[stack]]-T_init20344818895116[[#This Row],[anteblinds]]))</f>
        <v>0</v>
      </c>
      <c r="I19" s="2">
        <f>T_p1213519828996117[[#This Row],[EQ]]*prize</f>
        <v>0</v>
      </c>
      <c r="J19" s="66">
        <f>IF(T_init20344818895116[[#This Row],[p]]=1,T_p1213519828996117[[#This Row],[players]]*T_p1213519828996117[[#This Row],[stack]]/chips+COUNTIF(T_p1213519828996117[stack],0),T_p1213519828996117[[#This Row],[players]]*T_p1213519828996117[[#This Row],[stack]]/chips)</f>
        <v>0</v>
      </c>
      <c r="K19" s="66">
        <f>T_p1213519828996117[[#This Row],[ICM]]+bounty*T_p1213519828996117[[#This Row],[KO]]</f>
        <v>0</v>
      </c>
      <c r="M19" s="10">
        <f>COUNTIF(T_p2223625839097118[stack],"&gt;0")</f>
        <v>2</v>
      </c>
      <c r="N19" s="26">
        <f>IF(T_init20344818895116[[#This Row],[p]]=1,uncalled,IF(T_init20344818895116[[#This Row],[p]]=2,mainpot+sidepot1+sidepot2,IF(T_init20344818895116[[#This Row],[p]]&gt;2,0,T_init20344818895116[[#This Row],[stack]]-T_init20344818895116[[#This Row],[anteblinds]])))</f>
        <v>0</v>
      </c>
      <c r="O19">
        <v>0</v>
      </c>
      <c r="P19" s="2">
        <f>T_p2223625839097118[[#This Row],[EQ]]*prize</f>
        <v>0</v>
      </c>
      <c r="Q19" s="66">
        <f>IF(T_init20344818895116[[#This Row],[p]]=2,T_p2223625839097118[[#This Row],[players]]*T_p2223625839097118[[#This Row],[stack]]/chips+COUNTIF(T_p2223625839097118[stack],0),T_p2223625839097118[[#This Row],[players]]*T_p2223625839097118[[#This Row],[stack]]/chips)</f>
        <v>0</v>
      </c>
      <c r="R19" s="66">
        <f>T_p2223625839097118[[#This Row],[ICM]]+bounty*T_p2223625839097118[[#This Row],[KO]]</f>
        <v>0</v>
      </c>
      <c r="T19" s="5">
        <f>COUNTIF(T_p3p1233726849198119[stack],"&gt;0")</f>
        <v>2</v>
      </c>
      <c r="U19" s="26">
        <f>IF(T_init20344818895116[[#This Row],[p]]=1,sidepot1+uncalled,IF(T_init20344818895116[[#This Row],[p]]=3,mainpot,IF(ISBLANK(T_init20344818895116[[#This Row],[p]]),T_init20344818895116[[#This Row],[stack]]-T_init20344818895116[[#This Row],[anteblinds]],0)))</f>
        <v>1510</v>
      </c>
      <c r="V19">
        <v>0.755</v>
      </c>
      <c r="W19" s="2">
        <f>T_p3p1233726849198119[[#This Row],[EQ]]*prize</f>
        <v>22.2272</v>
      </c>
      <c r="X19" s="66">
        <f>IF(T_init20344818895116[[#This Row],[p]]=1,T_p3p1233726849198119[[#This Row],[players]]*T_p3p1233726849198119[[#This Row],[stack]]/chips+COUNTIF(T_p3p1233726849198119[stack],0),T_p3p1233726849198119[[#This Row],[players]]*T_p3p1233726849198119[[#This Row],[stack]]/chips)</f>
        <v>1.51</v>
      </c>
      <c r="Y19" s="66">
        <f>T_p3p1233726849198119[[#This Row],[ICM]]+bounty*T_p3p1233726849198119[[#This Row],[KO]]</f>
        <v>22.2272</v>
      </c>
      <c r="AA19" s="5">
        <f>COUNTIF(T_p3p2243827859299120[stack],"&gt;0")</f>
        <v>2</v>
      </c>
      <c r="AB19">
        <f>IF(T_init20344818895116[[#This Row],[p]]=1,uncalled,IF(T_init20344818895116[[#This Row],[p]]=2,sidepot1,IF(T_init20344818895116[[#This Row],[p]]=3,mainpot,IF(ISBLANK(T_init20344818895116[[#This Row],[p]]),T_init20344818895116[[#This Row],[stack]]-T_init20344818895116[[#This Row],[anteblinds]],0))))</f>
        <v>1510</v>
      </c>
      <c r="AC19">
        <v>0.755</v>
      </c>
      <c r="AD19" s="2">
        <f>T_p3p2243827859299120[[#This Row],[EQ]]*prize</f>
        <v>22.2272</v>
      </c>
      <c r="AE19" s="66">
        <f>IF(T_init20344818895116[[#This Row],[p]]=2,T_p3p2243827859299120[[#This Row],[players]]*T_p3p2243827859299120[[#This Row],[stack]]/chips+COUNTIF(T_p3p2243827859299120[stack],0),T_p3p2243827859299120[[#This Row],[players]]*T_p3p2243827859299120[[#This Row],[stack]]/chips)</f>
        <v>1.51</v>
      </c>
      <c r="AF19" s="16">
        <f>T_p3p2243827859299120[[#This Row],[ICM]]+bounty*T_p3p2243827859299120[[#This Row],[KO]]</f>
        <v>22.2272</v>
      </c>
      <c r="AI19" s="73">
        <v>2</v>
      </c>
      <c r="AJ19" s="26">
        <f>IF(T_init20344818895116[[#This Row],[p]]=1,uncalled,IF(T_init20344818895116[[#This Row],[p]]=2,mainpot+sidepot1+sidepot2,IF(T_init20344818895116[[#This Row],[p]]&gt;2,0,T_init20344818895116[[#This Row],[stack]]-T_init20344818895116[[#This Row],[anteblinds]])))</f>
        <v>0</v>
      </c>
      <c r="AK19">
        <v>0</v>
      </c>
      <c r="AL19" s="2">
        <f>T_fact2939288693100121[[#This Row],[EQ]]*prize</f>
        <v>0</v>
      </c>
      <c r="AM19" s="66">
        <f>IF(T_init20344818895116[[#This Row],[p]]=1,T_fact2939288693100121[[#This Row],[players]]*T_fact2939288693100121[[#This Row],[stack]]/chips+COUNTIF(T_fact2939288693100121[stack],0),T_fact2939288693100121[[#This Row],[players]]*T_fact2939288693100121[[#This Row],[stack]]/chips)</f>
        <v>0</v>
      </c>
      <c r="AN19" s="16">
        <f>T_fact2939288693100121[[#This Row],[ICM]]+bounty*T_fact2939288693100121[[#This Row],[KO]]</f>
        <v>0</v>
      </c>
      <c r="AQ19" s="68">
        <f>'3w 8h8c Ден'!p3win* ('3w 8h8c Ден'!p1sp1win*T_p3p1233726849198119[[#This Row],[ICM]] + '3w 8h8c Ден'!p2sp1win*T_p3p2243827859299120[[#This Row],[ICM]])
+'3w 8h8c Ден'!p2win*T_p2223625839097118[[#This Row],[ICM]]
+'3w 8h8c Ден'!p1win*T_p1213519828996117[[#This Row],[ICM]]</f>
        <v>12.551699839999999</v>
      </c>
      <c r="AR19" s="68">
        <f>('3w 8h8c Ден'!p3win* ('3w 8h8c Ден'!p1sp1win*T_p3p1233726849198119[[#This Row],[KO]] + '3w 8h8c Ден'!p2sp1win*T_p3p2243827859299120[[#This Row],[KO]])
+'3w 8h8c Ден'!p2win*T_p2223625839097118[[#This Row],[KO]]
+'3w 8h8c Ден'!p1win*T_p1213519828996117[[#This Row],[KO]])*bounty</f>
        <v>0</v>
      </c>
      <c r="AS19" s="68">
        <f>'3w 8h8c Ден'!p3win* ('3w 8h8c Ден'!p1sp1win*T_p3p1233726849198119[[#This Row],[$stack]] + '3w 8h8c Ден'!p2sp1win*T_p3p2243827859299120[[#This Row],[$stack]])
+'3w 8h8c Ден'!p2win*T_p2223625839097118[[#This Row],[$stack]]
+'3w 8h8c Ден'!p1win*T_p1213519828996117[[#This Row],[$stack]]</f>
        <v>12.551699839999999</v>
      </c>
      <c r="AT19" s="68">
        <f>'3w 8h8c Ден'!p3win* ('3w 8h8c Ден'!p1sp1win*T_p3p1233726849198119[[#This Row],[stack]] + '3w 8h8c Ден'!p2sp1win*T_p3p2243827859299120[[#This Row],[stack]])
+'3w 8h8c Ден'!p2win*T_p2223625839097118[[#This Row],[stack]]
+'3w 8h8c Ден'!p1win*T_p1213519828996117[[#This Row],[stack]]</f>
        <v>852.697</v>
      </c>
      <c r="AU19" s="2">
        <f>T_EV3340308794101122[[#This Row],[chipEV]]-T_fact2939288693100121[[#This Row],[stack]]</f>
        <v>852.697</v>
      </c>
      <c r="AV19" s="2">
        <f>T_EV3340308794101122[[#This Row],[EV]]-(T_fact2939288693100121[[#This Row],[ICM]]+bounty*T_fact2939288693100121[[#This Row],[KO]])</f>
        <v>12.551699839999999</v>
      </c>
    </row>
    <row r="20" spans="1:48" s="17" customFormat="1" x14ac:dyDescent="0.25">
      <c r="A20" s="17">
        <v>2</v>
      </c>
      <c r="B20" s="17">
        <v>500</v>
      </c>
      <c r="C20" s="17" t="s">
        <v>282</v>
      </c>
      <c r="D20" s="17">
        <v>60</v>
      </c>
      <c r="F20" s="83">
        <f>COUNTIF(T_p1213519828996117[stack],"&gt;0")</f>
        <v>2</v>
      </c>
      <c r="G20" s="17">
        <f>IF(T_init20344818895116[[#This Row],[p]]=1,mainpot+sidepot1+sidepot2+uncalled,IF(T_init20344818895116[[#This Row],[p]]&gt;1,0,T_init20344818895116[[#This Row],[stack]]-T_init20344818895116[[#This Row],[anteblinds]]))</f>
        <v>0</v>
      </c>
      <c r="I20" s="18">
        <f>T_p1213519828996117[[#This Row],[EQ]]*prize</f>
        <v>0</v>
      </c>
      <c r="J20" s="67">
        <f>IF(T_init20344818895116[[#This Row],[p]]=1,T_p1213519828996117[[#This Row],[players]]*T_p1213519828996117[[#This Row],[stack]]/chips+COUNTIF(T_p1213519828996117[stack],0),T_p1213519828996117[[#This Row],[players]]*T_p1213519828996117[[#This Row],[stack]]/chips)</f>
        <v>0</v>
      </c>
      <c r="K20" s="67">
        <f>T_p1213519828996117[[#This Row],[ICM]]+bounty*T_p1213519828996117[[#This Row],[KO]]</f>
        <v>0</v>
      </c>
      <c r="M20" s="19">
        <f>COUNTIF(T_p2223625839097118[stack],"&gt;0")</f>
        <v>2</v>
      </c>
      <c r="N20" s="17">
        <f>IF(T_init20344818895116[[#This Row],[p]]=1,uncalled,IF(T_init20344818895116[[#This Row],[p]]=2,mainpot+sidepot1+sidepot2,IF(T_init20344818895116[[#This Row],[p]]&gt;2,0,T_init20344818895116[[#This Row],[stack]]-T_init20344818895116[[#This Row],[anteblinds]])))</f>
        <v>1510</v>
      </c>
      <c r="O20" s="17">
        <v>0.755</v>
      </c>
      <c r="P20" s="18">
        <f>T_p2223625839097118[[#This Row],[EQ]]*prize</f>
        <v>22.2272</v>
      </c>
      <c r="Q20" s="67">
        <f>IF(T_init20344818895116[[#This Row],[p]]=2,T_p2223625839097118[[#This Row],[players]]*T_p2223625839097118[[#This Row],[stack]]/chips+COUNTIF(T_p2223625839097118[stack],0),T_p2223625839097118[[#This Row],[players]]*T_p2223625839097118[[#This Row],[stack]]/chips)</f>
        <v>5.51</v>
      </c>
      <c r="R20" s="67">
        <f>T_p2223625839097118[[#This Row],[ICM]]+bounty*T_p2223625839097118[[#This Row],[KO]]</f>
        <v>22.2272</v>
      </c>
      <c r="T20" s="83">
        <f>COUNTIF(T_p3p1233726849198119[stack],"&gt;0")</f>
        <v>2</v>
      </c>
      <c r="U20" s="17">
        <f>IF(T_init20344818895116[[#This Row],[p]]=1,sidepot1+uncalled,IF(T_init20344818895116[[#This Row],[p]]=3,mainpot,IF(ISBLANK(T_init20344818895116[[#This Row],[p]]),T_init20344818895116[[#This Row],[stack]]-T_init20344818895116[[#This Row],[anteblinds]],0)))</f>
        <v>0</v>
      </c>
      <c r="V20" s="17">
        <v>0</v>
      </c>
      <c r="W20" s="18">
        <f>T_p3p1233726849198119[[#This Row],[EQ]]*prize</f>
        <v>0</v>
      </c>
      <c r="X20" s="67">
        <f>IF(T_init20344818895116[[#This Row],[p]]=1,T_p3p1233726849198119[[#This Row],[players]]*T_p3p1233726849198119[[#This Row],[stack]]/chips+COUNTIF(T_p3p1233726849198119[stack],0),T_p3p1233726849198119[[#This Row],[players]]*T_p3p1233726849198119[[#This Row],[stack]]/chips)</f>
        <v>0</v>
      </c>
      <c r="Y20" s="67">
        <f>T_p3p1233726849198119[[#This Row],[ICM]]+bounty*T_p3p1233726849198119[[#This Row],[KO]]</f>
        <v>0</v>
      </c>
      <c r="AA20" s="83">
        <f>COUNTIF(T_p3p2243827859299120[stack],"&gt;0")</f>
        <v>2</v>
      </c>
      <c r="AB20" s="17">
        <f>IF(T_init20344818895116[[#This Row],[p]]=1,uncalled,IF(T_init20344818895116[[#This Row],[p]]=2,sidepot1,IF(T_init20344818895116[[#This Row],[p]]=3,mainpot,IF(ISBLANK(T_init20344818895116[[#This Row],[p]]),T_init20344818895116[[#This Row],[stack]]-T_init20344818895116[[#This Row],[anteblinds]],0))))</f>
        <v>0</v>
      </c>
      <c r="AC20" s="17">
        <v>0</v>
      </c>
      <c r="AD20" s="18">
        <f>T_p3p2243827859299120[[#This Row],[EQ]]*prize</f>
        <v>0</v>
      </c>
      <c r="AE20" s="67">
        <f>IF(T_init20344818895116[[#This Row],[p]]=2,T_p3p2243827859299120[[#This Row],[players]]*T_p3p2243827859299120[[#This Row],[stack]]/chips+COUNTIF(T_p3p2243827859299120[stack],0),T_p3p2243827859299120[[#This Row],[players]]*T_p3p2243827859299120[[#This Row],[stack]]/chips)</f>
        <v>4</v>
      </c>
      <c r="AF20" s="24">
        <f>T_p3p2243827859299120[[#This Row],[ICM]]+bounty*T_p3p2243827859299120[[#This Row],[KO]]</f>
        <v>0</v>
      </c>
      <c r="AI20" s="83">
        <v>2</v>
      </c>
      <c r="AJ20" s="17">
        <f>IF(T_init20344818895116[[#This Row],[p]]=1,uncalled,IF(T_init20344818895116[[#This Row],[p]]=2,mainpot+sidepot1+sidepot2,IF(T_init20344818895116[[#This Row],[p]]&gt;2,0,T_init20344818895116[[#This Row],[stack]]-T_init20344818895116[[#This Row],[anteblinds]])))</f>
        <v>1510</v>
      </c>
      <c r="AK20" s="17">
        <v>0.755</v>
      </c>
      <c r="AL20" s="18">
        <f>T_fact2939288693100121[[#This Row],[EQ]]*prize</f>
        <v>22.2272</v>
      </c>
      <c r="AM20" s="67">
        <f>IF(T_init20344818895116[[#This Row],[p]]=1,T_fact2939288693100121[[#This Row],[players]]*T_fact2939288693100121[[#This Row],[stack]]/chips+COUNTIF(T_fact2939288693100121[stack],0),T_fact2939288693100121[[#This Row],[players]]*T_fact2939288693100121[[#This Row],[stack]]/chips)</f>
        <v>1.51</v>
      </c>
      <c r="AN20" s="24">
        <f>T_fact2939288693100121[[#This Row],[ICM]]+bounty*T_fact2939288693100121[[#This Row],[KO]]</f>
        <v>22.2272</v>
      </c>
      <c r="AQ20" s="69">
        <f>'3w 8h8c Ден'!p3win* ('3w 8h8c Ден'!p1sp1win*T_p3p1233726849198119[[#This Row],[ICM]] + '3w 8h8c Ден'!p2sp1win*T_p3p2243827859299120[[#This Row],[ICM]])
+'3w 8h8c Ден'!p2win*T_p2223625839097118[[#This Row],[ICM]]
+'3w 8h8c Ден'!p1win*T_p1213519828996117[[#This Row],[ICM]]</f>
        <v>4.2520633600000002</v>
      </c>
      <c r="AR20" s="69">
        <f>('3w 8h8c Ден'!p3win* ('3w 8h8c Ден'!p1sp1win*T_p3p1233726849198119[[#This Row],[KO]] + '3w 8h8c Ден'!p2sp1win*T_p3p2243827859299120[[#This Row],[KO]])
+'3w 8h8c Ден'!p2win*T_p2223625839097118[[#This Row],[KO]]
+'3w 8h8c Ден'!p1win*T_p1213519828996117[[#This Row],[KO]])*bounty</f>
        <v>0</v>
      </c>
      <c r="AS20" s="69">
        <f>'3w 8h8c Ден'!p3win* ('3w 8h8c Ден'!p1sp1win*T_p3p1233726849198119[[#This Row],[$stack]] + '3w 8h8c Ден'!p2sp1win*T_p3p2243827859299120[[#This Row],[$stack]])
+'3w 8h8c Ден'!p2win*T_p2223625839097118[[#This Row],[$stack]]
+'3w 8h8c Ден'!p1win*T_p1213519828996117[[#This Row],[$stack]]</f>
        <v>4.2520633600000002</v>
      </c>
      <c r="AT20" s="69">
        <f>'3w 8h8c Ден'!p3win* ('3w 8h8c Ден'!p1sp1win*T_p3p1233726849198119[[#This Row],[stack]] + '3w 8h8c Ден'!p2sp1win*T_p3p2243827859299120[[#This Row],[stack]])
+'3w 8h8c Ден'!p2win*T_p2223625839097118[[#This Row],[stack]]
+'3w 8h8c Ден'!p1win*T_p1213519828996117[[#This Row],[stack]]</f>
        <v>288.863</v>
      </c>
      <c r="AU20" s="18">
        <f>T_EV3340308794101122[[#This Row],[chipEV]]-T_fact2939288693100121[[#This Row],[stack]]</f>
        <v>-1221.1369999999999</v>
      </c>
      <c r="AV20" s="18">
        <f>T_EV3340308794101122[[#This Row],[EV]]-(T_fact2939288693100121[[#This Row],[ICM]]+bounty*T_fact2939288693100121[[#This Row],[KO]])</f>
        <v>-17.975136639999999</v>
      </c>
    </row>
    <row r="21" spans="1:48" x14ac:dyDescent="0.25">
      <c r="B21">
        <v>0</v>
      </c>
      <c r="F21" s="5">
        <f>COUNTIF(T_p1213519828996117[stack],"&gt;0")</f>
        <v>2</v>
      </c>
      <c r="G21">
        <f>IF(T_init20344818895116[[#This Row],[p]]=1,mainpot+sidepot1+sidepot2+uncalled,IF(T_init20344818895116[[#This Row],[p]]&gt;1,0,T_init20344818895116[[#This Row],[stack]]-T_init20344818895116[[#This Row],[anteblinds]]))</f>
        <v>0</v>
      </c>
      <c r="I21" s="2">
        <f>T_p1213519828996117[[#This Row],[EQ]]*prize</f>
        <v>0</v>
      </c>
      <c r="J21" s="66">
        <f>IF(T_init20344818895116[[#This Row],[p]]=1,T_p1213519828996117[[#This Row],[players]]*T_p1213519828996117[[#This Row],[stack]]/chips+COUNTIF(T_p1213519828996117[stack],0),T_p1213519828996117[[#This Row],[players]]*T_p1213519828996117[[#This Row],[stack]]/chips)</f>
        <v>0</v>
      </c>
      <c r="K21" s="66">
        <f>T_p1213519828996117[[#This Row],[ICM]]+bounty*T_p1213519828996117[[#This Row],[KO]]</f>
        <v>0</v>
      </c>
      <c r="M21" s="10">
        <f>COUNTIF(T_p2223625839097118[stack],"&gt;0")</f>
        <v>2</v>
      </c>
      <c r="N21" s="26">
        <f>IF(T_init20344818895116[[#This Row],[p]]=1,uncalled,IF(T_init20344818895116[[#This Row],[p]]=2,mainpot+sidepot1+sidepot2,IF(T_init20344818895116[[#This Row],[p]]&gt;2,0,T_init20344818895116[[#This Row],[stack]]-T_init20344818895116[[#This Row],[anteblinds]])))</f>
        <v>0</v>
      </c>
      <c r="O21">
        <v>0</v>
      </c>
      <c r="P21" s="2">
        <f>T_p2223625839097118[[#This Row],[EQ]]*prize</f>
        <v>0</v>
      </c>
      <c r="Q21" s="66">
        <f>IF(T_init20344818895116[[#This Row],[p]]=2,T_p2223625839097118[[#This Row],[players]]*T_p2223625839097118[[#This Row],[stack]]/chips+COUNTIF(T_p2223625839097118[stack],0),T_p2223625839097118[[#This Row],[players]]*T_p2223625839097118[[#This Row],[stack]]/chips)</f>
        <v>0</v>
      </c>
      <c r="R21" s="66">
        <f>T_p2223625839097118[[#This Row],[ICM]]+bounty*T_p2223625839097118[[#This Row],[KO]]</f>
        <v>0</v>
      </c>
      <c r="T21" s="5">
        <f>COUNTIF(T_p3p1233726849198119[stack],"&gt;0")</f>
        <v>2</v>
      </c>
      <c r="U21" s="26">
        <f>IF(T_init20344818895116[[#This Row],[p]]=1,sidepot1+uncalled,IF(T_init20344818895116[[#This Row],[p]]=3,mainpot,IF(ISBLANK(T_init20344818895116[[#This Row],[p]]),T_init20344818895116[[#This Row],[stack]]-T_init20344818895116[[#This Row],[anteblinds]],0)))</f>
        <v>0</v>
      </c>
      <c r="V21">
        <v>0</v>
      </c>
      <c r="W21" s="2">
        <f>T_p3p1233726849198119[[#This Row],[EQ]]*prize</f>
        <v>0</v>
      </c>
      <c r="X21" s="66">
        <f>IF(T_init20344818895116[[#This Row],[p]]=1,T_p3p1233726849198119[[#This Row],[players]]*T_p3p1233726849198119[[#This Row],[stack]]/chips+COUNTIF(T_p3p1233726849198119[stack],0),T_p3p1233726849198119[[#This Row],[players]]*T_p3p1233726849198119[[#This Row],[stack]]/chips)</f>
        <v>0</v>
      </c>
      <c r="Y21" s="66">
        <f>T_p3p1233726849198119[[#This Row],[ICM]]+bounty*T_p3p1233726849198119[[#This Row],[KO]]</f>
        <v>0</v>
      </c>
      <c r="AA21" s="5">
        <f>COUNTIF(T_p3p2243827859299120[stack],"&gt;0")</f>
        <v>2</v>
      </c>
      <c r="AB21">
        <f>IF(T_init20344818895116[[#This Row],[p]]=1,uncalled,IF(T_init20344818895116[[#This Row],[p]]=2,sidepot1,IF(T_init20344818895116[[#This Row],[p]]=3,mainpot,IF(ISBLANK(T_init20344818895116[[#This Row],[p]]),T_init20344818895116[[#This Row],[stack]]-T_init20344818895116[[#This Row],[anteblinds]],0))))</f>
        <v>0</v>
      </c>
      <c r="AC21">
        <v>0</v>
      </c>
      <c r="AD21" s="2">
        <f>T_p3p2243827859299120[[#This Row],[EQ]]*prize</f>
        <v>0</v>
      </c>
      <c r="AE21" s="66">
        <f>IF(T_init20344818895116[[#This Row],[p]]=2,T_p3p2243827859299120[[#This Row],[players]]*T_p3p2243827859299120[[#This Row],[stack]]/chips+COUNTIF(T_p3p2243827859299120[stack],0),T_p3p2243827859299120[[#This Row],[players]]*T_p3p2243827859299120[[#This Row],[stack]]/chips)</f>
        <v>0</v>
      </c>
      <c r="AF21" s="16">
        <f>T_p3p2243827859299120[[#This Row],[ICM]]+bounty*T_p3p2243827859299120[[#This Row],[KO]]</f>
        <v>0</v>
      </c>
      <c r="AI21" s="73">
        <v>2</v>
      </c>
      <c r="AJ21" s="26">
        <v>0</v>
      </c>
      <c r="AL21" s="2">
        <f>T_fact2939288693100121[[#This Row],[EQ]]*prize</f>
        <v>0</v>
      </c>
      <c r="AM21" s="66">
        <f>IF(T_init20344818895116[[#This Row],[p]]=1,T_fact2939288693100121[[#This Row],[players]]*T_fact2939288693100121[[#This Row],[stack]]/chips+COUNTIF(T_fact2939288693100121[stack],0),T_fact2939288693100121[[#This Row],[players]]*T_fact2939288693100121[[#This Row],[stack]]/chips)</f>
        <v>0</v>
      </c>
      <c r="AN21" s="16">
        <f>T_fact2939288693100121[[#This Row],[ICM]]+bounty*T_fact2939288693100121[[#This Row],[KO]]</f>
        <v>0</v>
      </c>
      <c r="AQ21" s="68">
        <f>'3w 8h8c Ден'!p3win* ('3w 8h8c Ден'!p1sp1win*T_p3p1233726849198119[[#This Row],[ICM]] + '3w 8h8c Ден'!p2sp1win*T_p3p2243827859299120[[#This Row],[ICM]])
+'3w 8h8c Ден'!p2win*T_p2223625839097118[[#This Row],[ICM]]
+'3w 8h8c Ден'!p1win*T_p1213519828996117[[#This Row],[ICM]]</f>
        <v>0</v>
      </c>
      <c r="AR21" s="68">
        <f>('3w 8h8c Ден'!p3win* ('3w 8h8c Ден'!p1sp1win*T_p3p1233726849198119[[#This Row],[KO]] + '3w 8h8c Ден'!p2sp1win*T_p3p2243827859299120[[#This Row],[KO]])
+'3w 8h8c Ден'!p2win*T_p2223625839097118[[#This Row],[KO]]
+'3w 8h8c Ден'!p1win*T_p1213519828996117[[#This Row],[KO]])*bounty</f>
        <v>0</v>
      </c>
      <c r="AS21" s="68">
        <f>'3w 8h8c Ден'!p3win* ('3w 8h8c Ден'!p1sp1win*T_p3p1233726849198119[[#This Row],[$stack]] + '3w 8h8c Ден'!p2sp1win*T_p3p2243827859299120[[#This Row],[$stack]])
+'3w 8h8c Ден'!p2win*T_p2223625839097118[[#This Row],[$stack]]
+'3w 8h8c Ден'!p1win*T_p1213519828996117[[#This Row],[$stack]]</f>
        <v>0</v>
      </c>
      <c r="AT21" s="68">
        <f>'3w 8h8c Ден'!p3win* ('3w 8h8c Ден'!p1sp1win*T_p3p1233726849198119[[#This Row],[stack]] + '3w 8h8c Ден'!p2sp1win*T_p3p2243827859299120[[#This Row],[stack]])
+'3w 8h8c Ден'!p2win*T_p2223625839097118[[#This Row],[stack]]
+'3w 8h8c Ден'!p1win*T_p1213519828996117[[#This Row],[stack]]</f>
        <v>0</v>
      </c>
      <c r="AU21" s="2">
        <f>T_EV3340308794101122[[#This Row],[chipEV]]-T_fact2939288693100121[[#This Row],[stack]]</f>
        <v>0</v>
      </c>
      <c r="AV21" s="2">
        <f>T_EV3340308794101122[[#This Row],[EV]]-(T_fact2939288693100121[[#This Row],[ICM]]+bounty*T_fact2939288693100121[[#This Row],[KO]])</f>
        <v>0</v>
      </c>
    </row>
    <row r="22" spans="1:48" x14ac:dyDescent="0.25">
      <c r="B22">
        <v>0</v>
      </c>
      <c r="F22" s="5">
        <f>COUNTIF(T_p1213519828996117[stack],"&gt;0")</f>
        <v>2</v>
      </c>
      <c r="G22">
        <f>IF(T_init20344818895116[[#This Row],[p]]=1,mainpot+sidepot1+sidepot2+uncalled,IF(T_init20344818895116[[#This Row],[p]]&gt;1,0,T_init20344818895116[[#This Row],[stack]]-T_init20344818895116[[#This Row],[anteblinds]]))</f>
        <v>0</v>
      </c>
      <c r="I22" s="2">
        <f>T_p1213519828996117[[#This Row],[EQ]]*prize</f>
        <v>0</v>
      </c>
      <c r="J22" s="66">
        <f>IF(T_init20344818895116[[#This Row],[p]]=1,T_p1213519828996117[[#This Row],[players]]*T_p1213519828996117[[#This Row],[stack]]/chips+COUNTIF(T_p1213519828996117[stack],0),T_p1213519828996117[[#This Row],[players]]*T_p1213519828996117[[#This Row],[stack]]/chips)</f>
        <v>0</v>
      </c>
      <c r="K22" s="66">
        <f>T_p1213519828996117[[#This Row],[ICM]]+bounty*T_p1213519828996117[[#This Row],[KO]]</f>
        <v>0</v>
      </c>
      <c r="M22" s="10">
        <f>COUNTIF(T_p2223625839097118[stack],"&gt;0")</f>
        <v>2</v>
      </c>
      <c r="N22" s="26">
        <f>IF(T_init20344818895116[[#This Row],[p]]=1,uncalled,IF(T_init20344818895116[[#This Row],[p]]=2,mainpot+sidepot1+sidepot2,IF(T_init20344818895116[[#This Row],[p]]&gt;2,0,T_init20344818895116[[#This Row],[stack]]-T_init20344818895116[[#This Row],[anteblinds]])))</f>
        <v>0</v>
      </c>
      <c r="P22" s="2">
        <f>T_p2223625839097118[[#This Row],[EQ]]*prize</f>
        <v>0</v>
      </c>
      <c r="Q22" s="66">
        <f>IF(T_init20344818895116[[#This Row],[p]]=2,T_p2223625839097118[[#This Row],[players]]*T_p2223625839097118[[#This Row],[stack]]/chips+COUNTIF(T_p2223625839097118[stack],0),T_p2223625839097118[[#This Row],[players]]*T_p2223625839097118[[#This Row],[stack]]/chips)</f>
        <v>0</v>
      </c>
      <c r="R22" s="66">
        <f>T_p2223625839097118[[#This Row],[ICM]]+bounty*T_p2223625839097118[[#This Row],[KO]]</f>
        <v>0</v>
      </c>
      <c r="T22" s="5">
        <f>COUNTIF(T_p3p1233726849198119[stack],"&gt;0")</f>
        <v>2</v>
      </c>
      <c r="U22" s="26">
        <f>IF(T_init20344818895116[[#This Row],[p]]=1,sidepot1+uncalled,IF(T_init20344818895116[[#This Row],[p]]=3,mainpot,IF(ISBLANK(T_init20344818895116[[#This Row],[p]]),T_init20344818895116[[#This Row],[stack]]-T_init20344818895116[[#This Row],[anteblinds]],0)))</f>
        <v>0</v>
      </c>
      <c r="V22">
        <v>0</v>
      </c>
      <c r="W22" s="2">
        <f>T_p3p1233726849198119[[#This Row],[EQ]]*prize</f>
        <v>0</v>
      </c>
      <c r="X22" s="66">
        <f>IF(T_init20344818895116[[#This Row],[p]]=1,T_p3p1233726849198119[[#This Row],[players]]*T_p3p1233726849198119[[#This Row],[stack]]/chips+COUNTIF(T_p3p1233726849198119[stack],0),T_p3p1233726849198119[[#This Row],[players]]*T_p3p1233726849198119[[#This Row],[stack]]/chips)</f>
        <v>0</v>
      </c>
      <c r="Y22" s="66">
        <f>T_p3p1233726849198119[[#This Row],[ICM]]+bounty*T_p3p1233726849198119[[#This Row],[KO]]</f>
        <v>0</v>
      </c>
      <c r="AA22" s="5">
        <f>COUNTIF(T_p3p2243827859299120[stack],"&gt;0")</f>
        <v>2</v>
      </c>
      <c r="AB22">
        <f>IF(T_init20344818895116[[#This Row],[p]]=1,uncalled,IF(T_init20344818895116[[#This Row],[p]]=2,sidepot1,IF(T_init20344818895116[[#This Row],[p]]=3,mainpot,IF(ISBLANK(T_init20344818895116[[#This Row],[p]]),T_init20344818895116[[#This Row],[stack]]-T_init20344818895116[[#This Row],[anteblinds]],0))))</f>
        <v>0</v>
      </c>
      <c r="AC22">
        <v>0</v>
      </c>
      <c r="AD22" s="2">
        <f>T_p3p2243827859299120[[#This Row],[EQ]]*prize</f>
        <v>0</v>
      </c>
      <c r="AE22" s="66">
        <f>IF(T_init20344818895116[[#This Row],[p]]=2,T_p3p2243827859299120[[#This Row],[players]]*T_p3p2243827859299120[[#This Row],[stack]]/chips+COUNTIF(T_p3p2243827859299120[stack],0),T_p3p2243827859299120[[#This Row],[players]]*T_p3p2243827859299120[[#This Row],[stack]]/chips)</f>
        <v>0</v>
      </c>
      <c r="AF22" s="16">
        <f>T_p3p2243827859299120[[#This Row],[ICM]]+bounty*T_p3p2243827859299120[[#This Row],[KO]]</f>
        <v>0</v>
      </c>
      <c r="AI22" s="73">
        <v>2</v>
      </c>
      <c r="AJ22" s="26">
        <v>0</v>
      </c>
      <c r="AL22" s="2">
        <f>T_fact2939288693100121[[#This Row],[EQ]]*prize</f>
        <v>0</v>
      </c>
      <c r="AM22" s="66">
        <f>IF(T_init20344818895116[[#This Row],[p]]=1,T_fact2939288693100121[[#This Row],[players]]*T_fact2939288693100121[[#This Row],[stack]]/chips+COUNTIF(T_fact2939288693100121[stack],0),T_fact2939288693100121[[#This Row],[players]]*T_fact2939288693100121[[#This Row],[stack]]/chips)</f>
        <v>0</v>
      </c>
      <c r="AN22" s="16">
        <f>T_fact2939288693100121[[#This Row],[ICM]]+bounty*T_fact2939288693100121[[#This Row],[KO]]</f>
        <v>0</v>
      </c>
      <c r="AQ22" s="68">
        <f>'3w 8h8c Ден'!p3win* ('3w 8h8c Ден'!p1sp1win*T_p3p1233726849198119[[#This Row],[ICM]] + '3w 8h8c Ден'!p2sp1win*T_p3p2243827859299120[[#This Row],[ICM]])
+'3w 8h8c Ден'!p2win*T_p2223625839097118[[#This Row],[ICM]]
+'3w 8h8c Ден'!p1win*T_p1213519828996117[[#This Row],[ICM]]</f>
        <v>0</v>
      </c>
      <c r="AR22" s="68">
        <f>('3w 8h8c Ден'!p3win* ('3w 8h8c Ден'!p1sp1win*T_p3p1233726849198119[[#This Row],[KO]] + '3w 8h8c Ден'!p2sp1win*T_p3p2243827859299120[[#This Row],[KO]])
+'3w 8h8c Ден'!p2win*T_p2223625839097118[[#This Row],[KO]]
+'3w 8h8c Ден'!p1win*T_p1213519828996117[[#This Row],[KO]])*bounty</f>
        <v>0</v>
      </c>
      <c r="AS22" s="68">
        <f>'3w 8h8c Ден'!p3win* ('3w 8h8c Ден'!p1sp1win*T_p3p1233726849198119[[#This Row],[$stack]] + '3w 8h8c Ден'!p2sp1win*T_p3p2243827859299120[[#This Row],[$stack]])
+'3w 8h8c Ден'!p2win*T_p2223625839097118[[#This Row],[$stack]]
+'3w 8h8c Ден'!p1win*T_p1213519828996117[[#This Row],[$stack]]</f>
        <v>0</v>
      </c>
      <c r="AT22" s="68">
        <f>'3w 8h8c Ден'!p3win* ('3w 8h8c Ден'!p1sp1win*T_p3p1233726849198119[[#This Row],[stack]] + '3w 8h8c Ден'!p2sp1win*T_p3p2243827859299120[[#This Row],[stack]])
+'3w 8h8c Ден'!p2win*T_p2223625839097118[[#This Row],[stack]]
+'3w 8h8c Ден'!p1win*T_p1213519828996117[[#This Row],[stack]]</f>
        <v>0</v>
      </c>
      <c r="AU22" s="2">
        <f>T_EV3340308794101122[[#This Row],[chipEV]]-T_fact2939288693100121[[#This Row],[stack]]</f>
        <v>0</v>
      </c>
      <c r="AV22" s="2">
        <f>T_EV3340308794101122[[#This Row],[EV]]-(T_fact2939288693100121[[#This Row],[ICM]]+bounty*T_fact2939288693100121[[#This Row],[KO]])</f>
        <v>0</v>
      </c>
    </row>
    <row r="23" spans="1:48" x14ac:dyDescent="0.25">
      <c r="A23" t="s">
        <v>95</v>
      </c>
      <c r="D23">
        <f>SUBTOTAL(109,T_init20344818895116[anteblinds])</f>
        <v>115</v>
      </c>
      <c r="F23" s="53"/>
      <c r="G23" s="50">
        <f>SUM(T_p1213519828996117[stack])</f>
        <v>2000</v>
      </c>
      <c r="H23" s="50">
        <f>SUM(T_p1213519828996117[EQ])</f>
        <v>1</v>
      </c>
      <c r="I23" s="50">
        <f>SUM(T_p1213519828996117[ICM])</f>
        <v>29.44</v>
      </c>
      <c r="J23" s="50">
        <f>SUM(T_p1213519828996117[KO])</f>
        <v>6</v>
      </c>
      <c r="K23" s="50">
        <f>SUM(T_p1213519828996117[$stack])</f>
        <v>29.44</v>
      </c>
      <c r="M23" s="53"/>
      <c r="N23" s="55">
        <f>SUM(T_p2223625839097118[stack])</f>
        <v>2000</v>
      </c>
      <c r="O23" s="50">
        <f>SUM(T_p2223625839097118[EQ])</f>
        <v>1</v>
      </c>
      <c r="P23" s="51">
        <f>SUM(T_p2223625839097118[ICM])</f>
        <v>29.44</v>
      </c>
      <c r="Q23" s="52">
        <f>SUM(T_p2223625839097118[KO])</f>
        <v>6</v>
      </c>
      <c r="R23" s="50">
        <f>SUM(T_p2223625839097118[$stack])</f>
        <v>29.44</v>
      </c>
      <c r="T23" s="53"/>
      <c r="U23" s="55">
        <f>SUM(T_p3p1233726849198119[stack])</f>
        <v>2000</v>
      </c>
      <c r="V23" s="50">
        <f>SUM(T_p3p1233726849198119[EQ])</f>
        <v>1</v>
      </c>
      <c r="W23" s="51">
        <f>SUM(T_p3p1233726849198119[ICM])</f>
        <v>29.44</v>
      </c>
      <c r="X23" s="52">
        <f>SUM(T_p3p1233726849198119[KO])</f>
        <v>6</v>
      </c>
      <c r="Y23" s="50">
        <f>SUM(T_p3p1233726849198119[$stack])</f>
        <v>29.44</v>
      </c>
      <c r="AA23" s="53"/>
      <c r="AB23" s="55">
        <f>SUM(T_p3p2243827859299120[stack])</f>
        <v>2000</v>
      </c>
      <c r="AC23" s="50">
        <f>SUM(T_p3p2243827859299120[EQ])</f>
        <v>1</v>
      </c>
      <c r="AD23" s="51">
        <f>SUM(T_p3p2243827859299120[ICM])</f>
        <v>29.44</v>
      </c>
      <c r="AE23" s="52">
        <f>SUM(T_p3p2243827859299120[KO])</f>
        <v>6</v>
      </c>
      <c r="AF23" s="50">
        <f>SUM(T_p3p1233726849198119[$stack])</f>
        <v>29.44</v>
      </c>
      <c r="AI23" s="53"/>
      <c r="AJ23" s="55">
        <f>SUM(T_fact2939288693100121[stack])</f>
        <v>2000</v>
      </c>
      <c r="AK23" s="50">
        <f>SUM(T_fact2939288693100121[EQ])</f>
        <v>1</v>
      </c>
      <c r="AL23" s="51">
        <f>SUM(T_fact2939288693100121[ICM])</f>
        <v>29.44</v>
      </c>
      <c r="AM23" s="52">
        <f>SUM(T_fact2939288693100121[KO])</f>
        <v>6</v>
      </c>
      <c r="AN23" s="51">
        <f>SUM(T_fact2939288693100121[$stack])</f>
        <v>29.44</v>
      </c>
      <c r="AQ23" s="52">
        <f>SUM(T_EV3340308794101122[ICM])</f>
        <v>29.44</v>
      </c>
      <c r="AR23" s="52">
        <f>SUM(T_EV3340308794101122[KO])</f>
        <v>0</v>
      </c>
      <c r="AS23" s="52">
        <f>SUM(T_EV3340308794101122[EV])</f>
        <v>29.44</v>
      </c>
      <c r="AT23" s="50">
        <f>SUM(T_EV3340308794101122[chipEV])</f>
        <v>2000</v>
      </c>
    </row>
    <row r="25" spans="1:48" ht="18.75" x14ac:dyDescent="0.3">
      <c r="M25" s="79" t="s">
        <v>117</v>
      </c>
    </row>
    <row r="26" spans="1:48" x14ac:dyDescent="0.25">
      <c r="C26" t="s">
        <v>118</v>
      </c>
      <c r="M26" t="s">
        <v>283</v>
      </c>
    </row>
    <row r="27" spans="1:48" x14ac:dyDescent="0.25">
      <c r="C27" t="s">
        <v>120</v>
      </c>
      <c r="M27" t="s">
        <v>284</v>
      </c>
    </row>
    <row r="28" spans="1:48" x14ac:dyDescent="0.25">
      <c r="C28" t="s">
        <v>122</v>
      </c>
      <c r="M28" t="s">
        <v>285</v>
      </c>
    </row>
    <row r="29" spans="1:48" x14ac:dyDescent="0.25">
      <c r="M29" t="s">
        <v>286</v>
      </c>
    </row>
    <row r="30" spans="1:48" x14ac:dyDescent="0.25">
      <c r="M30" t="s">
        <v>287</v>
      </c>
    </row>
    <row r="31" spans="1:48" x14ac:dyDescent="0.25">
      <c r="C31" t="s">
        <v>126</v>
      </c>
      <c r="M31" t="s">
        <v>288</v>
      </c>
    </row>
    <row r="32" spans="1:48" x14ac:dyDescent="0.25">
      <c r="M32" t="s">
        <v>289</v>
      </c>
    </row>
    <row r="33" spans="2:13" x14ac:dyDescent="0.25">
      <c r="B33" t="s">
        <v>129</v>
      </c>
      <c r="M33" t="s">
        <v>290</v>
      </c>
    </row>
    <row r="34" spans="2:13" x14ac:dyDescent="0.25">
      <c r="B34" t="s">
        <v>131</v>
      </c>
      <c r="M34" t="s">
        <v>132</v>
      </c>
    </row>
    <row r="35" spans="2:13" x14ac:dyDescent="0.25">
      <c r="C35" t="s">
        <v>133</v>
      </c>
      <c r="M35" t="s">
        <v>291</v>
      </c>
    </row>
    <row r="36" spans="2:13" x14ac:dyDescent="0.25">
      <c r="D36" t="s">
        <v>135</v>
      </c>
      <c r="M36" t="s">
        <v>292</v>
      </c>
    </row>
    <row r="37" spans="2:13" x14ac:dyDescent="0.25">
      <c r="C37" t="s">
        <v>137</v>
      </c>
      <c r="M37" t="s">
        <v>138</v>
      </c>
    </row>
    <row r="38" spans="2:13" x14ac:dyDescent="0.25">
      <c r="D38" t="s">
        <v>135</v>
      </c>
      <c r="M38" t="s">
        <v>139</v>
      </c>
    </row>
    <row r="39" spans="2:13" x14ac:dyDescent="0.25">
      <c r="C39" t="s">
        <v>140</v>
      </c>
      <c r="M39" t="s">
        <v>293</v>
      </c>
    </row>
    <row r="40" spans="2:13" x14ac:dyDescent="0.25">
      <c r="D40" t="s">
        <v>142</v>
      </c>
      <c r="M40" t="s">
        <v>294</v>
      </c>
    </row>
    <row r="41" spans="2:13" x14ac:dyDescent="0.25">
      <c r="D41" t="s">
        <v>144</v>
      </c>
      <c r="E41" t="s">
        <v>145</v>
      </c>
      <c r="M41" t="s">
        <v>295</v>
      </c>
    </row>
    <row r="42" spans="2:13" x14ac:dyDescent="0.25">
      <c r="F42" t="s">
        <v>147</v>
      </c>
      <c r="M42" t="s">
        <v>296</v>
      </c>
    </row>
    <row r="43" spans="2:13" x14ac:dyDescent="0.25">
      <c r="E43" t="s">
        <v>149</v>
      </c>
      <c r="M43" t="s">
        <v>297</v>
      </c>
    </row>
    <row r="44" spans="2:13" x14ac:dyDescent="0.25">
      <c r="F44" t="s">
        <v>151</v>
      </c>
      <c r="M44" t="s">
        <v>298</v>
      </c>
    </row>
    <row r="45" spans="2:13" x14ac:dyDescent="0.25">
      <c r="M45" t="s">
        <v>299</v>
      </c>
    </row>
    <row r="46" spans="2:13" x14ac:dyDescent="0.25">
      <c r="C46" t="s">
        <v>154</v>
      </c>
      <c r="M46" t="s">
        <v>300</v>
      </c>
    </row>
    <row r="47" spans="2:13" x14ac:dyDescent="0.25">
      <c r="D47" t="s">
        <v>156</v>
      </c>
      <c r="M47" t="s">
        <v>166</v>
      </c>
    </row>
    <row r="48" spans="2:13" x14ac:dyDescent="0.25">
      <c r="D48" t="s">
        <v>158</v>
      </c>
      <c r="E48" t="s">
        <v>145</v>
      </c>
      <c r="M48" t="s">
        <v>301</v>
      </c>
    </row>
    <row r="49" spans="5:13" x14ac:dyDescent="0.25">
      <c r="F49" t="s">
        <v>160</v>
      </c>
      <c r="M49" t="s">
        <v>302</v>
      </c>
    </row>
    <row r="50" spans="5:13" x14ac:dyDescent="0.25">
      <c r="E50" t="s">
        <v>149</v>
      </c>
      <c r="M50" t="s">
        <v>303</v>
      </c>
    </row>
    <row r="51" spans="5:13" x14ac:dyDescent="0.25">
      <c r="F51" t="s">
        <v>163</v>
      </c>
      <c r="M51" t="s">
        <v>304</v>
      </c>
    </row>
    <row r="52" spans="5:13" x14ac:dyDescent="0.25">
      <c r="E52" t="s">
        <v>165</v>
      </c>
      <c r="M52" t="s">
        <v>305</v>
      </c>
    </row>
    <row r="53" spans="5:13" x14ac:dyDescent="0.25">
      <c r="F53" t="s">
        <v>167</v>
      </c>
      <c r="M53" t="s">
        <v>306</v>
      </c>
    </row>
    <row r="54" spans="5:13" x14ac:dyDescent="0.25">
      <c r="F54" t="s">
        <v>144</v>
      </c>
      <c r="M54" t="s">
        <v>173</v>
      </c>
    </row>
    <row r="55" spans="5:13" x14ac:dyDescent="0.25">
      <c r="G55" t="s">
        <v>145</v>
      </c>
      <c r="M55" t="s">
        <v>307</v>
      </c>
    </row>
    <row r="56" spans="5:13" x14ac:dyDescent="0.25">
      <c r="H56" t="s">
        <v>147</v>
      </c>
      <c r="M56" t="s">
        <v>308</v>
      </c>
    </row>
    <row r="57" spans="5:13" x14ac:dyDescent="0.25">
      <c r="G57" t="s">
        <v>149</v>
      </c>
      <c r="M57" t="s">
        <v>309</v>
      </c>
    </row>
    <row r="58" spans="5:13" x14ac:dyDescent="0.25">
      <c r="H58" t="s">
        <v>151</v>
      </c>
      <c r="M58" t="s">
        <v>310</v>
      </c>
    </row>
    <row r="59" spans="5:13" x14ac:dyDescent="0.25">
      <c r="M59" t="s">
        <v>311</v>
      </c>
    </row>
    <row r="60" spans="5:13" x14ac:dyDescent="0.25">
      <c r="M60" t="s">
        <v>312</v>
      </c>
    </row>
    <row r="62" spans="5:13" x14ac:dyDescent="0.25">
      <c r="M62" s="110" t="s">
        <v>551</v>
      </c>
    </row>
    <row r="63" spans="5:13" x14ac:dyDescent="0.25">
      <c r="M63" s="110" t="s">
        <v>521</v>
      </c>
    </row>
    <row r="64" spans="5:13" x14ac:dyDescent="0.25">
      <c r="M64" s="110" t="s">
        <v>552</v>
      </c>
    </row>
    <row r="65" spans="13:13" x14ac:dyDescent="0.25">
      <c r="M65" s="110" t="s">
        <v>553</v>
      </c>
    </row>
    <row r="66" spans="13:13" x14ac:dyDescent="0.25">
      <c r="M66" s="110" t="s">
        <v>554</v>
      </c>
    </row>
    <row r="67" spans="13:13" x14ac:dyDescent="0.25">
      <c r="M67" s="110" t="s">
        <v>555</v>
      </c>
    </row>
    <row r="68" spans="13:13" x14ac:dyDescent="0.25">
      <c r="M68" s="110" t="s">
        <v>545</v>
      </c>
    </row>
    <row r="69" spans="13:13" x14ac:dyDescent="0.25">
      <c r="M69" s="110" t="s">
        <v>527</v>
      </c>
    </row>
    <row r="70" spans="13:13" x14ac:dyDescent="0.25">
      <c r="M70" s="110" t="s">
        <v>528</v>
      </c>
    </row>
  </sheetData>
  <mergeCells count="11">
    <mergeCell ref="AQ15:AT15"/>
    <mergeCell ref="F10:F11"/>
    <mergeCell ref="T13:AE13"/>
    <mergeCell ref="AQ13:AT13"/>
    <mergeCell ref="T14:AE14"/>
    <mergeCell ref="AQ14:AT14"/>
    <mergeCell ref="F15:J15"/>
    <mergeCell ref="M15:Q15"/>
    <mergeCell ref="T15:X15"/>
    <mergeCell ref="AA15:AE15"/>
    <mergeCell ref="AI15:AM15"/>
  </mergeCells>
  <pageMargins left="0.7" right="0.7" top="0.75" bottom="0.75" header="0.3" footer="0.3"/>
  <pageSetup paperSize="9" orientation="portrait" horizontalDpi="4294967293" verticalDpi="0" r:id="rId1"/>
  <legacyDrawing r:id="rId2"/>
  <tableParts count="7">
    <tablePart r:id="rId3"/>
    <tablePart r:id="rId4"/>
    <tablePart r:id="rId5"/>
    <tablePart r:id="rId6"/>
    <tablePart r:id="rId7"/>
    <tablePart r:id="rId8"/>
    <tablePart r:id="rId9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37AFA-2EBB-483B-9A63-149E85038F0A}">
  <dimension ref="A1:AV70"/>
  <sheetViews>
    <sheetView topLeftCell="A52" workbookViewId="0">
      <selection activeCell="M62" sqref="M62:M70"/>
    </sheetView>
  </sheetViews>
  <sheetFormatPr defaultRowHeight="15" x14ac:dyDescent="0.25"/>
  <cols>
    <col min="1" max="1" width="9.28515625" customWidth="1"/>
    <col min="5" max="5" width="2.7109375" customWidth="1"/>
    <col min="6" max="6" width="10.28515625" customWidth="1"/>
    <col min="12" max="12" width="2.140625" customWidth="1"/>
    <col min="13" max="13" width="10.28515625" customWidth="1"/>
    <col min="19" max="19" width="2" customWidth="1"/>
    <col min="20" max="20" width="9.5703125" bestFit="1" customWidth="1"/>
    <col min="21" max="21" width="10.28515625" customWidth="1"/>
    <col min="26" max="26" width="2" customWidth="1"/>
    <col min="27" max="27" width="7.7109375" customWidth="1"/>
    <col min="28" max="29" width="8.5703125" customWidth="1"/>
    <col min="30" max="30" width="9.85546875" customWidth="1"/>
    <col min="31" max="31" width="8.42578125" customWidth="1"/>
    <col min="33" max="33" width="2.140625" customWidth="1"/>
    <col min="34" max="34" width="2" customWidth="1"/>
    <col min="35" max="35" width="10" customWidth="1"/>
    <col min="39" max="39" width="10.5703125" customWidth="1"/>
    <col min="41" max="41" width="1.5703125" customWidth="1"/>
    <col min="42" max="42" width="1.140625" customWidth="1"/>
    <col min="46" max="46" width="10.7109375" customWidth="1"/>
    <col min="47" max="47" width="10.85546875" customWidth="1"/>
  </cols>
  <sheetData>
    <row r="1" spans="1:48" ht="15.75" x14ac:dyDescent="0.25">
      <c r="C1" s="80" t="s">
        <v>0</v>
      </c>
      <c r="D1">
        <f>7.36*4</f>
        <v>29.44</v>
      </c>
      <c r="F1" s="80" t="s">
        <v>71</v>
      </c>
      <c r="G1">
        <v>0.36659999999999998</v>
      </c>
      <c r="I1" s="80" t="s">
        <v>72</v>
      </c>
      <c r="J1">
        <v>0.5</v>
      </c>
      <c r="M1" s="80" t="s">
        <v>73</v>
      </c>
      <c r="N1">
        <v>1535</v>
      </c>
    </row>
    <row r="2" spans="1:48" ht="15.75" x14ac:dyDescent="0.25">
      <c r="C2" s="80" t="s">
        <v>1</v>
      </c>
      <c r="D2">
        <f>bounty</f>
        <v>0</v>
      </c>
      <c r="F2" s="80" t="s">
        <v>74</v>
      </c>
      <c r="G2">
        <v>7.8799999999999995E-2</v>
      </c>
      <c r="I2" s="80" t="s">
        <v>75</v>
      </c>
      <c r="J2">
        <v>0.5</v>
      </c>
      <c r="M2" s="80" t="s">
        <v>76</v>
      </c>
      <c r="N2">
        <v>0</v>
      </c>
    </row>
    <row r="3" spans="1:48" ht="15.75" x14ac:dyDescent="0.25">
      <c r="C3" s="80" t="s">
        <v>77</v>
      </c>
      <c r="D3">
        <v>2000</v>
      </c>
      <c r="F3" s="80" t="s">
        <v>78</v>
      </c>
      <c r="G3">
        <v>0.55459999999999998</v>
      </c>
      <c r="M3" s="80" t="s">
        <v>79</v>
      </c>
      <c r="N3">
        <v>0</v>
      </c>
    </row>
    <row r="4" spans="1:48" ht="15.75" x14ac:dyDescent="0.25">
      <c r="F4" s="80" t="s">
        <v>80</v>
      </c>
      <c r="G4">
        <v>0</v>
      </c>
      <c r="M4" s="80" t="s">
        <v>81</v>
      </c>
      <c r="N4">
        <v>115</v>
      </c>
    </row>
    <row r="5" spans="1:48" ht="6" customHeight="1" x14ac:dyDescent="0.25"/>
    <row r="6" spans="1:48" x14ac:dyDescent="0.25">
      <c r="C6" t="s">
        <v>82</v>
      </c>
      <c r="D6" t="s">
        <v>83</v>
      </c>
    </row>
    <row r="7" spans="1:48" x14ac:dyDescent="0.25">
      <c r="C7" t="s">
        <v>84</v>
      </c>
      <c r="D7" t="s">
        <v>85</v>
      </c>
    </row>
    <row r="8" spans="1:48" x14ac:dyDescent="0.25">
      <c r="C8" t="s">
        <v>86</v>
      </c>
      <c r="D8" t="s">
        <v>87</v>
      </c>
    </row>
    <row r="9" spans="1:48" ht="6" customHeight="1" x14ac:dyDescent="0.25"/>
    <row r="10" spans="1:48" x14ac:dyDescent="0.25">
      <c r="F10" s="94" t="s">
        <v>88</v>
      </c>
      <c r="G10" s="81" t="s">
        <v>89</v>
      </c>
      <c r="H10" s="81" t="s">
        <v>90</v>
      </c>
      <c r="I10" s="81" t="s">
        <v>91</v>
      </c>
    </row>
    <row r="11" spans="1:48" ht="18.75" x14ac:dyDescent="0.3">
      <c r="F11" s="95"/>
      <c r="G11" s="81">
        <v>1</v>
      </c>
      <c r="H11" s="81">
        <v>0</v>
      </c>
      <c r="I11" s="82">
        <v>0</v>
      </c>
      <c r="J11" s="84"/>
      <c r="K11" s="84"/>
    </row>
    <row r="12" spans="1:48" ht="19.5" thickBot="1" x14ac:dyDescent="0.35">
      <c r="F12" s="84"/>
      <c r="G12" s="84"/>
      <c r="H12" s="84"/>
      <c r="I12" s="84"/>
      <c r="J12" s="84"/>
      <c r="K12" s="84"/>
      <c r="V12" t="s">
        <v>92</v>
      </c>
      <c r="AC12" t="s">
        <v>93</v>
      </c>
    </row>
    <row r="13" spans="1:48" ht="20.25" thickTop="1" thickBot="1" x14ac:dyDescent="0.35">
      <c r="F13" s="84"/>
      <c r="G13" s="84"/>
      <c r="H13" s="84"/>
      <c r="I13" s="84"/>
      <c r="J13" s="84"/>
      <c r="K13" s="84"/>
      <c r="T13" s="96" t="s">
        <v>94</v>
      </c>
      <c r="U13" s="97"/>
      <c r="V13" s="97"/>
      <c r="W13" s="97"/>
      <c r="X13" s="97"/>
      <c r="Y13" s="97"/>
      <c r="Z13" s="97"/>
      <c r="AA13" s="97"/>
      <c r="AB13" s="97"/>
      <c r="AC13" s="97"/>
      <c r="AD13" s="97"/>
      <c r="AE13" s="98"/>
      <c r="AQ13" s="96" t="s">
        <v>95</v>
      </c>
      <c r="AR13" s="97"/>
      <c r="AS13" s="97"/>
      <c r="AT13" s="97"/>
    </row>
    <row r="14" spans="1:48" ht="20.25" thickTop="1" thickBot="1" x14ac:dyDescent="0.35">
      <c r="F14" s="84"/>
      <c r="G14" s="84"/>
      <c r="H14" s="84" t="s">
        <v>96</v>
      </c>
      <c r="I14" s="84"/>
      <c r="J14" s="84"/>
      <c r="K14" s="84"/>
      <c r="O14" t="s">
        <v>97</v>
      </c>
      <c r="T14" s="96" t="s">
        <v>98</v>
      </c>
      <c r="U14" s="97"/>
      <c r="V14" s="97"/>
      <c r="W14" s="97"/>
      <c r="X14" s="97"/>
      <c r="Y14" s="97"/>
      <c r="Z14" s="97"/>
      <c r="AA14" s="97"/>
      <c r="AB14" s="97"/>
      <c r="AC14" s="97"/>
      <c r="AD14" s="97"/>
      <c r="AE14" s="98"/>
      <c r="AK14" t="s">
        <v>99</v>
      </c>
      <c r="AQ14" s="96"/>
      <c r="AR14" s="97"/>
      <c r="AS14" s="97"/>
      <c r="AT14" s="97"/>
    </row>
    <row r="15" spans="1:48" ht="19.5" thickTop="1" x14ac:dyDescent="0.3">
      <c r="F15" s="88" t="s">
        <v>100</v>
      </c>
      <c r="G15" s="89"/>
      <c r="H15" s="89"/>
      <c r="I15" s="89"/>
      <c r="J15" s="90"/>
      <c r="K15" s="84"/>
      <c r="M15" s="88" t="s">
        <v>101</v>
      </c>
      <c r="N15" s="89"/>
      <c r="O15" s="89"/>
      <c r="P15" s="89"/>
      <c r="Q15" s="90"/>
      <c r="R15" s="84"/>
      <c r="T15" s="99" t="s">
        <v>102</v>
      </c>
      <c r="U15" s="100"/>
      <c r="V15" s="100"/>
      <c r="W15" s="100"/>
      <c r="X15" s="101"/>
      <c r="Y15" s="84"/>
      <c r="AA15" s="99" t="s">
        <v>103</v>
      </c>
      <c r="AB15" s="100"/>
      <c r="AC15" s="100"/>
      <c r="AD15" s="100"/>
      <c r="AE15" s="101"/>
      <c r="AI15" s="85" t="s">
        <v>10</v>
      </c>
      <c r="AJ15" s="86"/>
      <c r="AK15" s="86"/>
      <c r="AL15" s="86"/>
      <c r="AM15" s="87"/>
      <c r="AQ15" s="91" t="s">
        <v>104</v>
      </c>
      <c r="AR15" s="92"/>
      <c r="AS15" s="92"/>
      <c r="AT15" s="93"/>
    </row>
    <row r="16" spans="1:48" x14ac:dyDescent="0.25">
      <c r="A16" t="s">
        <v>105</v>
      </c>
      <c r="B16" t="s">
        <v>12</v>
      </c>
      <c r="C16" t="s">
        <v>13</v>
      </c>
      <c r="D16" t="s">
        <v>106</v>
      </c>
      <c r="F16" s="5" t="s">
        <v>107</v>
      </c>
      <c r="G16" t="s">
        <v>12</v>
      </c>
      <c r="H16" t="s">
        <v>108</v>
      </c>
      <c r="I16" t="s">
        <v>109</v>
      </c>
      <c r="J16" s="5" t="s">
        <v>1</v>
      </c>
      <c r="K16" s="5" t="s">
        <v>110</v>
      </c>
      <c r="M16" s="5" t="s">
        <v>107</v>
      </c>
      <c r="N16" s="5" t="s">
        <v>12</v>
      </c>
      <c r="O16" s="5" t="s">
        <v>108</v>
      </c>
      <c r="P16" s="5" t="s">
        <v>109</v>
      </c>
      <c r="Q16" s="5" t="s">
        <v>1</v>
      </c>
      <c r="R16" s="5" t="s">
        <v>110</v>
      </c>
      <c r="T16" s="5" t="s">
        <v>107</v>
      </c>
      <c r="U16" s="5" t="s">
        <v>12</v>
      </c>
      <c r="V16" s="5" t="s">
        <v>108</v>
      </c>
      <c r="W16" s="5" t="s">
        <v>109</v>
      </c>
      <c r="X16" s="5" t="s">
        <v>1</v>
      </c>
      <c r="Y16" s="5" t="s">
        <v>110</v>
      </c>
      <c r="AA16" s="5" t="s">
        <v>107</v>
      </c>
      <c r="AB16" s="5" t="s">
        <v>12</v>
      </c>
      <c r="AC16" s="5" t="s">
        <v>108</v>
      </c>
      <c r="AD16" s="5" t="s">
        <v>109</v>
      </c>
      <c r="AE16" s="5" t="s">
        <v>1</v>
      </c>
      <c r="AF16" t="s">
        <v>110</v>
      </c>
      <c r="AI16" s="5" t="s">
        <v>107</v>
      </c>
      <c r="AJ16" s="5" t="s">
        <v>12</v>
      </c>
      <c r="AK16" s="5" t="s">
        <v>108</v>
      </c>
      <c r="AL16" s="5" t="s">
        <v>109</v>
      </c>
      <c r="AM16" s="5" t="s">
        <v>1</v>
      </c>
      <c r="AN16" t="s">
        <v>110</v>
      </c>
      <c r="AQ16" s="5" t="s">
        <v>109</v>
      </c>
      <c r="AR16" s="5" t="s">
        <v>1</v>
      </c>
      <c r="AS16" s="5" t="s">
        <v>104</v>
      </c>
      <c r="AT16" s="5" t="s">
        <v>111</v>
      </c>
      <c r="AU16" t="s">
        <v>112</v>
      </c>
      <c r="AV16" t="s">
        <v>113</v>
      </c>
    </row>
    <row r="17" spans="1:48" s="102" customFormat="1" x14ac:dyDescent="0.25">
      <c r="A17" s="102">
        <v>2</v>
      </c>
      <c r="B17" s="102">
        <v>500</v>
      </c>
      <c r="C17" s="102" t="s">
        <v>313</v>
      </c>
      <c r="D17" s="102">
        <v>10</v>
      </c>
      <c r="F17" s="103">
        <f>COUNTIF(T_p1213519828996117124[stack],"&gt;0")</f>
        <v>2</v>
      </c>
      <c r="G17" s="102">
        <f>IF(T_init20344818895116123[[#This Row],[p]]=1,mainpot+sidepot1+sidepot2+uncalled,IF(T_init20344818895116123[[#This Row],[p]]&gt;1,0,T_init20344818895116123[[#This Row],[stack]]-T_init20344818895116123[[#This Row],[anteblinds]]))</f>
        <v>0</v>
      </c>
      <c r="I17" s="104">
        <f>T_p1213519828996117124[[#This Row],[EQ]]*prize</f>
        <v>0</v>
      </c>
      <c r="J17" s="105">
        <f>IF(T_init20344818895116123[[#This Row],[p]]=1,T_p1213519828996117124[[#This Row],[players]]*T_p1213519828996117124[[#This Row],[stack]]/chips+COUNTIF(T_p1213519828996117124[stack],0),T_p1213519828996117124[[#This Row],[players]]*T_p1213519828996117124[[#This Row],[stack]]/chips)</f>
        <v>0</v>
      </c>
      <c r="K17" s="105">
        <f>T_p1213519828996117124[[#This Row],[ICM]]+bounty*T_p1213519828996117124[[#This Row],[KO]]</f>
        <v>0</v>
      </c>
      <c r="M17" s="106">
        <f>COUNTIF(T_p2223625839097118125[stack],"&gt;0")</f>
        <v>3</v>
      </c>
      <c r="N17" s="102">
        <f>IF(T_init20344818895116123[[#This Row],[p]]=1,uncalled,IF(T_init20344818895116123[[#This Row],[p]]=2,mainpot+sidepot1+sidepot2,IF(T_init20344818895116123[[#This Row],[p]]&gt;2,0,T_init20344818895116123[[#This Row],[stack]]-T_init20344818895116123[[#This Row],[anteblinds]])))</f>
        <v>1535</v>
      </c>
      <c r="O17" s="102">
        <v>0.76749999999999996</v>
      </c>
      <c r="P17" s="104">
        <f>T_p2223625839097118125[[#This Row],[EQ]]*prize</f>
        <v>22.595199999999998</v>
      </c>
      <c r="Q17" s="105">
        <f>IF(T_init20344818895116123[[#This Row],[p]]=2,T_p2223625839097118125[[#This Row],[players]]*T_p2223625839097118125[[#This Row],[stack]]/chips+COUNTIF(T_p2223625839097118125[stack],0),T_p2223625839097118125[[#This Row],[players]]*T_p2223625839097118125[[#This Row],[stack]]/chips)</f>
        <v>5.3025000000000002</v>
      </c>
      <c r="R17" s="105">
        <f>T_p2223625839097118125[[#This Row],[ICM]]+bounty*T_p2223625839097118125[[#This Row],[KO]]</f>
        <v>22.595199999999998</v>
      </c>
      <c r="T17" s="103">
        <f>COUNTIF(T_p3p1233726849198119126[stack],"&gt;0")</f>
        <v>3</v>
      </c>
      <c r="U17" s="102">
        <f>IF(T_init20344818895116123[[#This Row],[p]]=1,sidepot1+uncalled,IF(T_init20344818895116123[[#This Row],[p]]=3,mainpot,IF(ISBLANK(T_init20344818895116123[[#This Row],[p]]),T_init20344818895116123[[#This Row],[stack]]-T_init20344818895116123[[#This Row],[anteblinds]],0)))</f>
        <v>0</v>
      </c>
      <c r="V17" s="102">
        <v>0</v>
      </c>
      <c r="W17" s="104">
        <f>T_p3p1233726849198119126[[#This Row],[EQ]]*prize</f>
        <v>0</v>
      </c>
      <c r="X17" s="105">
        <f>IF(T_init20344818895116123[[#This Row],[p]]=1,T_p3p1233726849198119126[[#This Row],[players]]*T_p3p1233726849198119126[[#This Row],[stack]]/chips+COUNTIF(T_p3p1233726849198119126[stack],0),T_p3p1233726849198119126[[#This Row],[players]]*T_p3p1233726849198119126[[#This Row],[stack]]/chips)</f>
        <v>0</v>
      </c>
      <c r="Y17" s="105">
        <f>T_p3p1233726849198119126[[#This Row],[ICM]]+bounty*T_p3p1233726849198119126[[#This Row],[KO]]</f>
        <v>0</v>
      </c>
      <c r="AA17" s="103">
        <f>COUNTIF(T_p3p2243827859299120127[stack],"&gt;0")</f>
        <v>3</v>
      </c>
      <c r="AB17" s="102">
        <f>IF(T_init20344818895116123[[#This Row],[p]]=1,uncalled,IF(T_init20344818895116123[[#This Row],[p]]=2,sidepot1,IF(T_init20344818895116123[[#This Row],[p]]=3,mainpot,IF(ISBLANK(T_init20344818895116123[[#This Row],[p]]),T_init20344818895116123[[#This Row],[stack]]-T_init20344818895116123[[#This Row],[anteblinds]],0))))</f>
        <v>0</v>
      </c>
      <c r="AC17" s="102">
        <v>0</v>
      </c>
      <c r="AD17" s="104">
        <f>T_p3p2243827859299120127[[#This Row],[EQ]]*prize</f>
        <v>0</v>
      </c>
      <c r="AE17" s="105">
        <f>IF(T_init20344818895116123[[#This Row],[p]]=2,T_p3p2243827859299120127[[#This Row],[players]]*T_p3p2243827859299120127[[#This Row],[stack]]/chips+COUNTIF(T_p3p2243827859299120127[stack],0),T_p3p2243827859299120127[[#This Row],[players]]*T_p3p2243827859299120127[[#This Row],[stack]]/chips)</f>
        <v>3</v>
      </c>
      <c r="AF17" s="105">
        <f>T_p3p2243827859299120127[[#This Row],[ICM]]+bounty*T_p3p2243827859299120127[[#This Row],[KO]]</f>
        <v>0</v>
      </c>
      <c r="AI17" s="103">
        <v>3</v>
      </c>
      <c r="AJ17" s="102">
        <v>0</v>
      </c>
      <c r="AK17" s="102">
        <v>0</v>
      </c>
      <c r="AL17" s="104">
        <f>T_fact2939288693100121128[[#This Row],[EQ]]*prize</f>
        <v>0</v>
      </c>
      <c r="AM17" s="105">
        <f>IF(T_init20344818895116123[[#This Row],[p]]=1,T_fact2939288693100121128[[#This Row],[players]]*T_fact2939288693100121128[[#This Row],[stack]]/chips+COUNTIF(T_fact2939288693100121128[stack],0),T_fact2939288693100121128[[#This Row],[players]]*T_fact2939288693100121128[[#This Row],[stack]]/chips)</f>
        <v>0</v>
      </c>
      <c r="AN17" s="105">
        <f>T_fact2939288693100121128[[#This Row],[ICM]]+bounty*T_fact2939288693100121128[[#This Row],[KO]]</f>
        <v>0</v>
      </c>
      <c r="AQ17" s="107">
        <f>'3w 5h5c Ден'!p3win* ('3w 5h5c Ден'!p1sp1win*T_p3p1233726849198119126[[#This Row],[ICM]] + '3w 5h5c Ден'!p2sp1win*T_p3p2243827859299120127[[#This Row],[ICM]])
+'3w 5h5c Ден'!p2win*T_p2223625839097118125[[#This Row],[ICM]]
+'3w 5h5c Ден'!p1win*T_p1213519828996117124[[#This Row],[ICM]]</f>
        <v>1.7805017599999997</v>
      </c>
      <c r="AR17" s="108">
        <f>('3w 5h5c Ден'!p3win* ('3w 5h5c Ден'!p1sp1win*T_p3p1233726849198119126[[#This Row],[KO]] + '3w 5h5c Ден'!p2sp1win*T_p3p2243827859299120127[[#This Row],[KO]])
+'3w 5h5c Ден'!p2win*T_p2223625839097118125[[#This Row],[KO]]
+'3w 5h5c Ден'!p1win*T_p1213519828996117124[[#This Row],[KO]])*bounty</f>
        <v>0</v>
      </c>
      <c r="AS17" s="107">
        <f>'3w 5h5c Ден'!p3win* ('3w 5h5c Ден'!p1sp1win*T_p3p1233726849198119126[[#This Row],[$stack]] + '3w 5h5c Ден'!p2sp1win*T_p3p2243827859299120127[[#This Row],[$stack]])
+'3w 5h5c Ден'!p2win*T_p2223625839097118125[[#This Row],[$stack]]
+'3w 5h5c Ден'!p1win*T_p1213519828996117124[[#This Row],[$stack]]</f>
        <v>1.7805017599999997</v>
      </c>
      <c r="AT17" s="108">
        <f>'3w 5h5c Ден'!p3win* ('3w 5h5c Ден'!p1sp1win*T_p3p1233726849198119126[[#This Row],[stack]] + '3w 5h5c Ден'!p2sp1win*T_p3p2243827859299120127[[#This Row],[stack]])
+'3w 5h5c Ден'!p2win*T_p2223625839097118125[[#This Row],[stack]]
+'3w 5h5c Ден'!p1win*T_p1213519828996117124[[#This Row],[stack]]</f>
        <v>120.958</v>
      </c>
      <c r="AU17" s="104">
        <f>T_EV3340308794101122129[[#This Row],[chipEV]]-T_fact2939288693100121128[[#This Row],[stack]]</f>
        <v>120.958</v>
      </c>
      <c r="AV17" s="104">
        <f>T_EV3340308794101122129[[#This Row],[EV]]-(T_fact2939288693100121128[[#This Row],[ICM]]+bounty*T_fact2939288693100121128[[#This Row],[KO]])</f>
        <v>1.7805017599999997</v>
      </c>
    </row>
    <row r="18" spans="1:48" x14ac:dyDescent="0.25">
      <c r="A18">
        <v>1</v>
      </c>
      <c r="B18">
        <v>615</v>
      </c>
      <c r="C18" t="s">
        <v>314</v>
      </c>
      <c r="D18">
        <v>10</v>
      </c>
      <c r="F18" s="5">
        <f>COUNTIF(T_p1213519828996117124[stack],"&gt;0")</f>
        <v>2</v>
      </c>
      <c r="G18">
        <f>IF(T_init20344818895116123[[#This Row],[p]]=1,mainpot+sidepot1+sidepot2+uncalled,IF(T_init20344818895116123[[#This Row],[p]]&gt;1,0,T_init20344818895116123[[#This Row],[stack]]-T_init20344818895116123[[#This Row],[anteblinds]]))</f>
        <v>1650</v>
      </c>
      <c r="H18">
        <v>0.82499999999999996</v>
      </c>
      <c r="I18" s="2">
        <f>T_p1213519828996117124[[#This Row],[EQ]]*prize</f>
        <v>24.288</v>
      </c>
      <c r="J18" s="66">
        <f>IF(T_init20344818895116123[[#This Row],[p]]=1,T_p1213519828996117124[[#This Row],[players]]*T_p1213519828996117124[[#This Row],[stack]]/chips+COUNTIF(T_p1213519828996117124[stack],0),T_p1213519828996117124[[#This Row],[players]]*T_p1213519828996117124[[#This Row],[stack]]/chips)</f>
        <v>5.65</v>
      </c>
      <c r="K18" s="66">
        <f>T_p1213519828996117124[[#This Row],[ICM]]+bounty*T_p1213519828996117124[[#This Row],[KO]]</f>
        <v>24.288</v>
      </c>
      <c r="M18" s="10">
        <f>COUNTIF(T_p2223625839097118125[stack],"&gt;0")</f>
        <v>3</v>
      </c>
      <c r="N18" s="26">
        <f>IF(T_init20344818895116123[[#This Row],[p]]=1,uncalled,IF(T_init20344818895116123[[#This Row],[p]]=2,mainpot+sidepot1+sidepot2,IF(T_init20344818895116123[[#This Row],[p]]&gt;2,0,T_init20344818895116123[[#This Row],[stack]]-T_init20344818895116123[[#This Row],[anteblinds]])))</f>
        <v>115</v>
      </c>
      <c r="O18">
        <v>5.7500000000000002E-2</v>
      </c>
      <c r="P18" s="2">
        <f>T_p2223625839097118125[[#This Row],[EQ]]*prize</f>
        <v>1.6928000000000001</v>
      </c>
      <c r="Q18" s="66">
        <f>IF(T_init20344818895116123[[#This Row],[p]]=2,T_p2223625839097118125[[#This Row],[players]]*T_p2223625839097118125[[#This Row],[stack]]/chips+COUNTIF(T_p2223625839097118125[stack],0),T_p2223625839097118125[[#This Row],[players]]*T_p2223625839097118125[[#This Row],[stack]]/chips)</f>
        <v>0.17249999999999999</v>
      </c>
      <c r="R18" s="66">
        <f>T_p2223625839097118125[[#This Row],[ICM]]+bounty*T_p2223625839097118125[[#This Row],[KO]]</f>
        <v>1.6928000000000001</v>
      </c>
      <c r="T18" s="5">
        <f>COUNTIF(T_p3p1233726849198119126[stack],"&gt;0")</f>
        <v>3</v>
      </c>
      <c r="U18" s="26">
        <f>IF(T_init20344818895116123[[#This Row],[p]]=1,sidepot1+uncalled,IF(T_init20344818895116123[[#This Row],[p]]=3,mainpot,IF(ISBLANK(T_init20344818895116123[[#This Row],[p]]),T_init20344818895116123[[#This Row],[stack]]-T_init20344818895116123[[#This Row],[anteblinds]],0)))</f>
        <v>115</v>
      </c>
      <c r="V18">
        <v>5.7500000000000002E-2</v>
      </c>
      <c r="W18" s="2">
        <f>T_p3p1233726849198119126[[#This Row],[EQ]]*prize</f>
        <v>1.6928000000000001</v>
      </c>
      <c r="X18" s="66">
        <f>IF(T_init20344818895116123[[#This Row],[p]]=1,T_p3p1233726849198119126[[#This Row],[players]]*T_p3p1233726849198119126[[#This Row],[stack]]/chips+COUNTIF(T_p3p1233726849198119126[stack],0),T_p3p1233726849198119126[[#This Row],[players]]*T_p3p1233726849198119126[[#This Row],[stack]]/chips)</f>
        <v>3.1724999999999999</v>
      </c>
      <c r="Y18" s="66">
        <f>T_p3p1233726849198119126[[#This Row],[ICM]]+bounty*T_p3p1233726849198119126[[#This Row],[KO]]</f>
        <v>1.6928000000000001</v>
      </c>
      <c r="AA18" s="5">
        <f>COUNTIF(T_p3p2243827859299120127[stack],"&gt;0")</f>
        <v>3</v>
      </c>
      <c r="AB18">
        <f>IF(T_init20344818895116123[[#This Row],[p]]=1,uncalled,IF(T_init20344818895116123[[#This Row],[p]]=2,sidepot1,IF(T_init20344818895116123[[#This Row],[p]]=3,mainpot,IF(ISBLANK(T_init20344818895116123[[#This Row],[p]]),T_init20344818895116123[[#This Row],[stack]]-T_init20344818895116123[[#This Row],[anteblinds]],0))))</f>
        <v>115</v>
      </c>
      <c r="AC18">
        <v>5.7500000000000002E-2</v>
      </c>
      <c r="AD18" s="2">
        <f>T_p3p2243827859299120127[[#This Row],[EQ]]*prize</f>
        <v>1.6928000000000001</v>
      </c>
      <c r="AE18" s="66">
        <f>IF(T_init20344818895116123[[#This Row],[p]]=2,T_p3p2243827859299120127[[#This Row],[players]]*T_p3p2243827859299120127[[#This Row],[stack]]/chips+COUNTIF(T_p3p2243827859299120127[stack],0),T_p3p2243827859299120127[[#This Row],[players]]*T_p3p2243827859299120127[[#This Row],[stack]]/chips)</f>
        <v>0.17249999999999999</v>
      </c>
      <c r="AF18" s="16">
        <f>T_p3p2243827859299120127[[#This Row],[ICM]]+bounty*T_p3p2243827859299120127[[#This Row],[KO]]</f>
        <v>1.6928000000000001</v>
      </c>
      <c r="AI18" s="73">
        <v>3</v>
      </c>
      <c r="AJ18">
        <f>IF(T_init20344818895116123[[#This Row],[p]]=1,uncalled,IF(T_init20344818895116123[[#This Row],[p]]=2,sidepot1,IF(T_init20344818895116123[[#This Row],[p]]=3,mainpot,IF(ISBLANK(T_init20344818895116123[[#This Row],[p]]),T_init20344818895116123[[#This Row],[stack]]-T_init20344818895116123[[#This Row],[anteblinds]],0))))</f>
        <v>115</v>
      </c>
      <c r="AK18">
        <v>5.7500000000000002E-2</v>
      </c>
      <c r="AL18" s="2">
        <f>T_fact2939288693100121128[[#This Row],[EQ]]*prize</f>
        <v>1.6928000000000001</v>
      </c>
      <c r="AM18" s="66">
        <f>IF(T_init20344818895116123[[#This Row],[p]]=1,T_fact2939288693100121128[[#This Row],[players]]*T_fact2939288693100121128[[#This Row],[stack]]/chips+COUNTIF(T_fact2939288693100121128[stack],0),T_fact2939288693100121128[[#This Row],[players]]*T_fact2939288693100121128[[#This Row],[stack]]/chips)</f>
        <v>3.1724999999999999</v>
      </c>
      <c r="AN18" s="16">
        <f>T_fact2939288693100121128[[#This Row],[ICM]]+bounty*T_fact2939288693100121128[[#This Row],[KO]]</f>
        <v>1.6928000000000001</v>
      </c>
      <c r="AQ18" s="68">
        <f>'3w 5h5c Ден'!p3win* ('3w 5h5c Ден'!p1sp1win*T_p3p1233726849198119126[[#This Row],[ICM]] + '3w 5h5c Ден'!p2sp1win*T_p3p2243827859299120127[[#This Row],[ICM]])
+'3w 5h5c Ден'!p2win*T_p2223625839097118125[[#This Row],[ICM]]
+'3w 5h5c Ден'!p1win*T_p1213519828996117124[[#This Row],[ICM]]</f>
        <v>9.9762003200000002</v>
      </c>
      <c r="AR18" s="68">
        <f>('3w 5h5c Ден'!p3win* ('3w 5h5c Ден'!p1sp1win*T_p3p1233726849198119126[[#This Row],[KO]] + '3w 5h5c Ден'!p2sp1win*T_p3p2243827859299120127[[#This Row],[KO]])
+'3w 5h5c Ден'!p2win*T_p2223625839097118125[[#This Row],[KO]]
+'3w 5h5c Ден'!p1win*T_p1213519828996117124[[#This Row],[KO]])*bounty</f>
        <v>0</v>
      </c>
      <c r="AS18" s="68">
        <f>'3w 5h5c Ден'!p3win* ('3w 5h5c Ден'!p1sp1win*T_p3p1233726849198119126[[#This Row],[$stack]] + '3w 5h5c Ден'!p2sp1win*T_p3p2243827859299120127[[#This Row],[$stack]])
+'3w 5h5c Ден'!p2win*T_p2223625839097118125[[#This Row],[$stack]]
+'3w 5h5c Ден'!p1win*T_p1213519828996117124[[#This Row],[$stack]]</f>
        <v>9.9762003200000002</v>
      </c>
      <c r="AT18" s="68">
        <f>'3w 5h5c Ден'!p3win* ('3w 5h5c Ден'!p1sp1win*T_p3p1233726849198119126[[#This Row],[stack]] + '3w 5h5c Ден'!p2sp1win*T_p3p2243827859299120127[[#This Row],[stack]])
+'3w 5h5c Ден'!p2win*T_p2223625839097118125[[#This Row],[stack]]
+'3w 5h5c Ден'!p1win*T_p1213519828996117124[[#This Row],[stack]]</f>
        <v>677.73099999999999</v>
      </c>
      <c r="AU18" s="2">
        <f>T_EV3340308794101122129[[#This Row],[chipEV]]-T_fact2939288693100121128[[#This Row],[stack]]</f>
        <v>562.73099999999999</v>
      </c>
      <c r="AV18" s="2">
        <f>T_EV3340308794101122129[[#This Row],[EV]]-(T_fact2939288693100121128[[#This Row],[ICM]]+bounty*T_fact2939288693100121128[[#This Row],[KO]])</f>
        <v>8.2834003200000001</v>
      </c>
    </row>
    <row r="19" spans="1:48" x14ac:dyDescent="0.25">
      <c r="B19">
        <v>385</v>
      </c>
      <c r="C19" s="26"/>
      <c r="D19">
        <v>35</v>
      </c>
      <c r="F19" s="5">
        <f>COUNTIF(T_p1213519828996117124[stack],"&gt;0")</f>
        <v>2</v>
      </c>
      <c r="G19">
        <f>IF(T_init20344818895116123[[#This Row],[p]]=1,mainpot+sidepot1+sidepot2+uncalled,IF(T_init20344818895116123[[#This Row],[p]]&gt;1,0,T_init20344818895116123[[#This Row],[stack]]-T_init20344818895116123[[#This Row],[anteblinds]]))</f>
        <v>350</v>
      </c>
      <c r="H19">
        <v>0.17499999999999999</v>
      </c>
      <c r="I19" s="2">
        <f>T_p1213519828996117124[[#This Row],[EQ]]*prize</f>
        <v>5.1520000000000001</v>
      </c>
      <c r="J19" s="66">
        <f>IF(T_init20344818895116123[[#This Row],[p]]=1,T_p1213519828996117124[[#This Row],[players]]*T_p1213519828996117124[[#This Row],[stack]]/chips+COUNTIF(T_p1213519828996117124[stack],0),T_p1213519828996117124[[#This Row],[players]]*T_p1213519828996117124[[#This Row],[stack]]/chips)</f>
        <v>0.35</v>
      </c>
      <c r="K19" s="66">
        <f>T_p1213519828996117124[[#This Row],[ICM]]+bounty*T_p1213519828996117124[[#This Row],[KO]]</f>
        <v>5.1520000000000001</v>
      </c>
      <c r="M19" s="10">
        <f>COUNTIF(T_p2223625839097118125[stack],"&gt;0")</f>
        <v>3</v>
      </c>
      <c r="N19" s="26">
        <f>IF(T_init20344818895116123[[#This Row],[p]]=1,uncalled,IF(T_init20344818895116123[[#This Row],[p]]=2,mainpot+sidepot1+sidepot2,IF(T_init20344818895116123[[#This Row],[p]]&gt;2,0,T_init20344818895116123[[#This Row],[stack]]-T_init20344818895116123[[#This Row],[anteblinds]])))</f>
        <v>350</v>
      </c>
      <c r="O19">
        <v>0.17499999999999999</v>
      </c>
      <c r="P19" s="2">
        <f>T_p2223625839097118125[[#This Row],[EQ]]*prize</f>
        <v>5.1520000000000001</v>
      </c>
      <c r="Q19" s="66">
        <f>IF(T_init20344818895116123[[#This Row],[p]]=2,T_p2223625839097118125[[#This Row],[players]]*T_p2223625839097118125[[#This Row],[stack]]/chips+COUNTIF(T_p2223625839097118125[stack],0),T_p2223625839097118125[[#This Row],[players]]*T_p2223625839097118125[[#This Row],[stack]]/chips)</f>
        <v>0.52500000000000002</v>
      </c>
      <c r="R19" s="66">
        <f>T_p2223625839097118125[[#This Row],[ICM]]+bounty*T_p2223625839097118125[[#This Row],[KO]]</f>
        <v>5.1520000000000001</v>
      </c>
      <c r="T19" s="5">
        <f>COUNTIF(T_p3p1233726849198119126[stack],"&gt;0")</f>
        <v>3</v>
      </c>
      <c r="U19" s="26">
        <f>IF(T_init20344818895116123[[#This Row],[p]]=1,sidepot1+uncalled,IF(T_init20344818895116123[[#This Row],[p]]=3,mainpot,IF(ISBLANK(T_init20344818895116123[[#This Row],[p]]),T_init20344818895116123[[#This Row],[stack]]-T_init20344818895116123[[#This Row],[anteblinds]],0)))</f>
        <v>350</v>
      </c>
      <c r="V19">
        <v>0.17499999999999999</v>
      </c>
      <c r="W19" s="2">
        <f>T_p3p1233726849198119126[[#This Row],[EQ]]*prize</f>
        <v>5.1520000000000001</v>
      </c>
      <c r="X19" s="66">
        <f>IF(T_init20344818895116123[[#This Row],[p]]=1,T_p3p1233726849198119126[[#This Row],[players]]*T_p3p1233726849198119126[[#This Row],[stack]]/chips+COUNTIF(T_p3p1233726849198119126[stack],0),T_p3p1233726849198119126[[#This Row],[players]]*T_p3p1233726849198119126[[#This Row],[stack]]/chips)</f>
        <v>0.52500000000000002</v>
      </c>
      <c r="Y19" s="66">
        <f>T_p3p1233726849198119126[[#This Row],[ICM]]+bounty*T_p3p1233726849198119126[[#This Row],[KO]]</f>
        <v>5.1520000000000001</v>
      </c>
      <c r="AA19" s="5">
        <f>COUNTIF(T_p3p2243827859299120127[stack],"&gt;0")</f>
        <v>3</v>
      </c>
      <c r="AB19">
        <f>IF(T_init20344818895116123[[#This Row],[p]]=1,uncalled,IF(T_init20344818895116123[[#This Row],[p]]=2,sidepot1,IF(T_init20344818895116123[[#This Row],[p]]=3,mainpot,IF(ISBLANK(T_init20344818895116123[[#This Row],[p]]),T_init20344818895116123[[#This Row],[stack]]-T_init20344818895116123[[#This Row],[anteblinds]],0))))</f>
        <v>350</v>
      </c>
      <c r="AC19">
        <v>0.17499999999999999</v>
      </c>
      <c r="AD19" s="2">
        <f>T_p3p2243827859299120127[[#This Row],[EQ]]*prize</f>
        <v>5.1520000000000001</v>
      </c>
      <c r="AE19" s="66">
        <f>IF(T_init20344818895116123[[#This Row],[p]]=2,T_p3p2243827859299120127[[#This Row],[players]]*T_p3p2243827859299120127[[#This Row],[stack]]/chips+COUNTIF(T_p3p2243827859299120127[stack],0),T_p3p2243827859299120127[[#This Row],[players]]*T_p3p2243827859299120127[[#This Row],[stack]]/chips)</f>
        <v>0.52500000000000002</v>
      </c>
      <c r="AF19" s="16">
        <f>T_p3p2243827859299120127[[#This Row],[ICM]]+bounty*T_p3p2243827859299120127[[#This Row],[KO]]</f>
        <v>5.1520000000000001</v>
      </c>
      <c r="AI19" s="73">
        <v>3</v>
      </c>
      <c r="AJ19">
        <f>IF(T_init20344818895116123[[#This Row],[p]]=1,uncalled,IF(T_init20344818895116123[[#This Row],[p]]=2,sidepot1,IF(T_init20344818895116123[[#This Row],[p]]=3,mainpot,IF(ISBLANK(T_init20344818895116123[[#This Row],[p]]),T_init20344818895116123[[#This Row],[stack]]-T_init20344818895116123[[#This Row],[anteblinds]],0))))</f>
        <v>350</v>
      </c>
      <c r="AK19">
        <v>0.17499999999999999</v>
      </c>
      <c r="AL19" s="2">
        <f>T_fact2939288693100121128[[#This Row],[EQ]]*prize</f>
        <v>5.1520000000000001</v>
      </c>
      <c r="AM19" s="66">
        <f>IF(T_init20344818895116123[[#This Row],[p]]=1,T_fact2939288693100121128[[#This Row],[players]]*T_fact2939288693100121128[[#This Row],[stack]]/chips+COUNTIF(T_fact2939288693100121128[stack],0),T_fact2939288693100121128[[#This Row],[players]]*T_fact2939288693100121128[[#This Row],[stack]]/chips)</f>
        <v>0.52500000000000002</v>
      </c>
      <c r="AN19" s="16">
        <f>T_fact2939288693100121128[[#This Row],[ICM]]+bounty*T_fact2939288693100121128[[#This Row],[KO]]</f>
        <v>5.1520000000000001</v>
      </c>
      <c r="AQ19" s="68">
        <f>'3w 5h5c Ден'!p3win* ('3w 5h5c Ден'!p1sp1win*T_p3p1233726849198119126[[#This Row],[ICM]] + '3w 5h5c Ден'!p2sp1win*T_p3p2243827859299120127[[#This Row],[ICM]])
+'3w 5h5c Ден'!p2win*T_p2223625839097118125[[#This Row],[ICM]]
+'3w 5h5c Ден'!p1win*T_p1213519828996117124[[#This Row],[ICM]]</f>
        <v>5.1520000000000001</v>
      </c>
      <c r="AR19" s="68">
        <f>('3w 5h5c Ден'!p3win* ('3w 5h5c Ден'!p1sp1win*T_p3p1233726849198119126[[#This Row],[KO]] + '3w 5h5c Ден'!p2sp1win*T_p3p2243827859299120127[[#This Row],[KO]])
+'3w 5h5c Ден'!p2win*T_p2223625839097118125[[#This Row],[KO]]
+'3w 5h5c Ден'!p1win*T_p1213519828996117124[[#This Row],[KO]])*bounty</f>
        <v>0</v>
      </c>
      <c r="AS19" s="68">
        <f>'3w 5h5c Ден'!p3win* ('3w 5h5c Ден'!p1sp1win*T_p3p1233726849198119126[[#This Row],[$stack]] + '3w 5h5c Ден'!p2sp1win*T_p3p2243827859299120127[[#This Row],[$stack]])
+'3w 5h5c Ден'!p2win*T_p2223625839097118125[[#This Row],[$stack]]
+'3w 5h5c Ден'!p1win*T_p1213519828996117124[[#This Row],[$stack]]</f>
        <v>5.1520000000000001</v>
      </c>
      <c r="AT19" s="68">
        <f>'3w 5h5c Ден'!p3win* ('3w 5h5c Ден'!p1sp1win*T_p3p1233726849198119126[[#This Row],[stack]] + '3w 5h5c Ден'!p2sp1win*T_p3p2243827859299120127[[#This Row],[stack]])
+'3w 5h5c Ден'!p2win*T_p2223625839097118125[[#This Row],[stack]]
+'3w 5h5c Ден'!p1win*T_p1213519828996117124[[#This Row],[stack]]</f>
        <v>350</v>
      </c>
      <c r="AU19" s="2">
        <f>T_EV3340308794101122129[[#This Row],[chipEV]]-T_fact2939288693100121128[[#This Row],[stack]]</f>
        <v>0</v>
      </c>
      <c r="AV19" s="2">
        <f>T_EV3340308794101122129[[#This Row],[EV]]-(T_fact2939288693100121128[[#This Row],[ICM]]+bounty*T_fact2939288693100121128[[#This Row],[KO]])</f>
        <v>0</v>
      </c>
    </row>
    <row r="20" spans="1:48" s="17" customFormat="1" x14ac:dyDescent="0.25">
      <c r="A20" s="17">
        <v>3</v>
      </c>
      <c r="B20" s="17">
        <v>500</v>
      </c>
      <c r="C20" s="17" t="s">
        <v>315</v>
      </c>
      <c r="D20" s="17">
        <v>60</v>
      </c>
      <c r="F20" s="83">
        <f>COUNTIF(T_p1213519828996117124[stack],"&gt;0")</f>
        <v>2</v>
      </c>
      <c r="G20" s="17">
        <f>IF(T_init20344818895116123[[#This Row],[p]]=1,mainpot+sidepot1+sidepot2+uncalled,IF(T_init20344818895116123[[#This Row],[p]]&gt;1,0,T_init20344818895116123[[#This Row],[stack]]-T_init20344818895116123[[#This Row],[anteblinds]]))</f>
        <v>0</v>
      </c>
      <c r="I20" s="18">
        <f>T_p1213519828996117124[[#This Row],[EQ]]*prize</f>
        <v>0</v>
      </c>
      <c r="J20" s="67">
        <f>IF(T_init20344818895116123[[#This Row],[p]]=1,T_p1213519828996117124[[#This Row],[players]]*T_p1213519828996117124[[#This Row],[stack]]/chips+COUNTIF(T_p1213519828996117124[stack],0),T_p1213519828996117124[[#This Row],[players]]*T_p1213519828996117124[[#This Row],[stack]]/chips)</f>
        <v>0</v>
      </c>
      <c r="K20" s="67">
        <f>T_p1213519828996117124[[#This Row],[ICM]]+bounty*T_p1213519828996117124[[#This Row],[KO]]</f>
        <v>0</v>
      </c>
      <c r="M20" s="19">
        <f>COUNTIF(T_p2223625839097118125[stack],"&gt;0")</f>
        <v>3</v>
      </c>
      <c r="N20" s="17">
        <f>IF(T_init20344818895116123[[#This Row],[p]]=1,uncalled,IF(T_init20344818895116123[[#This Row],[p]]=2,mainpot+sidepot1+sidepot2,IF(T_init20344818895116123[[#This Row],[p]]&gt;2,0,T_init20344818895116123[[#This Row],[stack]]-T_init20344818895116123[[#This Row],[anteblinds]])))</f>
        <v>0</v>
      </c>
      <c r="O20" s="17">
        <v>0</v>
      </c>
      <c r="P20" s="18">
        <f>T_p2223625839097118125[[#This Row],[EQ]]*prize</f>
        <v>0</v>
      </c>
      <c r="Q20" s="67">
        <f>IF(T_init20344818895116123[[#This Row],[p]]=2,T_p2223625839097118125[[#This Row],[players]]*T_p2223625839097118125[[#This Row],[stack]]/chips+COUNTIF(T_p2223625839097118125[stack],0),T_p2223625839097118125[[#This Row],[players]]*T_p2223625839097118125[[#This Row],[stack]]/chips)</f>
        <v>0</v>
      </c>
      <c r="R20" s="67">
        <f>T_p2223625839097118125[[#This Row],[ICM]]+bounty*T_p2223625839097118125[[#This Row],[KO]]</f>
        <v>0</v>
      </c>
      <c r="T20" s="83">
        <f>COUNTIF(T_p3p1233726849198119126[stack],"&gt;0")</f>
        <v>3</v>
      </c>
      <c r="U20" s="17">
        <f>IF(T_init20344818895116123[[#This Row],[p]]=1,sidepot1+uncalled,IF(T_init20344818895116123[[#This Row],[p]]=3,mainpot,IF(ISBLANK(T_init20344818895116123[[#This Row],[p]]),T_init20344818895116123[[#This Row],[stack]]-T_init20344818895116123[[#This Row],[anteblinds]],0)))</f>
        <v>1535</v>
      </c>
      <c r="V20" s="17">
        <v>0.76749999999999996</v>
      </c>
      <c r="W20" s="18">
        <f>T_p3p1233726849198119126[[#This Row],[EQ]]*prize</f>
        <v>22.595199999999998</v>
      </c>
      <c r="X20" s="67">
        <f>IF(T_init20344818895116123[[#This Row],[p]]=1,T_p3p1233726849198119126[[#This Row],[players]]*T_p3p1233726849198119126[[#This Row],[stack]]/chips+COUNTIF(T_p3p1233726849198119126[stack],0),T_p3p1233726849198119126[[#This Row],[players]]*T_p3p1233726849198119126[[#This Row],[stack]]/chips)</f>
        <v>2.3025000000000002</v>
      </c>
      <c r="Y20" s="67">
        <f>T_p3p1233726849198119126[[#This Row],[ICM]]+bounty*T_p3p1233726849198119126[[#This Row],[KO]]</f>
        <v>22.595199999999998</v>
      </c>
      <c r="AA20" s="83">
        <f>COUNTIF(T_p3p2243827859299120127[stack],"&gt;0")</f>
        <v>3</v>
      </c>
      <c r="AB20" s="17">
        <f>IF(T_init20344818895116123[[#This Row],[p]]=1,uncalled,IF(T_init20344818895116123[[#This Row],[p]]=2,sidepot1,IF(T_init20344818895116123[[#This Row],[p]]=3,mainpot,IF(ISBLANK(T_init20344818895116123[[#This Row],[p]]),T_init20344818895116123[[#This Row],[stack]]-T_init20344818895116123[[#This Row],[anteblinds]],0))))</f>
        <v>1535</v>
      </c>
      <c r="AC20" s="17">
        <v>0.76749999999999996</v>
      </c>
      <c r="AD20" s="18">
        <f>T_p3p2243827859299120127[[#This Row],[EQ]]*prize</f>
        <v>22.595199999999998</v>
      </c>
      <c r="AE20" s="67">
        <f>IF(T_init20344818895116123[[#This Row],[p]]=2,T_p3p2243827859299120127[[#This Row],[players]]*T_p3p2243827859299120127[[#This Row],[stack]]/chips+COUNTIF(T_p3p2243827859299120127[stack],0),T_p3p2243827859299120127[[#This Row],[players]]*T_p3p2243827859299120127[[#This Row],[stack]]/chips)</f>
        <v>2.3025000000000002</v>
      </c>
      <c r="AF20" s="24">
        <f>T_p3p2243827859299120127[[#This Row],[ICM]]+bounty*T_p3p2243827859299120127[[#This Row],[KO]]</f>
        <v>22.595199999999998</v>
      </c>
      <c r="AI20" s="83">
        <v>3</v>
      </c>
      <c r="AJ20" s="17">
        <f>IF(T_init20344818895116123[[#This Row],[p]]=1,uncalled,IF(T_init20344818895116123[[#This Row],[p]]=2,sidepot1,IF(T_init20344818895116123[[#This Row],[p]]=3,mainpot,IF(ISBLANK(T_init20344818895116123[[#This Row],[p]]),T_init20344818895116123[[#This Row],[stack]]-T_init20344818895116123[[#This Row],[anteblinds]],0))))</f>
        <v>1535</v>
      </c>
      <c r="AK20" s="17">
        <v>0.76749999999999996</v>
      </c>
      <c r="AL20" s="18">
        <f>T_fact2939288693100121128[[#This Row],[EQ]]*prize</f>
        <v>22.595199999999998</v>
      </c>
      <c r="AM20" s="67">
        <f>IF(T_init20344818895116123[[#This Row],[p]]=1,T_fact2939288693100121128[[#This Row],[players]]*T_fact2939288693100121128[[#This Row],[stack]]/chips+COUNTIF(T_fact2939288693100121128[stack],0),T_fact2939288693100121128[[#This Row],[players]]*T_fact2939288693100121128[[#This Row],[stack]]/chips)</f>
        <v>2.3025000000000002</v>
      </c>
      <c r="AN20" s="24">
        <f>T_fact2939288693100121128[[#This Row],[ICM]]+bounty*T_fact2939288693100121128[[#This Row],[KO]]</f>
        <v>22.595199999999998</v>
      </c>
      <c r="AQ20" s="69">
        <f>'3w 5h5c Ден'!p3win* ('3w 5h5c Ден'!p1sp1win*T_p3p1233726849198119126[[#This Row],[ICM]] + '3w 5h5c Ден'!p2sp1win*T_p3p2243827859299120127[[#This Row],[ICM]])
+'3w 5h5c Ден'!p2win*T_p2223625839097118125[[#This Row],[ICM]]
+'3w 5h5c Ден'!p1win*T_p1213519828996117124[[#This Row],[ICM]]</f>
        <v>12.531297919999998</v>
      </c>
      <c r="AR20" s="69">
        <f>('3w 5h5c Ден'!p3win* ('3w 5h5c Ден'!p1sp1win*T_p3p1233726849198119126[[#This Row],[KO]] + '3w 5h5c Ден'!p2sp1win*T_p3p2243827859299120127[[#This Row],[KO]])
+'3w 5h5c Ден'!p2win*T_p2223625839097118125[[#This Row],[KO]]
+'3w 5h5c Ден'!p1win*T_p1213519828996117124[[#This Row],[KO]])*bounty</f>
        <v>0</v>
      </c>
      <c r="AS20" s="69">
        <f>'3w 5h5c Ден'!p3win* ('3w 5h5c Ден'!p1sp1win*T_p3p1233726849198119126[[#This Row],[$stack]] + '3w 5h5c Ден'!p2sp1win*T_p3p2243827859299120127[[#This Row],[$stack]])
+'3w 5h5c Ден'!p2win*T_p2223625839097118125[[#This Row],[$stack]]
+'3w 5h5c Ден'!p1win*T_p1213519828996117124[[#This Row],[$stack]]</f>
        <v>12.531297919999998</v>
      </c>
      <c r="AT20" s="69">
        <f>'3w 5h5c Ден'!p3win* ('3w 5h5c Ден'!p1sp1win*T_p3p1233726849198119126[[#This Row],[stack]] + '3w 5h5c Ден'!p2sp1win*T_p3p2243827859299120127[[#This Row],[stack]])
+'3w 5h5c Ден'!p2win*T_p2223625839097118125[[#This Row],[stack]]
+'3w 5h5c Ден'!p1win*T_p1213519828996117124[[#This Row],[stack]]</f>
        <v>851.31099999999992</v>
      </c>
      <c r="AU20" s="18">
        <f>T_EV3340308794101122129[[#This Row],[chipEV]]-T_fact2939288693100121128[[#This Row],[stack]]</f>
        <v>-683.68900000000008</v>
      </c>
      <c r="AV20" s="18">
        <f>T_EV3340308794101122129[[#This Row],[EV]]-(T_fact2939288693100121128[[#This Row],[ICM]]+bounty*T_fact2939288693100121128[[#This Row],[KO]])</f>
        <v>-10.06390208</v>
      </c>
    </row>
    <row r="21" spans="1:48" x14ac:dyDescent="0.25">
      <c r="B21">
        <v>0</v>
      </c>
      <c r="F21" s="5">
        <f>COUNTIF(T_p1213519828996117124[stack],"&gt;0")</f>
        <v>2</v>
      </c>
      <c r="G21">
        <f>IF(T_init20344818895116123[[#This Row],[p]]=1,mainpot+sidepot1+sidepot2+uncalled,IF(T_init20344818895116123[[#This Row],[p]]&gt;1,0,T_init20344818895116123[[#This Row],[stack]]-T_init20344818895116123[[#This Row],[anteblinds]]))</f>
        <v>0</v>
      </c>
      <c r="I21" s="2">
        <f>T_p1213519828996117124[[#This Row],[EQ]]*prize</f>
        <v>0</v>
      </c>
      <c r="J21" s="66">
        <f>IF(T_init20344818895116123[[#This Row],[p]]=1,T_p1213519828996117124[[#This Row],[players]]*T_p1213519828996117124[[#This Row],[stack]]/chips+COUNTIF(T_p1213519828996117124[stack],0),T_p1213519828996117124[[#This Row],[players]]*T_p1213519828996117124[[#This Row],[stack]]/chips)</f>
        <v>0</v>
      </c>
      <c r="K21" s="66">
        <f>T_p1213519828996117124[[#This Row],[ICM]]+bounty*T_p1213519828996117124[[#This Row],[KO]]</f>
        <v>0</v>
      </c>
      <c r="M21" s="10">
        <f>COUNTIF(T_p2223625839097118125[stack],"&gt;0")</f>
        <v>3</v>
      </c>
      <c r="N21" s="26">
        <f>IF(T_init20344818895116123[[#This Row],[p]]=1,uncalled,IF(T_init20344818895116123[[#This Row],[p]]=2,mainpot+sidepot1+sidepot2,IF(T_init20344818895116123[[#This Row],[p]]&gt;2,0,T_init20344818895116123[[#This Row],[stack]]-T_init20344818895116123[[#This Row],[anteblinds]])))</f>
        <v>0</v>
      </c>
      <c r="O21">
        <v>0</v>
      </c>
      <c r="P21" s="2">
        <f>T_p2223625839097118125[[#This Row],[EQ]]*prize</f>
        <v>0</v>
      </c>
      <c r="Q21" s="66">
        <f>IF(T_init20344818895116123[[#This Row],[p]]=2,T_p2223625839097118125[[#This Row],[players]]*T_p2223625839097118125[[#This Row],[stack]]/chips+COUNTIF(T_p2223625839097118125[stack],0),T_p2223625839097118125[[#This Row],[players]]*T_p2223625839097118125[[#This Row],[stack]]/chips)</f>
        <v>0</v>
      </c>
      <c r="R21" s="66">
        <f>T_p2223625839097118125[[#This Row],[ICM]]+bounty*T_p2223625839097118125[[#This Row],[KO]]</f>
        <v>0</v>
      </c>
      <c r="T21" s="5">
        <f>COUNTIF(T_p3p1233726849198119126[stack],"&gt;0")</f>
        <v>3</v>
      </c>
      <c r="U21" s="26">
        <f>IF(T_init20344818895116123[[#This Row],[p]]=1,sidepot1+uncalled,IF(T_init20344818895116123[[#This Row],[p]]=3,mainpot,IF(ISBLANK(T_init20344818895116123[[#This Row],[p]]),T_init20344818895116123[[#This Row],[stack]]-T_init20344818895116123[[#This Row],[anteblinds]],0)))</f>
        <v>0</v>
      </c>
      <c r="V21">
        <v>0</v>
      </c>
      <c r="W21" s="2">
        <f>T_p3p1233726849198119126[[#This Row],[EQ]]*prize</f>
        <v>0</v>
      </c>
      <c r="X21" s="66">
        <f>IF(T_init20344818895116123[[#This Row],[p]]=1,T_p3p1233726849198119126[[#This Row],[players]]*T_p3p1233726849198119126[[#This Row],[stack]]/chips+COUNTIF(T_p3p1233726849198119126[stack],0),T_p3p1233726849198119126[[#This Row],[players]]*T_p3p1233726849198119126[[#This Row],[stack]]/chips)</f>
        <v>0</v>
      </c>
      <c r="Y21" s="66">
        <f>T_p3p1233726849198119126[[#This Row],[ICM]]+bounty*T_p3p1233726849198119126[[#This Row],[KO]]</f>
        <v>0</v>
      </c>
      <c r="AA21" s="5">
        <f>COUNTIF(T_p3p2243827859299120127[stack],"&gt;0")</f>
        <v>3</v>
      </c>
      <c r="AB21">
        <f>IF(T_init20344818895116123[[#This Row],[p]]=1,uncalled,IF(T_init20344818895116123[[#This Row],[p]]=2,sidepot1,IF(T_init20344818895116123[[#This Row],[p]]=3,mainpot,IF(ISBLANK(T_init20344818895116123[[#This Row],[p]]),T_init20344818895116123[[#This Row],[stack]]-T_init20344818895116123[[#This Row],[anteblinds]],0))))</f>
        <v>0</v>
      </c>
      <c r="AC21">
        <v>0</v>
      </c>
      <c r="AD21" s="2">
        <f>T_p3p2243827859299120127[[#This Row],[EQ]]*prize</f>
        <v>0</v>
      </c>
      <c r="AE21" s="66">
        <f>IF(T_init20344818895116123[[#This Row],[p]]=2,T_p3p2243827859299120127[[#This Row],[players]]*T_p3p2243827859299120127[[#This Row],[stack]]/chips+COUNTIF(T_p3p2243827859299120127[stack],0),T_p3p2243827859299120127[[#This Row],[players]]*T_p3p2243827859299120127[[#This Row],[stack]]/chips)</f>
        <v>0</v>
      </c>
      <c r="AF21" s="16">
        <f>T_p3p2243827859299120127[[#This Row],[ICM]]+bounty*T_p3p2243827859299120127[[#This Row],[KO]]</f>
        <v>0</v>
      </c>
      <c r="AI21" s="73">
        <v>2</v>
      </c>
      <c r="AJ21" s="26">
        <v>0</v>
      </c>
      <c r="AL21" s="2">
        <f>T_fact2939288693100121128[[#This Row],[EQ]]*prize</f>
        <v>0</v>
      </c>
      <c r="AM21" s="66">
        <f>IF(T_init20344818895116123[[#This Row],[p]]=1,T_fact2939288693100121128[[#This Row],[players]]*T_fact2939288693100121128[[#This Row],[stack]]/chips+COUNTIF(T_fact2939288693100121128[stack],0),T_fact2939288693100121128[[#This Row],[players]]*T_fact2939288693100121128[[#This Row],[stack]]/chips)</f>
        <v>0</v>
      </c>
      <c r="AN21" s="16">
        <f>T_fact2939288693100121128[[#This Row],[ICM]]+bounty*T_fact2939288693100121128[[#This Row],[KO]]</f>
        <v>0</v>
      </c>
      <c r="AQ21" s="68">
        <f>'3w 5h5c Ден'!p3win* ('3w 5h5c Ден'!p1sp1win*T_p3p1233726849198119126[[#This Row],[ICM]] + '3w 5h5c Ден'!p2sp1win*T_p3p2243827859299120127[[#This Row],[ICM]])
+'3w 5h5c Ден'!p2win*T_p2223625839097118125[[#This Row],[ICM]]
+'3w 5h5c Ден'!p1win*T_p1213519828996117124[[#This Row],[ICM]]</f>
        <v>0</v>
      </c>
      <c r="AR21" s="68">
        <f>('3w 5h5c Ден'!p3win* ('3w 5h5c Ден'!p1sp1win*T_p3p1233726849198119126[[#This Row],[KO]] + '3w 5h5c Ден'!p2sp1win*T_p3p2243827859299120127[[#This Row],[KO]])
+'3w 5h5c Ден'!p2win*T_p2223625839097118125[[#This Row],[KO]]
+'3w 5h5c Ден'!p1win*T_p1213519828996117124[[#This Row],[KO]])*bounty</f>
        <v>0</v>
      </c>
      <c r="AS21" s="68">
        <f>'3w 5h5c Ден'!p3win* ('3w 5h5c Ден'!p1sp1win*T_p3p1233726849198119126[[#This Row],[$stack]] + '3w 5h5c Ден'!p2sp1win*T_p3p2243827859299120127[[#This Row],[$stack]])
+'3w 5h5c Ден'!p2win*T_p2223625839097118125[[#This Row],[$stack]]
+'3w 5h5c Ден'!p1win*T_p1213519828996117124[[#This Row],[$stack]]</f>
        <v>0</v>
      </c>
      <c r="AT21" s="68">
        <f>'3w 5h5c Ден'!p3win* ('3w 5h5c Ден'!p1sp1win*T_p3p1233726849198119126[[#This Row],[stack]] + '3w 5h5c Ден'!p2sp1win*T_p3p2243827859299120127[[#This Row],[stack]])
+'3w 5h5c Ден'!p2win*T_p2223625839097118125[[#This Row],[stack]]
+'3w 5h5c Ден'!p1win*T_p1213519828996117124[[#This Row],[stack]]</f>
        <v>0</v>
      </c>
      <c r="AU21" s="2">
        <f>T_EV3340308794101122129[[#This Row],[chipEV]]-T_fact2939288693100121128[[#This Row],[stack]]</f>
        <v>0</v>
      </c>
      <c r="AV21" s="2">
        <f>T_EV3340308794101122129[[#This Row],[EV]]-(T_fact2939288693100121128[[#This Row],[ICM]]+bounty*T_fact2939288693100121128[[#This Row],[KO]])</f>
        <v>0</v>
      </c>
    </row>
    <row r="22" spans="1:48" x14ac:dyDescent="0.25">
      <c r="B22">
        <v>0</v>
      </c>
      <c r="F22" s="5">
        <f>COUNTIF(T_p1213519828996117124[stack],"&gt;0")</f>
        <v>2</v>
      </c>
      <c r="G22">
        <f>IF(T_init20344818895116123[[#This Row],[p]]=1,mainpot+sidepot1+sidepot2+uncalled,IF(T_init20344818895116123[[#This Row],[p]]&gt;1,0,T_init20344818895116123[[#This Row],[stack]]-T_init20344818895116123[[#This Row],[anteblinds]]))</f>
        <v>0</v>
      </c>
      <c r="I22" s="2">
        <f>T_p1213519828996117124[[#This Row],[EQ]]*prize</f>
        <v>0</v>
      </c>
      <c r="J22" s="66">
        <f>IF(T_init20344818895116123[[#This Row],[p]]=1,T_p1213519828996117124[[#This Row],[players]]*T_p1213519828996117124[[#This Row],[stack]]/chips+COUNTIF(T_p1213519828996117124[stack],0),T_p1213519828996117124[[#This Row],[players]]*T_p1213519828996117124[[#This Row],[stack]]/chips)</f>
        <v>0</v>
      </c>
      <c r="K22" s="66">
        <f>T_p1213519828996117124[[#This Row],[ICM]]+bounty*T_p1213519828996117124[[#This Row],[KO]]</f>
        <v>0</v>
      </c>
      <c r="M22" s="10">
        <f>COUNTIF(T_p2223625839097118125[stack],"&gt;0")</f>
        <v>3</v>
      </c>
      <c r="N22" s="26">
        <f>IF(T_init20344818895116123[[#This Row],[p]]=1,uncalled,IF(T_init20344818895116123[[#This Row],[p]]=2,mainpot+sidepot1+sidepot2,IF(T_init20344818895116123[[#This Row],[p]]&gt;2,0,T_init20344818895116123[[#This Row],[stack]]-T_init20344818895116123[[#This Row],[anteblinds]])))</f>
        <v>0</v>
      </c>
      <c r="P22" s="2">
        <f>T_p2223625839097118125[[#This Row],[EQ]]*prize</f>
        <v>0</v>
      </c>
      <c r="Q22" s="66">
        <f>IF(T_init20344818895116123[[#This Row],[p]]=2,T_p2223625839097118125[[#This Row],[players]]*T_p2223625839097118125[[#This Row],[stack]]/chips+COUNTIF(T_p2223625839097118125[stack],0),T_p2223625839097118125[[#This Row],[players]]*T_p2223625839097118125[[#This Row],[stack]]/chips)</f>
        <v>0</v>
      </c>
      <c r="R22" s="66">
        <f>T_p2223625839097118125[[#This Row],[ICM]]+bounty*T_p2223625839097118125[[#This Row],[KO]]</f>
        <v>0</v>
      </c>
      <c r="T22" s="5">
        <f>COUNTIF(T_p3p1233726849198119126[stack],"&gt;0")</f>
        <v>3</v>
      </c>
      <c r="U22" s="26">
        <f>IF(T_init20344818895116123[[#This Row],[p]]=1,sidepot1+uncalled,IF(T_init20344818895116123[[#This Row],[p]]=3,mainpot,IF(ISBLANK(T_init20344818895116123[[#This Row],[p]]),T_init20344818895116123[[#This Row],[stack]]-T_init20344818895116123[[#This Row],[anteblinds]],0)))</f>
        <v>0</v>
      </c>
      <c r="V22">
        <v>0</v>
      </c>
      <c r="W22" s="2">
        <f>T_p3p1233726849198119126[[#This Row],[EQ]]*prize</f>
        <v>0</v>
      </c>
      <c r="X22" s="66">
        <f>IF(T_init20344818895116123[[#This Row],[p]]=1,T_p3p1233726849198119126[[#This Row],[players]]*T_p3p1233726849198119126[[#This Row],[stack]]/chips+COUNTIF(T_p3p1233726849198119126[stack],0),T_p3p1233726849198119126[[#This Row],[players]]*T_p3p1233726849198119126[[#This Row],[stack]]/chips)</f>
        <v>0</v>
      </c>
      <c r="Y22" s="66">
        <f>T_p3p1233726849198119126[[#This Row],[ICM]]+bounty*T_p3p1233726849198119126[[#This Row],[KO]]</f>
        <v>0</v>
      </c>
      <c r="AA22" s="5">
        <f>COUNTIF(T_p3p2243827859299120127[stack],"&gt;0")</f>
        <v>3</v>
      </c>
      <c r="AB22">
        <f>IF(T_init20344818895116123[[#This Row],[p]]=1,uncalled,IF(T_init20344818895116123[[#This Row],[p]]=2,sidepot1,IF(T_init20344818895116123[[#This Row],[p]]=3,mainpot,IF(ISBLANK(T_init20344818895116123[[#This Row],[p]]),T_init20344818895116123[[#This Row],[stack]]-T_init20344818895116123[[#This Row],[anteblinds]],0))))</f>
        <v>0</v>
      </c>
      <c r="AC22">
        <v>0</v>
      </c>
      <c r="AD22" s="2">
        <f>T_p3p2243827859299120127[[#This Row],[EQ]]*prize</f>
        <v>0</v>
      </c>
      <c r="AE22" s="66">
        <f>IF(T_init20344818895116123[[#This Row],[p]]=2,T_p3p2243827859299120127[[#This Row],[players]]*T_p3p2243827859299120127[[#This Row],[stack]]/chips+COUNTIF(T_p3p2243827859299120127[stack],0),T_p3p2243827859299120127[[#This Row],[players]]*T_p3p2243827859299120127[[#This Row],[stack]]/chips)</f>
        <v>0</v>
      </c>
      <c r="AF22" s="16">
        <f>T_p3p2243827859299120127[[#This Row],[ICM]]+bounty*T_p3p2243827859299120127[[#This Row],[KO]]</f>
        <v>0</v>
      </c>
      <c r="AI22" s="73">
        <v>2</v>
      </c>
      <c r="AJ22" s="26">
        <v>0</v>
      </c>
      <c r="AL22" s="2">
        <f>T_fact2939288693100121128[[#This Row],[EQ]]*prize</f>
        <v>0</v>
      </c>
      <c r="AM22" s="66">
        <f>IF(T_init20344818895116123[[#This Row],[p]]=1,T_fact2939288693100121128[[#This Row],[players]]*T_fact2939288693100121128[[#This Row],[stack]]/chips+COUNTIF(T_fact2939288693100121128[stack],0),T_fact2939288693100121128[[#This Row],[players]]*T_fact2939288693100121128[[#This Row],[stack]]/chips)</f>
        <v>0</v>
      </c>
      <c r="AN22" s="16">
        <f>T_fact2939288693100121128[[#This Row],[ICM]]+bounty*T_fact2939288693100121128[[#This Row],[KO]]</f>
        <v>0</v>
      </c>
      <c r="AQ22" s="68">
        <f>'3w 5h5c Ден'!p3win* ('3w 5h5c Ден'!p1sp1win*T_p3p1233726849198119126[[#This Row],[ICM]] + '3w 5h5c Ден'!p2sp1win*T_p3p2243827859299120127[[#This Row],[ICM]])
+'3w 5h5c Ден'!p2win*T_p2223625839097118125[[#This Row],[ICM]]
+'3w 5h5c Ден'!p1win*T_p1213519828996117124[[#This Row],[ICM]]</f>
        <v>0</v>
      </c>
      <c r="AR22" s="68">
        <f>('3w 5h5c Ден'!p3win* ('3w 5h5c Ден'!p1sp1win*T_p3p1233726849198119126[[#This Row],[KO]] + '3w 5h5c Ден'!p2sp1win*T_p3p2243827859299120127[[#This Row],[KO]])
+'3w 5h5c Ден'!p2win*T_p2223625839097118125[[#This Row],[KO]]
+'3w 5h5c Ден'!p1win*T_p1213519828996117124[[#This Row],[KO]])*bounty</f>
        <v>0</v>
      </c>
      <c r="AS22" s="68">
        <f>'3w 5h5c Ден'!p3win* ('3w 5h5c Ден'!p1sp1win*T_p3p1233726849198119126[[#This Row],[$stack]] + '3w 5h5c Ден'!p2sp1win*T_p3p2243827859299120127[[#This Row],[$stack]])
+'3w 5h5c Ден'!p2win*T_p2223625839097118125[[#This Row],[$stack]]
+'3w 5h5c Ден'!p1win*T_p1213519828996117124[[#This Row],[$stack]]</f>
        <v>0</v>
      </c>
      <c r="AT22" s="68">
        <f>'3w 5h5c Ден'!p3win* ('3w 5h5c Ден'!p1sp1win*T_p3p1233726849198119126[[#This Row],[stack]] + '3w 5h5c Ден'!p2sp1win*T_p3p2243827859299120127[[#This Row],[stack]])
+'3w 5h5c Ден'!p2win*T_p2223625839097118125[[#This Row],[stack]]
+'3w 5h5c Ден'!p1win*T_p1213519828996117124[[#This Row],[stack]]</f>
        <v>0</v>
      </c>
      <c r="AU22" s="2">
        <f>T_EV3340308794101122129[[#This Row],[chipEV]]-T_fact2939288693100121128[[#This Row],[stack]]</f>
        <v>0</v>
      </c>
      <c r="AV22" s="2">
        <f>T_EV3340308794101122129[[#This Row],[EV]]-(T_fact2939288693100121128[[#This Row],[ICM]]+bounty*T_fact2939288693100121128[[#This Row],[KO]])</f>
        <v>0</v>
      </c>
    </row>
    <row r="23" spans="1:48" x14ac:dyDescent="0.25">
      <c r="A23" t="s">
        <v>95</v>
      </c>
      <c r="D23">
        <f>SUBTOTAL(109,T_init20344818895116123[anteblinds])</f>
        <v>115</v>
      </c>
      <c r="F23" s="53"/>
      <c r="G23" s="50">
        <f>SUM(T_p1213519828996117124[stack])</f>
        <v>2000</v>
      </c>
      <c r="H23" s="50">
        <f>SUM(T_p1213519828996117124[EQ])</f>
        <v>1</v>
      </c>
      <c r="I23" s="50">
        <f>SUM(T_p1213519828996117124[ICM])</f>
        <v>29.44</v>
      </c>
      <c r="J23" s="50">
        <f>SUM(T_p1213519828996117124[KO])</f>
        <v>6</v>
      </c>
      <c r="K23" s="50">
        <f>SUM(T_p1213519828996117124[$stack])</f>
        <v>29.44</v>
      </c>
      <c r="M23" s="53"/>
      <c r="N23" s="55">
        <f>SUM(T_p2223625839097118125[stack])</f>
        <v>2000</v>
      </c>
      <c r="O23" s="50">
        <f>SUM(T_p2223625839097118125[EQ])</f>
        <v>1</v>
      </c>
      <c r="P23" s="51">
        <f>SUM(T_p2223625839097118125[ICM])</f>
        <v>29.439999999999998</v>
      </c>
      <c r="Q23" s="52">
        <f>SUM(T_p2223625839097118125[KO])</f>
        <v>6.0000000000000009</v>
      </c>
      <c r="R23" s="50">
        <f>SUM(T_p2223625839097118125[$stack])</f>
        <v>29.439999999999998</v>
      </c>
      <c r="T23" s="53"/>
      <c r="U23" s="55">
        <f>SUM(T_p3p1233726849198119126[stack])</f>
        <v>2000</v>
      </c>
      <c r="V23" s="50">
        <f>SUM(T_p3p1233726849198119126[EQ])</f>
        <v>1</v>
      </c>
      <c r="W23" s="51">
        <f>SUM(T_p3p1233726849198119126[ICM])</f>
        <v>29.439999999999998</v>
      </c>
      <c r="X23" s="52">
        <f>SUM(T_p3p1233726849198119126[KO])</f>
        <v>6</v>
      </c>
      <c r="Y23" s="50">
        <f>SUM(T_p3p1233726849198119126[$stack])</f>
        <v>29.439999999999998</v>
      </c>
      <c r="AA23" s="53"/>
      <c r="AB23" s="55">
        <f>SUM(T_p3p2243827859299120127[stack])</f>
        <v>2000</v>
      </c>
      <c r="AC23" s="50">
        <f>SUM(T_p3p2243827859299120127[EQ])</f>
        <v>1</v>
      </c>
      <c r="AD23" s="51">
        <f>SUM(T_p3p2243827859299120127[ICM])</f>
        <v>29.439999999999998</v>
      </c>
      <c r="AE23" s="52">
        <f>SUM(T_p3p2243827859299120127[KO])</f>
        <v>6</v>
      </c>
      <c r="AF23" s="50">
        <f>SUM(T_p3p1233726849198119126[$stack])</f>
        <v>29.439999999999998</v>
      </c>
      <c r="AI23" s="53"/>
      <c r="AJ23" s="55">
        <f>SUM(T_fact2939288693100121128[stack])</f>
        <v>2000</v>
      </c>
      <c r="AK23" s="50">
        <f>SUM(T_fact2939288693100121128[EQ])</f>
        <v>1</v>
      </c>
      <c r="AL23" s="51">
        <f>SUM(T_fact2939288693100121128[ICM])</f>
        <v>29.439999999999998</v>
      </c>
      <c r="AM23" s="52">
        <f>SUM(T_fact2939288693100121128[KO])</f>
        <v>6</v>
      </c>
      <c r="AN23" s="51">
        <f>SUM(T_fact2939288693100121128[$stack])</f>
        <v>29.439999999999998</v>
      </c>
      <c r="AQ23" s="52">
        <f>SUM(T_EV3340308794101122129[ICM])</f>
        <v>29.439999999999998</v>
      </c>
      <c r="AR23" s="52">
        <f>SUM(T_EV3340308794101122129[KO])</f>
        <v>0</v>
      </c>
      <c r="AS23" s="52">
        <f>SUM(T_EV3340308794101122129[EV])</f>
        <v>29.439999999999998</v>
      </c>
      <c r="AT23" s="50">
        <f>SUM(T_EV3340308794101122129[chipEV])</f>
        <v>1999.9999999999998</v>
      </c>
    </row>
    <row r="25" spans="1:48" ht="18.75" x14ac:dyDescent="0.3">
      <c r="M25" s="79" t="s">
        <v>117</v>
      </c>
    </row>
    <row r="26" spans="1:48" x14ac:dyDescent="0.25">
      <c r="C26" t="s">
        <v>118</v>
      </c>
      <c r="M26" t="s">
        <v>316</v>
      </c>
    </row>
    <row r="27" spans="1:48" x14ac:dyDescent="0.25">
      <c r="C27" t="s">
        <v>120</v>
      </c>
      <c r="M27" t="s">
        <v>317</v>
      </c>
    </row>
    <row r="28" spans="1:48" x14ac:dyDescent="0.25">
      <c r="C28" t="s">
        <v>122</v>
      </c>
      <c r="M28" t="s">
        <v>318</v>
      </c>
    </row>
    <row r="29" spans="1:48" x14ac:dyDescent="0.25">
      <c r="M29" t="s">
        <v>319</v>
      </c>
    </row>
    <row r="30" spans="1:48" x14ac:dyDescent="0.25">
      <c r="M30" t="s">
        <v>287</v>
      </c>
    </row>
    <row r="31" spans="1:48" x14ac:dyDescent="0.25">
      <c r="C31" t="s">
        <v>126</v>
      </c>
      <c r="M31" t="s">
        <v>320</v>
      </c>
    </row>
    <row r="32" spans="1:48" x14ac:dyDescent="0.25">
      <c r="M32" t="s">
        <v>321</v>
      </c>
    </row>
    <row r="33" spans="2:13" x14ac:dyDescent="0.25">
      <c r="B33" t="s">
        <v>129</v>
      </c>
      <c r="M33" t="s">
        <v>322</v>
      </c>
    </row>
    <row r="34" spans="2:13" x14ac:dyDescent="0.25">
      <c r="B34" t="s">
        <v>131</v>
      </c>
      <c r="M34" t="s">
        <v>132</v>
      </c>
    </row>
    <row r="35" spans="2:13" x14ac:dyDescent="0.25">
      <c r="C35" t="s">
        <v>133</v>
      </c>
      <c r="M35" t="s">
        <v>323</v>
      </c>
    </row>
    <row r="36" spans="2:13" x14ac:dyDescent="0.25">
      <c r="D36" t="s">
        <v>135</v>
      </c>
      <c r="M36" t="s">
        <v>324</v>
      </c>
    </row>
    <row r="37" spans="2:13" x14ac:dyDescent="0.25">
      <c r="C37" t="s">
        <v>137</v>
      </c>
      <c r="M37" t="s">
        <v>138</v>
      </c>
    </row>
    <row r="38" spans="2:13" x14ac:dyDescent="0.25">
      <c r="D38" t="s">
        <v>135</v>
      </c>
      <c r="M38" t="s">
        <v>139</v>
      </c>
    </row>
    <row r="39" spans="2:13" x14ac:dyDescent="0.25">
      <c r="C39" t="s">
        <v>140</v>
      </c>
      <c r="M39" t="s">
        <v>325</v>
      </c>
    </row>
    <row r="40" spans="2:13" x14ac:dyDescent="0.25">
      <c r="D40" t="s">
        <v>142</v>
      </c>
      <c r="M40" t="s">
        <v>326</v>
      </c>
    </row>
    <row r="41" spans="2:13" x14ac:dyDescent="0.25">
      <c r="D41" t="s">
        <v>144</v>
      </c>
      <c r="E41" t="s">
        <v>145</v>
      </c>
      <c r="M41" t="s">
        <v>327</v>
      </c>
    </row>
    <row r="42" spans="2:13" x14ac:dyDescent="0.25">
      <c r="F42" t="s">
        <v>147</v>
      </c>
      <c r="M42" t="s">
        <v>328</v>
      </c>
    </row>
    <row r="43" spans="2:13" x14ac:dyDescent="0.25">
      <c r="E43" t="s">
        <v>149</v>
      </c>
      <c r="M43" t="s">
        <v>297</v>
      </c>
    </row>
    <row r="44" spans="2:13" x14ac:dyDescent="0.25">
      <c r="F44" t="s">
        <v>151</v>
      </c>
      <c r="M44" t="s">
        <v>329</v>
      </c>
    </row>
    <row r="45" spans="2:13" x14ac:dyDescent="0.25">
      <c r="M45" t="s">
        <v>330</v>
      </c>
    </row>
    <row r="46" spans="2:13" x14ac:dyDescent="0.25">
      <c r="C46" t="s">
        <v>154</v>
      </c>
      <c r="M46" t="s">
        <v>331</v>
      </c>
    </row>
    <row r="47" spans="2:13" x14ac:dyDescent="0.25">
      <c r="D47" t="s">
        <v>156</v>
      </c>
      <c r="M47" t="s">
        <v>332</v>
      </c>
    </row>
    <row r="48" spans="2:13" x14ac:dyDescent="0.25">
      <c r="D48" t="s">
        <v>158</v>
      </c>
      <c r="E48" t="s">
        <v>145</v>
      </c>
      <c r="M48" t="s">
        <v>166</v>
      </c>
    </row>
    <row r="49" spans="5:13" x14ac:dyDescent="0.25">
      <c r="F49" t="s">
        <v>160</v>
      </c>
      <c r="M49" t="s">
        <v>333</v>
      </c>
    </row>
    <row r="50" spans="5:13" x14ac:dyDescent="0.25">
      <c r="E50" t="s">
        <v>149</v>
      </c>
      <c r="M50" t="s">
        <v>334</v>
      </c>
    </row>
    <row r="51" spans="5:13" x14ac:dyDescent="0.25">
      <c r="F51" t="s">
        <v>163</v>
      </c>
      <c r="M51" t="s">
        <v>335</v>
      </c>
    </row>
    <row r="52" spans="5:13" x14ac:dyDescent="0.25">
      <c r="E52" t="s">
        <v>165</v>
      </c>
      <c r="M52" t="s">
        <v>336</v>
      </c>
    </row>
    <row r="53" spans="5:13" x14ac:dyDescent="0.25">
      <c r="F53" t="s">
        <v>167</v>
      </c>
      <c r="M53" t="s">
        <v>337</v>
      </c>
    </row>
    <row r="54" spans="5:13" x14ac:dyDescent="0.25">
      <c r="F54" t="s">
        <v>144</v>
      </c>
      <c r="M54" t="s">
        <v>173</v>
      </c>
    </row>
    <row r="55" spans="5:13" x14ac:dyDescent="0.25">
      <c r="G55" t="s">
        <v>145</v>
      </c>
      <c r="M55" t="s">
        <v>338</v>
      </c>
    </row>
    <row r="56" spans="5:13" x14ac:dyDescent="0.25">
      <c r="H56" t="s">
        <v>147</v>
      </c>
      <c r="M56" t="s">
        <v>339</v>
      </c>
    </row>
    <row r="57" spans="5:13" x14ac:dyDescent="0.25">
      <c r="G57" t="s">
        <v>149</v>
      </c>
      <c r="M57" t="s">
        <v>340</v>
      </c>
    </row>
    <row r="58" spans="5:13" x14ac:dyDescent="0.25">
      <c r="H58" t="s">
        <v>151</v>
      </c>
      <c r="M58" t="s">
        <v>341</v>
      </c>
    </row>
    <row r="59" spans="5:13" x14ac:dyDescent="0.25">
      <c r="M59" t="s">
        <v>342</v>
      </c>
    </row>
    <row r="60" spans="5:13" x14ac:dyDescent="0.25">
      <c r="M60" t="s">
        <v>343</v>
      </c>
    </row>
    <row r="62" spans="5:13" x14ac:dyDescent="0.25">
      <c r="M62" s="110" t="s">
        <v>546</v>
      </c>
    </row>
    <row r="63" spans="5:13" x14ac:dyDescent="0.25">
      <c r="M63" s="110" t="s">
        <v>521</v>
      </c>
    </row>
    <row r="64" spans="5:13" x14ac:dyDescent="0.25">
      <c r="M64" s="110" t="s">
        <v>547</v>
      </c>
    </row>
    <row r="65" spans="13:13" x14ac:dyDescent="0.25">
      <c r="M65" s="110" t="s">
        <v>548</v>
      </c>
    </row>
    <row r="66" spans="13:13" x14ac:dyDescent="0.25">
      <c r="M66" s="110" t="s">
        <v>549</v>
      </c>
    </row>
    <row r="67" spans="13:13" x14ac:dyDescent="0.25">
      <c r="M67" s="110" t="s">
        <v>550</v>
      </c>
    </row>
    <row r="68" spans="13:13" x14ac:dyDescent="0.25">
      <c r="M68" s="110" t="s">
        <v>545</v>
      </c>
    </row>
    <row r="69" spans="13:13" x14ac:dyDescent="0.25">
      <c r="M69" s="110" t="s">
        <v>527</v>
      </c>
    </row>
    <row r="70" spans="13:13" x14ac:dyDescent="0.25">
      <c r="M70" s="110" t="s">
        <v>528</v>
      </c>
    </row>
  </sheetData>
  <mergeCells count="11">
    <mergeCell ref="AQ15:AT15"/>
    <mergeCell ref="F10:F11"/>
    <mergeCell ref="T13:AE13"/>
    <mergeCell ref="AQ13:AT13"/>
    <mergeCell ref="T14:AE14"/>
    <mergeCell ref="AQ14:AT14"/>
    <mergeCell ref="F15:J15"/>
    <mergeCell ref="M15:Q15"/>
    <mergeCell ref="T15:X15"/>
    <mergeCell ref="AA15:AE15"/>
    <mergeCell ref="AI15:AM15"/>
  </mergeCells>
  <pageMargins left="0.7" right="0.7" top="0.75" bottom="0.75" header="0.3" footer="0.3"/>
  <pageSetup paperSize="9" orientation="portrait" horizontalDpi="4294967293" verticalDpi="0" r:id="rId1"/>
  <legacyDrawing r:id="rId2"/>
  <tableParts count="7">
    <tablePart r:id="rId3"/>
    <tablePart r:id="rId4"/>
    <tablePart r:id="rId5"/>
    <tablePart r:id="rId6"/>
    <tablePart r:id="rId7"/>
    <tablePart r:id="rId8"/>
    <tablePart r:id="rId9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D3532-388D-42C1-BA2A-30CAC1547513}">
  <dimension ref="A1:AV70"/>
  <sheetViews>
    <sheetView topLeftCell="A46" workbookViewId="0">
      <selection activeCell="R18" sqref="R18"/>
    </sheetView>
  </sheetViews>
  <sheetFormatPr defaultRowHeight="15" x14ac:dyDescent="0.25"/>
  <cols>
    <col min="1" max="1" width="9.28515625" customWidth="1"/>
    <col min="5" max="5" width="2.7109375" customWidth="1"/>
    <col min="6" max="6" width="10.28515625" customWidth="1"/>
    <col min="12" max="12" width="2.140625" customWidth="1"/>
    <col min="13" max="13" width="10.28515625" customWidth="1"/>
    <col min="19" max="19" width="2" customWidth="1"/>
    <col min="20" max="20" width="9.5703125" bestFit="1" customWidth="1"/>
    <col min="21" max="21" width="10.28515625" customWidth="1"/>
    <col min="26" max="26" width="2" customWidth="1"/>
    <col min="27" max="27" width="7.7109375" customWidth="1"/>
    <col min="28" max="29" width="8.5703125" customWidth="1"/>
    <col min="30" max="30" width="9.85546875" customWidth="1"/>
    <col min="31" max="31" width="8.42578125" customWidth="1"/>
    <col min="33" max="33" width="2.140625" customWidth="1"/>
    <col min="34" max="34" width="2" customWidth="1"/>
    <col min="35" max="35" width="10" customWidth="1"/>
    <col min="39" max="39" width="10.5703125" customWidth="1"/>
    <col min="41" max="41" width="1.5703125" customWidth="1"/>
    <col min="42" max="42" width="1.140625" customWidth="1"/>
    <col min="46" max="46" width="10.7109375" customWidth="1"/>
    <col min="47" max="47" width="10.85546875" customWidth="1"/>
  </cols>
  <sheetData>
    <row r="1" spans="1:48" ht="15.75" x14ac:dyDescent="0.25">
      <c r="C1" s="80" t="s">
        <v>0</v>
      </c>
      <c r="D1">
        <f>14.71*4</f>
        <v>58.84</v>
      </c>
      <c r="F1" s="80" t="s">
        <v>71</v>
      </c>
      <c r="G1">
        <v>0.27910000000000001</v>
      </c>
      <c r="I1" s="80" t="s">
        <v>72</v>
      </c>
      <c r="J1">
        <v>0.53639999999999999</v>
      </c>
      <c r="M1" s="80" t="s">
        <v>73</v>
      </c>
      <c r="N1">
        <v>590</v>
      </c>
    </row>
    <row r="2" spans="1:48" ht="15.75" x14ac:dyDescent="0.25">
      <c r="C2" s="80" t="s">
        <v>1</v>
      </c>
      <c r="D2">
        <f>bounty</f>
        <v>0</v>
      </c>
      <c r="F2" s="80" t="s">
        <v>74</v>
      </c>
      <c r="G2">
        <v>0.37959999999999999</v>
      </c>
      <c r="I2" s="80" t="s">
        <v>75</v>
      </c>
      <c r="J2">
        <v>0.46360000000000001</v>
      </c>
      <c r="M2" s="80" t="s">
        <v>76</v>
      </c>
      <c r="N2">
        <v>410</v>
      </c>
    </row>
    <row r="3" spans="1:48" ht="15.75" x14ac:dyDescent="0.25">
      <c r="C3" s="80" t="s">
        <v>77</v>
      </c>
      <c r="D3">
        <v>2000</v>
      </c>
      <c r="F3" s="80" t="s">
        <v>78</v>
      </c>
      <c r="G3">
        <v>0.34129999999999999</v>
      </c>
      <c r="M3" s="80" t="s">
        <v>79</v>
      </c>
      <c r="N3">
        <v>0</v>
      </c>
    </row>
    <row r="4" spans="1:48" ht="15.75" x14ac:dyDescent="0.25">
      <c r="F4" s="80" t="s">
        <v>80</v>
      </c>
      <c r="G4">
        <v>0</v>
      </c>
      <c r="M4" s="80" t="s">
        <v>81</v>
      </c>
      <c r="N4">
        <v>50</v>
      </c>
    </row>
    <row r="5" spans="1:48" ht="6" customHeight="1" x14ac:dyDescent="0.25"/>
    <row r="6" spans="1:48" x14ac:dyDescent="0.25">
      <c r="C6" t="s">
        <v>82</v>
      </c>
      <c r="D6" t="s">
        <v>83</v>
      </c>
    </row>
    <row r="7" spans="1:48" x14ac:dyDescent="0.25">
      <c r="C7" t="s">
        <v>84</v>
      </c>
      <c r="D7" t="s">
        <v>85</v>
      </c>
    </row>
    <row r="8" spans="1:48" x14ac:dyDescent="0.25">
      <c r="C8" t="s">
        <v>86</v>
      </c>
      <c r="D8" t="s">
        <v>87</v>
      </c>
    </row>
    <row r="9" spans="1:48" ht="6" customHeight="1" x14ac:dyDescent="0.25"/>
    <row r="10" spans="1:48" x14ac:dyDescent="0.25">
      <c r="F10" s="94" t="s">
        <v>88</v>
      </c>
      <c r="G10" s="81" t="s">
        <v>89</v>
      </c>
      <c r="H10" s="81" t="s">
        <v>90</v>
      </c>
      <c r="I10" s="81" t="s">
        <v>91</v>
      </c>
    </row>
    <row r="11" spans="1:48" ht="18.75" x14ac:dyDescent="0.3">
      <c r="F11" s="95"/>
      <c r="G11" s="81">
        <v>1</v>
      </c>
      <c r="H11" s="81">
        <v>0</v>
      </c>
      <c r="I11" s="82">
        <v>0</v>
      </c>
      <c r="J11" s="84"/>
      <c r="K11" s="84"/>
    </row>
    <row r="12" spans="1:48" ht="19.5" thickBot="1" x14ac:dyDescent="0.35">
      <c r="F12" s="84"/>
      <c r="G12" s="84"/>
      <c r="H12" s="84"/>
      <c r="I12" s="84"/>
      <c r="J12" s="84"/>
      <c r="K12" s="84"/>
      <c r="V12" t="s">
        <v>92</v>
      </c>
      <c r="AC12" t="s">
        <v>93</v>
      </c>
    </row>
    <row r="13" spans="1:48" ht="20.25" thickTop="1" thickBot="1" x14ac:dyDescent="0.35">
      <c r="F13" s="84"/>
      <c r="G13" s="84"/>
      <c r="H13" s="84"/>
      <c r="I13" s="84"/>
      <c r="J13" s="84"/>
      <c r="K13" s="84"/>
      <c r="T13" s="96" t="s">
        <v>94</v>
      </c>
      <c r="U13" s="97"/>
      <c r="V13" s="97"/>
      <c r="W13" s="97"/>
      <c r="X13" s="97"/>
      <c r="Y13" s="97"/>
      <c r="Z13" s="97"/>
      <c r="AA13" s="97"/>
      <c r="AB13" s="97"/>
      <c r="AC13" s="97"/>
      <c r="AD13" s="97"/>
      <c r="AE13" s="98"/>
      <c r="AQ13" s="96" t="s">
        <v>95</v>
      </c>
      <c r="AR13" s="97"/>
      <c r="AS13" s="97"/>
      <c r="AT13" s="97"/>
    </row>
    <row r="14" spans="1:48" ht="20.25" thickTop="1" thickBot="1" x14ac:dyDescent="0.35">
      <c r="F14" s="84"/>
      <c r="G14" s="84"/>
      <c r="H14" s="84" t="s">
        <v>96</v>
      </c>
      <c r="I14" s="84"/>
      <c r="J14" s="84"/>
      <c r="K14" s="84"/>
      <c r="O14" t="s">
        <v>97</v>
      </c>
      <c r="T14" s="96" t="s">
        <v>98</v>
      </c>
      <c r="U14" s="97"/>
      <c r="V14" s="97"/>
      <c r="W14" s="97"/>
      <c r="X14" s="97"/>
      <c r="Y14" s="97"/>
      <c r="Z14" s="97"/>
      <c r="AA14" s="97"/>
      <c r="AB14" s="97"/>
      <c r="AC14" s="97"/>
      <c r="AD14" s="97"/>
      <c r="AE14" s="98"/>
      <c r="AK14" t="s">
        <v>99</v>
      </c>
      <c r="AQ14" s="96"/>
      <c r="AR14" s="97"/>
      <c r="AS14" s="97"/>
      <c r="AT14" s="97"/>
    </row>
    <row r="15" spans="1:48" ht="19.5" thickTop="1" x14ac:dyDescent="0.3">
      <c r="F15" s="88" t="s">
        <v>100</v>
      </c>
      <c r="G15" s="89"/>
      <c r="H15" s="89"/>
      <c r="I15" s="89"/>
      <c r="J15" s="90"/>
      <c r="K15" s="84"/>
      <c r="M15" s="88" t="s">
        <v>101</v>
      </c>
      <c r="N15" s="89"/>
      <c r="O15" s="89"/>
      <c r="P15" s="89"/>
      <c r="Q15" s="90"/>
      <c r="R15" s="84"/>
      <c r="T15" s="99" t="s">
        <v>102</v>
      </c>
      <c r="U15" s="100"/>
      <c r="V15" s="100"/>
      <c r="W15" s="100"/>
      <c r="X15" s="101"/>
      <c r="Y15" s="84"/>
      <c r="AA15" s="99" t="s">
        <v>103</v>
      </c>
      <c r="AB15" s="100"/>
      <c r="AC15" s="100"/>
      <c r="AD15" s="100"/>
      <c r="AE15" s="101"/>
      <c r="AI15" s="85" t="s">
        <v>10</v>
      </c>
      <c r="AJ15" s="86"/>
      <c r="AK15" s="86"/>
      <c r="AL15" s="86"/>
      <c r="AM15" s="87"/>
      <c r="AQ15" s="91" t="s">
        <v>104</v>
      </c>
      <c r="AR15" s="92"/>
      <c r="AS15" s="92"/>
      <c r="AT15" s="93"/>
    </row>
    <row r="16" spans="1:48" x14ac:dyDescent="0.25">
      <c r="A16" t="s">
        <v>105</v>
      </c>
      <c r="B16" t="s">
        <v>12</v>
      </c>
      <c r="C16" t="s">
        <v>13</v>
      </c>
      <c r="D16" t="s">
        <v>106</v>
      </c>
      <c r="F16" s="5" t="s">
        <v>107</v>
      </c>
      <c r="G16" t="s">
        <v>12</v>
      </c>
      <c r="H16" t="s">
        <v>108</v>
      </c>
      <c r="I16" t="s">
        <v>109</v>
      </c>
      <c r="J16" s="5" t="s">
        <v>1</v>
      </c>
      <c r="K16" s="5" t="s">
        <v>110</v>
      </c>
      <c r="M16" s="5" t="s">
        <v>107</v>
      </c>
      <c r="N16" s="5" t="s">
        <v>12</v>
      </c>
      <c r="O16" s="5" t="s">
        <v>108</v>
      </c>
      <c r="P16" s="5" t="s">
        <v>109</v>
      </c>
      <c r="Q16" s="5" t="s">
        <v>1</v>
      </c>
      <c r="R16" s="5" t="s">
        <v>110</v>
      </c>
      <c r="T16" s="5" t="s">
        <v>107</v>
      </c>
      <c r="U16" s="5" t="s">
        <v>12</v>
      </c>
      <c r="V16" s="5" t="s">
        <v>108</v>
      </c>
      <c r="W16" s="5" t="s">
        <v>109</v>
      </c>
      <c r="X16" s="5" t="s">
        <v>1</v>
      </c>
      <c r="Y16" s="5" t="s">
        <v>110</v>
      </c>
      <c r="AA16" s="5" t="s">
        <v>107</v>
      </c>
      <c r="AB16" s="5" t="s">
        <v>12</v>
      </c>
      <c r="AC16" s="5" t="s">
        <v>108</v>
      </c>
      <c r="AD16" s="5" t="s">
        <v>109</v>
      </c>
      <c r="AE16" s="5" t="s">
        <v>1</v>
      </c>
      <c r="AF16" t="s">
        <v>110</v>
      </c>
      <c r="AI16" s="5" t="s">
        <v>107</v>
      </c>
      <c r="AJ16" s="5" t="s">
        <v>12</v>
      </c>
      <c r="AK16" s="5" t="s">
        <v>108</v>
      </c>
      <c r="AL16" s="5" t="s">
        <v>109</v>
      </c>
      <c r="AM16" s="5" t="s">
        <v>1</v>
      </c>
      <c r="AN16" t="s">
        <v>110</v>
      </c>
      <c r="AQ16" s="5" t="s">
        <v>109</v>
      </c>
      <c r="AR16" s="5" t="s">
        <v>1</v>
      </c>
      <c r="AS16" s="5" t="s">
        <v>104</v>
      </c>
      <c r="AT16" s="5" t="s">
        <v>111</v>
      </c>
      <c r="AU16" t="s">
        <v>112</v>
      </c>
      <c r="AV16" t="s">
        <v>113</v>
      </c>
    </row>
    <row r="17" spans="1:48" s="102" customFormat="1" x14ac:dyDescent="0.25">
      <c r="B17" s="102">
        <v>970</v>
      </c>
      <c r="C17" s="102" t="s">
        <v>46</v>
      </c>
      <c r="D17" s="102">
        <v>20</v>
      </c>
      <c r="F17" s="103">
        <f>COUNTIF(T_p1213519828996117124131138[stack],"&gt;0")</f>
        <v>2</v>
      </c>
      <c r="G17" s="102">
        <f>IF(T_init20344818895116123130137[[#This Row],[p]]=1,mainpot+sidepot1+sidepot2+uncalled,IF(T_init20344818895116123130137[[#This Row],[p]]&gt;1,0,T_init20344818895116123130137[[#This Row],[stack]]-T_init20344818895116123130137[[#This Row],[anteblinds]]))</f>
        <v>950</v>
      </c>
      <c r="H17" s="102">
        <v>0.47499999999999998</v>
      </c>
      <c r="I17" s="104">
        <f>T_p1213519828996117124131138[[#This Row],[EQ]]*prize</f>
        <v>27.949000000000002</v>
      </c>
      <c r="J17" s="105">
        <f>IF(T_init20344818895116123130137[[#This Row],[p]]=1,T_p1213519828996117124131138[[#This Row],[players]]*T_p1213519828996117124131138[[#This Row],[stack]]/chips+COUNTIF(T_p1213519828996117124131138[stack],0),T_p1213519828996117124131138[[#This Row],[players]]*T_p1213519828996117124131138[[#This Row],[stack]]/chips)</f>
        <v>0.95</v>
      </c>
      <c r="K17" s="105">
        <f>T_p1213519828996117124131138[[#This Row],[ICM]]+bounty*T_p1213519828996117124131138[[#This Row],[KO]]</f>
        <v>27.949000000000002</v>
      </c>
      <c r="M17" s="106">
        <f>COUNTIF(T_p2223625839097118125132139[stack],"&gt;0")</f>
        <v>3</v>
      </c>
      <c r="N17" s="102">
        <f>IF(T_init20344818895116123130137[[#This Row],[p]]=1,uncalled,IF(T_init20344818895116123130137[[#This Row],[p]]=2,mainpot+sidepot1+sidepot2,IF(T_init20344818895116123130137[[#This Row],[p]]&gt;2,0,T_init20344818895116123130137[[#This Row],[stack]]-T_init20344818895116123130137[[#This Row],[anteblinds]])))</f>
        <v>950</v>
      </c>
      <c r="O17" s="102">
        <v>0.47499999999999998</v>
      </c>
      <c r="P17" s="104">
        <f>T_p2223625839097118125132139[[#This Row],[EQ]]*prize</f>
        <v>27.949000000000002</v>
      </c>
      <c r="Q17" s="105">
        <f>IF(T_init20344818895116123130137[[#This Row],[p]]=2,T_p2223625839097118125132139[[#This Row],[players]]*T_p2223625839097118125132139[[#This Row],[stack]]/chips+COUNTIF(T_p2223625839097118125132139[stack],0),T_p2223625839097118125132139[[#This Row],[players]]*T_p2223625839097118125132139[[#This Row],[stack]]/chips)</f>
        <v>1.425</v>
      </c>
      <c r="R17" s="105">
        <f>T_p2223625839097118125132139[[#This Row],[ICM]]+bounty*T_p2223625839097118125132139[[#This Row],[KO]]</f>
        <v>27.949000000000002</v>
      </c>
      <c r="T17" s="103">
        <f>COUNTIF(T_p3p1233726849198119126133140[stack],"&gt;0")</f>
        <v>3</v>
      </c>
      <c r="U17" s="102">
        <f>IF(T_init20344818895116123130137[[#This Row],[p]]=1,sidepot1+uncalled,IF(T_init20344818895116123130137[[#This Row],[p]]=3,mainpot,IF(ISBLANK(T_init20344818895116123130137[[#This Row],[p]]),T_init20344818895116123130137[[#This Row],[stack]]-T_init20344818895116123130137[[#This Row],[anteblinds]],0)))</f>
        <v>950</v>
      </c>
      <c r="V17" s="102">
        <v>0.47499999999999998</v>
      </c>
      <c r="W17" s="104">
        <f>T_p3p1233726849198119126133140[[#This Row],[EQ]]*prize</f>
        <v>27.949000000000002</v>
      </c>
      <c r="X17" s="105">
        <f>IF(T_init20344818895116123130137[[#This Row],[p]]=1,T_p3p1233726849198119126133140[[#This Row],[players]]*T_p3p1233726849198119126133140[[#This Row],[stack]]/chips+COUNTIF(T_p3p1233726849198119126133140[stack],0),T_p3p1233726849198119126133140[[#This Row],[players]]*T_p3p1233726849198119126133140[[#This Row],[stack]]/chips)</f>
        <v>1.425</v>
      </c>
      <c r="Y17" s="105">
        <f>T_p3p1233726849198119126133140[[#This Row],[ICM]]+bounty*T_p3p1233726849198119126133140[[#This Row],[KO]]</f>
        <v>27.949000000000002</v>
      </c>
      <c r="AA17" s="103">
        <f>COUNTIF(T_p3p2243827859299120127134141[stack],"&gt;0")</f>
        <v>4</v>
      </c>
      <c r="AB17" s="102">
        <f>IF(T_init20344818895116123130137[[#This Row],[p]]=1,uncalled,IF(T_init20344818895116123130137[[#This Row],[p]]=2,sidepot1,IF(T_init20344818895116123130137[[#This Row],[p]]=3,mainpot,IF(ISBLANK(T_init20344818895116123130137[[#This Row],[p]]),T_init20344818895116123130137[[#This Row],[stack]]-T_init20344818895116123130137[[#This Row],[anteblinds]],0))))</f>
        <v>950</v>
      </c>
      <c r="AC17" s="102">
        <v>0.47499999999999998</v>
      </c>
      <c r="AD17" s="104">
        <f>T_p3p2243827859299120127134141[[#This Row],[EQ]]*prize</f>
        <v>27.949000000000002</v>
      </c>
      <c r="AE17" s="105">
        <f>IF(T_init20344818895116123130137[[#This Row],[p]]=2,T_p3p2243827859299120127134141[[#This Row],[players]]*T_p3p2243827859299120127134141[[#This Row],[stack]]/chips+COUNTIF(T_p3p2243827859299120127134141[stack],0),T_p3p2243827859299120127134141[[#This Row],[players]]*T_p3p2243827859299120127134141[[#This Row],[stack]]/chips)</f>
        <v>1.9</v>
      </c>
      <c r="AF17" s="105">
        <f>T_p3p2243827859299120127134141[[#This Row],[ICM]]+bounty*T_p3p2243827859299120127134141[[#This Row],[KO]]</f>
        <v>27.949000000000002</v>
      </c>
      <c r="AI17" s="103">
        <v>3</v>
      </c>
      <c r="AJ17" s="102">
        <f>IF(T_init20344818895116123130137[[#This Row],[p]]=1,sidepot1+uncalled,IF(T_init20344818895116123130137[[#This Row],[p]]=3,mainpot,IF(ISBLANK(T_init20344818895116123130137[[#This Row],[p]]),T_init20344818895116123130137[[#This Row],[stack]]-T_init20344818895116123130137[[#This Row],[anteblinds]],0)))</f>
        <v>950</v>
      </c>
      <c r="AK17" s="102">
        <v>0.47499999999999998</v>
      </c>
      <c r="AL17" s="104">
        <f>T_fact2939288693100121128135142[[#This Row],[EQ]]*prize</f>
        <v>27.949000000000002</v>
      </c>
      <c r="AM17" s="105">
        <f>IF(T_init20344818895116123130137[[#This Row],[p]]=1,T_fact2939288693100121128135142[[#This Row],[players]]*T_fact2939288693100121128135142[[#This Row],[stack]]/chips+COUNTIF(T_fact2939288693100121128135142[stack],0),T_fact2939288693100121128135142[[#This Row],[players]]*T_fact2939288693100121128135142[[#This Row],[stack]]/chips)</f>
        <v>1.425</v>
      </c>
      <c r="AN17" s="105">
        <f>T_fact2939288693100121128135142[[#This Row],[ICM]]+bounty*T_fact2939288693100121128135142[[#This Row],[KO]]</f>
        <v>27.949000000000002</v>
      </c>
      <c r="AQ17" s="107">
        <f>'3w Kc5c Ден'!p3win* ('3w Kc5c Ден'!p1sp1win*T_p3p1233726849198119126133140[[#This Row],[ICM]] + '3w Kc5c Ден'!p2sp1win*T_p3p2243827859299120127134141[[#This Row],[ICM]])
+'3w Kc5c Ден'!p2win*T_p2223625839097118125132139[[#This Row],[ICM]]
+'3w Kc5c Ден'!p1win*T_p1213519828996117124131138[[#This Row],[ICM]]</f>
        <v>27.949000000000005</v>
      </c>
      <c r="AR17" s="108">
        <f>('3w Kc5c Ден'!p3win* ('3w Kc5c Ден'!p1sp1win*T_p3p1233726849198119126133140[[#This Row],[KO]] + '3w Kc5c Ден'!p2sp1win*T_p3p2243827859299120127134141[[#This Row],[KO]])
+'3w Kc5c Ден'!p2win*T_p2223625839097118125132139[[#This Row],[KO]]
+'3w Kc5c Ден'!p1win*T_p1213519828996117124131138[[#This Row],[KO]])*bounty</f>
        <v>0</v>
      </c>
      <c r="AS17" s="107">
        <f>'3w Kc5c Ден'!p3win* ('3w Kc5c Ден'!p1sp1win*T_p3p1233726849198119126133140[[#This Row],[$stack]] + '3w Kc5c Ден'!p2sp1win*T_p3p2243827859299120127134141[[#This Row],[$stack]])
+'3w Kc5c Ден'!p2win*T_p2223625839097118125132139[[#This Row],[$stack]]
+'3w Kc5c Ден'!p1win*T_p1213519828996117124131138[[#This Row],[$stack]]</f>
        <v>27.949000000000005</v>
      </c>
      <c r="AT17" s="108">
        <f>'3w Kc5c Ден'!p3win* ('3w Kc5c Ден'!p1sp1win*T_p3p1233726849198119126133140[[#This Row],[stack]] + '3w Kc5c Ден'!p2sp1win*T_p3p2243827859299120127134141[[#This Row],[stack]])
+'3w Kc5c Ден'!p2win*T_p2223625839097118125132139[[#This Row],[stack]]
+'3w Kc5c Ден'!p1win*T_p1213519828996117124131138[[#This Row],[stack]]</f>
        <v>950</v>
      </c>
      <c r="AU17" s="104">
        <f>T_EV3340308794101122129136143[[#This Row],[chipEV]]-T_fact2939288693100121128135142[[#This Row],[stack]]</f>
        <v>0</v>
      </c>
      <c r="AV17" s="104">
        <f>T_EV3340308794101122129136143[[#This Row],[EV]]-(T_fact2939288693100121128135142[[#This Row],[ICM]]+bounty*T_fact2939288693100121128135142[[#This Row],[KO]])</f>
        <v>0</v>
      </c>
    </row>
    <row r="18" spans="1:48" x14ac:dyDescent="0.25">
      <c r="A18">
        <v>2</v>
      </c>
      <c r="B18">
        <v>395</v>
      </c>
      <c r="C18" t="s">
        <v>379</v>
      </c>
      <c r="D18">
        <v>20</v>
      </c>
      <c r="F18" s="5">
        <f>COUNTIF(T_p1213519828996117124131138[stack],"&gt;0")</f>
        <v>2</v>
      </c>
      <c r="G18">
        <f>IF(T_init20344818895116123130137[[#This Row],[p]]=1,mainpot+sidepot1+sidepot2+uncalled,IF(T_init20344818895116123130137[[#This Row],[p]]&gt;1,0,T_init20344818895116123130137[[#This Row],[stack]]-T_init20344818895116123130137[[#This Row],[anteblinds]]))</f>
        <v>0</v>
      </c>
      <c r="I18" s="2">
        <f>T_p1213519828996117124131138[[#This Row],[EQ]]*prize</f>
        <v>0</v>
      </c>
      <c r="J18" s="66">
        <f>IF(T_init20344818895116123130137[[#This Row],[p]]=1,T_p1213519828996117124131138[[#This Row],[players]]*T_p1213519828996117124131138[[#This Row],[stack]]/chips+COUNTIF(T_p1213519828996117124131138[stack],0),T_p1213519828996117124131138[[#This Row],[players]]*T_p1213519828996117124131138[[#This Row],[stack]]/chips)</f>
        <v>0</v>
      </c>
      <c r="K18" s="66">
        <f>T_p1213519828996117124131138[[#This Row],[ICM]]+bounty*T_p1213519828996117124131138[[#This Row],[KO]]</f>
        <v>0</v>
      </c>
      <c r="M18" s="10">
        <f>COUNTIF(T_p2223625839097118125132139[stack],"&gt;0")</f>
        <v>3</v>
      </c>
      <c r="N18" s="26">
        <f>IF(T_init20344818895116123130137[[#This Row],[p]]=1,uncalled,IF(T_init20344818895116123130137[[#This Row],[p]]=2,mainpot+sidepot1+sidepot2,IF(T_init20344818895116123130137[[#This Row],[p]]&gt;2,0,T_init20344818895116123130137[[#This Row],[stack]]-T_init20344818895116123130137[[#This Row],[anteblinds]])))</f>
        <v>1000</v>
      </c>
      <c r="O18">
        <v>0.5</v>
      </c>
      <c r="P18" s="2">
        <f>T_p2223625839097118125132139[[#This Row],[EQ]]*prize</f>
        <v>29.42</v>
      </c>
      <c r="Q18" s="66">
        <f>IF(T_init20344818895116123130137[[#This Row],[p]]=2,T_p2223625839097118125132139[[#This Row],[players]]*T_p2223625839097118125132139[[#This Row],[stack]]/chips+COUNTIF(T_p2223625839097118125132139[stack],0),T_p2223625839097118125132139[[#This Row],[players]]*T_p2223625839097118125132139[[#This Row],[stack]]/chips)</f>
        <v>4.5</v>
      </c>
      <c r="R18" s="66">
        <f>T_p2223625839097118125132139[[#This Row],[ICM]]+bounty*T_p2223625839097118125132139[[#This Row],[KO]]</f>
        <v>29.42</v>
      </c>
      <c r="T18" s="5">
        <f>COUNTIF(T_p3p1233726849198119126133140[stack],"&gt;0")</f>
        <v>3</v>
      </c>
      <c r="U18" s="26">
        <f>IF(T_init20344818895116123130137[[#This Row],[p]]=1,sidepot1+uncalled,IF(T_init20344818895116123130137[[#This Row],[p]]=3,mainpot,IF(ISBLANK(T_init20344818895116123130137[[#This Row],[p]]),T_init20344818895116123130137[[#This Row],[stack]]-T_init20344818895116123130137[[#This Row],[anteblinds]],0)))</f>
        <v>0</v>
      </c>
      <c r="W18" s="2">
        <f>T_p3p1233726849198119126133140[[#This Row],[EQ]]*prize</f>
        <v>0</v>
      </c>
      <c r="X18" s="66">
        <f>IF(T_init20344818895116123130137[[#This Row],[p]]=1,T_p3p1233726849198119126133140[[#This Row],[players]]*T_p3p1233726849198119126133140[[#This Row],[stack]]/chips+COUNTIF(T_p3p1233726849198119126133140[stack],0),T_p3p1233726849198119126133140[[#This Row],[players]]*T_p3p1233726849198119126133140[[#This Row],[stack]]/chips)</f>
        <v>0</v>
      </c>
      <c r="Y18" s="66">
        <f>T_p3p1233726849198119126133140[[#This Row],[ICM]]+bounty*T_p3p1233726849198119126133140[[#This Row],[KO]]</f>
        <v>0</v>
      </c>
      <c r="AA18" s="5">
        <f>COUNTIF(T_p3p2243827859299120127134141[stack],"&gt;0")</f>
        <v>4</v>
      </c>
      <c r="AB18">
        <f>IF(T_init20344818895116123130137[[#This Row],[p]]=1,uncalled,IF(T_init20344818895116123130137[[#This Row],[p]]=2,sidepot1,IF(T_init20344818895116123130137[[#This Row],[p]]=3,mainpot,IF(ISBLANK(T_init20344818895116123130137[[#This Row],[p]]),T_init20344818895116123130137[[#This Row],[stack]]-T_init20344818895116123130137[[#This Row],[anteblinds]],0))))</f>
        <v>410</v>
      </c>
      <c r="AC18">
        <v>0.20499999999999999</v>
      </c>
      <c r="AD18" s="2">
        <f>T_p3p2243827859299120127134141[[#This Row],[EQ]]*prize</f>
        <v>12.062200000000001</v>
      </c>
      <c r="AE18" s="66">
        <f>IF(T_init20344818895116123130137[[#This Row],[p]]=2,T_p3p2243827859299120127134141[[#This Row],[players]]*T_p3p2243827859299120127134141[[#This Row],[stack]]/chips+COUNTIF(T_p3p2243827859299120127134141[stack],0),T_p3p2243827859299120127134141[[#This Row],[players]]*T_p3p2243827859299120127134141[[#This Row],[stack]]/chips)</f>
        <v>2.82</v>
      </c>
      <c r="AF18" s="16">
        <f>T_p3p2243827859299120127134141[[#This Row],[ICM]]+bounty*T_p3p2243827859299120127134141[[#This Row],[KO]]</f>
        <v>12.062200000000001</v>
      </c>
      <c r="AI18" s="73">
        <v>3</v>
      </c>
      <c r="AJ18" s="26">
        <f>IF(T_init20344818895116123130137[[#This Row],[p]]=1,sidepot1+uncalled,IF(T_init20344818895116123130137[[#This Row],[p]]=3,mainpot,IF(ISBLANK(T_init20344818895116123130137[[#This Row],[p]]),T_init20344818895116123130137[[#This Row],[stack]]-T_init20344818895116123130137[[#This Row],[anteblinds]],0)))</f>
        <v>0</v>
      </c>
      <c r="AL18" s="2">
        <f>T_fact2939288693100121128135142[[#This Row],[EQ]]*prize</f>
        <v>0</v>
      </c>
      <c r="AM18" s="66">
        <f>IF(T_init20344818895116123130137[[#This Row],[p]]=1,T_fact2939288693100121128135142[[#This Row],[players]]*T_fact2939288693100121128135142[[#This Row],[stack]]/chips+COUNTIF(T_fact2939288693100121128135142[stack],0),T_fact2939288693100121128135142[[#This Row],[players]]*T_fact2939288693100121128135142[[#This Row],[stack]]/chips)</f>
        <v>0</v>
      </c>
      <c r="AN18" s="16">
        <f>T_fact2939288693100121128135142[[#This Row],[ICM]]+bounty*T_fact2939288693100121128135142[[#This Row],[KO]]</f>
        <v>0</v>
      </c>
      <c r="AQ18" s="68">
        <f>'3w Kc5c Ден'!p3win* ('3w Kc5c Ден'!p1sp1win*T_p3p1233726849198119126133140[[#This Row],[ICM]] + '3w Kc5c Ден'!p2sp1win*T_p3p2243827859299120127134141[[#This Row],[ICM]])
+'3w Kc5c Ден'!p2win*T_p2223625839097118125132139[[#This Row],[ICM]]
+'3w Kc5c Ден'!p1win*T_p1213519828996117124131138[[#This Row],[ICM]]</f>
        <v>13.076393859496001</v>
      </c>
      <c r="AR18" s="68">
        <f>('3w Kc5c Ден'!p3win* ('3w Kc5c Ден'!p1sp1win*T_p3p1233726849198119126133140[[#This Row],[KO]] + '3w Kc5c Ден'!p2sp1win*T_p3p2243827859299120127134141[[#This Row],[KO]])
+'3w Kc5c Ден'!p2win*T_p2223625839097118125132139[[#This Row],[KO]]
+'3w Kc5c Ден'!p1win*T_p1213519828996117124131138[[#This Row],[KO]])*bounty</f>
        <v>0</v>
      </c>
      <c r="AS18" s="68">
        <f>'3w Kc5c Ден'!p3win* ('3w Kc5c Ден'!p1sp1win*T_p3p1233726849198119126133140[[#This Row],[$stack]] + '3w Kc5c Ден'!p2sp1win*T_p3p2243827859299120127134141[[#This Row],[$stack]])
+'3w Kc5c Ден'!p2win*T_p2223625839097118125132139[[#This Row],[$stack]]
+'3w Kc5c Ден'!p1win*T_p1213519828996117124131138[[#This Row],[$stack]]</f>
        <v>13.076393859496001</v>
      </c>
      <c r="AT18" s="68">
        <f>'3w Kc5c Ден'!p3win* ('3w Kc5c Ден'!p1sp1win*T_p3p1233726849198119126133140[[#This Row],[stack]] + '3w Kc5c Ден'!p2sp1win*T_p3p2243827859299120127134141[[#This Row],[stack]])
+'3w Kc5c Ден'!p2win*T_p2223625839097118125132139[[#This Row],[stack]]
+'3w Kc5c Ден'!p1win*T_p1213519828996117124131138[[#This Row],[stack]]</f>
        <v>444.47293879999995</v>
      </c>
      <c r="AU18" s="2">
        <f>T_EV3340308794101122129136143[[#This Row],[chipEV]]-T_fact2939288693100121128135142[[#This Row],[stack]]</f>
        <v>444.47293879999995</v>
      </c>
      <c r="AV18" s="2">
        <f>T_EV3340308794101122129136143[[#This Row],[EV]]-(T_fact2939288693100121128135142[[#This Row],[ICM]]+bounty*T_fact2939288693100121128135142[[#This Row],[KO]])</f>
        <v>13.076393859496001</v>
      </c>
    </row>
    <row r="19" spans="1:48" x14ac:dyDescent="0.25">
      <c r="A19">
        <v>3</v>
      </c>
      <c r="B19">
        <v>190</v>
      </c>
      <c r="C19" s="26" t="s">
        <v>380</v>
      </c>
      <c r="D19">
        <v>70</v>
      </c>
      <c r="F19" s="5">
        <f>COUNTIF(T_p1213519828996117124131138[stack],"&gt;0")</f>
        <v>2</v>
      </c>
      <c r="G19">
        <f>IF(T_init20344818895116123130137[[#This Row],[p]]=1,mainpot+sidepot1+sidepot2+uncalled,IF(T_init20344818895116123130137[[#This Row],[p]]&gt;1,0,T_init20344818895116123130137[[#This Row],[stack]]-T_init20344818895116123130137[[#This Row],[anteblinds]]))</f>
        <v>0</v>
      </c>
      <c r="I19" s="2">
        <f>T_p1213519828996117124131138[[#This Row],[EQ]]*prize</f>
        <v>0</v>
      </c>
      <c r="J19" s="66">
        <f>IF(T_init20344818895116123130137[[#This Row],[p]]=1,T_p1213519828996117124131138[[#This Row],[players]]*T_p1213519828996117124131138[[#This Row],[stack]]/chips+COUNTIF(T_p1213519828996117124131138[stack],0),T_p1213519828996117124131138[[#This Row],[players]]*T_p1213519828996117124131138[[#This Row],[stack]]/chips)</f>
        <v>0</v>
      </c>
      <c r="K19" s="66">
        <f>T_p1213519828996117124131138[[#This Row],[ICM]]+bounty*T_p1213519828996117124131138[[#This Row],[KO]]</f>
        <v>0</v>
      </c>
      <c r="M19" s="10">
        <f>COUNTIF(T_p2223625839097118125132139[stack],"&gt;0")</f>
        <v>3</v>
      </c>
      <c r="N19" s="26">
        <f>IF(T_init20344818895116123130137[[#This Row],[p]]=1,uncalled,IF(T_init20344818895116123130137[[#This Row],[p]]=2,mainpot+sidepot1+sidepot2,IF(T_init20344818895116123130137[[#This Row],[p]]&gt;2,0,T_init20344818895116123130137[[#This Row],[stack]]-T_init20344818895116123130137[[#This Row],[anteblinds]])))</f>
        <v>0</v>
      </c>
      <c r="P19" s="2">
        <f>T_p2223625839097118125132139[[#This Row],[EQ]]*prize</f>
        <v>0</v>
      </c>
      <c r="Q19" s="66">
        <f>IF(T_init20344818895116123130137[[#This Row],[p]]=2,T_p2223625839097118125132139[[#This Row],[players]]*T_p2223625839097118125132139[[#This Row],[stack]]/chips+COUNTIF(T_p2223625839097118125132139[stack],0),T_p2223625839097118125132139[[#This Row],[players]]*T_p2223625839097118125132139[[#This Row],[stack]]/chips)</f>
        <v>0</v>
      </c>
      <c r="R19" s="66">
        <f>T_p2223625839097118125132139[[#This Row],[ICM]]+bounty*T_p2223625839097118125132139[[#This Row],[KO]]</f>
        <v>0</v>
      </c>
      <c r="T19" s="5">
        <f>COUNTIF(T_p3p1233726849198119126133140[stack],"&gt;0")</f>
        <v>3</v>
      </c>
      <c r="U19" s="26">
        <f>IF(T_init20344818895116123130137[[#This Row],[p]]=1,sidepot1+uncalled,IF(T_init20344818895116123130137[[#This Row],[p]]=3,mainpot,IF(ISBLANK(T_init20344818895116123130137[[#This Row],[p]]),T_init20344818895116123130137[[#This Row],[stack]]-T_init20344818895116123130137[[#This Row],[anteblinds]],0)))</f>
        <v>590</v>
      </c>
      <c r="V19">
        <v>0.29499999999999998</v>
      </c>
      <c r="W19" s="2">
        <f>T_p3p1233726849198119126133140[[#This Row],[EQ]]*prize</f>
        <v>17.357800000000001</v>
      </c>
      <c r="X19" s="66">
        <f>IF(T_init20344818895116123130137[[#This Row],[p]]=1,T_p3p1233726849198119126133140[[#This Row],[players]]*T_p3p1233726849198119126133140[[#This Row],[stack]]/chips+COUNTIF(T_p3p1233726849198119126133140[stack],0),T_p3p1233726849198119126133140[[#This Row],[players]]*T_p3p1233726849198119126133140[[#This Row],[stack]]/chips)</f>
        <v>0.88500000000000001</v>
      </c>
      <c r="Y19" s="66">
        <f>T_p3p1233726849198119126133140[[#This Row],[ICM]]+bounty*T_p3p1233726849198119126133140[[#This Row],[KO]]</f>
        <v>17.357800000000001</v>
      </c>
      <c r="AA19" s="5">
        <f>COUNTIF(T_p3p2243827859299120127134141[stack],"&gt;0")</f>
        <v>4</v>
      </c>
      <c r="AB19">
        <f>IF(T_init20344818895116123130137[[#This Row],[p]]=1,uncalled,IF(T_init20344818895116123130137[[#This Row],[p]]=2,sidepot1,IF(T_init20344818895116123130137[[#This Row],[p]]=3,mainpot,IF(ISBLANK(T_init20344818895116123130137[[#This Row],[p]]),T_init20344818895116123130137[[#This Row],[stack]]-T_init20344818895116123130137[[#This Row],[anteblinds]],0))))</f>
        <v>590</v>
      </c>
      <c r="AC19">
        <v>0.29499999999999998</v>
      </c>
      <c r="AD19" s="2">
        <f>T_p3p2243827859299120127134141[[#This Row],[EQ]]*prize</f>
        <v>17.357800000000001</v>
      </c>
      <c r="AE19" s="66">
        <f>IF(T_init20344818895116123130137[[#This Row],[p]]=2,T_p3p2243827859299120127134141[[#This Row],[players]]*T_p3p2243827859299120127134141[[#This Row],[stack]]/chips+COUNTIF(T_p3p2243827859299120127134141[stack],0),T_p3p2243827859299120127134141[[#This Row],[players]]*T_p3p2243827859299120127134141[[#This Row],[stack]]/chips)</f>
        <v>1.18</v>
      </c>
      <c r="AF19" s="16">
        <f>T_p3p2243827859299120127134141[[#This Row],[ICM]]+bounty*T_p3p2243827859299120127134141[[#This Row],[KO]]</f>
        <v>17.357800000000001</v>
      </c>
      <c r="AI19" s="73">
        <v>3</v>
      </c>
      <c r="AJ19" s="26">
        <f>IF(T_init20344818895116123130137[[#This Row],[p]]=1,sidepot1+uncalled,IF(T_init20344818895116123130137[[#This Row],[p]]=3,mainpot,IF(ISBLANK(T_init20344818895116123130137[[#This Row],[p]]),T_init20344818895116123130137[[#This Row],[stack]]-T_init20344818895116123130137[[#This Row],[anteblinds]],0)))</f>
        <v>590</v>
      </c>
      <c r="AK19">
        <v>0.29499999999999998</v>
      </c>
      <c r="AL19" s="2">
        <f>T_fact2939288693100121128135142[[#This Row],[EQ]]*prize</f>
        <v>17.357800000000001</v>
      </c>
      <c r="AM19" s="66">
        <f>IF(T_init20344818895116123130137[[#This Row],[p]]=1,T_fact2939288693100121128135142[[#This Row],[players]]*T_fact2939288693100121128135142[[#This Row],[stack]]/chips+COUNTIF(T_fact2939288693100121128135142[stack],0),T_fact2939288693100121128135142[[#This Row],[players]]*T_fact2939288693100121128135142[[#This Row],[stack]]/chips)</f>
        <v>0.88500000000000001</v>
      </c>
      <c r="AN19" s="16">
        <f>T_fact2939288693100121128135142[[#This Row],[ICM]]+bounty*T_fact2939288693100121128135142[[#This Row],[KO]]</f>
        <v>17.357800000000001</v>
      </c>
      <c r="AQ19" s="68">
        <f>'3w Kc5c Ден'!p3win* ('3w Kc5c Ден'!p1sp1win*T_p3p1233726849198119126133140[[#This Row],[ICM]] + '3w Kc5c Ден'!p2sp1win*T_p3p2243827859299120127134141[[#This Row],[ICM]])
+'3w Kc5c Ден'!p2win*T_p2223625839097118125132139[[#This Row],[ICM]]
+'3w Kc5c Ден'!p1win*T_p1213519828996117124131138[[#This Row],[ICM]]</f>
        <v>5.9242171400000005</v>
      </c>
      <c r="AR19" s="68">
        <f>('3w Kc5c Ден'!p3win* ('3w Kc5c Ден'!p1sp1win*T_p3p1233726849198119126133140[[#This Row],[KO]] + '3w Kc5c Ден'!p2sp1win*T_p3p2243827859299120127134141[[#This Row],[KO]])
+'3w Kc5c Ден'!p2win*T_p2223625839097118125132139[[#This Row],[KO]]
+'3w Kc5c Ден'!p1win*T_p1213519828996117124131138[[#This Row],[KO]])*bounty</f>
        <v>0</v>
      </c>
      <c r="AS19" s="68">
        <f>'3w Kc5c Ден'!p3win* ('3w Kc5c Ден'!p1sp1win*T_p3p1233726849198119126133140[[#This Row],[$stack]] + '3w Kc5c Ден'!p2sp1win*T_p3p2243827859299120127134141[[#This Row],[$stack]])
+'3w Kc5c Ден'!p2win*T_p2223625839097118125132139[[#This Row],[$stack]]
+'3w Kc5c Ден'!p1win*T_p1213519828996117124131138[[#This Row],[$stack]]</f>
        <v>5.9242171400000005</v>
      </c>
      <c r="AT19" s="68">
        <f>'3w Kc5c Ден'!p3win* ('3w Kc5c Ден'!p1sp1win*T_p3p1233726849198119126133140[[#This Row],[stack]] + '3w Kc5c Ден'!p2sp1win*T_p3p2243827859299120127134141[[#This Row],[stack]])
+'3w Kc5c Ден'!p2win*T_p2223625839097118125132139[[#This Row],[stack]]
+'3w Kc5c Ден'!p1win*T_p1213519828996117124131138[[#This Row],[stack]]</f>
        <v>201.36699999999999</v>
      </c>
      <c r="AU19" s="2">
        <f>T_EV3340308794101122129136143[[#This Row],[chipEV]]-T_fact2939288693100121128135142[[#This Row],[stack]]</f>
        <v>-388.63300000000004</v>
      </c>
      <c r="AV19" s="2">
        <f>T_EV3340308794101122129136143[[#This Row],[EV]]-(T_fact2939288693100121128135142[[#This Row],[ICM]]+bounty*T_fact2939288693100121128135142[[#This Row],[KO]])</f>
        <v>-11.433582860000001</v>
      </c>
    </row>
    <row r="20" spans="1:48" s="17" customFormat="1" x14ac:dyDescent="0.25">
      <c r="A20" s="17">
        <v>1</v>
      </c>
      <c r="B20" s="17">
        <v>445</v>
      </c>
      <c r="C20" s="17" t="s">
        <v>381</v>
      </c>
      <c r="D20" s="17">
        <v>120</v>
      </c>
      <c r="F20" s="83">
        <f>COUNTIF(T_p1213519828996117124131138[stack],"&gt;0")</f>
        <v>2</v>
      </c>
      <c r="G20" s="17">
        <f>IF(T_init20344818895116123130137[[#This Row],[p]]=1,mainpot+sidepot1+sidepot2+uncalled,IF(T_init20344818895116123130137[[#This Row],[p]]&gt;1,0,T_init20344818895116123130137[[#This Row],[stack]]-T_init20344818895116123130137[[#This Row],[anteblinds]]))</f>
        <v>1050</v>
      </c>
      <c r="H20" s="17">
        <v>0.52500000000000002</v>
      </c>
      <c r="I20" s="18">
        <f>T_p1213519828996117124131138[[#This Row],[EQ]]*prize</f>
        <v>30.891000000000002</v>
      </c>
      <c r="J20" s="67">
        <f>IF(T_init20344818895116123130137[[#This Row],[p]]=1,T_p1213519828996117124131138[[#This Row],[players]]*T_p1213519828996117124131138[[#This Row],[stack]]/chips+COUNTIF(T_p1213519828996117124131138[stack],0),T_p1213519828996117124131138[[#This Row],[players]]*T_p1213519828996117124131138[[#This Row],[stack]]/chips)</f>
        <v>5.05</v>
      </c>
      <c r="K20" s="67">
        <f>T_p1213519828996117124131138[[#This Row],[ICM]]+bounty*T_p1213519828996117124131138[[#This Row],[KO]]</f>
        <v>30.891000000000002</v>
      </c>
      <c r="M20" s="19">
        <f>COUNTIF(T_p2223625839097118125132139[stack],"&gt;0")</f>
        <v>3</v>
      </c>
      <c r="N20" s="17">
        <f>IF(T_init20344818895116123130137[[#This Row],[p]]=1,uncalled,IF(T_init20344818895116123130137[[#This Row],[p]]=2,mainpot+sidepot1+sidepot2,IF(T_init20344818895116123130137[[#This Row],[p]]&gt;2,0,T_init20344818895116123130137[[#This Row],[stack]]-T_init20344818895116123130137[[#This Row],[anteblinds]])))</f>
        <v>50</v>
      </c>
      <c r="O20" s="17">
        <v>2.5000000000000001E-2</v>
      </c>
      <c r="P20" s="18">
        <f>T_p2223625839097118125132139[[#This Row],[EQ]]*prize</f>
        <v>1.4710000000000001</v>
      </c>
      <c r="Q20" s="67">
        <f>IF(T_init20344818895116123130137[[#This Row],[p]]=2,T_p2223625839097118125132139[[#This Row],[players]]*T_p2223625839097118125132139[[#This Row],[stack]]/chips+COUNTIF(T_p2223625839097118125132139[stack],0),T_p2223625839097118125132139[[#This Row],[players]]*T_p2223625839097118125132139[[#This Row],[stack]]/chips)</f>
        <v>7.4999999999999997E-2</v>
      </c>
      <c r="R20" s="67">
        <f>T_p2223625839097118125132139[[#This Row],[ICM]]+bounty*T_p2223625839097118125132139[[#This Row],[KO]]</f>
        <v>1.4710000000000001</v>
      </c>
      <c r="T20" s="83">
        <f>COUNTIF(T_p3p1233726849198119126133140[stack],"&gt;0")</f>
        <v>3</v>
      </c>
      <c r="U20" s="17">
        <f>IF(T_init20344818895116123130137[[#This Row],[p]]=1,sidepot1+uncalled,IF(T_init20344818895116123130137[[#This Row],[p]]=3,mainpot,IF(ISBLANK(T_init20344818895116123130137[[#This Row],[p]]),T_init20344818895116123130137[[#This Row],[stack]]-T_init20344818895116123130137[[#This Row],[anteblinds]],0)))</f>
        <v>460</v>
      </c>
      <c r="V20" s="17">
        <v>0.23</v>
      </c>
      <c r="W20" s="18">
        <f>T_p3p1233726849198119126133140[[#This Row],[EQ]]*prize</f>
        <v>13.533200000000001</v>
      </c>
      <c r="X20" s="67">
        <f>IF(T_init20344818895116123130137[[#This Row],[p]]=1,T_p3p1233726849198119126133140[[#This Row],[players]]*T_p3p1233726849198119126133140[[#This Row],[stack]]/chips+COUNTIF(T_p3p1233726849198119126133140[stack],0),T_p3p1233726849198119126133140[[#This Row],[players]]*T_p3p1233726849198119126133140[[#This Row],[stack]]/chips)</f>
        <v>3.69</v>
      </c>
      <c r="Y20" s="67">
        <f>T_p3p1233726849198119126133140[[#This Row],[ICM]]+bounty*T_p3p1233726849198119126133140[[#This Row],[KO]]</f>
        <v>13.533200000000001</v>
      </c>
      <c r="AA20" s="83">
        <f>COUNTIF(T_p3p2243827859299120127134141[stack],"&gt;0")</f>
        <v>4</v>
      </c>
      <c r="AB20" s="17">
        <f>IF(T_init20344818895116123130137[[#This Row],[p]]=1,uncalled,IF(T_init20344818895116123130137[[#This Row],[p]]=2,sidepot1,IF(T_init20344818895116123130137[[#This Row],[p]]=3,mainpot,IF(ISBLANK(T_init20344818895116123130137[[#This Row],[p]]),T_init20344818895116123130137[[#This Row],[stack]]-T_init20344818895116123130137[[#This Row],[anteblinds]],0))))</f>
        <v>50</v>
      </c>
      <c r="AC20" s="17">
        <v>2.5000000000000001E-2</v>
      </c>
      <c r="AD20" s="18">
        <f>T_p3p2243827859299120127134141[[#This Row],[EQ]]*prize</f>
        <v>1.4710000000000001</v>
      </c>
      <c r="AE20" s="67">
        <f>IF(T_init20344818895116123130137[[#This Row],[p]]=2,T_p3p2243827859299120127134141[[#This Row],[players]]*T_p3p2243827859299120127134141[[#This Row],[stack]]/chips+COUNTIF(T_p3p2243827859299120127134141[stack],0),T_p3p2243827859299120127134141[[#This Row],[players]]*T_p3p2243827859299120127134141[[#This Row],[stack]]/chips)</f>
        <v>0.1</v>
      </c>
      <c r="AF20" s="24">
        <f>T_p3p2243827859299120127134141[[#This Row],[ICM]]+bounty*T_p3p2243827859299120127134141[[#This Row],[KO]]</f>
        <v>1.4710000000000001</v>
      </c>
      <c r="AI20" s="83">
        <v>3</v>
      </c>
      <c r="AJ20" s="17">
        <f>IF(T_init20344818895116123130137[[#This Row],[p]]=1,sidepot1+uncalled,IF(T_init20344818895116123130137[[#This Row],[p]]=3,mainpot,IF(ISBLANK(T_init20344818895116123130137[[#This Row],[p]]),T_init20344818895116123130137[[#This Row],[stack]]-T_init20344818895116123130137[[#This Row],[anteblinds]],0)))</f>
        <v>460</v>
      </c>
      <c r="AK20" s="17">
        <v>0.23</v>
      </c>
      <c r="AL20" s="18">
        <f>T_fact2939288693100121128135142[[#This Row],[EQ]]*prize</f>
        <v>13.533200000000001</v>
      </c>
      <c r="AM20" s="67">
        <f>IF(T_init20344818895116123130137[[#This Row],[p]]=1,T_fact2939288693100121128135142[[#This Row],[players]]*T_fact2939288693100121128135142[[#This Row],[stack]]/chips+COUNTIF(T_fact2939288693100121128135142[stack],0),T_fact2939288693100121128135142[[#This Row],[players]]*T_fact2939288693100121128135142[[#This Row],[stack]]/chips)</f>
        <v>3.69</v>
      </c>
      <c r="AN20" s="24">
        <f>T_fact2939288693100121128135142[[#This Row],[ICM]]+bounty*T_fact2939288693100121128135142[[#This Row],[KO]]</f>
        <v>13.533200000000001</v>
      </c>
      <c r="AQ20" s="69">
        <f>'3w Kc5c Ден'!p3win* ('3w Kc5c Ден'!p1sp1win*T_p3p1233726849198119126133140[[#This Row],[ICM]] + '3w Kc5c Ден'!p2sp1win*T_p3p2243827859299120127134141[[#This Row],[ICM]])
+'3w Kc5c Ден'!p2win*T_p2223625839097118125132139[[#This Row],[ICM]]
+'3w Kc5c Ден'!p1win*T_p1213519828996117124131138[[#This Row],[ICM]]</f>
        <v>11.890389000504001</v>
      </c>
      <c r="AR20" s="69">
        <f>('3w Kc5c Ден'!p3win* ('3w Kc5c Ден'!p1sp1win*T_p3p1233726849198119126133140[[#This Row],[KO]] + '3w Kc5c Ден'!p2sp1win*T_p3p2243827859299120127134141[[#This Row],[KO]])
+'3w Kc5c Ден'!p2win*T_p2223625839097118125132139[[#This Row],[KO]]
+'3w Kc5c Ден'!p1win*T_p1213519828996117124131138[[#This Row],[KO]])*bounty</f>
        <v>0</v>
      </c>
      <c r="AS20" s="69">
        <f>'3w Kc5c Ден'!p3win* ('3w Kc5c Ден'!p1sp1win*T_p3p1233726849198119126133140[[#This Row],[$stack]] + '3w Kc5c Ден'!p2sp1win*T_p3p2243827859299120127134141[[#This Row],[$stack]])
+'3w Kc5c Ден'!p2win*T_p2223625839097118125132139[[#This Row],[$stack]]
+'3w Kc5c Ден'!p1win*T_p1213519828996117124131138[[#This Row],[$stack]]</f>
        <v>11.890389000504001</v>
      </c>
      <c r="AT20" s="69">
        <f>'3w Kc5c Ден'!p3win* ('3w Kc5c Ден'!p1sp1win*T_p3p1233726849198119126133140[[#This Row],[stack]] + '3w Kc5c Ден'!p2sp1win*T_p3p2243827859299120127134141[[#This Row],[stack]])
+'3w Kc5c Ден'!p2win*T_p2223625839097118125132139[[#This Row],[stack]]
+'3w Kc5c Ден'!p1win*T_p1213519828996117124131138[[#This Row],[stack]]</f>
        <v>404.16006119999997</v>
      </c>
      <c r="AU20" s="18">
        <f>T_EV3340308794101122129136143[[#This Row],[chipEV]]-T_fact2939288693100121128135142[[#This Row],[stack]]</f>
        <v>-55.839938800000027</v>
      </c>
      <c r="AV20" s="18">
        <f>T_EV3340308794101122129136143[[#This Row],[EV]]-(T_fact2939288693100121128135142[[#This Row],[ICM]]+bounty*T_fact2939288693100121128135142[[#This Row],[KO]])</f>
        <v>-1.6428109994959996</v>
      </c>
    </row>
    <row r="21" spans="1:48" x14ac:dyDescent="0.25">
      <c r="B21">
        <v>0</v>
      </c>
      <c r="F21" s="5">
        <f>COUNTIF(T_p1213519828996117124131138[stack],"&gt;0")</f>
        <v>2</v>
      </c>
      <c r="G21">
        <f>IF(T_init20344818895116123130137[[#This Row],[p]]=1,mainpot+sidepot1+sidepot2+uncalled,IF(T_init20344818895116123130137[[#This Row],[p]]&gt;1,0,T_init20344818895116123130137[[#This Row],[stack]]-T_init20344818895116123130137[[#This Row],[anteblinds]]))</f>
        <v>0</v>
      </c>
      <c r="I21" s="2">
        <f>T_p1213519828996117124131138[[#This Row],[EQ]]*prize</f>
        <v>0</v>
      </c>
      <c r="J21" s="66">
        <f>IF(T_init20344818895116123130137[[#This Row],[p]]=1,T_p1213519828996117124131138[[#This Row],[players]]*T_p1213519828996117124131138[[#This Row],[stack]]/chips+COUNTIF(T_p1213519828996117124131138[stack],0),T_p1213519828996117124131138[[#This Row],[players]]*T_p1213519828996117124131138[[#This Row],[stack]]/chips)</f>
        <v>0</v>
      </c>
      <c r="K21" s="66">
        <f>T_p1213519828996117124131138[[#This Row],[ICM]]+bounty*T_p1213519828996117124131138[[#This Row],[KO]]</f>
        <v>0</v>
      </c>
      <c r="M21" s="10">
        <f>COUNTIF(T_p2223625839097118125132139[stack],"&gt;0")</f>
        <v>3</v>
      </c>
      <c r="N21" s="26">
        <f>IF(T_init20344818895116123130137[[#This Row],[p]]=1,uncalled,IF(T_init20344818895116123130137[[#This Row],[p]]=2,mainpot+sidepot1+sidepot2,IF(T_init20344818895116123130137[[#This Row],[p]]&gt;2,0,T_init20344818895116123130137[[#This Row],[stack]]-T_init20344818895116123130137[[#This Row],[anteblinds]])))</f>
        <v>0</v>
      </c>
      <c r="O21">
        <v>0</v>
      </c>
      <c r="P21" s="2">
        <f>T_p2223625839097118125132139[[#This Row],[EQ]]*prize</f>
        <v>0</v>
      </c>
      <c r="Q21" s="66">
        <f>IF(T_init20344818895116123130137[[#This Row],[p]]=2,T_p2223625839097118125132139[[#This Row],[players]]*T_p2223625839097118125132139[[#This Row],[stack]]/chips+COUNTIF(T_p2223625839097118125132139[stack],0),T_p2223625839097118125132139[[#This Row],[players]]*T_p2223625839097118125132139[[#This Row],[stack]]/chips)</f>
        <v>0</v>
      </c>
      <c r="R21" s="66">
        <f>T_p2223625839097118125132139[[#This Row],[ICM]]+bounty*T_p2223625839097118125132139[[#This Row],[KO]]</f>
        <v>0</v>
      </c>
      <c r="T21" s="5">
        <f>COUNTIF(T_p3p1233726849198119126133140[stack],"&gt;0")</f>
        <v>3</v>
      </c>
      <c r="U21" s="26">
        <f>IF(T_init20344818895116123130137[[#This Row],[p]]=1,sidepot1+uncalled,IF(T_init20344818895116123130137[[#This Row],[p]]=3,mainpot,IF(ISBLANK(T_init20344818895116123130137[[#This Row],[p]]),T_init20344818895116123130137[[#This Row],[stack]]-T_init20344818895116123130137[[#This Row],[anteblinds]],0)))</f>
        <v>0</v>
      </c>
      <c r="V21">
        <v>0</v>
      </c>
      <c r="W21" s="2">
        <f>T_p3p1233726849198119126133140[[#This Row],[EQ]]*prize</f>
        <v>0</v>
      </c>
      <c r="X21" s="66">
        <f>IF(T_init20344818895116123130137[[#This Row],[p]]=1,T_p3p1233726849198119126133140[[#This Row],[players]]*T_p3p1233726849198119126133140[[#This Row],[stack]]/chips+COUNTIF(T_p3p1233726849198119126133140[stack],0),T_p3p1233726849198119126133140[[#This Row],[players]]*T_p3p1233726849198119126133140[[#This Row],[stack]]/chips)</f>
        <v>0</v>
      </c>
      <c r="Y21" s="66">
        <f>T_p3p1233726849198119126133140[[#This Row],[ICM]]+bounty*T_p3p1233726849198119126133140[[#This Row],[KO]]</f>
        <v>0</v>
      </c>
      <c r="AA21" s="5">
        <f>COUNTIF(T_p3p2243827859299120127134141[stack],"&gt;0")</f>
        <v>4</v>
      </c>
      <c r="AB21">
        <f>IF(T_init20344818895116123130137[[#This Row],[p]]=1,uncalled,IF(T_init20344818895116123130137[[#This Row],[p]]=2,sidepot1,IF(T_init20344818895116123130137[[#This Row],[p]]=3,mainpot,IF(ISBLANK(T_init20344818895116123130137[[#This Row],[p]]),T_init20344818895116123130137[[#This Row],[stack]]-T_init20344818895116123130137[[#This Row],[anteblinds]],0))))</f>
        <v>0</v>
      </c>
      <c r="AC21">
        <v>0</v>
      </c>
      <c r="AD21" s="2">
        <f>T_p3p2243827859299120127134141[[#This Row],[EQ]]*prize</f>
        <v>0</v>
      </c>
      <c r="AE21" s="66">
        <f>IF(T_init20344818895116123130137[[#This Row],[p]]=2,T_p3p2243827859299120127134141[[#This Row],[players]]*T_p3p2243827859299120127134141[[#This Row],[stack]]/chips+COUNTIF(T_p3p2243827859299120127134141[stack],0),T_p3p2243827859299120127134141[[#This Row],[players]]*T_p3p2243827859299120127134141[[#This Row],[stack]]/chips)</f>
        <v>0</v>
      </c>
      <c r="AF21" s="16">
        <f>T_p3p2243827859299120127134141[[#This Row],[ICM]]+bounty*T_p3p2243827859299120127134141[[#This Row],[KO]]</f>
        <v>0</v>
      </c>
      <c r="AI21" s="73">
        <v>3</v>
      </c>
      <c r="AJ21" s="26">
        <v>0</v>
      </c>
      <c r="AL21" s="2">
        <f>T_fact2939288693100121128135142[[#This Row],[EQ]]*prize</f>
        <v>0</v>
      </c>
      <c r="AM21" s="66">
        <f>IF(T_init20344818895116123130137[[#This Row],[p]]=1,T_fact2939288693100121128135142[[#This Row],[players]]*T_fact2939288693100121128135142[[#This Row],[stack]]/chips+COUNTIF(T_fact2939288693100121128135142[stack],0),T_fact2939288693100121128135142[[#This Row],[players]]*T_fact2939288693100121128135142[[#This Row],[stack]]/chips)</f>
        <v>0</v>
      </c>
      <c r="AN21" s="16">
        <f>T_fact2939288693100121128135142[[#This Row],[ICM]]+bounty*T_fact2939288693100121128135142[[#This Row],[KO]]</f>
        <v>0</v>
      </c>
      <c r="AQ21" s="68">
        <f>'3w Kc5c Ден'!p3win* ('3w Kc5c Ден'!p1sp1win*T_p3p1233726849198119126133140[[#This Row],[ICM]] + '3w Kc5c Ден'!p2sp1win*T_p3p2243827859299120127134141[[#This Row],[ICM]])
+'3w Kc5c Ден'!p2win*T_p2223625839097118125132139[[#This Row],[ICM]]
+'3w Kc5c Ден'!p1win*T_p1213519828996117124131138[[#This Row],[ICM]]</f>
        <v>0</v>
      </c>
      <c r="AR21" s="68">
        <f>('3w Kc5c Ден'!p3win* ('3w Kc5c Ден'!p1sp1win*T_p3p1233726849198119126133140[[#This Row],[KO]] + '3w Kc5c Ден'!p2sp1win*T_p3p2243827859299120127134141[[#This Row],[KO]])
+'3w Kc5c Ден'!p2win*T_p2223625839097118125132139[[#This Row],[KO]]
+'3w Kc5c Ден'!p1win*T_p1213519828996117124131138[[#This Row],[KO]])*bounty</f>
        <v>0</v>
      </c>
      <c r="AS21" s="68">
        <f>'3w Kc5c Ден'!p3win* ('3w Kc5c Ден'!p1sp1win*T_p3p1233726849198119126133140[[#This Row],[$stack]] + '3w Kc5c Ден'!p2sp1win*T_p3p2243827859299120127134141[[#This Row],[$stack]])
+'3w Kc5c Ден'!p2win*T_p2223625839097118125132139[[#This Row],[$stack]]
+'3w Kc5c Ден'!p1win*T_p1213519828996117124131138[[#This Row],[$stack]]</f>
        <v>0</v>
      </c>
      <c r="AT21" s="68">
        <f>'3w Kc5c Ден'!p3win* ('3w Kc5c Ден'!p1sp1win*T_p3p1233726849198119126133140[[#This Row],[stack]] + '3w Kc5c Ден'!p2sp1win*T_p3p2243827859299120127134141[[#This Row],[stack]])
+'3w Kc5c Ден'!p2win*T_p2223625839097118125132139[[#This Row],[stack]]
+'3w Kc5c Ден'!p1win*T_p1213519828996117124131138[[#This Row],[stack]]</f>
        <v>0</v>
      </c>
      <c r="AU21" s="2">
        <f>T_EV3340308794101122129136143[[#This Row],[chipEV]]-T_fact2939288693100121128135142[[#This Row],[stack]]</f>
        <v>0</v>
      </c>
      <c r="AV21" s="2">
        <f>T_EV3340308794101122129136143[[#This Row],[EV]]-(T_fact2939288693100121128135142[[#This Row],[ICM]]+bounty*T_fact2939288693100121128135142[[#This Row],[KO]])</f>
        <v>0</v>
      </c>
    </row>
    <row r="22" spans="1:48" x14ac:dyDescent="0.25">
      <c r="B22">
        <v>0</v>
      </c>
      <c r="F22" s="5">
        <f>COUNTIF(T_p1213519828996117124131138[stack],"&gt;0")</f>
        <v>2</v>
      </c>
      <c r="G22">
        <f>IF(T_init20344818895116123130137[[#This Row],[p]]=1,mainpot+sidepot1+sidepot2+uncalled,IF(T_init20344818895116123130137[[#This Row],[p]]&gt;1,0,T_init20344818895116123130137[[#This Row],[stack]]-T_init20344818895116123130137[[#This Row],[anteblinds]]))</f>
        <v>0</v>
      </c>
      <c r="I22" s="2">
        <f>T_p1213519828996117124131138[[#This Row],[EQ]]*prize</f>
        <v>0</v>
      </c>
      <c r="J22" s="66">
        <f>IF(T_init20344818895116123130137[[#This Row],[p]]=1,T_p1213519828996117124131138[[#This Row],[players]]*T_p1213519828996117124131138[[#This Row],[stack]]/chips+COUNTIF(T_p1213519828996117124131138[stack],0),T_p1213519828996117124131138[[#This Row],[players]]*T_p1213519828996117124131138[[#This Row],[stack]]/chips)</f>
        <v>0</v>
      </c>
      <c r="K22" s="66">
        <f>T_p1213519828996117124131138[[#This Row],[ICM]]+bounty*T_p1213519828996117124131138[[#This Row],[KO]]</f>
        <v>0</v>
      </c>
      <c r="M22" s="10">
        <f>COUNTIF(T_p2223625839097118125132139[stack],"&gt;0")</f>
        <v>3</v>
      </c>
      <c r="N22" s="26">
        <f>IF(T_init20344818895116123130137[[#This Row],[p]]=1,uncalled,IF(T_init20344818895116123130137[[#This Row],[p]]=2,mainpot+sidepot1+sidepot2,IF(T_init20344818895116123130137[[#This Row],[p]]&gt;2,0,T_init20344818895116123130137[[#This Row],[stack]]-T_init20344818895116123130137[[#This Row],[anteblinds]])))</f>
        <v>0</v>
      </c>
      <c r="P22" s="2">
        <f>T_p2223625839097118125132139[[#This Row],[EQ]]*prize</f>
        <v>0</v>
      </c>
      <c r="Q22" s="66">
        <f>IF(T_init20344818895116123130137[[#This Row],[p]]=2,T_p2223625839097118125132139[[#This Row],[players]]*T_p2223625839097118125132139[[#This Row],[stack]]/chips+COUNTIF(T_p2223625839097118125132139[stack],0),T_p2223625839097118125132139[[#This Row],[players]]*T_p2223625839097118125132139[[#This Row],[stack]]/chips)</f>
        <v>0</v>
      </c>
      <c r="R22" s="66">
        <f>T_p2223625839097118125132139[[#This Row],[ICM]]+bounty*T_p2223625839097118125132139[[#This Row],[KO]]</f>
        <v>0</v>
      </c>
      <c r="T22" s="5">
        <f>COUNTIF(T_p3p1233726849198119126133140[stack],"&gt;0")</f>
        <v>3</v>
      </c>
      <c r="U22" s="26">
        <f>IF(T_init20344818895116123130137[[#This Row],[p]]=1,sidepot1+uncalled,IF(T_init20344818895116123130137[[#This Row],[p]]=3,mainpot,IF(ISBLANK(T_init20344818895116123130137[[#This Row],[p]]),T_init20344818895116123130137[[#This Row],[stack]]-T_init20344818895116123130137[[#This Row],[anteblinds]],0)))</f>
        <v>0</v>
      </c>
      <c r="V22">
        <v>0</v>
      </c>
      <c r="W22" s="2">
        <f>T_p3p1233726849198119126133140[[#This Row],[EQ]]*prize</f>
        <v>0</v>
      </c>
      <c r="X22" s="66">
        <f>IF(T_init20344818895116123130137[[#This Row],[p]]=1,T_p3p1233726849198119126133140[[#This Row],[players]]*T_p3p1233726849198119126133140[[#This Row],[stack]]/chips+COUNTIF(T_p3p1233726849198119126133140[stack],0),T_p3p1233726849198119126133140[[#This Row],[players]]*T_p3p1233726849198119126133140[[#This Row],[stack]]/chips)</f>
        <v>0</v>
      </c>
      <c r="Y22" s="66">
        <f>T_p3p1233726849198119126133140[[#This Row],[ICM]]+bounty*T_p3p1233726849198119126133140[[#This Row],[KO]]</f>
        <v>0</v>
      </c>
      <c r="AA22" s="5">
        <f>COUNTIF(T_p3p2243827859299120127134141[stack],"&gt;0")</f>
        <v>4</v>
      </c>
      <c r="AB22">
        <f>IF(T_init20344818895116123130137[[#This Row],[p]]=1,uncalled,IF(T_init20344818895116123130137[[#This Row],[p]]=2,sidepot1,IF(T_init20344818895116123130137[[#This Row],[p]]=3,mainpot,IF(ISBLANK(T_init20344818895116123130137[[#This Row],[p]]),T_init20344818895116123130137[[#This Row],[stack]]-T_init20344818895116123130137[[#This Row],[anteblinds]],0))))</f>
        <v>0</v>
      </c>
      <c r="AC22">
        <v>0</v>
      </c>
      <c r="AD22" s="2">
        <f>T_p3p2243827859299120127134141[[#This Row],[EQ]]*prize</f>
        <v>0</v>
      </c>
      <c r="AE22" s="66">
        <f>IF(T_init20344818895116123130137[[#This Row],[p]]=2,T_p3p2243827859299120127134141[[#This Row],[players]]*T_p3p2243827859299120127134141[[#This Row],[stack]]/chips+COUNTIF(T_p3p2243827859299120127134141[stack],0),T_p3p2243827859299120127134141[[#This Row],[players]]*T_p3p2243827859299120127134141[[#This Row],[stack]]/chips)</f>
        <v>0</v>
      </c>
      <c r="AF22" s="16">
        <f>T_p3p2243827859299120127134141[[#This Row],[ICM]]+bounty*T_p3p2243827859299120127134141[[#This Row],[KO]]</f>
        <v>0</v>
      </c>
      <c r="AI22" s="73">
        <v>3</v>
      </c>
      <c r="AJ22" s="26">
        <v>0</v>
      </c>
      <c r="AL22" s="2">
        <f>T_fact2939288693100121128135142[[#This Row],[EQ]]*prize</f>
        <v>0</v>
      </c>
      <c r="AM22" s="66">
        <f>IF(T_init20344818895116123130137[[#This Row],[p]]=1,T_fact2939288693100121128135142[[#This Row],[players]]*T_fact2939288693100121128135142[[#This Row],[stack]]/chips+COUNTIF(T_fact2939288693100121128135142[stack],0),T_fact2939288693100121128135142[[#This Row],[players]]*T_fact2939288693100121128135142[[#This Row],[stack]]/chips)</f>
        <v>0</v>
      </c>
      <c r="AN22" s="16">
        <f>T_fact2939288693100121128135142[[#This Row],[ICM]]+bounty*T_fact2939288693100121128135142[[#This Row],[KO]]</f>
        <v>0</v>
      </c>
      <c r="AQ22" s="68">
        <f>'3w Kc5c Ден'!p3win* ('3w Kc5c Ден'!p1sp1win*T_p3p1233726849198119126133140[[#This Row],[ICM]] + '3w Kc5c Ден'!p2sp1win*T_p3p2243827859299120127134141[[#This Row],[ICM]])
+'3w Kc5c Ден'!p2win*T_p2223625839097118125132139[[#This Row],[ICM]]
+'3w Kc5c Ден'!p1win*T_p1213519828996117124131138[[#This Row],[ICM]]</f>
        <v>0</v>
      </c>
      <c r="AR22" s="68">
        <f>('3w Kc5c Ден'!p3win* ('3w Kc5c Ден'!p1sp1win*T_p3p1233726849198119126133140[[#This Row],[KO]] + '3w Kc5c Ден'!p2sp1win*T_p3p2243827859299120127134141[[#This Row],[KO]])
+'3w Kc5c Ден'!p2win*T_p2223625839097118125132139[[#This Row],[KO]]
+'3w Kc5c Ден'!p1win*T_p1213519828996117124131138[[#This Row],[KO]])*bounty</f>
        <v>0</v>
      </c>
      <c r="AS22" s="68">
        <f>'3w Kc5c Ден'!p3win* ('3w Kc5c Ден'!p1sp1win*T_p3p1233726849198119126133140[[#This Row],[$stack]] + '3w Kc5c Ден'!p2sp1win*T_p3p2243827859299120127134141[[#This Row],[$stack]])
+'3w Kc5c Ден'!p2win*T_p2223625839097118125132139[[#This Row],[$stack]]
+'3w Kc5c Ден'!p1win*T_p1213519828996117124131138[[#This Row],[$stack]]</f>
        <v>0</v>
      </c>
      <c r="AT22" s="68">
        <f>'3w Kc5c Ден'!p3win* ('3w Kc5c Ден'!p1sp1win*T_p3p1233726849198119126133140[[#This Row],[stack]] + '3w Kc5c Ден'!p2sp1win*T_p3p2243827859299120127134141[[#This Row],[stack]])
+'3w Kc5c Ден'!p2win*T_p2223625839097118125132139[[#This Row],[stack]]
+'3w Kc5c Ден'!p1win*T_p1213519828996117124131138[[#This Row],[stack]]</f>
        <v>0</v>
      </c>
      <c r="AU22" s="2">
        <f>T_EV3340308794101122129136143[[#This Row],[chipEV]]-T_fact2939288693100121128135142[[#This Row],[stack]]</f>
        <v>0</v>
      </c>
      <c r="AV22" s="2">
        <f>T_EV3340308794101122129136143[[#This Row],[EV]]-(T_fact2939288693100121128135142[[#This Row],[ICM]]+bounty*T_fact2939288693100121128135142[[#This Row],[KO]])</f>
        <v>0</v>
      </c>
    </row>
    <row r="23" spans="1:48" x14ac:dyDescent="0.25">
      <c r="A23" t="s">
        <v>95</v>
      </c>
      <c r="D23">
        <f>SUBTOTAL(109,T_init20344818895116123130137[anteblinds])</f>
        <v>230</v>
      </c>
      <c r="F23" s="53"/>
      <c r="G23" s="50">
        <f>SUM(T_p1213519828996117124131138[stack])</f>
        <v>2000</v>
      </c>
      <c r="H23" s="50">
        <f>SUM(T_p1213519828996117124131138[EQ])</f>
        <v>1</v>
      </c>
      <c r="I23" s="50">
        <f>SUM(T_p1213519828996117124131138[ICM])</f>
        <v>58.84</v>
      </c>
      <c r="J23" s="50">
        <f>SUM(T_p1213519828996117124131138[KO])</f>
        <v>6</v>
      </c>
      <c r="K23" s="50">
        <f>SUM(T_p1213519828996117124131138[$stack])</f>
        <v>58.84</v>
      </c>
      <c r="M23" s="53"/>
      <c r="N23" s="55">
        <f>SUM(T_p2223625839097118125132139[stack])</f>
        <v>2000</v>
      </c>
      <c r="O23" s="50">
        <f>SUM(T_p2223625839097118125132139[EQ])</f>
        <v>1</v>
      </c>
      <c r="P23" s="51">
        <f>SUM(T_p2223625839097118125132139[ICM])</f>
        <v>58.84</v>
      </c>
      <c r="Q23" s="52">
        <f>SUM(T_p2223625839097118125132139[KO])</f>
        <v>6</v>
      </c>
      <c r="R23" s="50">
        <f>SUM(T_p2223625839097118125132139[$stack])</f>
        <v>58.84</v>
      </c>
      <c r="T23" s="53"/>
      <c r="U23" s="55">
        <f>SUM(T_p3p1233726849198119126133140[stack])</f>
        <v>2000</v>
      </c>
      <c r="V23" s="50">
        <f>SUM(T_p3p1233726849198119126133140[EQ])</f>
        <v>1</v>
      </c>
      <c r="W23" s="51">
        <f>SUM(T_p3p1233726849198119126133140[ICM])</f>
        <v>58.84</v>
      </c>
      <c r="X23" s="52">
        <f>SUM(T_p3p1233726849198119126133140[KO])</f>
        <v>6</v>
      </c>
      <c r="Y23" s="50">
        <f>SUM(T_p3p1233726849198119126133140[$stack])</f>
        <v>58.84</v>
      </c>
      <c r="AA23" s="53"/>
      <c r="AB23" s="55">
        <f>SUM(T_p3p2243827859299120127134141[stack])</f>
        <v>2000</v>
      </c>
      <c r="AC23" s="50">
        <f>SUM(T_p3p2243827859299120127134141[EQ])</f>
        <v>0.99999999999999989</v>
      </c>
      <c r="AD23" s="51">
        <f>SUM(T_p3p2243827859299120127134141[ICM])</f>
        <v>58.84</v>
      </c>
      <c r="AE23" s="52">
        <f>SUM(T_p3p2243827859299120127134141[KO])</f>
        <v>5.9999999999999991</v>
      </c>
      <c r="AF23" s="50">
        <f>SUM(T_p3p1233726849198119126133140[$stack])</f>
        <v>58.84</v>
      </c>
      <c r="AI23" s="53"/>
      <c r="AJ23" s="55">
        <f>SUM(T_fact2939288693100121128135142[stack])</f>
        <v>2000</v>
      </c>
      <c r="AK23" s="50">
        <f>SUM(T_fact2939288693100121128135142[EQ])</f>
        <v>1</v>
      </c>
      <c r="AL23" s="51">
        <f>SUM(T_fact2939288693100121128135142[ICM])</f>
        <v>58.84</v>
      </c>
      <c r="AM23" s="52">
        <f>SUM(T_fact2939288693100121128135142[KO])</f>
        <v>6</v>
      </c>
      <c r="AN23" s="51">
        <f>SUM(T_fact2939288693100121128135142[$stack])</f>
        <v>58.84</v>
      </c>
      <c r="AQ23" s="52">
        <f>SUM(T_EV3340308794101122129136143[ICM])</f>
        <v>58.840000000000011</v>
      </c>
      <c r="AR23" s="52">
        <f>SUM(T_EV3340308794101122129136143[KO])</f>
        <v>0</v>
      </c>
      <c r="AS23" s="52">
        <f>SUM(T_EV3340308794101122129136143[EV])</f>
        <v>58.840000000000011</v>
      </c>
      <c r="AT23" s="50">
        <f>SUM(T_EV3340308794101122129136143[chipEV])</f>
        <v>2000</v>
      </c>
    </row>
    <row r="25" spans="1:48" ht="18.75" x14ac:dyDescent="0.3">
      <c r="M25" s="79" t="s">
        <v>117</v>
      </c>
    </row>
    <row r="26" spans="1:48" x14ac:dyDescent="0.25">
      <c r="C26" t="s">
        <v>118</v>
      </c>
      <c r="M26" t="s">
        <v>382</v>
      </c>
    </row>
    <row r="27" spans="1:48" x14ac:dyDescent="0.25">
      <c r="C27" t="s">
        <v>120</v>
      </c>
      <c r="M27" t="s">
        <v>383</v>
      </c>
    </row>
    <row r="28" spans="1:48" x14ac:dyDescent="0.25">
      <c r="C28" t="s">
        <v>122</v>
      </c>
      <c r="M28" t="s">
        <v>384</v>
      </c>
    </row>
    <row r="29" spans="1:48" x14ac:dyDescent="0.25">
      <c r="M29" t="s">
        <v>385</v>
      </c>
    </row>
    <row r="30" spans="1:48" x14ac:dyDescent="0.25">
      <c r="M30" t="s">
        <v>386</v>
      </c>
    </row>
    <row r="31" spans="1:48" x14ac:dyDescent="0.25">
      <c r="C31" t="s">
        <v>126</v>
      </c>
      <c r="M31" t="s">
        <v>387</v>
      </c>
    </row>
    <row r="32" spans="1:48" x14ac:dyDescent="0.25">
      <c r="M32" t="s">
        <v>388</v>
      </c>
    </row>
    <row r="33" spans="2:13" x14ac:dyDescent="0.25">
      <c r="B33" t="s">
        <v>129</v>
      </c>
      <c r="M33" t="s">
        <v>355</v>
      </c>
    </row>
    <row r="34" spans="2:13" x14ac:dyDescent="0.25">
      <c r="B34" t="s">
        <v>131</v>
      </c>
      <c r="M34" t="s">
        <v>389</v>
      </c>
    </row>
    <row r="35" spans="2:13" x14ac:dyDescent="0.25">
      <c r="C35" t="s">
        <v>133</v>
      </c>
      <c r="M35" t="s">
        <v>390</v>
      </c>
    </row>
    <row r="36" spans="2:13" x14ac:dyDescent="0.25">
      <c r="D36" t="s">
        <v>135</v>
      </c>
      <c r="M36" t="s">
        <v>391</v>
      </c>
    </row>
    <row r="37" spans="2:13" x14ac:dyDescent="0.25">
      <c r="C37" t="s">
        <v>137</v>
      </c>
      <c r="M37" t="s">
        <v>358</v>
      </c>
    </row>
    <row r="38" spans="2:13" x14ac:dyDescent="0.25">
      <c r="D38" t="s">
        <v>135</v>
      </c>
      <c r="M38" t="s">
        <v>139</v>
      </c>
    </row>
    <row r="39" spans="2:13" x14ac:dyDescent="0.25">
      <c r="C39" t="s">
        <v>140</v>
      </c>
      <c r="M39" t="s">
        <v>392</v>
      </c>
    </row>
    <row r="40" spans="2:13" x14ac:dyDescent="0.25">
      <c r="D40" t="s">
        <v>142</v>
      </c>
      <c r="M40" t="s">
        <v>393</v>
      </c>
    </row>
    <row r="41" spans="2:13" x14ac:dyDescent="0.25">
      <c r="D41" t="s">
        <v>144</v>
      </c>
      <c r="E41" t="s">
        <v>145</v>
      </c>
      <c r="M41" t="s">
        <v>394</v>
      </c>
    </row>
    <row r="42" spans="2:13" x14ac:dyDescent="0.25">
      <c r="F42" t="s">
        <v>147</v>
      </c>
      <c r="M42" t="s">
        <v>395</v>
      </c>
    </row>
    <row r="43" spans="2:13" x14ac:dyDescent="0.25">
      <c r="E43" t="s">
        <v>149</v>
      </c>
      <c r="M43" t="s">
        <v>396</v>
      </c>
    </row>
    <row r="44" spans="2:13" x14ac:dyDescent="0.25">
      <c r="F44" t="s">
        <v>151</v>
      </c>
      <c r="M44" t="s">
        <v>397</v>
      </c>
    </row>
    <row r="45" spans="2:13" x14ac:dyDescent="0.25">
      <c r="M45" t="s">
        <v>398</v>
      </c>
    </row>
    <row r="46" spans="2:13" x14ac:dyDescent="0.25">
      <c r="C46" t="s">
        <v>154</v>
      </c>
      <c r="M46" t="s">
        <v>399</v>
      </c>
    </row>
    <row r="47" spans="2:13" x14ac:dyDescent="0.25">
      <c r="D47" t="s">
        <v>156</v>
      </c>
      <c r="M47" t="s">
        <v>166</v>
      </c>
    </row>
    <row r="48" spans="2:13" x14ac:dyDescent="0.25">
      <c r="D48" t="s">
        <v>158</v>
      </c>
      <c r="E48" t="s">
        <v>145</v>
      </c>
      <c r="M48" t="s">
        <v>400</v>
      </c>
    </row>
    <row r="49" spans="5:13" x14ac:dyDescent="0.25">
      <c r="F49" t="s">
        <v>160</v>
      </c>
      <c r="M49" t="s">
        <v>401</v>
      </c>
    </row>
    <row r="50" spans="5:13" x14ac:dyDescent="0.25">
      <c r="E50" t="s">
        <v>149</v>
      </c>
      <c r="M50" t="s">
        <v>402</v>
      </c>
    </row>
    <row r="51" spans="5:13" x14ac:dyDescent="0.25">
      <c r="F51" t="s">
        <v>163</v>
      </c>
      <c r="M51" t="s">
        <v>403</v>
      </c>
    </row>
    <row r="52" spans="5:13" x14ac:dyDescent="0.25">
      <c r="E52" t="s">
        <v>165</v>
      </c>
      <c r="M52" t="s">
        <v>404</v>
      </c>
    </row>
    <row r="53" spans="5:13" x14ac:dyDescent="0.25">
      <c r="F53" t="s">
        <v>167</v>
      </c>
      <c r="M53" t="s">
        <v>405</v>
      </c>
    </row>
    <row r="54" spans="5:13" x14ac:dyDescent="0.25">
      <c r="F54" t="s">
        <v>144</v>
      </c>
      <c r="M54" t="s">
        <v>173</v>
      </c>
    </row>
    <row r="55" spans="5:13" x14ac:dyDescent="0.25">
      <c r="G55" t="s">
        <v>145</v>
      </c>
      <c r="M55" t="s">
        <v>406</v>
      </c>
    </row>
    <row r="56" spans="5:13" x14ac:dyDescent="0.25">
      <c r="H56" t="s">
        <v>147</v>
      </c>
      <c r="M56" t="s">
        <v>407</v>
      </c>
    </row>
    <row r="57" spans="5:13" x14ac:dyDescent="0.25">
      <c r="G57" t="s">
        <v>149</v>
      </c>
      <c r="M57" t="s">
        <v>408</v>
      </c>
    </row>
    <row r="58" spans="5:13" x14ac:dyDescent="0.25">
      <c r="H58" t="s">
        <v>151</v>
      </c>
      <c r="M58" t="s">
        <v>409</v>
      </c>
    </row>
    <row r="59" spans="5:13" x14ac:dyDescent="0.25">
      <c r="M59" t="s">
        <v>410</v>
      </c>
    </row>
    <row r="60" spans="5:13" x14ac:dyDescent="0.25">
      <c r="M60" t="s">
        <v>411</v>
      </c>
    </row>
    <row r="62" spans="5:13" x14ac:dyDescent="0.25">
      <c r="M62" t="s">
        <v>535</v>
      </c>
    </row>
    <row r="63" spans="5:13" x14ac:dyDescent="0.25">
      <c r="M63" t="s">
        <v>521</v>
      </c>
    </row>
    <row r="64" spans="5:13" x14ac:dyDescent="0.25">
      <c r="M64" t="s">
        <v>536</v>
      </c>
    </row>
    <row r="65" spans="13:13" x14ac:dyDescent="0.25">
      <c r="M65" t="s">
        <v>537</v>
      </c>
    </row>
    <row r="66" spans="13:13" x14ac:dyDescent="0.25">
      <c r="M66" t="s">
        <v>538</v>
      </c>
    </row>
    <row r="67" spans="13:13" x14ac:dyDescent="0.25">
      <c r="M67" t="s">
        <v>539</v>
      </c>
    </row>
    <row r="68" spans="13:13" x14ac:dyDescent="0.25">
      <c r="M68" t="s">
        <v>526</v>
      </c>
    </row>
    <row r="69" spans="13:13" x14ac:dyDescent="0.25">
      <c r="M69" t="s">
        <v>527</v>
      </c>
    </row>
    <row r="70" spans="13:13" x14ac:dyDescent="0.25">
      <c r="M70" t="s">
        <v>528</v>
      </c>
    </row>
  </sheetData>
  <mergeCells count="11">
    <mergeCell ref="AQ15:AT15"/>
    <mergeCell ref="F10:F11"/>
    <mergeCell ref="T13:AE13"/>
    <mergeCell ref="AQ13:AT13"/>
    <mergeCell ref="T14:AE14"/>
    <mergeCell ref="AQ14:AT14"/>
    <mergeCell ref="F15:J15"/>
    <mergeCell ref="M15:Q15"/>
    <mergeCell ref="T15:X15"/>
    <mergeCell ref="AA15:AE15"/>
    <mergeCell ref="AI15:AM15"/>
  </mergeCells>
  <pageMargins left="0.7" right="0.7" top="0.75" bottom="0.75" header="0.3" footer="0.3"/>
  <pageSetup paperSize="9" orientation="portrait" horizontalDpi="4294967293" verticalDpi="0" r:id="rId1"/>
  <legacyDrawing r:id="rId2"/>
  <tableParts count="7">
    <tablePart r:id="rId3"/>
    <tablePart r:id="rId4"/>
    <tablePart r:id="rId5"/>
    <tablePart r:id="rId6"/>
    <tablePart r:id="rId7"/>
    <tablePart r:id="rId8"/>
    <tablePart r:id="rId9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60538-92B5-4153-8B66-6238226B350A}">
  <dimension ref="A1:AV74"/>
  <sheetViews>
    <sheetView topLeftCell="A50" workbookViewId="0">
      <selection activeCell="P66" sqref="P66"/>
    </sheetView>
  </sheetViews>
  <sheetFormatPr defaultRowHeight="15" x14ac:dyDescent="0.25"/>
  <cols>
    <col min="1" max="1" width="9.28515625" customWidth="1"/>
    <col min="5" max="5" width="2.7109375" customWidth="1"/>
    <col min="6" max="6" width="10.28515625" customWidth="1"/>
    <col min="12" max="12" width="2.140625" customWidth="1"/>
    <col min="13" max="13" width="10.28515625" customWidth="1"/>
    <col min="19" max="19" width="2" customWidth="1"/>
    <col min="20" max="20" width="9.5703125" bestFit="1" customWidth="1"/>
    <col min="21" max="21" width="10.28515625" customWidth="1"/>
    <col min="26" max="26" width="2" customWidth="1"/>
    <col min="27" max="27" width="7.7109375" customWidth="1"/>
    <col min="28" max="29" width="8.5703125" customWidth="1"/>
    <col min="30" max="30" width="9.85546875" customWidth="1"/>
    <col min="31" max="31" width="8.42578125" customWidth="1"/>
    <col min="33" max="33" width="2.140625" customWidth="1"/>
    <col min="34" max="34" width="2" customWidth="1"/>
    <col min="35" max="35" width="10" customWidth="1"/>
    <col min="39" max="39" width="10.5703125" customWidth="1"/>
    <col min="41" max="41" width="1.5703125" customWidth="1"/>
    <col min="42" max="42" width="1.140625" customWidth="1"/>
    <col min="46" max="46" width="10.7109375" customWidth="1"/>
    <col min="47" max="47" width="10.85546875" customWidth="1"/>
  </cols>
  <sheetData>
    <row r="1" spans="1:48" ht="15.75" x14ac:dyDescent="0.25">
      <c r="C1" s="80" t="s">
        <v>0</v>
      </c>
      <c r="D1">
        <f>2.79*4</f>
        <v>11.16</v>
      </c>
      <c r="F1" s="80" t="s">
        <v>71</v>
      </c>
      <c r="G1">
        <v>0.1794</v>
      </c>
      <c r="I1" s="80" t="s">
        <v>72</v>
      </c>
      <c r="J1">
        <v>0.5</v>
      </c>
      <c r="M1" s="80" t="s">
        <v>73</v>
      </c>
      <c r="N1">
        <v>1165</v>
      </c>
    </row>
    <row r="2" spans="1:48" ht="15.75" x14ac:dyDescent="0.25">
      <c r="C2" s="80" t="s">
        <v>1</v>
      </c>
      <c r="D2">
        <f>bounty</f>
        <v>0</v>
      </c>
      <c r="F2" s="80" t="s">
        <v>74</v>
      </c>
      <c r="G2">
        <v>0.22919999999999999</v>
      </c>
      <c r="I2" s="80" t="s">
        <v>75</v>
      </c>
      <c r="J2">
        <v>0.5</v>
      </c>
      <c r="M2" s="80" t="s">
        <v>76</v>
      </c>
      <c r="N2">
        <v>0</v>
      </c>
    </row>
    <row r="3" spans="1:48" ht="15.75" x14ac:dyDescent="0.25">
      <c r="C3" s="80" t="s">
        <v>77</v>
      </c>
      <c r="D3">
        <v>2000</v>
      </c>
      <c r="F3" s="80" t="s">
        <v>78</v>
      </c>
      <c r="G3">
        <v>0.59140000000000004</v>
      </c>
      <c r="M3" s="80" t="s">
        <v>79</v>
      </c>
      <c r="N3">
        <v>0</v>
      </c>
    </row>
    <row r="4" spans="1:48" ht="15.75" x14ac:dyDescent="0.25">
      <c r="F4" s="80" t="s">
        <v>80</v>
      </c>
      <c r="G4">
        <v>0</v>
      </c>
      <c r="M4" s="80" t="s">
        <v>81</v>
      </c>
      <c r="N4">
        <v>185</v>
      </c>
    </row>
    <row r="5" spans="1:48" ht="6" customHeight="1" x14ac:dyDescent="0.25"/>
    <row r="6" spans="1:48" x14ac:dyDescent="0.25">
      <c r="C6" t="s">
        <v>82</v>
      </c>
      <c r="D6" t="s">
        <v>83</v>
      </c>
    </row>
    <row r="7" spans="1:48" x14ac:dyDescent="0.25">
      <c r="C7" t="s">
        <v>84</v>
      </c>
      <c r="D7" t="s">
        <v>85</v>
      </c>
    </row>
    <row r="8" spans="1:48" x14ac:dyDescent="0.25">
      <c r="C8" t="s">
        <v>86</v>
      </c>
      <c r="D8" t="s">
        <v>87</v>
      </c>
    </row>
    <row r="9" spans="1:48" ht="6" customHeight="1" x14ac:dyDescent="0.25"/>
    <row r="10" spans="1:48" x14ac:dyDescent="0.25">
      <c r="F10" s="94" t="s">
        <v>88</v>
      </c>
      <c r="G10" s="81" t="s">
        <v>89</v>
      </c>
      <c r="H10" s="81" t="s">
        <v>90</v>
      </c>
      <c r="I10" s="81" t="s">
        <v>91</v>
      </c>
    </row>
    <row r="11" spans="1:48" ht="18.75" x14ac:dyDescent="0.3">
      <c r="F11" s="95"/>
      <c r="G11" s="81">
        <v>1</v>
      </c>
      <c r="H11" s="81">
        <v>0</v>
      </c>
      <c r="I11" s="82">
        <v>0</v>
      </c>
      <c r="J11" s="84"/>
      <c r="K11" s="84"/>
    </row>
    <row r="12" spans="1:48" ht="19.5" thickBot="1" x14ac:dyDescent="0.35">
      <c r="F12" s="84"/>
      <c r="G12" s="84"/>
      <c r="H12" s="84"/>
      <c r="I12" s="84"/>
      <c r="J12" s="84"/>
      <c r="K12" s="84"/>
      <c r="V12" t="s">
        <v>92</v>
      </c>
      <c r="AC12" t="s">
        <v>93</v>
      </c>
    </row>
    <row r="13" spans="1:48" ht="20.25" thickTop="1" thickBot="1" x14ac:dyDescent="0.35">
      <c r="F13" s="84"/>
      <c r="G13" s="84"/>
      <c r="H13" s="84"/>
      <c r="I13" s="84"/>
      <c r="J13" s="84"/>
      <c r="K13" s="84"/>
      <c r="T13" s="96" t="s">
        <v>94</v>
      </c>
      <c r="U13" s="97"/>
      <c r="V13" s="97"/>
      <c r="W13" s="97"/>
      <c r="X13" s="97"/>
      <c r="Y13" s="97"/>
      <c r="Z13" s="97"/>
      <c r="AA13" s="97"/>
      <c r="AB13" s="97"/>
      <c r="AC13" s="97"/>
      <c r="AD13" s="97"/>
      <c r="AE13" s="98"/>
      <c r="AQ13" s="96" t="s">
        <v>95</v>
      </c>
      <c r="AR13" s="97"/>
      <c r="AS13" s="97"/>
      <c r="AT13" s="97"/>
    </row>
    <row r="14" spans="1:48" ht="20.25" thickTop="1" thickBot="1" x14ac:dyDescent="0.35">
      <c r="F14" s="84"/>
      <c r="G14" s="84"/>
      <c r="H14" s="84" t="s">
        <v>96</v>
      </c>
      <c r="I14" s="84"/>
      <c r="J14" s="84"/>
      <c r="K14" s="84"/>
      <c r="O14" t="s">
        <v>97</v>
      </c>
      <c r="T14" s="96" t="s">
        <v>98</v>
      </c>
      <c r="U14" s="97"/>
      <c r="V14" s="97"/>
      <c r="W14" s="97"/>
      <c r="X14" s="97"/>
      <c r="Y14" s="97"/>
      <c r="Z14" s="97"/>
      <c r="AA14" s="97"/>
      <c r="AB14" s="97"/>
      <c r="AC14" s="97"/>
      <c r="AD14" s="97"/>
      <c r="AE14" s="98"/>
      <c r="AK14" t="s">
        <v>99</v>
      </c>
      <c r="AQ14" s="96"/>
      <c r="AR14" s="97"/>
      <c r="AS14" s="97"/>
      <c r="AT14" s="97"/>
    </row>
    <row r="15" spans="1:48" ht="19.5" thickTop="1" x14ac:dyDescent="0.3">
      <c r="F15" s="88" t="s">
        <v>100</v>
      </c>
      <c r="G15" s="89"/>
      <c r="H15" s="89"/>
      <c r="I15" s="89"/>
      <c r="J15" s="90"/>
      <c r="K15" s="84"/>
      <c r="M15" s="88" t="s">
        <v>101</v>
      </c>
      <c r="N15" s="89"/>
      <c r="O15" s="89"/>
      <c r="P15" s="89"/>
      <c r="Q15" s="90"/>
      <c r="R15" s="84"/>
      <c r="T15" s="99" t="s">
        <v>102</v>
      </c>
      <c r="U15" s="100"/>
      <c r="V15" s="100"/>
      <c r="W15" s="100"/>
      <c r="X15" s="101"/>
      <c r="Y15" s="84"/>
      <c r="AA15" s="99" t="s">
        <v>103</v>
      </c>
      <c r="AB15" s="100"/>
      <c r="AC15" s="100"/>
      <c r="AD15" s="100"/>
      <c r="AE15" s="101"/>
      <c r="AI15" s="85" t="s">
        <v>10</v>
      </c>
      <c r="AJ15" s="86"/>
      <c r="AK15" s="86"/>
      <c r="AL15" s="86"/>
      <c r="AM15" s="87"/>
      <c r="AQ15" s="91" t="s">
        <v>104</v>
      </c>
      <c r="AR15" s="92"/>
      <c r="AS15" s="92"/>
      <c r="AT15" s="93"/>
    </row>
    <row r="16" spans="1:48" x14ac:dyDescent="0.25">
      <c r="A16" t="s">
        <v>105</v>
      </c>
      <c r="B16" t="s">
        <v>12</v>
      </c>
      <c r="C16" t="s">
        <v>13</v>
      </c>
      <c r="D16" t="s">
        <v>106</v>
      </c>
      <c r="F16" s="5" t="s">
        <v>107</v>
      </c>
      <c r="G16" t="s">
        <v>12</v>
      </c>
      <c r="H16" t="s">
        <v>108</v>
      </c>
      <c r="I16" t="s">
        <v>109</v>
      </c>
      <c r="J16" s="5" t="s">
        <v>1</v>
      </c>
      <c r="K16" s="5" t="s">
        <v>110</v>
      </c>
      <c r="M16" s="5" t="s">
        <v>107</v>
      </c>
      <c r="N16" s="5" t="s">
        <v>12</v>
      </c>
      <c r="O16" s="5" t="s">
        <v>108</v>
      </c>
      <c r="P16" s="5" t="s">
        <v>109</v>
      </c>
      <c r="Q16" s="5" t="s">
        <v>1</v>
      </c>
      <c r="R16" s="5" t="s">
        <v>110</v>
      </c>
      <c r="T16" s="5" t="s">
        <v>107</v>
      </c>
      <c r="U16" s="5" t="s">
        <v>12</v>
      </c>
      <c r="V16" s="5" t="s">
        <v>108</v>
      </c>
      <c r="W16" s="5" t="s">
        <v>109</v>
      </c>
      <c r="X16" s="5" t="s">
        <v>1</v>
      </c>
      <c r="Y16" s="5" t="s">
        <v>110</v>
      </c>
      <c r="AA16" s="5" t="s">
        <v>107</v>
      </c>
      <c r="AB16" s="5" t="s">
        <v>12</v>
      </c>
      <c r="AC16" s="5" t="s">
        <v>108</v>
      </c>
      <c r="AD16" s="5" t="s">
        <v>109</v>
      </c>
      <c r="AE16" s="5" t="s">
        <v>1</v>
      </c>
      <c r="AF16" t="s">
        <v>110</v>
      </c>
      <c r="AI16" s="5" t="s">
        <v>107</v>
      </c>
      <c r="AJ16" s="5" t="s">
        <v>12</v>
      </c>
      <c r="AK16" s="5" t="s">
        <v>108</v>
      </c>
      <c r="AL16" s="5" t="s">
        <v>109</v>
      </c>
      <c r="AM16" s="5" t="s">
        <v>1</v>
      </c>
      <c r="AN16" t="s">
        <v>110</v>
      </c>
      <c r="AQ16" s="5" t="s">
        <v>109</v>
      </c>
      <c r="AR16" s="5" t="s">
        <v>1</v>
      </c>
      <c r="AS16" s="5" t="s">
        <v>104</v>
      </c>
      <c r="AT16" s="5" t="s">
        <v>111</v>
      </c>
      <c r="AU16" t="s">
        <v>112</v>
      </c>
      <c r="AV16" t="s">
        <v>113</v>
      </c>
    </row>
    <row r="17" spans="1:48" s="17" customFormat="1" x14ac:dyDescent="0.25">
      <c r="B17" s="26">
        <v>660</v>
      </c>
      <c r="C17" s="26"/>
      <c r="D17" s="26">
        <v>10</v>
      </c>
      <c r="F17" s="83">
        <f>COUNTIF(T_p1213519828996103[stack],"&gt;0")</f>
        <v>2</v>
      </c>
      <c r="G17" s="17">
        <f>IF(T_init20344818895102[[#This Row],[p]]=1,mainpot+sidepot1+sidepot2+uncalled,IF(T_init20344818895102[[#This Row],[p]]&gt;1,0,T_init20344818895102[[#This Row],[stack]]-T_init20344818895102[[#This Row],[anteblinds]]))</f>
        <v>650</v>
      </c>
      <c r="H17" s="26">
        <v>0.32500000000000001</v>
      </c>
      <c r="I17" s="18">
        <f>T_p1213519828996103[[#This Row],[EQ]]*prize</f>
        <v>3.6270000000000002</v>
      </c>
      <c r="J17" s="67">
        <f>IF(T_init20344818895102[[#This Row],[p]]=1,T_p1213519828996103[[#This Row],[players]]*T_p1213519828996103[[#This Row],[stack]]/chips+COUNTIF(T_p1213519828996103[stack],0),T_p1213519828996103[[#This Row],[players]]*T_p1213519828996103[[#This Row],[stack]]/chips)</f>
        <v>0.65</v>
      </c>
      <c r="K17" s="67">
        <f>T_p1213519828996103[[#This Row],[ICM]]+bounty*T_p1213519828996103[[#This Row],[KO]]</f>
        <v>3.6270000000000002</v>
      </c>
      <c r="M17" s="19">
        <f>COUNTIF(T_p2223625839097104[stack],"&gt;0")</f>
        <v>3</v>
      </c>
      <c r="N17" s="17">
        <f>IF(T_init20344818895102[[#This Row],[p]]=1,uncalled,IF(T_init20344818895102[[#This Row],[p]]=2,mainpot+sidepot1+sidepot2,IF(T_init20344818895102[[#This Row],[p]]&gt;2,0,T_init20344818895102[[#This Row],[stack]]-T_init20344818895102[[#This Row],[anteblinds]])))</f>
        <v>650</v>
      </c>
      <c r="O17" s="26">
        <v>0.32500000000000001</v>
      </c>
      <c r="P17" s="18">
        <f>T_p2223625839097104[[#This Row],[EQ]]*prize</f>
        <v>3.6270000000000002</v>
      </c>
      <c r="Q17" s="67">
        <f>IF(T_init20344818895102[[#This Row],[p]]=2,T_p2223625839097104[[#This Row],[players]]*T_p2223625839097104[[#This Row],[stack]]/chips+COUNTIF(T_p2223625839097104[stack],0),T_p2223625839097104[[#This Row],[players]]*T_p2223625839097104[[#This Row],[stack]]/chips)</f>
        <v>0.97499999999999998</v>
      </c>
      <c r="R17" s="67">
        <f>T_p2223625839097104[[#This Row],[ICM]]+bounty*T_p2223625839097104[[#This Row],[KO]]</f>
        <v>3.6270000000000002</v>
      </c>
      <c r="T17" s="83">
        <f>COUNTIF(T_p3p1233726849198105[stack],"&gt;0")</f>
        <v>3</v>
      </c>
      <c r="U17" s="17">
        <f>IF(T_init20344818895102[[#This Row],[p]]=1,sidepot1+uncalled,IF(T_init20344818895102[[#This Row],[p]]=3,mainpot,IF(ISBLANK(T_init20344818895102[[#This Row],[p]]),T_init20344818895102[[#This Row],[stack]]-T_init20344818895102[[#This Row],[anteblinds]],0)))</f>
        <v>650</v>
      </c>
      <c r="V17" s="26">
        <v>0.32500000000000001</v>
      </c>
      <c r="W17" s="18">
        <f>T_p3p1233726849198105[[#This Row],[EQ]]*prize</f>
        <v>3.6270000000000002</v>
      </c>
      <c r="X17" s="67">
        <f>IF(T_init20344818895102[[#This Row],[p]]=1,T_p3p1233726849198105[[#This Row],[players]]*T_p3p1233726849198105[[#This Row],[stack]]/chips+COUNTIF(T_p3p1233726849198105[stack],0),T_p3p1233726849198105[[#This Row],[players]]*T_p3p1233726849198105[[#This Row],[stack]]/chips)</f>
        <v>0.97499999999999998</v>
      </c>
      <c r="Y17" s="67">
        <f>T_p3p1233726849198105[[#This Row],[ICM]]+bounty*T_p3p1233726849198105[[#This Row],[KO]]</f>
        <v>3.6270000000000002</v>
      </c>
      <c r="AA17" s="83">
        <f>COUNTIF(T_p3p2243827859299106[stack],"&gt;0")</f>
        <v>3</v>
      </c>
      <c r="AB17" s="17">
        <f>IF(T_init20344818895102[[#This Row],[p]]=1,uncalled,IF(T_init20344818895102[[#This Row],[p]]=2,sidepot1,IF(T_init20344818895102[[#This Row],[p]]=3,mainpot,IF(ISBLANK(T_init20344818895102[[#This Row],[p]]),T_init20344818895102[[#This Row],[stack]]-T_init20344818895102[[#This Row],[anteblinds]],0))))</f>
        <v>650</v>
      </c>
      <c r="AC17" s="26">
        <v>0.32500000000000001</v>
      </c>
      <c r="AD17" s="18">
        <f>T_p3p2243827859299106[[#This Row],[EQ]]*prize</f>
        <v>3.6270000000000002</v>
      </c>
      <c r="AE17" s="67">
        <f>IF(T_init20344818895102[[#This Row],[p]]=2,T_p3p2243827859299106[[#This Row],[players]]*T_p3p2243827859299106[[#This Row],[stack]]/chips+COUNTIF(T_p3p2243827859299106[stack],0),T_p3p2243827859299106[[#This Row],[players]]*T_p3p2243827859299106[[#This Row],[stack]]/chips)</f>
        <v>0.97499999999999998</v>
      </c>
      <c r="AF17" s="67">
        <f>T_p3p2243827859299106[[#This Row],[ICM]]+bounty*T_p3p2243827859299106[[#This Row],[KO]]</f>
        <v>3.6270000000000002</v>
      </c>
      <c r="AI17" s="83">
        <v>3</v>
      </c>
      <c r="AJ17" s="17">
        <f>IF(T_init20344818895102[[#This Row],[p]]=1,uncalled,IF(T_init20344818895102[[#This Row],[p]]=2,sidepot1,IF(T_init20344818895102[[#This Row],[p]]=3,mainpot,IF(ISBLANK(T_init20344818895102[[#This Row],[p]]),T_init20344818895102[[#This Row],[stack]]-T_init20344818895102[[#This Row],[anteblinds]],0))))</f>
        <v>650</v>
      </c>
      <c r="AK17" s="26">
        <v>0.32500000000000001</v>
      </c>
      <c r="AL17" s="18">
        <f>T_fact2939288693100107[[#This Row],[EQ]]*prize</f>
        <v>3.6270000000000002</v>
      </c>
      <c r="AM17" s="67">
        <f>IF(T_init20344818895102[[#This Row],[p]]=1,T_fact2939288693100107[[#This Row],[players]]*T_fact2939288693100107[[#This Row],[stack]]/chips+COUNTIF(T_fact2939288693100107[stack],0),T_fact2939288693100107[[#This Row],[players]]*T_fact2939288693100107[[#This Row],[stack]]/chips)</f>
        <v>0.97499999999999998</v>
      </c>
      <c r="AN17" s="67">
        <f>T_fact2939288693100107[[#This Row],[ICM]]+bounty*T_fact2939288693100107[[#This Row],[KO]]</f>
        <v>3.6270000000000002</v>
      </c>
      <c r="AQ17" s="69">
        <f>'3w postflop 9c7s Ден v2'!p3win* ('3w postflop 9c7s Ден v2'!p1sp1win*T_p3p1233726849198105[[#This Row],[ICM]] + '3w postflop 9c7s Ден v2'!p2sp1win*T_p3p2243827859299106[[#This Row],[ICM]])
+'3w postflop 9c7s Ден v2'!p2win*T_p2223625839097104[[#This Row],[ICM]]
+'3w postflop 9c7s Ден v2'!p1win*T_p1213519828996103[[#This Row],[ICM]]</f>
        <v>3.6270000000000002</v>
      </c>
      <c r="AR17" s="23">
        <f>('3w postflop 9c7s Ден v2'!p3win* ('3w postflop 9c7s Ден v2'!p1sp1win*T_p3p1233726849198105[[#This Row],[KO]] + '3w postflop 9c7s Ден v2'!p2sp1win*T_p3p2243827859299106[[#This Row],[KO]])
+'3w postflop 9c7s Ден v2'!p2win*T_p2223625839097104[[#This Row],[KO]]
+'3w postflop 9c7s Ден v2'!p1win*T_p1213519828996103[[#This Row],[KO]])*bounty</f>
        <v>0</v>
      </c>
      <c r="AS17" s="69">
        <f>'3w postflop 9c7s Ден v2'!p3win* ('3w postflop 9c7s Ден v2'!p1sp1win*T_p3p1233726849198105[[#This Row],[$stack]] + '3w postflop 9c7s Ден v2'!p2sp1win*T_p3p2243827859299106[[#This Row],[$stack]])
+'3w postflop 9c7s Ден v2'!p2win*T_p2223625839097104[[#This Row],[$stack]]
+'3w postflop 9c7s Ден v2'!p1win*T_p1213519828996103[[#This Row],[$stack]]</f>
        <v>3.6270000000000002</v>
      </c>
      <c r="AT17" s="23">
        <f>'3w postflop 9c7s Ден v2'!p3win* ('3w postflop 9c7s Ден v2'!p1sp1win*T_p3p1233726849198105[[#This Row],[stack]] + '3w postflop 9c7s Ден v2'!p2sp1win*T_p3p2243827859299106[[#This Row],[stack]])
+'3w postflop 9c7s Ден v2'!p2win*T_p2223625839097104[[#This Row],[stack]]
+'3w postflop 9c7s Ден v2'!p1win*T_p1213519828996103[[#This Row],[stack]]</f>
        <v>650</v>
      </c>
      <c r="AU17" s="18">
        <f>T_EV3340308794101108[[#This Row],[chipEV]]-T_fact2939288693100107[[#This Row],[stack]]</f>
        <v>0</v>
      </c>
      <c r="AV17" s="18">
        <f>T_EV3340308794101108[[#This Row],[EV]]-(T_fact2939288693100107[[#This Row],[ICM]]+bounty*T_fact2939288693100107[[#This Row],[KO]])</f>
        <v>0</v>
      </c>
    </row>
    <row r="18" spans="1:48" x14ac:dyDescent="0.25">
      <c r="A18">
        <v>3</v>
      </c>
      <c r="B18">
        <v>385</v>
      </c>
      <c r="C18" t="s">
        <v>114</v>
      </c>
      <c r="D18">
        <v>10</v>
      </c>
      <c r="F18" s="5">
        <f>COUNTIF(T_p1213519828996103[stack],"&gt;0")</f>
        <v>2</v>
      </c>
      <c r="G18">
        <f>IF(T_init20344818895102[[#This Row],[p]]=1,mainpot+sidepot1+sidepot2+uncalled,IF(T_init20344818895102[[#This Row],[p]]&gt;1,0,T_init20344818895102[[#This Row],[stack]]-T_init20344818895102[[#This Row],[anteblinds]]))</f>
        <v>0</v>
      </c>
      <c r="I18" s="2">
        <f>T_p1213519828996103[[#This Row],[EQ]]*prize</f>
        <v>0</v>
      </c>
      <c r="J18" s="66">
        <f>IF(T_init20344818895102[[#This Row],[p]]=1,T_p1213519828996103[[#This Row],[players]]*T_p1213519828996103[[#This Row],[stack]]/chips+COUNTIF(T_p1213519828996103[stack],0),T_p1213519828996103[[#This Row],[players]]*T_p1213519828996103[[#This Row],[stack]]/chips)</f>
        <v>0</v>
      </c>
      <c r="K18" s="66">
        <f>T_p1213519828996103[[#This Row],[ICM]]+bounty*T_p1213519828996103[[#This Row],[KO]]</f>
        <v>0</v>
      </c>
      <c r="M18" s="10">
        <f>COUNTIF(T_p2223625839097104[stack],"&gt;0")</f>
        <v>3</v>
      </c>
      <c r="N18" s="26">
        <f>IF(T_init20344818895102[[#This Row],[p]]=1,uncalled,IF(T_init20344818895102[[#This Row],[p]]=2,mainpot+sidepot1+sidepot2,IF(T_init20344818895102[[#This Row],[p]]&gt;2,0,T_init20344818895102[[#This Row],[stack]]-T_init20344818895102[[#This Row],[anteblinds]])))</f>
        <v>0</v>
      </c>
      <c r="P18" s="2">
        <f>T_p2223625839097104[[#This Row],[EQ]]*prize</f>
        <v>0</v>
      </c>
      <c r="Q18" s="66">
        <f>IF(T_init20344818895102[[#This Row],[p]]=2,T_p2223625839097104[[#This Row],[players]]*T_p2223625839097104[[#This Row],[stack]]/chips+COUNTIF(T_p2223625839097104[stack],0),T_p2223625839097104[[#This Row],[players]]*T_p2223625839097104[[#This Row],[stack]]/chips)</f>
        <v>0</v>
      </c>
      <c r="R18" s="66">
        <f>T_p2223625839097104[[#This Row],[ICM]]+bounty*T_p2223625839097104[[#This Row],[KO]]</f>
        <v>0</v>
      </c>
      <c r="T18" s="5">
        <f>COUNTIF(T_p3p1233726849198105[stack],"&gt;0")</f>
        <v>3</v>
      </c>
      <c r="U18" s="26">
        <f>IF(T_init20344818895102[[#This Row],[p]]=1,sidepot1+uncalled,IF(T_init20344818895102[[#This Row],[p]]=3,mainpot,IF(ISBLANK(T_init20344818895102[[#This Row],[p]]),T_init20344818895102[[#This Row],[stack]]-T_init20344818895102[[#This Row],[anteblinds]],0)))</f>
        <v>1165</v>
      </c>
      <c r="V18">
        <v>0.58250000000000002</v>
      </c>
      <c r="W18" s="2">
        <f>T_p3p1233726849198105[[#This Row],[EQ]]*prize</f>
        <v>6.5007000000000001</v>
      </c>
      <c r="X18" s="66">
        <f>IF(T_init20344818895102[[#This Row],[p]]=1,T_p3p1233726849198105[[#This Row],[players]]*T_p3p1233726849198105[[#This Row],[stack]]/chips+COUNTIF(T_p3p1233726849198105[stack],0),T_p3p1233726849198105[[#This Row],[players]]*T_p3p1233726849198105[[#This Row],[stack]]/chips)</f>
        <v>1.7475000000000001</v>
      </c>
      <c r="Y18" s="66">
        <f>T_p3p1233726849198105[[#This Row],[ICM]]+bounty*T_p3p1233726849198105[[#This Row],[KO]]</f>
        <v>6.5007000000000001</v>
      </c>
      <c r="AA18" s="5">
        <f>COUNTIF(T_p3p2243827859299106[stack],"&gt;0")</f>
        <v>3</v>
      </c>
      <c r="AB18">
        <f>IF(T_init20344818895102[[#This Row],[p]]=1,uncalled,IF(T_init20344818895102[[#This Row],[p]]=2,sidepot1,IF(T_init20344818895102[[#This Row],[p]]=3,mainpot,IF(ISBLANK(T_init20344818895102[[#This Row],[p]]),T_init20344818895102[[#This Row],[stack]]-T_init20344818895102[[#This Row],[anteblinds]],0))))</f>
        <v>1165</v>
      </c>
      <c r="AC18">
        <v>0.58250000000000002</v>
      </c>
      <c r="AD18" s="2">
        <f>T_p3p2243827859299106[[#This Row],[EQ]]*prize</f>
        <v>6.5007000000000001</v>
      </c>
      <c r="AE18" s="66">
        <f>IF(T_init20344818895102[[#This Row],[p]]=2,T_p3p2243827859299106[[#This Row],[players]]*T_p3p2243827859299106[[#This Row],[stack]]/chips+COUNTIF(T_p3p2243827859299106[stack],0),T_p3p2243827859299106[[#This Row],[players]]*T_p3p2243827859299106[[#This Row],[stack]]/chips)</f>
        <v>1.7475000000000001</v>
      </c>
      <c r="AF18" s="16">
        <f>T_p3p2243827859299106[[#This Row],[ICM]]+bounty*T_p3p2243827859299106[[#This Row],[KO]]</f>
        <v>6.5007000000000001</v>
      </c>
      <c r="AI18" s="73">
        <v>3</v>
      </c>
      <c r="AJ18">
        <f>IF(T_init20344818895102[[#This Row],[p]]=1,uncalled,IF(T_init20344818895102[[#This Row],[p]]=2,sidepot1,IF(T_init20344818895102[[#This Row],[p]]=3,mainpot,IF(ISBLANK(T_init20344818895102[[#This Row],[p]]),T_init20344818895102[[#This Row],[stack]]-T_init20344818895102[[#This Row],[anteblinds]],0))))</f>
        <v>1165</v>
      </c>
      <c r="AK18">
        <v>0.58250000000000002</v>
      </c>
      <c r="AL18" s="2">
        <f>T_fact2939288693100107[[#This Row],[EQ]]*prize</f>
        <v>6.5007000000000001</v>
      </c>
      <c r="AM18" s="66">
        <f>IF(T_init20344818895102[[#This Row],[p]]=1,T_fact2939288693100107[[#This Row],[players]]*T_fact2939288693100107[[#This Row],[stack]]/chips+COUNTIF(T_fact2939288693100107[stack],0),T_fact2939288693100107[[#This Row],[players]]*T_fact2939288693100107[[#This Row],[stack]]/chips)</f>
        <v>1.7475000000000001</v>
      </c>
      <c r="AN18" s="16">
        <f>T_fact2939288693100107[[#This Row],[ICM]]+bounty*T_fact2939288693100107[[#This Row],[KO]]</f>
        <v>6.5007000000000001</v>
      </c>
      <c r="AQ18" s="68">
        <f>'3w postflop 9c7s Ден v2'!p3win* ('3w postflop 9c7s Ден v2'!p1sp1win*T_p3p1233726849198105[[#This Row],[ICM]] + '3w postflop 9c7s Ден v2'!p2sp1win*T_p3p2243827859299106[[#This Row],[ICM]])
+'3w postflop 9c7s Ден v2'!p2win*T_p2223625839097104[[#This Row],[ICM]]
+'3w postflop 9c7s Ден v2'!p1win*T_p1213519828996103[[#This Row],[ICM]]</f>
        <v>3.8445139800000003</v>
      </c>
      <c r="AR18" s="68">
        <f>('3w postflop 9c7s Ден v2'!p3win* ('3w postflop 9c7s Ден v2'!p1sp1win*T_p3p1233726849198105[[#This Row],[KO]] + '3w postflop 9c7s Ден v2'!p2sp1win*T_p3p2243827859299106[[#This Row],[KO]])
+'3w postflop 9c7s Ден v2'!p2win*T_p2223625839097104[[#This Row],[KO]]
+'3w postflop 9c7s Ден v2'!p1win*T_p1213519828996103[[#This Row],[KO]])*bounty</f>
        <v>0</v>
      </c>
      <c r="AS18" s="68">
        <f>'3w postflop 9c7s Ден v2'!p3win* ('3w postflop 9c7s Ден v2'!p1sp1win*T_p3p1233726849198105[[#This Row],[$stack]] + '3w postflop 9c7s Ден v2'!p2sp1win*T_p3p2243827859299106[[#This Row],[$stack]])
+'3w postflop 9c7s Ден v2'!p2win*T_p2223625839097104[[#This Row],[$stack]]
+'3w postflop 9c7s Ден v2'!p1win*T_p1213519828996103[[#This Row],[$stack]]</f>
        <v>3.8445139800000003</v>
      </c>
      <c r="AT18" s="68">
        <f>'3w postflop 9c7s Ден v2'!p3win* ('3w postflop 9c7s Ден v2'!p1sp1win*T_p3p1233726849198105[[#This Row],[stack]] + '3w postflop 9c7s Ден v2'!p2sp1win*T_p3p2243827859299106[[#This Row],[stack]])
+'3w postflop 9c7s Ден v2'!p2win*T_p2223625839097104[[#This Row],[stack]]
+'3w postflop 9c7s Ден v2'!p1win*T_p1213519828996103[[#This Row],[stack]]</f>
        <v>688.98099999999999</v>
      </c>
      <c r="AU18" s="2">
        <f>T_EV3340308794101108[[#This Row],[chipEV]]-T_fact2939288693100107[[#This Row],[stack]]</f>
        <v>-476.01900000000001</v>
      </c>
      <c r="AV18" s="2">
        <f>T_EV3340308794101108[[#This Row],[EV]]-(T_fact2939288693100107[[#This Row],[ICM]]+bounty*T_fact2939288693100107[[#This Row],[KO]])</f>
        <v>-2.6561860199999998</v>
      </c>
    </row>
    <row r="19" spans="1:48" x14ac:dyDescent="0.25">
      <c r="A19">
        <v>2</v>
      </c>
      <c r="B19">
        <v>385</v>
      </c>
      <c r="C19" s="26" t="s">
        <v>115</v>
      </c>
      <c r="D19">
        <v>35</v>
      </c>
      <c r="F19" s="5">
        <f>COUNTIF(T_p1213519828996103[stack],"&gt;0")</f>
        <v>2</v>
      </c>
      <c r="G19">
        <f>IF(T_init20344818895102[[#This Row],[p]]=1,mainpot+sidepot1+sidepot2+uncalled,IF(T_init20344818895102[[#This Row],[p]]&gt;1,0,T_init20344818895102[[#This Row],[stack]]-T_init20344818895102[[#This Row],[anteblinds]]))</f>
        <v>0</v>
      </c>
      <c r="I19" s="2">
        <f>T_p1213519828996103[[#This Row],[EQ]]*prize</f>
        <v>0</v>
      </c>
      <c r="J19" s="66">
        <f>IF(T_init20344818895102[[#This Row],[p]]=1,T_p1213519828996103[[#This Row],[players]]*T_p1213519828996103[[#This Row],[stack]]/chips+COUNTIF(T_p1213519828996103[stack],0),T_p1213519828996103[[#This Row],[players]]*T_p1213519828996103[[#This Row],[stack]]/chips)</f>
        <v>0</v>
      </c>
      <c r="K19" s="66">
        <f>T_p1213519828996103[[#This Row],[ICM]]+bounty*T_p1213519828996103[[#This Row],[KO]]</f>
        <v>0</v>
      </c>
      <c r="M19" s="10">
        <f>COUNTIF(T_p2223625839097104[stack],"&gt;0")</f>
        <v>3</v>
      </c>
      <c r="N19" s="26">
        <f>IF(T_init20344818895102[[#This Row],[p]]=1,uncalled,IF(T_init20344818895102[[#This Row],[p]]=2,mainpot+sidepot1+sidepot2,IF(T_init20344818895102[[#This Row],[p]]&gt;2,0,T_init20344818895102[[#This Row],[stack]]-T_init20344818895102[[#This Row],[anteblinds]])))</f>
        <v>1165</v>
      </c>
      <c r="O19">
        <v>0.58250000000000002</v>
      </c>
      <c r="P19" s="2">
        <f>T_p2223625839097104[[#This Row],[EQ]]*prize</f>
        <v>6.5007000000000001</v>
      </c>
      <c r="Q19" s="66">
        <f>IF(T_init20344818895102[[#This Row],[p]]=2,T_p2223625839097104[[#This Row],[players]]*T_p2223625839097104[[#This Row],[stack]]/chips+COUNTIF(T_p2223625839097104[stack],0),T_p2223625839097104[[#This Row],[players]]*T_p2223625839097104[[#This Row],[stack]]/chips)</f>
        <v>4.7475000000000005</v>
      </c>
      <c r="R19" s="66">
        <f>T_p2223625839097104[[#This Row],[ICM]]+bounty*T_p2223625839097104[[#This Row],[KO]]</f>
        <v>6.5007000000000001</v>
      </c>
      <c r="T19" s="5">
        <f>COUNTIF(T_p3p1233726849198105[stack],"&gt;0")</f>
        <v>3</v>
      </c>
      <c r="U19" s="26">
        <f>IF(T_init20344818895102[[#This Row],[p]]=1,sidepot1+uncalled,IF(T_init20344818895102[[#This Row],[p]]=3,mainpot,IF(ISBLANK(T_init20344818895102[[#This Row],[p]]),T_init20344818895102[[#This Row],[stack]]-T_init20344818895102[[#This Row],[anteblinds]],0)))</f>
        <v>0</v>
      </c>
      <c r="W19" s="2">
        <f>T_p3p1233726849198105[[#This Row],[EQ]]*prize</f>
        <v>0</v>
      </c>
      <c r="X19" s="66">
        <f>IF(T_init20344818895102[[#This Row],[p]]=1,T_p3p1233726849198105[[#This Row],[players]]*T_p3p1233726849198105[[#This Row],[stack]]/chips+COUNTIF(T_p3p1233726849198105[stack],0),T_p3p1233726849198105[[#This Row],[players]]*T_p3p1233726849198105[[#This Row],[stack]]/chips)</f>
        <v>0</v>
      </c>
      <c r="Y19" s="66">
        <f>T_p3p1233726849198105[[#This Row],[ICM]]+bounty*T_p3p1233726849198105[[#This Row],[KO]]</f>
        <v>0</v>
      </c>
      <c r="AA19" s="5">
        <f>COUNTIF(T_p3p2243827859299106[stack],"&gt;0")</f>
        <v>3</v>
      </c>
      <c r="AB19">
        <f>IF(T_init20344818895102[[#This Row],[p]]=1,uncalled,IF(T_init20344818895102[[#This Row],[p]]=2,sidepot1,IF(T_init20344818895102[[#This Row],[p]]=3,mainpot,IF(ISBLANK(T_init20344818895102[[#This Row],[p]]),T_init20344818895102[[#This Row],[stack]]-T_init20344818895102[[#This Row],[anteblinds]],0))))</f>
        <v>0</v>
      </c>
      <c r="AD19" s="2">
        <f>T_p3p2243827859299106[[#This Row],[EQ]]*prize</f>
        <v>0</v>
      </c>
      <c r="AE19" s="66">
        <f>IF(T_init20344818895102[[#This Row],[p]]=2,T_p3p2243827859299106[[#This Row],[players]]*T_p3p2243827859299106[[#This Row],[stack]]/chips+COUNTIF(T_p3p2243827859299106[stack],0),T_p3p2243827859299106[[#This Row],[players]]*T_p3p2243827859299106[[#This Row],[stack]]/chips)</f>
        <v>3</v>
      </c>
      <c r="AF19" s="16">
        <f>T_p3p2243827859299106[[#This Row],[ICM]]+bounty*T_p3p2243827859299106[[#This Row],[KO]]</f>
        <v>0</v>
      </c>
      <c r="AI19" s="73">
        <v>3</v>
      </c>
      <c r="AJ19">
        <f>IF(T_init20344818895102[[#This Row],[p]]=1,uncalled,IF(T_init20344818895102[[#This Row],[p]]=2,sidepot1,IF(T_init20344818895102[[#This Row],[p]]=3,mainpot,IF(ISBLANK(T_init20344818895102[[#This Row],[p]]),T_init20344818895102[[#This Row],[stack]]-T_init20344818895102[[#This Row],[anteblinds]],0))))</f>
        <v>0</v>
      </c>
      <c r="AL19" s="2">
        <f>T_fact2939288693100107[[#This Row],[EQ]]*prize</f>
        <v>0</v>
      </c>
      <c r="AM19" s="66">
        <f>IF(T_init20344818895102[[#This Row],[p]]=1,T_fact2939288693100107[[#This Row],[players]]*T_fact2939288693100107[[#This Row],[stack]]/chips+COUNTIF(T_fact2939288693100107[stack],0),T_fact2939288693100107[[#This Row],[players]]*T_fact2939288693100107[[#This Row],[stack]]/chips)</f>
        <v>0</v>
      </c>
      <c r="AN19" s="16">
        <f>T_fact2939288693100107[[#This Row],[ICM]]+bounty*T_fact2939288693100107[[#This Row],[KO]]</f>
        <v>0</v>
      </c>
      <c r="AQ19" s="68">
        <f>'3w postflop 9c7s Ден v2'!p3win* ('3w postflop 9c7s Ден v2'!p1sp1win*T_p3p1233726849198105[[#This Row],[ICM]] + '3w postflop 9c7s Ден v2'!p2sp1win*T_p3p2243827859299106[[#This Row],[ICM]])
+'3w postflop 9c7s Ден v2'!p2win*T_p2223625839097104[[#This Row],[ICM]]
+'3w postflop 9c7s Ден v2'!p1win*T_p1213519828996103[[#This Row],[ICM]]</f>
        <v>1.4899604399999999</v>
      </c>
      <c r="AR19" s="68">
        <f>('3w postflop 9c7s Ден v2'!p3win* ('3w postflop 9c7s Ден v2'!p1sp1win*T_p3p1233726849198105[[#This Row],[KO]] + '3w postflop 9c7s Ден v2'!p2sp1win*T_p3p2243827859299106[[#This Row],[KO]])
+'3w postflop 9c7s Ден v2'!p2win*T_p2223625839097104[[#This Row],[KO]]
+'3w postflop 9c7s Ден v2'!p1win*T_p1213519828996103[[#This Row],[KO]])*bounty</f>
        <v>0</v>
      </c>
      <c r="AS19" s="68">
        <f>'3w postflop 9c7s Ден v2'!p3win* ('3w postflop 9c7s Ден v2'!p1sp1win*T_p3p1233726849198105[[#This Row],[$stack]] + '3w postflop 9c7s Ден v2'!p2sp1win*T_p3p2243827859299106[[#This Row],[$stack]])
+'3w postflop 9c7s Ден v2'!p2win*T_p2223625839097104[[#This Row],[$stack]]
+'3w postflop 9c7s Ден v2'!p1win*T_p1213519828996103[[#This Row],[$stack]]</f>
        <v>1.4899604399999999</v>
      </c>
      <c r="AT19" s="68">
        <f>'3w postflop 9c7s Ден v2'!p3win* ('3w postflop 9c7s Ден v2'!p1sp1win*T_p3p1233726849198105[[#This Row],[stack]] + '3w postflop 9c7s Ден v2'!p2sp1win*T_p3p2243827859299106[[#This Row],[stack]])
+'3w postflop 9c7s Ден v2'!p2win*T_p2223625839097104[[#This Row],[stack]]
+'3w postflop 9c7s Ден v2'!p1win*T_p1213519828996103[[#This Row],[stack]]</f>
        <v>267.01799999999997</v>
      </c>
      <c r="AU19" s="2">
        <f>T_EV3340308794101108[[#This Row],[chipEV]]-T_fact2939288693100107[[#This Row],[stack]]</f>
        <v>267.01799999999997</v>
      </c>
      <c r="AV19" s="2">
        <f>T_EV3340308794101108[[#This Row],[EV]]-(T_fact2939288693100107[[#This Row],[ICM]]+bounty*T_fact2939288693100107[[#This Row],[KO]])</f>
        <v>1.4899604399999999</v>
      </c>
    </row>
    <row r="20" spans="1:48" x14ac:dyDescent="0.25">
      <c r="A20" s="26">
        <v>1</v>
      </c>
      <c r="B20" s="26">
        <v>570</v>
      </c>
      <c r="C20" t="s">
        <v>116</v>
      </c>
      <c r="D20" s="26">
        <v>60</v>
      </c>
      <c r="F20" s="73">
        <f>COUNTIF(T_p1213519828996103[stack],"&gt;0")</f>
        <v>2</v>
      </c>
      <c r="G20" s="26">
        <f>IF(T_init20344818895102[[#This Row],[p]]=1,mainpot+sidepot1+sidepot2+uncalled,IF(T_init20344818895102[[#This Row],[p]]&gt;1,0,T_init20344818895102[[#This Row],[stack]]-T_init20344818895102[[#This Row],[anteblinds]]))</f>
        <v>1350</v>
      </c>
      <c r="H20">
        <v>0.67500000000000004</v>
      </c>
      <c r="I20" s="27">
        <f>T_p1213519828996103[[#This Row],[EQ]]*prize</f>
        <v>7.5330000000000004</v>
      </c>
      <c r="J20" s="71">
        <f>IF(T_init20344818895102[[#This Row],[p]]=1,T_p1213519828996103[[#This Row],[players]]*T_p1213519828996103[[#This Row],[stack]]/chips+COUNTIF(T_p1213519828996103[stack],0),T_p1213519828996103[[#This Row],[players]]*T_p1213519828996103[[#This Row],[stack]]/chips)</f>
        <v>5.35</v>
      </c>
      <c r="K20" s="71">
        <f>T_p1213519828996103[[#This Row],[ICM]]+bounty*T_p1213519828996103[[#This Row],[KO]]</f>
        <v>7.5330000000000004</v>
      </c>
      <c r="M20" s="29">
        <f>COUNTIF(T_p2223625839097104[stack],"&gt;0")</f>
        <v>3</v>
      </c>
      <c r="N20" s="26">
        <f>IF(T_init20344818895102[[#This Row],[p]]=1,uncalled,IF(T_init20344818895102[[#This Row],[p]]=2,mainpot+sidepot1+sidepot2,IF(T_init20344818895102[[#This Row],[p]]&gt;2,0,T_init20344818895102[[#This Row],[stack]]-T_init20344818895102[[#This Row],[anteblinds]])))</f>
        <v>185</v>
      </c>
      <c r="O20" s="26">
        <v>9.2499999999999999E-2</v>
      </c>
      <c r="P20" s="27">
        <f>T_p2223625839097104[[#This Row],[EQ]]*prize</f>
        <v>1.0323</v>
      </c>
      <c r="Q20" s="71">
        <f>IF(T_init20344818895102[[#This Row],[p]]=2,T_p2223625839097104[[#This Row],[players]]*T_p2223625839097104[[#This Row],[stack]]/chips+COUNTIF(T_p2223625839097104[stack],0),T_p2223625839097104[[#This Row],[players]]*T_p2223625839097104[[#This Row],[stack]]/chips)</f>
        <v>0.27750000000000002</v>
      </c>
      <c r="R20" s="71">
        <f>T_p2223625839097104[[#This Row],[ICM]]+bounty*T_p2223625839097104[[#This Row],[KO]]</f>
        <v>1.0323</v>
      </c>
      <c r="T20" s="73">
        <f>COUNTIF(T_p3p1233726849198105[stack],"&gt;0")</f>
        <v>3</v>
      </c>
      <c r="U20" s="26">
        <f>IF(T_init20344818895102[[#This Row],[p]]=1,sidepot1+uncalled,IF(T_init20344818895102[[#This Row],[p]]=3,mainpot,IF(ISBLANK(T_init20344818895102[[#This Row],[p]]),T_init20344818895102[[#This Row],[stack]]-T_init20344818895102[[#This Row],[anteblinds]],0)))</f>
        <v>185</v>
      </c>
      <c r="V20" s="26">
        <v>9.2499999999999999E-2</v>
      </c>
      <c r="W20" s="27">
        <f>T_p3p1233726849198105[[#This Row],[EQ]]*prize</f>
        <v>1.0323</v>
      </c>
      <c r="X20" s="71">
        <f>IF(T_init20344818895102[[#This Row],[p]]=1,T_p3p1233726849198105[[#This Row],[players]]*T_p3p1233726849198105[[#This Row],[stack]]/chips+COUNTIF(T_p3p1233726849198105[stack],0),T_p3p1233726849198105[[#This Row],[players]]*T_p3p1233726849198105[[#This Row],[stack]]/chips)</f>
        <v>3.2774999999999999</v>
      </c>
      <c r="Y20" s="71">
        <f>T_p3p1233726849198105[[#This Row],[ICM]]+bounty*T_p3p1233726849198105[[#This Row],[KO]]</f>
        <v>1.0323</v>
      </c>
      <c r="AA20" s="73">
        <f>COUNTIF(T_p3p2243827859299106[stack],"&gt;0")</f>
        <v>3</v>
      </c>
      <c r="AB20" s="26">
        <f>IF(T_init20344818895102[[#This Row],[p]]=1,uncalled,IF(T_init20344818895102[[#This Row],[p]]=2,sidepot1,IF(T_init20344818895102[[#This Row],[p]]=3,mainpot,IF(ISBLANK(T_init20344818895102[[#This Row],[p]]),T_init20344818895102[[#This Row],[stack]]-T_init20344818895102[[#This Row],[anteblinds]],0))))</f>
        <v>185</v>
      </c>
      <c r="AC20" s="26">
        <v>9.2499999999999999E-2</v>
      </c>
      <c r="AD20" s="27">
        <f>T_p3p2243827859299106[[#This Row],[EQ]]*prize</f>
        <v>1.0323</v>
      </c>
      <c r="AE20" s="71">
        <f>IF(T_init20344818895102[[#This Row],[p]]=2,T_p3p2243827859299106[[#This Row],[players]]*T_p3p2243827859299106[[#This Row],[stack]]/chips+COUNTIF(T_p3p2243827859299106[stack],0),T_p3p2243827859299106[[#This Row],[players]]*T_p3p2243827859299106[[#This Row],[stack]]/chips)</f>
        <v>0.27750000000000002</v>
      </c>
      <c r="AF20" s="16">
        <f>T_p3p2243827859299106[[#This Row],[ICM]]+bounty*T_p3p2243827859299106[[#This Row],[KO]]</f>
        <v>1.0323</v>
      </c>
      <c r="AI20" s="73">
        <v>3</v>
      </c>
      <c r="AJ20" s="26">
        <f>IF(T_init20344818895102[[#This Row],[p]]=1,uncalled,IF(T_init20344818895102[[#This Row],[p]]=2,sidepot1,IF(T_init20344818895102[[#This Row],[p]]=3,mainpot,IF(ISBLANK(T_init20344818895102[[#This Row],[p]]),T_init20344818895102[[#This Row],[stack]]-T_init20344818895102[[#This Row],[anteblinds]],0))))</f>
        <v>185</v>
      </c>
      <c r="AK20" s="26">
        <v>9.2499999999999999E-2</v>
      </c>
      <c r="AL20" s="27">
        <f>T_fact2939288693100107[[#This Row],[EQ]]*prize</f>
        <v>1.0323</v>
      </c>
      <c r="AM20" s="71">
        <f>IF(T_init20344818895102[[#This Row],[p]]=1,T_fact2939288693100107[[#This Row],[players]]*T_fact2939288693100107[[#This Row],[stack]]/chips+COUNTIF(T_fact2939288693100107[stack],0),T_fact2939288693100107[[#This Row],[players]]*T_fact2939288693100107[[#This Row],[stack]]/chips)</f>
        <v>3.2774999999999999</v>
      </c>
      <c r="AN20" s="16">
        <f>T_fact2939288693100107[[#This Row],[ICM]]+bounty*T_fact2939288693100107[[#This Row],[KO]]</f>
        <v>1.0323</v>
      </c>
      <c r="AQ20" s="68">
        <f>'3w postflop 9c7s Ден v2'!p3win* ('3w postflop 9c7s Ден v2'!p1sp1win*T_p3p1233726849198105[[#This Row],[ICM]] + '3w postflop 9c7s Ден v2'!p2sp1win*T_p3p2243827859299106[[#This Row],[ICM]])
+'3w postflop 9c7s Ден v2'!p2win*T_p2223625839097104[[#This Row],[ICM]]
+'3w postflop 9c7s Ден v2'!p1win*T_p1213519828996103[[#This Row],[ICM]]</f>
        <v>2.1985255800000001</v>
      </c>
      <c r="AR20" s="72">
        <f>('3w postflop 9c7s Ден v2'!p3win* ('3w postflop 9c7s Ден v2'!p1sp1win*T_p3p1233726849198105[[#This Row],[KO]] + '3w postflop 9c7s Ден v2'!p2sp1win*T_p3p2243827859299106[[#This Row],[KO]])
+'3w postflop 9c7s Ден v2'!p2win*T_p2223625839097104[[#This Row],[KO]]
+'3w postflop 9c7s Ден v2'!p1win*T_p1213519828996103[[#This Row],[KO]])*bounty</f>
        <v>0</v>
      </c>
      <c r="AS20" s="72">
        <f>'3w postflop 9c7s Ден v2'!p3win* ('3w postflop 9c7s Ден v2'!p1sp1win*T_p3p1233726849198105[[#This Row],[$stack]] + '3w postflop 9c7s Ден v2'!p2sp1win*T_p3p2243827859299106[[#This Row],[$stack]])
+'3w postflop 9c7s Ден v2'!p2win*T_p2223625839097104[[#This Row],[$stack]]
+'3w postflop 9c7s Ден v2'!p1win*T_p1213519828996103[[#This Row],[$stack]]</f>
        <v>2.1985255800000001</v>
      </c>
      <c r="AT20" s="72">
        <f>'3w postflop 9c7s Ден v2'!p3win* ('3w postflop 9c7s Ден v2'!p1sp1win*T_p3p1233726849198105[[#This Row],[stack]] + '3w postflop 9c7s Ден v2'!p2sp1win*T_p3p2243827859299106[[#This Row],[stack]])
+'3w postflop 9c7s Ден v2'!p2win*T_p2223625839097104[[#This Row],[stack]]
+'3w postflop 9c7s Ден v2'!p1win*T_p1213519828996103[[#This Row],[stack]]</f>
        <v>394.00099999999998</v>
      </c>
      <c r="AU20" s="2">
        <f>T_EV3340308794101108[[#This Row],[chipEV]]-T_fact2939288693100107[[#This Row],[stack]]</f>
        <v>209.00099999999998</v>
      </c>
      <c r="AV20" s="2">
        <f>T_EV3340308794101108[[#This Row],[EV]]-(T_fact2939288693100107[[#This Row],[ICM]]+bounty*T_fact2939288693100107[[#This Row],[KO]])</f>
        <v>1.1662255800000001</v>
      </c>
    </row>
    <row r="21" spans="1:48" x14ac:dyDescent="0.25">
      <c r="B21">
        <v>0</v>
      </c>
      <c r="F21" s="5">
        <f>COUNTIF(T_p1213519828996103[stack],"&gt;0")</f>
        <v>2</v>
      </c>
      <c r="G21">
        <f>IF(T_init20344818895102[[#This Row],[p]]=1,mainpot+sidepot1+sidepot2+uncalled,IF(T_init20344818895102[[#This Row],[p]]&gt;1,0,T_init20344818895102[[#This Row],[stack]]-T_init20344818895102[[#This Row],[anteblinds]]))</f>
        <v>0</v>
      </c>
      <c r="I21" s="2">
        <f>T_p1213519828996103[[#This Row],[EQ]]*prize</f>
        <v>0</v>
      </c>
      <c r="J21" s="66">
        <f>IF(T_init20344818895102[[#This Row],[p]]=1,T_p1213519828996103[[#This Row],[players]]*T_p1213519828996103[[#This Row],[stack]]/chips+COUNTIF(T_p1213519828996103[stack],0),T_p1213519828996103[[#This Row],[players]]*T_p1213519828996103[[#This Row],[stack]]/chips)</f>
        <v>0</v>
      </c>
      <c r="K21" s="66">
        <f>T_p1213519828996103[[#This Row],[ICM]]+bounty*T_p1213519828996103[[#This Row],[KO]]</f>
        <v>0</v>
      </c>
      <c r="M21" s="10">
        <f>COUNTIF(T_p2223625839097104[stack],"&gt;0")</f>
        <v>3</v>
      </c>
      <c r="N21" s="26">
        <f>IF(T_init20344818895102[[#This Row],[p]]=1,uncalled,IF(T_init20344818895102[[#This Row],[p]]=2,mainpot+sidepot1+sidepot2,IF(T_init20344818895102[[#This Row],[p]]&gt;2,0,T_init20344818895102[[#This Row],[stack]]-T_init20344818895102[[#This Row],[anteblinds]])))</f>
        <v>0</v>
      </c>
      <c r="O21">
        <v>0</v>
      </c>
      <c r="P21" s="2">
        <f>T_p2223625839097104[[#This Row],[EQ]]*prize</f>
        <v>0</v>
      </c>
      <c r="Q21" s="66">
        <f>IF(T_init20344818895102[[#This Row],[p]]=2,T_p2223625839097104[[#This Row],[players]]*T_p2223625839097104[[#This Row],[stack]]/chips+COUNTIF(T_p2223625839097104[stack],0),T_p2223625839097104[[#This Row],[players]]*T_p2223625839097104[[#This Row],[stack]]/chips)</f>
        <v>0</v>
      </c>
      <c r="R21" s="66">
        <f>T_p2223625839097104[[#This Row],[ICM]]+bounty*T_p2223625839097104[[#This Row],[KO]]</f>
        <v>0</v>
      </c>
      <c r="T21" s="5">
        <f>COUNTIF(T_p3p1233726849198105[stack],"&gt;0")</f>
        <v>3</v>
      </c>
      <c r="U21" s="26">
        <f>IF(T_init20344818895102[[#This Row],[p]]=1,sidepot1+uncalled,IF(T_init20344818895102[[#This Row],[p]]=3,mainpot,IF(ISBLANK(T_init20344818895102[[#This Row],[p]]),T_init20344818895102[[#This Row],[stack]]-T_init20344818895102[[#This Row],[anteblinds]],0)))</f>
        <v>0</v>
      </c>
      <c r="V21">
        <v>0</v>
      </c>
      <c r="W21" s="2">
        <f>T_p3p1233726849198105[[#This Row],[EQ]]*prize</f>
        <v>0</v>
      </c>
      <c r="X21" s="66">
        <f>IF(T_init20344818895102[[#This Row],[p]]=1,T_p3p1233726849198105[[#This Row],[players]]*T_p3p1233726849198105[[#This Row],[stack]]/chips+COUNTIF(T_p3p1233726849198105[stack],0),T_p3p1233726849198105[[#This Row],[players]]*T_p3p1233726849198105[[#This Row],[stack]]/chips)</f>
        <v>0</v>
      </c>
      <c r="Y21" s="66">
        <f>T_p3p1233726849198105[[#This Row],[ICM]]+bounty*T_p3p1233726849198105[[#This Row],[KO]]</f>
        <v>0</v>
      </c>
      <c r="AA21" s="5">
        <f>COUNTIF(T_p3p2243827859299106[stack],"&gt;0")</f>
        <v>3</v>
      </c>
      <c r="AB21">
        <f>IF(T_init20344818895102[[#This Row],[p]]=1,uncalled,IF(T_init20344818895102[[#This Row],[p]]=2,sidepot1,IF(T_init20344818895102[[#This Row],[p]]=3,mainpot,IF(ISBLANK(T_init20344818895102[[#This Row],[p]]),T_init20344818895102[[#This Row],[stack]]-T_init20344818895102[[#This Row],[anteblinds]],0))))</f>
        <v>0</v>
      </c>
      <c r="AC21">
        <v>0</v>
      </c>
      <c r="AD21" s="2">
        <f>T_p3p2243827859299106[[#This Row],[EQ]]*prize</f>
        <v>0</v>
      </c>
      <c r="AE21" s="66">
        <f>IF(T_init20344818895102[[#This Row],[p]]=2,T_p3p2243827859299106[[#This Row],[players]]*T_p3p2243827859299106[[#This Row],[stack]]/chips+COUNTIF(T_p3p2243827859299106[stack],0),T_p3p2243827859299106[[#This Row],[players]]*T_p3p2243827859299106[[#This Row],[stack]]/chips)</f>
        <v>0</v>
      </c>
      <c r="AF21" s="16">
        <f>T_p3p2243827859299106[[#This Row],[ICM]]+bounty*T_p3p2243827859299106[[#This Row],[KO]]</f>
        <v>0</v>
      </c>
      <c r="AI21" s="73">
        <v>3</v>
      </c>
      <c r="AJ21" s="26">
        <v>0</v>
      </c>
      <c r="AL21" s="2">
        <f>T_fact2939288693100107[[#This Row],[EQ]]*prize</f>
        <v>0</v>
      </c>
      <c r="AM21" s="66">
        <f>IF(T_init20344818895102[[#This Row],[p]]=1,T_fact2939288693100107[[#This Row],[players]]*T_fact2939288693100107[[#This Row],[stack]]/chips+COUNTIF(T_fact2939288693100107[stack],0),T_fact2939288693100107[[#This Row],[players]]*T_fact2939288693100107[[#This Row],[stack]]/chips)</f>
        <v>0</v>
      </c>
      <c r="AN21" s="16">
        <f>T_fact2939288693100107[[#This Row],[ICM]]+bounty*T_fact2939288693100107[[#This Row],[KO]]</f>
        <v>0</v>
      </c>
      <c r="AQ21" s="68">
        <f>'3w postflop 9c7s Ден v2'!p3win* ('3w postflop 9c7s Ден v2'!p1sp1win*T_p3p1233726849198105[[#This Row],[ICM]] + '3w postflop 9c7s Ден v2'!p2sp1win*T_p3p2243827859299106[[#This Row],[ICM]])
+'3w postflop 9c7s Ден v2'!p2win*T_p2223625839097104[[#This Row],[ICM]]
+'3w postflop 9c7s Ден v2'!p1win*T_p1213519828996103[[#This Row],[ICM]]</f>
        <v>0</v>
      </c>
      <c r="AR21" s="68">
        <f>('3w postflop 9c7s Ден v2'!p3win* ('3w postflop 9c7s Ден v2'!p1sp1win*T_p3p1233726849198105[[#This Row],[KO]] + '3w postflop 9c7s Ден v2'!p2sp1win*T_p3p2243827859299106[[#This Row],[KO]])
+'3w postflop 9c7s Ден v2'!p2win*T_p2223625839097104[[#This Row],[KO]]
+'3w postflop 9c7s Ден v2'!p1win*T_p1213519828996103[[#This Row],[KO]])*bounty</f>
        <v>0</v>
      </c>
      <c r="AS21" s="68">
        <f>'3w postflop 9c7s Ден v2'!p3win* ('3w postflop 9c7s Ден v2'!p1sp1win*T_p3p1233726849198105[[#This Row],[$stack]] + '3w postflop 9c7s Ден v2'!p2sp1win*T_p3p2243827859299106[[#This Row],[$stack]])
+'3w postflop 9c7s Ден v2'!p2win*T_p2223625839097104[[#This Row],[$stack]]
+'3w postflop 9c7s Ден v2'!p1win*T_p1213519828996103[[#This Row],[$stack]]</f>
        <v>0</v>
      </c>
      <c r="AT21" s="68">
        <f>'3w postflop 9c7s Ден v2'!p3win* ('3w postflop 9c7s Ден v2'!p1sp1win*T_p3p1233726849198105[[#This Row],[stack]] + '3w postflop 9c7s Ден v2'!p2sp1win*T_p3p2243827859299106[[#This Row],[stack]])
+'3w postflop 9c7s Ден v2'!p2win*T_p2223625839097104[[#This Row],[stack]]
+'3w postflop 9c7s Ден v2'!p1win*T_p1213519828996103[[#This Row],[stack]]</f>
        <v>0</v>
      </c>
      <c r="AU21" s="2">
        <f>T_EV3340308794101108[[#This Row],[chipEV]]-T_fact2939288693100107[[#This Row],[stack]]</f>
        <v>0</v>
      </c>
      <c r="AV21" s="2">
        <f>T_EV3340308794101108[[#This Row],[EV]]-(T_fact2939288693100107[[#This Row],[ICM]]+bounty*T_fact2939288693100107[[#This Row],[KO]])</f>
        <v>0</v>
      </c>
    </row>
    <row r="22" spans="1:48" x14ac:dyDescent="0.25">
      <c r="B22">
        <v>0</v>
      </c>
      <c r="F22" s="5">
        <f>COUNTIF(T_p1213519828996103[stack],"&gt;0")</f>
        <v>2</v>
      </c>
      <c r="G22">
        <f>IF(T_init20344818895102[[#This Row],[p]]=1,mainpot+sidepot1+sidepot2+uncalled,IF(T_init20344818895102[[#This Row],[p]]&gt;1,0,T_init20344818895102[[#This Row],[stack]]-T_init20344818895102[[#This Row],[anteblinds]]))</f>
        <v>0</v>
      </c>
      <c r="I22" s="2">
        <f>T_p1213519828996103[[#This Row],[EQ]]*prize</f>
        <v>0</v>
      </c>
      <c r="J22" s="66">
        <f>IF(T_init20344818895102[[#This Row],[p]]=1,T_p1213519828996103[[#This Row],[players]]*T_p1213519828996103[[#This Row],[stack]]/chips+COUNTIF(T_p1213519828996103[stack],0),T_p1213519828996103[[#This Row],[players]]*T_p1213519828996103[[#This Row],[stack]]/chips)</f>
        <v>0</v>
      </c>
      <c r="K22" s="66">
        <f>T_p1213519828996103[[#This Row],[ICM]]+bounty*T_p1213519828996103[[#This Row],[KO]]</f>
        <v>0</v>
      </c>
      <c r="M22" s="10">
        <f>COUNTIF(T_p2223625839097104[stack],"&gt;0")</f>
        <v>3</v>
      </c>
      <c r="N22" s="26">
        <f>IF(T_init20344818895102[[#This Row],[p]]=1,uncalled,IF(T_init20344818895102[[#This Row],[p]]=2,mainpot+sidepot1+sidepot2,IF(T_init20344818895102[[#This Row],[p]]&gt;2,0,T_init20344818895102[[#This Row],[stack]]-T_init20344818895102[[#This Row],[anteblinds]])))</f>
        <v>0</v>
      </c>
      <c r="P22" s="2">
        <f>T_p2223625839097104[[#This Row],[EQ]]*prize</f>
        <v>0</v>
      </c>
      <c r="Q22" s="66">
        <f>IF(T_init20344818895102[[#This Row],[p]]=2,T_p2223625839097104[[#This Row],[players]]*T_p2223625839097104[[#This Row],[stack]]/chips+COUNTIF(T_p2223625839097104[stack],0),T_p2223625839097104[[#This Row],[players]]*T_p2223625839097104[[#This Row],[stack]]/chips)</f>
        <v>0</v>
      </c>
      <c r="R22" s="66">
        <f>T_p2223625839097104[[#This Row],[ICM]]+bounty*T_p2223625839097104[[#This Row],[KO]]</f>
        <v>0</v>
      </c>
      <c r="T22" s="5">
        <f>COUNTIF(T_p3p1233726849198105[stack],"&gt;0")</f>
        <v>3</v>
      </c>
      <c r="U22" s="26">
        <f>IF(T_init20344818895102[[#This Row],[p]]=1,sidepot1+uncalled,IF(T_init20344818895102[[#This Row],[p]]=3,mainpot,IF(ISBLANK(T_init20344818895102[[#This Row],[p]]),T_init20344818895102[[#This Row],[stack]]-T_init20344818895102[[#This Row],[anteblinds]],0)))</f>
        <v>0</v>
      </c>
      <c r="V22">
        <v>0</v>
      </c>
      <c r="W22" s="2">
        <f>T_p3p1233726849198105[[#This Row],[EQ]]*prize</f>
        <v>0</v>
      </c>
      <c r="X22" s="66">
        <f>IF(T_init20344818895102[[#This Row],[p]]=1,T_p3p1233726849198105[[#This Row],[players]]*T_p3p1233726849198105[[#This Row],[stack]]/chips+COUNTIF(T_p3p1233726849198105[stack],0),T_p3p1233726849198105[[#This Row],[players]]*T_p3p1233726849198105[[#This Row],[stack]]/chips)</f>
        <v>0</v>
      </c>
      <c r="Y22" s="66">
        <f>T_p3p1233726849198105[[#This Row],[ICM]]+bounty*T_p3p1233726849198105[[#This Row],[KO]]</f>
        <v>0</v>
      </c>
      <c r="AA22" s="5">
        <f>COUNTIF(T_p3p2243827859299106[stack],"&gt;0")</f>
        <v>3</v>
      </c>
      <c r="AB22">
        <f>IF(T_init20344818895102[[#This Row],[p]]=1,uncalled,IF(T_init20344818895102[[#This Row],[p]]=2,sidepot1,IF(T_init20344818895102[[#This Row],[p]]=3,mainpot,IF(ISBLANK(T_init20344818895102[[#This Row],[p]]),T_init20344818895102[[#This Row],[stack]]-T_init20344818895102[[#This Row],[anteblinds]],0))))</f>
        <v>0</v>
      </c>
      <c r="AC22">
        <v>0</v>
      </c>
      <c r="AD22" s="2">
        <f>T_p3p2243827859299106[[#This Row],[EQ]]*prize</f>
        <v>0</v>
      </c>
      <c r="AE22" s="66">
        <f>IF(T_init20344818895102[[#This Row],[p]]=2,T_p3p2243827859299106[[#This Row],[players]]*T_p3p2243827859299106[[#This Row],[stack]]/chips+COUNTIF(T_p3p2243827859299106[stack],0),T_p3p2243827859299106[[#This Row],[players]]*T_p3p2243827859299106[[#This Row],[stack]]/chips)</f>
        <v>0</v>
      </c>
      <c r="AF22" s="16">
        <f>T_p3p2243827859299106[[#This Row],[ICM]]+bounty*T_p3p2243827859299106[[#This Row],[KO]]</f>
        <v>0</v>
      </c>
      <c r="AI22" s="73">
        <v>3</v>
      </c>
      <c r="AJ22" s="26">
        <v>0</v>
      </c>
      <c r="AL22" s="2">
        <f>T_fact2939288693100107[[#This Row],[EQ]]*prize</f>
        <v>0</v>
      </c>
      <c r="AM22" s="66">
        <f>IF(T_init20344818895102[[#This Row],[p]]=1,T_fact2939288693100107[[#This Row],[players]]*T_fact2939288693100107[[#This Row],[stack]]/chips+COUNTIF(T_fact2939288693100107[stack],0),T_fact2939288693100107[[#This Row],[players]]*T_fact2939288693100107[[#This Row],[stack]]/chips)</f>
        <v>0</v>
      </c>
      <c r="AN22" s="16">
        <f>T_fact2939288693100107[[#This Row],[ICM]]+bounty*T_fact2939288693100107[[#This Row],[KO]]</f>
        <v>0</v>
      </c>
      <c r="AQ22" s="68">
        <f>'3w postflop 9c7s Ден v2'!p3win* ('3w postflop 9c7s Ден v2'!p1sp1win*T_p3p1233726849198105[[#This Row],[ICM]] + '3w postflop 9c7s Ден v2'!p2sp1win*T_p3p2243827859299106[[#This Row],[ICM]])
+'3w postflop 9c7s Ден v2'!p2win*T_p2223625839097104[[#This Row],[ICM]]
+'3w postflop 9c7s Ден v2'!p1win*T_p1213519828996103[[#This Row],[ICM]]</f>
        <v>0</v>
      </c>
      <c r="AR22" s="68">
        <f>('3w postflop 9c7s Ден v2'!p3win* ('3w postflop 9c7s Ден v2'!p1sp1win*T_p3p1233726849198105[[#This Row],[KO]] + '3w postflop 9c7s Ден v2'!p2sp1win*T_p3p2243827859299106[[#This Row],[KO]])
+'3w postflop 9c7s Ден v2'!p2win*T_p2223625839097104[[#This Row],[KO]]
+'3w postflop 9c7s Ден v2'!p1win*T_p1213519828996103[[#This Row],[KO]])*bounty</f>
        <v>0</v>
      </c>
      <c r="AS22" s="68">
        <f>'3w postflop 9c7s Ден v2'!p3win* ('3w postflop 9c7s Ден v2'!p1sp1win*T_p3p1233726849198105[[#This Row],[$stack]] + '3w postflop 9c7s Ден v2'!p2sp1win*T_p3p2243827859299106[[#This Row],[$stack]])
+'3w postflop 9c7s Ден v2'!p2win*T_p2223625839097104[[#This Row],[$stack]]
+'3w postflop 9c7s Ден v2'!p1win*T_p1213519828996103[[#This Row],[$stack]]</f>
        <v>0</v>
      </c>
      <c r="AT22" s="68">
        <f>'3w postflop 9c7s Ден v2'!p3win* ('3w postflop 9c7s Ден v2'!p1sp1win*T_p3p1233726849198105[[#This Row],[stack]] + '3w postflop 9c7s Ден v2'!p2sp1win*T_p3p2243827859299106[[#This Row],[stack]])
+'3w postflop 9c7s Ден v2'!p2win*T_p2223625839097104[[#This Row],[stack]]
+'3w postflop 9c7s Ден v2'!p1win*T_p1213519828996103[[#This Row],[stack]]</f>
        <v>0</v>
      </c>
      <c r="AU22" s="2">
        <f>T_EV3340308794101108[[#This Row],[chipEV]]-T_fact2939288693100107[[#This Row],[stack]]</f>
        <v>0</v>
      </c>
      <c r="AV22" s="2">
        <f>T_EV3340308794101108[[#This Row],[EV]]-(T_fact2939288693100107[[#This Row],[ICM]]+bounty*T_fact2939288693100107[[#This Row],[KO]])</f>
        <v>0</v>
      </c>
    </row>
    <row r="23" spans="1:48" x14ac:dyDescent="0.25">
      <c r="A23" t="s">
        <v>95</v>
      </c>
      <c r="D23">
        <f>SUBTOTAL(109,T_init20344818895102[anteblinds])</f>
        <v>115</v>
      </c>
      <c r="F23" s="53"/>
      <c r="G23" s="50">
        <f>SUM(T_p1213519828996103[stack])</f>
        <v>2000</v>
      </c>
      <c r="H23" s="50">
        <f>SUM(T_p1213519828996103[EQ])</f>
        <v>1</v>
      </c>
      <c r="I23" s="50">
        <f>SUM(T_p1213519828996103[ICM])</f>
        <v>11.16</v>
      </c>
      <c r="J23" s="50">
        <f>SUM(T_p1213519828996103[KO])</f>
        <v>6</v>
      </c>
      <c r="K23" s="50">
        <f>SUM(T_p1213519828996103[$stack])</f>
        <v>11.16</v>
      </c>
      <c r="M23" s="53"/>
      <c r="N23" s="55">
        <f>SUM(T_p2223625839097104[stack])</f>
        <v>2000</v>
      </c>
      <c r="O23" s="50">
        <f>SUM(T_p2223625839097104[EQ])</f>
        <v>1</v>
      </c>
      <c r="P23" s="51">
        <f>SUM(T_p2223625839097104[ICM])</f>
        <v>11.16</v>
      </c>
      <c r="Q23" s="52">
        <f>SUM(T_p2223625839097104[KO])</f>
        <v>6</v>
      </c>
      <c r="R23" s="50">
        <f>SUM(T_p2223625839097104[$stack])</f>
        <v>11.16</v>
      </c>
      <c r="T23" s="53"/>
      <c r="U23" s="55">
        <f>SUM(T_p3p1233726849198105[stack])</f>
        <v>2000</v>
      </c>
      <c r="V23" s="50">
        <f>SUM(T_p3p1233726849198105[EQ])</f>
        <v>1</v>
      </c>
      <c r="W23" s="51">
        <f>SUM(T_p3p1233726849198105[ICM])</f>
        <v>11.16</v>
      </c>
      <c r="X23" s="52">
        <f>SUM(T_p3p1233726849198105[KO])</f>
        <v>6</v>
      </c>
      <c r="Y23" s="50">
        <f>SUM(T_p3p1233726849198105[$stack])</f>
        <v>11.16</v>
      </c>
      <c r="AA23" s="53"/>
      <c r="AB23" s="55">
        <f>SUM(T_p3p2243827859299106[stack])</f>
        <v>2000</v>
      </c>
      <c r="AC23" s="50">
        <f>SUM(T_p3p2243827859299106[EQ])</f>
        <v>1</v>
      </c>
      <c r="AD23" s="51">
        <f>SUM(T_p3p2243827859299106[ICM])</f>
        <v>11.16</v>
      </c>
      <c r="AE23" s="52">
        <f>SUM(T_p3p2243827859299106[KO])</f>
        <v>6</v>
      </c>
      <c r="AF23" s="50">
        <f>SUM(T_p3p1233726849198105[$stack])</f>
        <v>11.16</v>
      </c>
      <c r="AI23" s="53"/>
      <c r="AJ23" s="55">
        <f>SUM(T_fact2939288693100107[stack])</f>
        <v>2000</v>
      </c>
      <c r="AK23" s="50">
        <f>SUM(T_fact2939288693100107[EQ])</f>
        <v>1</v>
      </c>
      <c r="AL23" s="51">
        <f>SUM(T_fact2939288693100107[ICM])</f>
        <v>11.16</v>
      </c>
      <c r="AM23" s="52">
        <f>SUM(T_fact2939288693100107[KO])</f>
        <v>6</v>
      </c>
      <c r="AN23" s="51">
        <f>SUM(T_fact2939288693100107[$stack])</f>
        <v>11.16</v>
      </c>
      <c r="AQ23" s="52">
        <f>SUM(T_EV3340308794101108[ICM])</f>
        <v>11.160000000000002</v>
      </c>
      <c r="AR23" s="52">
        <f>SUM(T_EV3340308794101108[KO])</f>
        <v>0</v>
      </c>
      <c r="AS23" s="52">
        <f>SUM(T_EV3340308794101108[EV])</f>
        <v>11.160000000000002</v>
      </c>
      <c r="AT23" s="50">
        <f>SUM(T_EV3340308794101108[chipEV])</f>
        <v>2000</v>
      </c>
    </row>
    <row r="25" spans="1:48" ht="18.75" x14ac:dyDescent="0.3">
      <c r="M25" s="79" t="s">
        <v>117</v>
      </c>
    </row>
    <row r="26" spans="1:48" x14ac:dyDescent="0.25">
      <c r="C26" t="s">
        <v>118</v>
      </c>
      <c r="M26" t="s">
        <v>119</v>
      </c>
    </row>
    <row r="27" spans="1:48" x14ac:dyDescent="0.25">
      <c r="C27" t="s">
        <v>120</v>
      </c>
      <c r="M27" t="s">
        <v>121</v>
      </c>
    </row>
    <row r="28" spans="1:48" x14ac:dyDescent="0.25">
      <c r="C28" t="s">
        <v>122</v>
      </c>
      <c r="M28" t="s">
        <v>123</v>
      </c>
    </row>
    <row r="29" spans="1:48" x14ac:dyDescent="0.25">
      <c r="M29" t="s">
        <v>124</v>
      </c>
    </row>
    <row r="30" spans="1:48" x14ac:dyDescent="0.25">
      <c r="M30" t="s">
        <v>125</v>
      </c>
    </row>
    <row r="31" spans="1:48" x14ac:dyDescent="0.25">
      <c r="C31" t="s">
        <v>126</v>
      </c>
      <c r="M31" t="s">
        <v>127</v>
      </c>
    </row>
    <row r="32" spans="1:48" x14ac:dyDescent="0.25">
      <c r="M32" t="s">
        <v>128</v>
      </c>
    </row>
    <row r="33" spans="2:13" x14ac:dyDescent="0.25">
      <c r="B33" t="s">
        <v>129</v>
      </c>
      <c r="M33" t="s">
        <v>130</v>
      </c>
    </row>
    <row r="34" spans="2:13" x14ac:dyDescent="0.25">
      <c r="B34" t="s">
        <v>131</v>
      </c>
      <c r="M34" t="s">
        <v>132</v>
      </c>
    </row>
    <row r="35" spans="2:13" x14ac:dyDescent="0.25">
      <c r="C35" t="s">
        <v>133</v>
      </c>
      <c r="M35" t="s">
        <v>134</v>
      </c>
    </row>
    <row r="36" spans="2:13" x14ac:dyDescent="0.25">
      <c r="D36" t="s">
        <v>135</v>
      </c>
      <c r="M36" t="s">
        <v>136</v>
      </c>
    </row>
    <row r="37" spans="2:13" x14ac:dyDescent="0.25">
      <c r="C37" t="s">
        <v>137</v>
      </c>
      <c r="M37" t="s">
        <v>138</v>
      </c>
    </row>
    <row r="38" spans="2:13" x14ac:dyDescent="0.25">
      <c r="D38" t="s">
        <v>135</v>
      </c>
      <c r="M38" t="s">
        <v>139</v>
      </c>
    </row>
    <row r="39" spans="2:13" x14ac:dyDescent="0.25">
      <c r="C39" t="s">
        <v>140</v>
      </c>
      <c r="M39" t="s">
        <v>141</v>
      </c>
    </row>
    <row r="40" spans="2:13" x14ac:dyDescent="0.25">
      <c r="D40" t="s">
        <v>142</v>
      </c>
      <c r="M40" t="s">
        <v>143</v>
      </c>
    </row>
    <row r="41" spans="2:13" x14ac:dyDescent="0.25">
      <c r="D41" t="s">
        <v>144</v>
      </c>
      <c r="E41" t="s">
        <v>145</v>
      </c>
      <c r="M41" t="s">
        <v>146</v>
      </c>
    </row>
    <row r="42" spans="2:13" x14ac:dyDescent="0.25">
      <c r="F42" t="s">
        <v>147</v>
      </c>
      <c r="M42" t="s">
        <v>148</v>
      </c>
    </row>
    <row r="43" spans="2:13" x14ac:dyDescent="0.25">
      <c r="E43" t="s">
        <v>149</v>
      </c>
      <c r="M43" t="s">
        <v>150</v>
      </c>
    </row>
    <row r="44" spans="2:13" x14ac:dyDescent="0.25">
      <c r="F44" t="s">
        <v>151</v>
      </c>
      <c r="M44" t="s">
        <v>152</v>
      </c>
    </row>
    <row r="45" spans="2:13" x14ac:dyDescent="0.25">
      <c r="M45" t="s">
        <v>153</v>
      </c>
    </row>
    <row r="46" spans="2:13" x14ac:dyDescent="0.25">
      <c r="C46" t="s">
        <v>154</v>
      </c>
      <c r="M46" t="s">
        <v>155</v>
      </c>
    </row>
    <row r="47" spans="2:13" x14ac:dyDescent="0.25">
      <c r="D47" t="s">
        <v>156</v>
      </c>
      <c r="M47" t="s">
        <v>157</v>
      </c>
    </row>
    <row r="48" spans="2:13" x14ac:dyDescent="0.25">
      <c r="D48" t="s">
        <v>158</v>
      </c>
      <c r="E48" t="s">
        <v>145</v>
      </c>
      <c r="M48" t="s">
        <v>159</v>
      </c>
    </row>
    <row r="49" spans="5:13" x14ac:dyDescent="0.25">
      <c r="F49" t="s">
        <v>160</v>
      </c>
      <c r="M49" t="s">
        <v>161</v>
      </c>
    </row>
    <row r="50" spans="5:13" x14ac:dyDescent="0.25">
      <c r="E50" t="s">
        <v>149</v>
      </c>
      <c r="M50" t="s">
        <v>162</v>
      </c>
    </row>
    <row r="51" spans="5:13" x14ac:dyDescent="0.25">
      <c r="F51" t="s">
        <v>163</v>
      </c>
      <c r="M51" t="s">
        <v>164</v>
      </c>
    </row>
    <row r="52" spans="5:13" x14ac:dyDescent="0.25">
      <c r="E52" t="s">
        <v>165</v>
      </c>
      <c r="M52" t="s">
        <v>166</v>
      </c>
    </row>
    <row r="53" spans="5:13" x14ac:dyDescent="0.25">
      <c r="F53" t="s">
        <v>167</v>
      </c>
      <c r="M53" t="s">
        <v>168</v>
      </c>
    </row>
    <row r="54" spans="5:13" x14ac:dyDescent="0.25">
      <c r="F54" t="s">
        <v>144</v>
      </c>
      <c r="M54" t="s">
        <v>169</v>
      </c>
    </row>
    <row r="55" spans="5:13" x14ac:dyDescent="0.25">
      <c r="G55" t="s">
        <v>145</v>
      </c>
      <c r="M55" t="s">
        <v>170</v>
      </c>
    </row>
    <row r="56" spans="5:13" x14ac:dyDescent="0.25">
      <c r="H56" t="s">
        <v>147</v>
      </c>
      <c r="M56" t="s">
        <v>171</v>
      </c>
    </row>
    <row r="57" spans="5:13" x14ac:dyDescent="0.25">
      <c r="G57" t="s">
        <v>149</v>
      </c>
      <c r="M57" t="s">
        <v>172</v>
      </c>
    </row>
    <row r="58" spans="5:13" x14ac:dyDescent="0.25">
      <c r="H58" t="s">
        <v>151</v>
      </c>
      <c r="M58" t="s">
        <v>173</v>
      </c>
    </row>
    <row r="59" spans="5:13" x14ac:dyDescent="0.25">
      <c r="M59" t="s">
        <v>174</v>
      </c>
    </row>
    <row r="60" spans="5:13" x14ac:dyDescent="0.25">
      <c r="M60" t="s">
        <v>175</v>
      </c>
    </row>
    <row r="61" spans="5:13" x14ac:dyDescent="0.25">
      <c r="M61" t="s">
        <v>176</v>
      </c>
    </row>
    <row r="62" spans="5:13" x14ac:dyDescent="0.25">
      <c r="M62" t="s">
        <v>177</v>
      </c>
    </row>
    <row r="63" spans="5:13" x14ac:dyDescent="0.25">
      <c r="M63" t="s">
        <v>178</v>
      </c>
    </row>
    <row r="64" spans="5:13" x14ac:dyDescent="0.25">
      <c r="M64" t="s">
        <v>179</v>
      </c>
    </row>
    <row r="66" spans="13:13" x14ac:dyDescent="0.25">
      <c r="M66" t="s">
        <v>529</v>
      </c>
    </row>
    <row r="67" spans="13:13" x14ac:dyDescent="0.25">
      <c r="M67" t="s">
        <v>521</v>
      </c>
    </row>
    <row r="68" spans="13:13" x14ac:dyDescent="0.25">
      <c r="M68" t="s">
        <v>530</v>
      </c>
    </row>
    <row r="69" spans="13:13" x14ac:dyDescent="0.25">
      <c r="M69" t="s">
        <v>531</v>
      </c>
    </row>
    <row r="70" spans="13:13" x14ac:dyDescent="0.25">
      <c r="M70" t="s">
        <v>532</v>
      </c>
    </row>
    <row r="71" spans="13:13" x14ac:dyDescent="0.25">
      <c r="M71" t="s">
        <v>533</v>
      </c>
    </row>
    <row r="72" spans="13:13" x14ac:dyDescent="0.25">
      <c r="M72" t="s">
        <v>534</v>
      </c>
    </row>
    <row r="73" spans="13:13" x14ac:dyDescent="0.25">
      <c r="M73" t="s">
        <v>527</v>
      </c>
    </row>
    <row r="74" spans="13:13" x14ac:dyDescent="0.25">
      <c r="M74" t="s">
        <v>528</v>
      </c>
    </row>
  </sheetData>
  <mergeCells count="11">
    <mergeCell ref="AQ15:AT15"/>
    <mergeCell ref="F10:F11"/>
    <mergeCell ref="T13:AE13"/>
    <mergeCell ref="AQ13:AT13"/>
    <mergeCell ref="T14:AE14"/>
    <mergeCell ref="AQ14:AT14"/>
    <mergeCell ref="F15:J15"/>
    <mergeCell ref="M15:Q15"/>
    <mergeCell ref="T15:X15"/>
    <mergeCell ref="AA15:AE15"/>
    <mergeCell ref="AI15:AM15"/>
  </mergeCells>
  <pageMargins left="0.7" right="0.7" top="0.75" bottom="0.75" header="0.3" footer="0.3"/>
  <pageSetup paperSize="9" orientation="portrait" horizontalDpi="4294967293" verticalDpi="0" r:id="rId1"/>
  <legacyDrawing r:id="rId2"/>
  <tableParts count="7">
    <tablePart r:id="rId3"/>
    <tablePart r:id="rId4"/>
    <tablePart r:id="rId5"/>
    <tablePart r:id="rId6"/>
    <tablePart r:id="rId7"/>
    <tablePart r:id="rId8"/>
    <tablePart r:id="rId9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V70"/>
  <sheetViews>
    <sheetView workbookViewId="0">
      <selection activeCell="AV16" sqref="AV16"/>
    </sheetView>
  </sheetViews>
  <sheetFormatPr defaultRowHeight="15" x14ac:dyDescent="0.25"/>
  <cols>
    <col min="1" max="1" width="9.28515625" customWidth="1"/>
    <col min="6" max="6" width="10.28515625" customWidth="1"/>
    <col min="13" max="13" width="10.28515625" customWidth="1"/>
    <col min="20" max="20" width="9.5703125" bestFit="1" customWidth="1"/>
    <col min="27" max="27" width="7.7109375" customWidth="1"/>
    <col min="28" max="29" width="8.5703125" customWidth="1"/>
    <col min="30" max="30" width="9.85546875" customWidth="1"/>
    <col min="31" max="31" width="8.42578125" customWidth="1"/>
    <col min="35" max="35" width="10" customWidth="1"/>
    <col min="39" max="39" width="10.5703125" customWidth="1"/>
    <col min="46" max="46" width="9.140625" customWidth="1"/>
  </cols>
  <sheetData>
    <row r="1" spans="1:48" x14ac:dyDescent="0.25">
      <c r="C1" t="s">
        <v>0</v>
      </c>
      <c r="D1">
        <f>bounty*6</f>
        <v>0</v>
      </c>
      <c r="F1" t="s">
        <v>71</v>
      </c>
      <c r="G1">
        <v>0.625</v>
      </c>
      <c r="I1" t="s">
        <v>72</v>
      </c>
      <c r="J1">
        <v>0.79800000000000004</v>
      </c>
      <c r="O1" s="75"/>
      <c r="S1" t="s">
        <v>73</v>
      </c>
      <c r="T1">
        <v>248</v>
      </c>
    </row>
    <row r="2" spans="1:48" x14ac:dyDescent="0.25">
      <c r="C2" t="s">
        <v>1</v>
      </c>
      <c r="D2">
        <f>bounty</f>
        <v>0</v>
      </c>
      <c r="F2" t="s">
        <v>74</v>
      </c>
      <c r="G2">
        <v>0.16420000000000001</v>
      </c>
      <c r="I2" t="s">
        <v>75</v>
      </c>
      <c r="J2">
        <v>0.20200000000000001</v>
      </c>
      <c r="S2" t="s">
        <v>76</v>
      </c>
      <c r="T2">
        <v>844</v>
      </c>
    </row>
    <row r="3" spans="1:48" x14ac:dyDescent="0.25">
      <c r="C3" t="s">
        <v>77</v>
      </c>
      <c r="D3">
        <v>3000</v>
      </c>
      <c r="F3" t="s">
        <v>78</v>
      </c>
      <c r="G3">
        <v>0.21079999999999999</v>
      </c>
      <c r="S3" t="s">
        <v>79</v>
      </c>
      <c r="T3">
        <v>0</v>
      </c>
    </row>
    <row r="4" spans="1:48" x14ac:dyDescent="0.25">
      <c r="F4" t="s">
        <v>80</v>
      </c>
      <c r="G4">
        <v>0</v>
      </c>
      <c r="S4" t="s">
        <v>81</v>
      </c>
      <c r="T4">
        <v>498</v>
      </c>
    </row>
    <row r="6" spans="1:48" x14ac:dyDescent="0.25">
      <c r="C6" t="s">
        <v>82</v>
      </c>
      <c r="D6" t="s">
        <v>83</v>
      </c>
    </row>
    <row r="7" spans="1:48" x14ac:dyDescent="0.25">
      <c r="C7" t="s">
        <v>84</v>
      </c>
      <c r="D7" t="s">
        <v>85</v>
      </c>
    </row>
    <row r="8" spans="1:48" x14ac:dyDescent="0.25">
      <c r="C8" t="s">
        <v>86</v>
      </c>
      <c r="D8" t="s">
        <v>87</v>
      </c>
    </row>
    <row r="10" spans="1:48" ht="18.75" x14ac:dyDescent="0.3">
      <c r="F10" s="84"/>
      <c r="G10" s="84"/>
      <c r="H10" s="84"/>
      <c r="I10" s="84"/>
      <c r="J10" s="84"/>
      <c r="K10" s="84"/>
    </row>
    <row r="11" spans="1:48" ht="19.5" thickBot="1" x14ac:dyDescent="0.35">
      <c r="F11" s="84"/>
      <c r="G11" s="84"/>
      <c r="H11" s="84"/>
      <c r="I11" s="84"/>
      <c r="J11" s="84"/>
      <c r="K11" s="84"/>
      <c r="V11" t="s">
        <v>92</v>
      </c>
      <c r="AC11" t="s">
        <v>93</v>
      </c>
    </row>
    <row r="12" spans="1:48" ht="20.25" thickTop="1" thickBot="1" x14ac:dyDescent="0.35">
      <c r="F12" s="84"/>
      <c r="G12" s="84"/>
      <c r="H12" s="84"/>
      <c r="I12" s="84"/>
      <c r="J12" s="84"/>
      <c r="K12" s="84"/>
      <c r="T12" s="96" t="s">
        <v>94</v>
      </c>
      <c r="U12" s="97"/>
      <c r="V12" s="97"/>
      <c r="W12" s="97"/>
      <c r="X12" s="97"/>
      <c r="Y12" s="97"/>
      <c r="Z12" s="97"/>
      <c r="AA12" s="97"/>
      <c r="AB12" s="97"/>
      <c r="AC12" s="97"/>
      <c r="AD12" s="97"/>
      <c r="AE12" s="98"/>
      <c r="AQ12" s="96" t="s">
        <v>95</v>
      </c>
      <c r="AR12" s="97"/>
      <c r="AS12" s="97"/>
      <c r="AT12" s="97"/>
    </row>
    <row r="13" spans="1:48" ht="20.25" thickTop="1" thickBot="1" x14ac:dyDescent="0.35">
      <c r="F13" s="84"/>
      <c r="G13" s="84"/>
      <c r="H13" s="84" t="s">
        <v>96</v>
      </c>
      <c r="I13" s="84"/>
      <c r="J13" s="84"/>
      <c r="K13" s="84"/>
      <c r="O13" t="s">
        <v>97</v>
      </c>
      <c r="T13" s="96" t="s">
        <v>98</v>
      </c>
      <c r="U13" s="97"/>
      <c r="V13" s="97"/>
      <c r="W13" s="97"/>
      <c r="X13" s="97"/>
      <c r="Y13" s="97"/>
      <c r="Z13" s="97"/>
      <c r="AA13" s="97"/>
      <c r="AB13" s="97"/>
      <c r="AC13" s="97"/>
      <c r="AD13" s="97"/>
      <c r="AE13" s="98"/>
      <c r="AK13" t="s">
        <v>99</v>
      </c>
      <c r="AQ13" s="96"/>
      <c r="AR13" s="97"/>
      <c r="AS13" s="97"/>
      <c r="AT13" s="97"/>
    </row>
    <row r="14" spans="1:48" ht="19.5" thickTop="1" x14ac:dyDescent="0.3">
      <c r="F14" s="88" t="s">
        <v>100</v>
      </c>
      <c r="G14" s="89"/>
      <c r="H14" s="89"/>
      <c r="I14" s="89"/>
      <c r="J14" s="90"/>
      <c r="K14" s="84"/>
      <c r="M14" s="88" t="s">
        <v>101</v>
      </c>
      <c r="N14" s="89"/>
      <c r="O14" s="89"/>
      <c r="P14" s="89"/>
      <c r="Q14" s="90"/>
      <c r="R14" s="84"/>
      <c r="T14" s="99" t="s">
        <v>102</v>
      </c>
      <c r="U14" s="100"/>
      <c r="V14" s="100"/>
      <c r="W14" s="100"/>
      <c r="X14" s="101"/>
      <c r="Y14" s="84"/>
      <c r="AA14" s="99" t="s">
        <v>103</v>
      </c>
      <c r="AB14" s="100"/>
      <c r="AC14" s="100"/>
      <c r="AD14" s="100"/>
      <c r="AE14" s="101"/>
      <c r="AI14" s="85" t="s">
        <v>10</v>
      </c>
      <c r="AJ14" s="86"/>
      <c r="AK14" s="86"/>
      <c r="AL14" s="86"/>
      <c r="AM14" s="87"/>
      <c r="AQ14" s="91" t="s">
        <v>104</v>
      </c>
      <c r="AR14" s="92"/>
      <c r="AS14" s="92"/>
      <c r="AT14" s="93"/>
    </row>
    <row r="15" spans="1:48" x14ac:dyDescent="0.25">
      <c r="A15" t="s">
        <v>105</v>
      </c>
      <c r="B15" t="s">
        <v>12</v>
      </c>
      <c r="C15" t="s">
        <v>13</v>
      </c>
      <c r="D15" t="s">
        <v>14</v>
      </c>
      <c r="F15" s="5" t="s">
        <v>107</v>
      </c>
      <c r="G15" t="s">
        <v>12</v>
      </c>
      <c r="H15" t="s">
        <v>108</v>
      </c>
      <c r="I15" t="s">
        <v>109</v>
      </c>
      <c r="J15" s="5" t="s">
        <v>1</v>
      </c>
      <c r="K15" s="5" t="s">
        <v>110</v>
      </c>
      <c r="M15" s="5" t="s">
        <v>107</v>
      </c>
      <c r="N15" s="5" t="s">
        <v>12</v>
      </c>
      <c r="O15" s="5" t="s">
        <v>108</v>
      </c>
      <c r="P15" s="5" t="s">
        <v>109</v>
      </c>
      <c r="Q15" s="5" t="s">
        <v>1</v>
      </c>
      <c r="R15" s="5" t="s">
        <v>110</v>
      </c>
      <c r="T15" s="5" t="s">
        <v>107</v>
      </c>
      <c r="U15" s="5" t="s">
        <v>12</v>
      </c>
      <c r="V15" s="5" t="s">
        <v>108</v>
      </c>
      <c r="W15" s="5" t="s">
        <v>109</v>
      </c>
      <c r="X15" s="5" t="s">
        <v>1</v>
      </c>
      <c r="Y15" s="5" t="s">
        <v>110</v>
      </c>
      <c r="AA15" s="5" t="s">
        <v>107</v>
      </c>
      <c r="AB15" s="5" t="s">
        <v>12</v>
      </c>
      <c r="AC15" s="5" t="s">
        <v>108</v>
      </c>
      <c r="AD15" s="5" t="s">
        <v>109</v>
      </c>
      <c r="AE15" s="5" t="s">
        <v>1</v>
      </c>
      <c r="AF15" t="s">
        <v>110</v>
      </c>
      <c r="AI15" s="5" t="s">
        <v>107</v>
      </c>
      <c r="AJ15" s="5" t="s">
        <v>12</v>
      </c>
      <c r="AK15" s="5" t="s">
        <v>108</v>
      </c>
      <c r="AL15" s="5" t="s">
        <v>109</v>
      </c>
      <c r="AM15" s="5" t="s">
        <v>1</v>
      </c>
      <c r="AN15" t="s">
        <v>110</v>
      </c>
      <c r="AQ15" s="5" t="s">
        <v>109</v>
      </c>
      <c r="AR15" s="5" t="s">
        <v>1</v>
      </c>
      <c r="AS15" s="5" t="s">
        <v>104</v>
      </c>
      <c r="AT15" s="5" t="s">
        <v>111</v>
      </c>
      <c r="AU15" t="s">
        <v>112</v>
      </c>
      <c r="AV15" t="s">
        <v>113</v>
      </c>
    </row>
    <row r="16" spans="1:48" x14ac:dyDescent="0.25">
      <c r="A16" s="26">
        <v>2</v>
      </c>
      <c r="B16" s="26">
        <v>494</v>
      </c>
      <c r="C16" s="26" t="s">
        <v>444</v>
      </c>
      <c r="D16" s="26"/>
      <c r="F16" s="73">
        <f>COUNTIF(T_p12135[stack],"&gt;0")</f>
        <v>4</v>
      </c>
      <c r="G16" s="26">
        <f>IF(T_init2034[[#This Row],[p]]=1,mainpot+sidepot1+sidepot2+uncalled,IF(T_init2034[[#This Row],[p]]&gt;1,0,T_init2034[[#This Row],[stack]]))</f>
        <v>0</v>
      </c>
      <c r="H16" s="26"/>
      <c r="I16" s="27">
        <f>T_p12135[[#This Row],[EQ]]*prize</f>
        <v>0</v>
      </c>
      <c r="J16" s="71">
        <f>IF(T_init2034[[#This Row],[p]]=1,T_p12135[[#This Row],[players]]*T_p12135[[#This Row],[stack]]/chips+COUNTIF(T_p12135[stack],0),T_p12135[[#This Row],[players]]*T_p12135[[#This Row],[stack]]/chips)</f>
        <v>0</v>
      </c>
      <c r="K16" s="71">
        <f>T_p12135[[#This Row],[ICM]]+bounty*T_p12135[[#This Row],[KO]]</f>
        <v>0</v>
      </c>
      <c r="M16" s="29">
        <f>COUNTIF(T_p22236[stack],"&gt;0")</f>
        <v>5</v>
      </c>
      <c r="N16" s="26">
        <f>IF(T_init2034[[#This Row],[p]]=1,uncalled,IF(T_init2034[[#This Row],[p]]=2,mainpot+sidepot1+sidepot2,IF(T_init2034[[#This Row],[p]]&gt;2,0,T_init2034[[#This Row],[stack]])))</f>
        <v>1092</v>
      </c>
      <c r="O16" s="26">
        <v>0.31969999999999998</v>
      </c>
      <c r="P16" s="27">
        <f>T_p22236[[#This Row],[EQ]]*prize</f>
        <v>0</v>
      </c>
      <c r="Q16" s="71">
        <f>IF(T_init2034[[#This Row],[p]]=2,T_p22236[[#This Row],[players]]*T_p22236[[#This Row],[stack]]/chips+COUNTIF(T_p22236[stack],0),T_p22236[[#This Row],[players]]*T_p22236[[#This Row],[stack]]/chips)</f>
        <v>2.8200000000000003</v>
      </c>
      <c r="R16" s="71">
        <f>T_p22236[[#This Row],[ICM]]+bounty*T_p22236[[#This Row],[KO]]</f>
        <v>0</v>
      </c>
      <c r="T16" s="73">
        <f>COUNTIF(T_p3p12337[stack],"&gt;0")</f>
        <v>5</v>
      </c>
      <c r="U16" s="26">
        <f>IF(T_init2034[[#This Row],[p]]=1,sidepot1+uncalled,IF(T_init2034[[#This Row],[p]]=3,mainpot,IF(ISBLANK(T_init2034[[#This Row],[p]]),T_init2034[[#This Row],[stack]],0)))</f>
        <v>0</v>
      </c>
      <c r="V16" s="26">
        <v>0</v>
      </c>
      <c r="W16" s="27">
        <f>T_p3p12337[[#This Row],[EQ]]*prize</f>
        <v>0</v>
      </c>
      <c r="X16" s="71">
        <f>IF(T_init2034[[#This Row],[p]]=1,T_p3p12337[[#This Row],[players]]*T_p3p12337[[#This Row],[stack]]/chips+COUNTIF(T_p3p12337[stack],0),T_p3p12337[[#This Row],[players]]*T_p3p12337[[#This Row],[stack]]/chips)</f>
        <v>0</v>
      </c>
      <c r="Y16" s="71">
        <f>T_p3p12337[[#This Row],[ICM]]+bounty*T_p3p12337[[#This Row],[KO]]</f>
        <v>0</v>
      </c>
      <c r="AA16" s="73">
        <f>COUNTIF(T_p3p22438[stack],"&gt;0")</f>
        <v>6</v>
      </c>
      <c r="AB16" s="26">
        <f>IF(T_init2034[[#This Row],[p]]=1,uncalled,IF(T_init2034[[#This Row],[p]]=2,sidepot1,IF(T_init2034[[#This Row],[p]]=3,mainpot,IF(ISBLANK(T_init2034[[#This Row],[p]]),T_init2034[[#This Row],[stack]],0))))</f>
        <v>844</v>
      </c>
      <c r="AC16" s="26">
        <v>0.25979999999999998</v>
      </c>
      <c r="AD16" s="27">
        <f>T_p3p22438[[#This Row],[EQ]]*prize</f>
        <v>0</v>
      </c>
      <c r="AE16" s="71">
        <f>IF(T_init2034[[#This Row],[p]]=2,T_p3p22438[[#This Row],[players]]*T_p3p22438[[#This Row],[stack]]/chips+COUNTIF(T_p3p22438[stack],0),T_p3p22438[[#This Row],[players]]*T_p3p22438[[#This Row],[stack]]/chips)</f>
        <v>1.6879999999999999</v>
      </c>
      <c r="AF16" s="71">
        <f>T_p3p22438[[#This Row],[ICM]]+bounty*T_p3p22438[[#This Row],[KO]]</f>
        <v>0</v>
      </c>
      <c r="AI16" s="73">
        <f>COUNTIF(T_fact2939[stack],"&gt;0")</f>
        <v>6</v>
      </c>
      <c r="AJ16" s="26">
        <v>968</v>
      </c>
      <c r="AK16" s="26">
        <v>0.29039999999999999</v>
      </c>
      <c r="AL16" s="27">
        <f>T_fact2939[[#This Row],[EQ]]*prize</f>
        <v>0</v>
      </c>
      <c r="AM16" s="71">
        <f>IF(T_init2034[[#This Row],[p]]=1,T_fact2939[[#This Row],[players]]*T_fact2939[[#This Row],[stack]]/chips+COUNTIF(T_fact2939[stack],0),T_fact2939[[#This Row],[players]]*T_fact2939[[#This Row],[stack]]/chips)</f>
        <v>1.9359999999999999</v>
      </c>
      <c r="AN16" s="71">
        <f>T_fact2939[[#This Row],[ICM]]+bounty*T_fact2939[[#This Row],[KO]]</f>
        <v>0</v>
      </c>
      <c r="AQ16" s="72">
        <f>'3wKhQs'!p3win* ('3wKhQs'!p1sp1win*T_p3p12337[[#This Row],[ICM]] + '3wKhQs'!p2sp1win*T_p3p22438[[#This Row],[ICM]])
+'3wKhQs'!p2win*T_p22236[[#This Row],[ICM]]
+'3wKhQs'!p1win*T_p12135[[#This Row],[ICM]]</f>
        <v>0</v>
      </c>
      <c r="AR16" s="33">
        <f>('3wKhQs'!p3win* ('3wKhQs'!p1sp1win*T_p3p12337[[#This Row],[KO]] + '3wKhQs'!p2sp1win*T_p3p22438[[#This Row],[KO]])
+'3wKhQs'!p2win*T_p22236[[#This Row],[KO]]
+'3wKhQs'!p1win*T_p12135[[#This Row],[KO]])*bounty</f>
        <v>0</v>
      </c>
      <c r="AS16" s="72">
        <f>'3wKhQs'!p3win* ('3wKhQs'!p1sp1win*T_p3p12337[[#This Row],[$stack]] + '3wKhQs'!p2sp1win*T_p3p22438[[#This Row],[$stack]])
+'3wKhQs'!p2win*T_p22236[[#This Row],[$stack]]
+'3wKhQs'!p1win*T_p12135[[#This Row],[$stack]]</f>
        <v>0</v>
      </c>
      <c r="AT16" s="33">
        <f>'3wKhQs'!p3win* ('3wKhQs'!p1sp1win*T_p3p12337[[#This Row],[stack]] + '3wKhQs'!p2sp1win*T_p3p22438[[#This Row],[stack]])
+'3wKhQs'!p2win*T_p22236[[#This Row],[stack]]
+'3wKhQs'!p1win*T_p12135[[#This Row],[stack]]</f>
        <v>215.24527040000004</v>
      </c>
      <c r="AU16" s="2">
        <f>T_EV3340[[#This Row],[chipEV]]-T_fact2939[[#This Row],[stack]]</f>
        <v>-752.75472960000002</v>
      </c>
      <c r="AV16" s="2">
        <f>T_EV3340[[#This Row],[EV]]-(T_fact2939[[#This Row],[ICM]]+bounty*T_fact2939[[#This Row],[KO]])</f>
        <v>0</v>
      </c>
    </row>
    <row r="17" spans="1:48" x14ac:dyDescent="0.25">
      <c r="B17">
        <v>494</v>
      </c>
      <c r="F17" s="5">
        <f>COUNTIF(T_p12135[stack],"&gt;0")</f>
        <v>4</v>
      </c>
      <c r="G17">
        <f>IF(T_init2034[[#This Row],[p]]=1,mainpot+sidepot1+sidepot2+uncalled,IF(T_init2034[[#This Row],[p]]&gt;1,0,T_init2034[[#This Row],[stack]]))</f>
        <v>494</v>
      </c>
      <c r="H17">
        <v>0.2049</v>
      </c>
      <c r="I17" s="2">
        <f>T_p12135[[#This Row],[EQ]]*prize</f>
        <v>0</v>
      </c>
      <c r="J17" s="66">
        <f>IF(T_init2034[[#This Row],[p]]=1,T_p12135[[#This Row],[players]]*T_p12135[[#This Row],[stack]]/chips+COUNTIF(T_p12135[stack],0),T_p12135[[#This Row],[players]]*T_p12135[[#This Row],[stack]]/chips)</f>
        <v>0.65866666666666662</v>
      </c>
      <c r="K17" s="66">
        <f>T_p12135[[#This Row],[ICM]]+bounty*T_p12135[[#This Row],[KO]]</f>
        <v>0</v>
      </c>
      <c r="M17" s="10">
        <f>COUNTIF(T_p22236[stack],"&gt;0")</f>
        <v>5</v>
      </c>
      <c r="N17" s="26">
        <f>IF(T_init2034[[#This Row],[p]]=1,uncalled,IF(T_init2034[[#This Row],[p]]=2,mainpot+sidepot1+sidepot2,IF(T_init2034[[#This Row],[p]]&gt;2,0,T_init2034[[#This Row],[stack]])))</f>
        <v>494</v>
      </c>
      <c r="O17">
        <v>0.17549999999999999</v>
      </c>
      <c r="P17" s="2">
        <f>T_p22236[[#This Row],[EQ]]*prize</f>
        <v>0</v>
      </c>
      <c r="Q17" s="66">
        <f>IF(T_init2034[[#This Row],[p]]=2,T_p22236[[#This Row],[players]]*T_p22236[[#This Row],[stack]]/chips+COUNTIF(T_p22236[stack],0),T_p22236[[#This Row],[players]]*T_p22236[[#This Row],[stack]]/chips)</f>
        <v>0.82333333333333336</v>
      </c>
      <c r="R17" s="66">
        <f>T_p22236[[#This Row],[ICM]]+bounty*T_p22236[[#This Row],[KO]]</f>
        <v>0</v>
      </c>
      <c r="T17" s="5">
        <f>COUNTIF(T_p3p12337[stack],"&gt;0")</f>
        <v>5</v>
      </c>
      <c r="U17" s="26">
        <f>IF(T_init2034[[#This Row],[p]]=1,sidepot1+uncalled,IF(T_init2034[[#This Row],[p]]=3,mainpot,IF(ISBLANK(T_init2034[[#This Row],[p]]),T_init2034[[#This Row],[stack]],0)))</f>
        <v>494</v>
      </c>
      <c r="V17">
        <v>0.18609999999999999</v>
      </c>
      <c r="W17" s="2">
        <f>T_p3p12337[[#This Row],[EQ]]*prize</f>
        <v>0</v>
      </c>
      <c r="X17" s="66">
        <f>IF(T_init2034[[#This Row],[p]]=1,T_p3p12337[[#This Row],[players]]*T_p3p12337[[#This Row],[stack]]/chips+COUNTIF(T_p3p12337[stack],0),T_p3p12337[[#This Row],[players]]*T_p3p12337[[#This Row],[stack]]/chips)</f>
        <v>0.82333333333333336</v>
      </c>
      <c r="Y17" s="66">
        <f>T_p3p12337[[#This Row],[ICM]]+bounty*T_p3p12337[[#This Row],[KO]]</f>
        <v>0</v>
      </c>
      <c r="AA17" s="5">
        <f>COUNTIF(T_p3p22438[stack],"&gt;0")</f>
        <v>6</v>
      </c>
      <c r="AB17">
        <f>IF(T_init2034[[#This Row],[p]]=1,uncalled,IF(T_init2034[[#This Row],[p]]=2,sidepot1,IF(T_init2034[[#This Row],[p]]=3,mainpot,IF(ISBLANK(T_init2034[[#This Row],[p]]),T_init2034[[#This Row],[stack]],0))))</f>
        <v>494</v>
      </c>
      <c r="AC17">
        <v>0.16800000000000001</v>
      </c>
      <c r="AD17" s="2">
        <f>T_p3p22438[[#This Row],[EQ]]*prize</f>
        <v>0</v>
      </c>
      <c r="AE17" s="66">
        <f>IF(T_init2034[[#This Row],[p]]=2,T_p3p22438[[#This Row],[players]]*T_p3p22438[[#This Row],[stack]]/chips+COUNTIF(T_p3p22438[stack],0),T_p3p22438[[#This Row],[players]]*T_p3p22438[[#This Row],[stack]]/chips)</f>
        <v>0.98799999999999999</v>
      </c>
      <c r="AF17" s="16">
        <f>T_p3p22438[[#This Row],[ICM]]+bounty*T_p3p22438[[#This Row],[KO]]</f>
        <v>0</v>
      </c>
      <c r="AI17" s="73">
        <f>COUNTIF(T_fact2939[stack],"&gt;0")</f>
        <v>6</v>
      </c>
      <c r="AJ17" s="26">
        <v>494</v>
      </c>
      <c r="AK17">
        <v>0.17119999999999999</v>
      </c>
      <c r="AL17" s="2">
        <f>T_fact2939[[#This Row],[EQ]]*prize</f>
        <v>0</v>
      </c>
      <c r="AM17" s="66">
        <f>IF(T_init2034[[#This Row],[p]]=1,T_fact2939[[#This Row],[players]]*T_fact2939[[#This Row],[stack]]/chips+COUNTIF(T_fact2939[stack],0),T_fact2939[[#This Row],[players]]*T_fact2939[[#This Row],[stack]]/chips)</f>
        <v>0.98799999999999999</v>
      </c>
      <c r="AN17" s="16">
        <f>T_fact2939[[#This Row],[ICM]]+bounty*T_fact2939[[#This Row],[KO]]</f>
        <v>0</v>
      </c>
      <c r="AQ17" s="68">
        <f>'3wKhQs'!p3win* ('3wKhQs'!p1sp1win*T_p3p12337[[#This Row],[ICM]] + '3wKhQs'!p2sp1win*T_p3p22438[[#This Row],[ICM]])
+'3wKhQs'!p2win*T_p22236[[#This Row],[ICM]]
+'3wKhQs'!p1win*T_p12135[[#This Row],[ICM]]</f>
        <v>0</v>
      </c>
      <c r="AR17" s="68">
        <f>('3wKhQs'!p3win* ('3wKhQs'!p1sp1win*T_p3p12337[[#This Row],[KO]] + '3wKhQs'!p2sp1win*T_p3p22438[[#This Row],[KO]])
+'3wKhQs'!p2win*T_p22236[[#This Row],[KO]]
+'3wKhQs'!p1win*T_p12135[[#This Row],[KO]])*bounty</f>
        <v>0</v>
      </c>
      <c r="AS17" s="68">
        <f>'3wKhQs'!p3win* ('3wKhQs'!p1sp1win*T_p3p12337[[#This Row],[$stack]] + '3wKhQs'!p2sp1win*T_p3p22438[[#This Row],[$stack]])
+'3wKhQs'!p2win*T_p22236[[#This Row],[$stack]]
+'3wKhQs'!p1win*T_p12135[[#This Row],[$stack]]</f>
        <v>0</v>
      </c>
      <c r="AT17" s="68">
        <f>'3wKhQs'!p3win* ('3wKhQs'!p1sp1win*T_p3p12337[[#This Row],[stack]] + '3wKhQs'!p2sp1win*T_p3p22438[[#This Row],[stack]])
+'3wKhQs'!p2win*T_p22236[[#This Row],[stack]]
+'3wKhQs'!p1win*T_p12135[[#This Row],[stack]]</f>
        <v>494</v>
      </c>
      <c r="AU17" s="2">
        <f>T_EV3340[[#This Row],[chipEV]]-T_fact2939[[#This Row],[stack]]</f>
        <v>0</v>
      </c>
      <c r="AV17" s="2">
        <f>T_EV3340[[#This Row],[EV]]-(T_fact2939[[#This Row],[ICM]]+bounty*T_fact2939[[#This Row],[KO]])</f>
        <v>0</v>
      </c>
    </row>
    <row r="18" spans="1:48" x14ac:dyDescent="0.25">
      <c r="A18">
        <v>1</v>
      </c>
      <c r="B18">
        <v>992</v>
      </c>
      <c r="C18" t="s">
        <v>445</v>
      </c>
      <c r="F18" s="5">
        <f>COUNTIF(T_p12135[stack],"&gt;0")</f>
        <v>4</v>
      </c>
      <c r="G18">
        <f>IF(T_init2034[[#This Row],[p]]=1,mainpot+sidepot1+sidepot2+uncalled,IF(T_init2034[[#This Row],[p]]&gt;1,0,T_init2034[[#This Row],[stack]]))</f>
        <v>1590</v>
      </c>
      <c r="H18">
        <v>0.4128</v>
      </c>
      <c r="I18" s="2">
        <f>T_p12135[[#This Row],[EQ]]*prize</f>
        <v>0</v>
      </c>
      <c r="J18" s="66">
        <f>IF(T_init2034[[#This Row],[p]]=1,T_p12135[[#This Row],[players]]*T_p12135[[#This Row],[stack]]/chips+COUNTIF(T_p12135[stack],0),T_p12135[[#This Row],[players]]*T_p12135[[#This Row],[stack]]/chips)</f>
        <v>4.12</v>
      </c>
      <c r="K18" s="66">
        <f>T_p12135[[#This Row],[ICM]]+bounty*T_p12135[[#This Row],[KO]]</f>
        <v>0</v>
      </c>
      <c r="M18" s="10">
        <f>COUNTIF(T_p22236[stack],"&gt;0")</f>
        <v>5</v>
      </c>
      <c r="N18" s="26">
        <f>IF(T_init2034[[#This Row],[p]]=1,uncalled,IF(T_init2034[[#This Row],[p]]=2,mainpot+sidepot1+sidepot2,IF(T_init2034[[#This Row],[p]]&gt;2,0,T_init2034[[#This Row],[stack]])))</f>
        <v>498</v>
      </c>
      <c r="O18">
        <v>0.17680000000000001</v>
      </c>
      <c r="P18" s="2">
        <f>T_p22236[[#This Row],[EQ]]*prize</f>
        <v>0</v>
      </c>
      <c r="Q18" s="66">
        <f>IF(T_init2034[[#This Row],[p]]=2,T_p22236[[#This Row],[players]]*T_p22236[[#This Row],[stack]]/chips+COUNTIF(T_p22236[stack],0),T_p22236[[#This Row],[players]]*T_p22236[[#This Row],[stack]]/chips)</f>
        <v>0.83</v>
      </c>
      <c r="R18" s="66">
        <f>T_p22236[[#This Row],[ICM]]+bounty*T_p22236[[#This Row],[KO]]</f>
        <v>0</v>
      </c>
      <c r="T18" s="5">
        <f>COUNTIF(T_p3p12337[stack],"&gt;0")</f>
        <v>5</v>
      </c>
      <c r="U18" s="26">
        <f>IF(T_init2034[[#This Row],[p]]=1,sidepot1+uncalled,IF(T_init2034[[#This Row],[p]]=3,mainpot,IF(ISBLANK(T_init2034[[#This Row],[p]]),T_init2034[[#This Row],[stack]],0)))</f>
        <v>1342</v>
      </c>
      <c r="V18">
        <v>0.36849999999999999</v>
      </c>
      <c r="W18" s="2">
        <f>T_p3p12337[[#This Row],[EQ]]*prize</f>
        <v>0</v>
      </c>
      <c r="X18" s="66">
        <f>IF(T_init2034[[#This Row],[p]]=1,T_p3p12337[[#This Row],[players]]*T_p3p12337[[#This Row],[stack]]/chips+COUNTIF(T_p3p12337[stack],0),T_p3p12337[[#This Row],[players]]*T_p3p12337[[#This Row],[stack]]/chips)</f>
        <v>3.2366666666666668</v>
      </c>
      <c r="Y18" s="66">
        <f>T_p3p12337[[#This Row],[ICM]]+bounty*T_p3p12337[[#This Row],[KO]]</f>
        <v>0</v>
      </c>
      <c r="AA18" s="5">
        <f>COUNTIF(T_p3p22438[stack],"&gt;0")</f>
        <v>6</v>
      </c>
      <c r="AB18">
        <f>IF(T_init2034[[#This Row],[p]]=1,uncalled,IF(T_init2034[[#This Row],[p]]=2,sidepot1,IF(T_init2034[[#This Row],[p]]=3,mainpot,IF(ISBLANK(T_init2034[[#This Row],[p]]),T_init2034[[#This Row],[stack]],0))))</f>
        <v>498</v>
      </c>
      <c r="AC18">
        <v>0.16919999999999999</v>
      </c>
      <c r="AD18" s="2">
        <f>T_p3p22438[[#This Row],[EQ]]*prize</f>
        <v>0</v>
      </c>
      <c r="AE18" s="66">
        <f>IF(T_init2034[[#This Row],[p]]=2,T_p3p22438[[#This Row],[players]]*T_p3p22438[[#This Row],[stack]]/chips+COUNTIF(T_p3p22438[stack],0),T_p3p22438[[#This Row],[players]]*T_p3p22438[[#This Row],[stack]]/chips)</f>
        <v>0.996</v>
      </c>
      <c r="AF18" s="16">
        <f>T_p3p22438[[#This Row],[ICM]]+bounty*T_p3p22438[[#This Row],[KO]]</f>
        <v>0</v>
      </c>
      <c r="AI18" s="73">
        <f>COUNTIF(T_fact2939[stack],"&gt;0")</f>
        <v>6</v>
      </c>
      <c r="AJ18" s="26">
        <v>498</v>
      </c>
      <c r="AK18">
        <v>0.1724</v>
      </c>
      <c r="AL18" s="2">
        <f>T_fact2939[[#This Row],[EQ]]*prize</f>
        <v>0</v>
      </c>
      <c r="AM18" s="66">
        <f>IF(T_init2034[[#This Row],[p]]=1,T_fact2939[[#This Row],[players]]*T_fact2939[[#This Row],[stack]]/chips+COUNTIF(T_fact2939[stack],0),T_fact2939[[#This Row],[players]]*T_fact2939[[#This Row],[stack]]/chips)</f>
        <v>0.996</v>
      </c>
      <c r="AN18" s="16">
        <f>T_fact2939[[#This Row],[ICM]]+bounty*T_fact2939[[#This Row],[KO]]</f>
        <v>0</v>
      </c>
      <c r="AQ18" s="68">
        <f>'3wKhQs'!p3win* ('3wKhQs'!p1sp1win*T_p3p12337[[#This Row],[ICM]] + '3wKhQs'!p2sp1win*T_p3p22438[[#This Row],[ICM]])
+'3wKhQs'!p2win*T_p22236[[#This Row],[ICM]]
+'3wKhQs'!p1win*T_p12135[[#This Row],[ICM]]</f>
        <v>0</v>
      </c>
      <c r="AR18" s="68">
        <f>('3wKhQs'!p3win* ('3wKhQs'!p1sp1win*T_p3p12337[[#This Row],[KO]] + '3wKhQs'!p2sp1win*T_p3p22438[[#This Row],[KO]])
+'3wKhQs'!p2win*T_p22236[[#This Row],[KO]]
+'3wKhQs'!p1win*T_p12135[[#This Row],[KO]])*bounty</f>
        <v>0</v>
      </c>
      <c r="AS18" s="68">
        <f>'3wKhQs'!p3win* ('3wKhQs'!p1sp1win*T_p3p12337[[#This Row],[$stack]] + '3wKhQs'!p2sp1win*T_p3p22438[[#This Row],[$stack]])
+'3wKhQs'!p2win*T_p22236[[#This Row],[$stack]]
+'3wKhQs'!p1win*T_p12135[[#This Row],[$stack]]</f>
        <v>0</v>
      </c>
      <c r="AT18" s="68">
        <f>'3wKhQs'!p3win* ('3wKhQs'!p1sp1win*T_p3p12337[[#This Row],[stack]] + '3wKhQs'!p2sp1win*T_p3p22438[[#This Row],[stack]])
+'3wKhQs'!p2win*T_p22236[[#This Row],[stack]]
+'3wKhQs'!p1win*T_p12135[[#This Row],[stack]]</f>
        <v>1322.4763296000001</v>
      </c>
      <c r="AU18" s="2">
        <f>T_EV3340[[#This Row],[chipEV]]-T_fact2939[[#This Row],[stack]]</f>
        <v>824.4763296000001</v>
      </c>
      <c r="AV18" s="2">
        <f>T_EV3340[[#This Row],[EV]]-(T_fact2939[[#This Row],[ICM]]+bounty*T_fact2939[[#This Row],[KO]])</f>
        <v>0</v>
      </c>
    </row>
    <row r="19" spans="1:48" x14ac:dyDescent="0.25">
      <c r="A19" s="26"/>
      <c r="B19" s="26">
        <v>442</v>
      </c>
      <c r="C19" s="26"/>
      <c r="D19" s="26"/>
      <c r="F19" s="73">
        <f>COUNTIF(T_p12135[stack],"&gt;0")</f>
        <v>4</v>
      </c>
      <c r="G19" s="26">
        <f>IF(T_init2034[[#This Row],[p]]=1,mainpot+sidepot1+sidepot2+uncalled,IF(T_init2034[[#This Row],[p]]&gt;1,0,T_init2034[[#This Row],[stack]]))</f>
        <v>442</v>
      </c>
      <c r="H19" s="26">
        <v>0.18509999999999999</v>
      </c>
      <c r="I19" s="27">
        <f>T_p12135[[#This Row],[EQ]]*prize</f>
        <v>0</v>
      </c>
      <c r="J19" s="71">
        <f>IF(T_init2034[[#This Row],[p]]=1,T_p12135[[#This Row],[players]]*T_p12135[[#This Row],[stack]]/chips+COUNTIF(T_p12135[stack],0),T_p12135[[#This Row],[players]]*T_p12135[[#This Row],[stack]]/chips)</f>
        <v>0.58933333333333338</v>
      </c>
      <c r="K19" s="71">
        <f>T_p12135[[#This Row],[ICM]]+bounty*T_p12135[[#This Row],[KO]]</f>
        <v>0</v>
      </c>
      <c r="M19" s="29">
        <f>COUNTIF(T_p22236[stack],"&gt;0")</f>
        <v>5</v>
      </c>
      <c r="N19" s="26">
        <f>IF(T_init2034[[#This Row],[p]]=1,uncalled,IF(T_init2034[[#This Row],[p]]=2,mainpot+sidepot1+sidepot2,IF(T_init2034[[#This Row],[p]]&gt;2,0,T_init2034[[#This Row],[stack]])))</f>
        <v>442</v>
      </c>
      <c r="O19" s="26">
        <v>0.1588</v>
      </c>
      <c r="P19" s="27">
        <f>T_p22236[[#This Row],[EQ]]*prize</f>
        <v>0</v>
      </c>
      <c r="Q19" s="71">
        <f>IF(T_init2034[[#This Row],[p]]=2,T_p22236[[#This Row],[players]]*T_p22236[[#This Row],[stack]]/chips+COUNTIF(T_p22236[stack],0),T_p22236[[#This Row],[players]]*T_p22236[[#This Row],[stack]]/chips)</f>
        <v>0.73666666666666669</v>
      </c>
      <c r="R19" s="71">
        <f>T_p22236[[#This Row],[ICM]]+bounty*T_p22236[[#This Row],[KO]]</f>
        <v>0</v>
      </c>
      <c r="T19" s="73">
        <f>COUNTIF(T_p3p12337[stack],"&gt;0")</f>
        <v>5</v>
      </c>
      <c r="U19" s="26">
        <f>IF(T_init2034[[#This Row],[p]]=1,sidepot1+uncalled,IF(T_init2034[[#This Row],[p]]=3,mainpot,IF(ISBLANK(T_init2034[[#This Row],[p]]),T_init2034[[#This Row],[stack]],0)))</f>
        <v>442</v>
      </c>
      <c r="V19" s="26">
        <v>0.16830000000000001</v>
      </c>
      <c r="W19" s="27">
        <f>T_p3p12337[[#This Row],[EQ]]*prize</f>
        <v>0</v>
      </c>
      <c r="X19" s="71">
        <f>IF(T_init2034[[#This Row],[p]]=1,T_p3p12337[[#This Row],[players]]*T_p3p12337[[#This Row],[stack]]/chips+COUNTIF(T_p3p12337[stack],0),T_p3p12337[[#This Row],[players]]*T_p3p12337[[#This Row],[stack]]/chips)</f>
        <v>0.73666666666666669</v>
      </c>
      <c r="Y19" s="71">
        <f>T_p3p12337[[#This Row],[ICM]]+bounty*T_p3p12337[[#This Row],[KO]]</f>
        <v>0</v>
      </c>
      <c r="AA19" s="73">
        <f>COUNTIF(T_p3p22438[stack],"&gt;0")</f>
        <v>6</v>
      </c>
      <c r="AB19" s="26">
        <f>IF(T_init2034[[#This Row],[p]]=1,uncalled,IF(T_init2034[[#This Row],[p]]=2,sidepot1,IF(T_init2034[[#This Row],[p]]=3,mainpot,IF(ISBLANK(T_init2034[[#This Row],[p]]),T_init2034[[#This Row],[stack]],0))))</f>
        <v>442</v>
      </c>
      <c r="AC19" s="26">
        <v>0.1522</v>
      </c>
      <c r="AD19" s="27">
        <f>T_p3p22438[[#This Row],[EQ]]*prize</f>
        <v>0</v>
      </c>
      <c r="AE19" s="71">
        <f>IF(T_init2034[[#This Row],[p]]=2,T_p3p22438[[#This Row],[players]]*T_p3p22438[[#This Row],[stack]]/chips+COUNTIF(T_p3p22438[stack],0),T_p3p22438[[#This Row],[players]]*T_p3p22438[[#This Row],[stack]]/chips)</f>
        <v>0.88400000000000001</v>
      </c>
      <c r="AF19" s="16">
        <f>T_p3p22438[[#This Row],[ICM]]+bounty*T_p3p22438[[#This Row],[KO]]</f>
        <v>0</v>
      </c>
      <c r="AI19" s="73">
        <f>COUNTIF(T_fact2939[stack],"&gt;0")</f>
        <v>6</v>
      </c>
      <c r="AJ19" s="26">
        <v>442</v>
      </c>
      <c r="AK19" s="26">
        <v>0.15490000000000001</v>
      </c>
      <c r="AL19" s="27">
        <f>T_fact2939[[#This Row],[EQ]]*prize</f>
        <v>0</v>
      </c>
      <c r="AM19" s="71">
        <f>IF(T_init2034[[#This Row],[p]]=1,T_fact2939[[#This Row],[players]]*T_fact2939[[#This Row],[stack]]/chips+COUNTIF(T_fact2939[stack],0),T_fact2939[[#This Row],[players]]*T_fact2939[[#This Row],[stack]]/chips)</f>
        <v>0.88400000000000001</v>
      </c>
      <c r="AN19" s="16">
        <f>T_fact2939[[#This Row],[ICM]]+bounty*T_fact2939[[#This Row],[KO]]</f>
        <v>0</v>
      </c>
      <c r="AQ19" s="68">
        <f>'3wKhQs'!p3win* ('3wKhQs'!p1sp1win*T_p3p12337[[#This Row],[ICM]] + '3wKhQs'!p2sp1win*T_p3p22438[[#This Row],[ICM]])
+'3wKhQs'!p2win*T_p22236[[#This Row],[ICM]]
+'3wKhQs'!p1win*T_p12135[[#This Row],[ICM]]</f>
        <v>0</v>
      </c>
      <c r="AR19" s="72">
        <f>('3wKhQs'!p3win* ('3wKhQs'!p1sp1win*T_p3p12337[[#This Row],[KO]] + '3wKhQs'!p2sp1win*T_p3p22438[[#This Row],[KO]])
+'3wKhQs'!p2win*T_p22236[[#This Row],[KO]]
+'3wKhQs'!p1win*T_p12135[[#This Row],[KO]])*bounty</f>
        <v>0</v>
      </c>
      <c r="AS19" s="72">
        <f>'3wKhQs'!p3win* ('3wKhQs'!p1sp1win*T_p3p12337[[#This Row],[$stack]] + '3wKhQs'!p2sp1win*T_p3p22438[[#This Row],[$stack]])
+'3wKhQs'!p2win*T_p22236[[#This Row],[$stack]]
+'3wKhQs'!p1win*T_p12135[[#This Row],[$stack]]</f>
        <v>0</v>
      </c>
      <c r="AT19" s="72">
        <f>'3wKhQs'!p3win* ('3wKhQs'!p1sp1win*T_p3p12337[[#This Row],[stack]] + '3wKhQs'!p2sp1win*T_p3p22438[[#This Row],[stack]])
+'3wKhQs'!p2win*T_p22236[[#This Row],[stack]]
+'3wKhQs'!p1win*T_p12135[[#This Row],[stack]]</f>
        <v>442</v>
      </c>
      <c r="AU19" s="2">
        <f>T_EV3340[[#This Row],[chipEV]]-T_fact2939[[#This Row],[stack]]</f>
        <v>0</v>
      </c>
      <c r="AV19" s="2">
        <f>T_EV3340[[#This Row],[EV]]-(T_fact2939[[#This Row],[ICM]]+bounty*T_fact2939[[#This Row],[KO]])</f>
        <v>0</v>
      </c>
    </row>
    <row r="20" spans="1:48" x14ac:dyDescent="0.25">
      <c r="A20">
        <v>3</v>
      </c>
      <c r="B20">
        <v>62</v>
      </c>
      <c r="C20" s="26" t="s">
        <v>446</v>
      </c>
      <c r="F20" s="5">
        <f>COUNTIF(T_p12135[stack],"&gt;0")</f>
        <v>4</v>
      </c>
      <c r="G20">
        <f>IF(T_init2034[[#This Row],[p]]=1,mainpot+sidepot1+sidepot2+uncalled,IF(T_init2034[[#This Row],[p]]&gt;1,0,T_init2034[[#This Row],[stack]]))</f>
        <v>0</v>
      </c>
      <c r="H20">
        <v>0</v>
      </c>
      <c r="I20" s="2">
        <f>T_p12135[[#This Row],[EQ]]*prize</f>
        <v>0</v>
      </c>
      <c r="J20" s="66">
        <f>IF(T_init2034[[#This Row],[p]]=1,T_p12135[[#This Row],[players]]*T_p12135[[#This Row],[stack]]/chips+COUNTIF(T_p12135[stack],0),T_p12135[[#This Row],[players]]*T_p12135[[#This Row],[stack]]/chips)</f>
        <v>0</v>
      </c>
      <c r="K20" s="66">
        <f>T_p12135[[#This Row],[ICM]]+bounty*T_p12135[[#This Row],[KO]]</f>
        <v>0</v>
      </c>
      <c r="M20" s="10">
        <f>COUNTIF(T_p22236[stack],"&gt;0")</f>
        <v>5</v>
      </c>
      <c r="N20" s="26">
        <f>IF(T_init2034[[#This Row],[p]]=1,uncalled,IF(T_init2034[[#This Row],[p]]=2,mainpot+sidepot1+sidepot2,IF(T_init2034[[#This Row],[p]]&gt;2,0,T_init2034[[#This Row],[stack]])))</f>
        <v>0</v>
      </c>
      <c r="O20">
        <v>0</v>
      </c>
      <c r="P20" s="2">
        <f>T_p22236[[#This Row],[EQ]]*prize</f>
        <v>0</v>
      </c>
      <c r="Q20" s="66">
        <f>IF(T_init2034[[#This Row],[p]]=2,T_p22236[[#This Row],[players]]*T_p22236[[#This Row],[stack]]/chips+COUNTIF(T_p22236[stack],0),T_p22236[[#This Row],[players]]*T_p22236[[#This Row],[stack]]/chips)</f>
        <v>0</v>
      </c>
      <c r="R20" s="66">
        <f>T_p22236[[#This Row],[ICM]]+bounty*T_p22236[[#This Row],[KO]]</f>
        <v>0</v>
      </c>
      <c r="T20" s="5">
        <f>COUNTIF(T_p3p12337[stack],"&gt;0")</f>
        <v>5</v>
      </c>
      <c r="U20" s="26">
        <f>IF(T_init2034[[#This Row],[p]]=1,sidepot1+uncalled,IF(T_init2034[[#This Row],[p]]=3,mainpot,IF(ISBLANK(T_init2034[[#This Row],[p]]),T_init2034[[#This Row],[stack]],0)))</f>
        <v>248</v>
      </c>
      <c r="V20">
        <v>9.7799999999999998E-2</v>
      </c>
      <c r="W20" s="2">
        <f>T_p3p12337[[#This Row],[EQ]]*prize</f>
        <v>0</v>
      </c>
      <c r="X20" s="66">
        <f>IF(T_init2034[[#This Row],[p]]=1,T_p3p12337[[#This Row],[players]]*T_p3p12337[[#This Row],[stack]]/chips+COUNTIF(T_p3p12337[stack],0),T_p3p12337[[#This Row],[players]]*T_p3p12337[[#This Row],[stack]]/chips)</f>
        <v>0.41333333333333333</v>
      </c>
      <c r="Y20" s="66">
        <f>T_p3p12337[[#This Row],[ICM]]+bounty*T_p3p12337[[#This Row],[KO]]</f>
        <v>0</v>
      </c>
      <c r="AA20" s="5">
        <f>COUNTIF(T_p3p22438[stack],"&gt;0")</f>
        <v>6</v>
      </c>
      <c r="AB20">
        <f>IF(T_init2034[[#This Row],[p]]=1,uncalled,IF(T_init2034[[#This Row],[p]]=2,sidepot1,IF(T_init2034[[#This Row],[p]]=3,mainpot,IF(ISBLANK(T_init2034[[#This Row],[p]]),T_init2034[[#This Row],[stack]],0))))</f>
        <v>248</v>
      </c>
      <c r="AC20">
        <v>8.8800000000000004E-2</v>
      </c>
      <c r="AD20" s="2">
        <f>T_p3p22438[[#This Row],[EQ]]*prize</f>
        <v>0</v>
      </c>
      <c r="AE20" s="66">
        <f>IF(T_init2034[[#This Row],[p]]=2,T_p3p22438[[#This Row],[players]]*T_p3p22438[[#This Row],[stack]]/chips+COUNTIF(T_p3p22438[stack],0),T_p3p22438[[#This Row],[players]]*T_p3p22438[[#This Row],[stack]]/chips)</f>
        <v>0.496</v>
      </c>
      <c r="AF20" s="16">
        <f>T_p3p22438[[#This Row],[ICM]]+bounty*T_p3p22438[[#This Row],[KO]]</f>
        <v>0</v>
      </c>
      <c r="AI20" s="73">
        <f>COUNTIF(T_fact2939[stack],"&gt;0")</f>
        <v>6</v>
      </c>
      <c r="AJ20" s="26">
        <v>124</v>
      </c>
      <c r="AK20">
        <v>4.6100000000000002E-2</v>
      </c>
      <c r="AL20" s="2">
        <f>T_fact2939[[#This Row],[EQ]]*prize</f>
        <v>0</v>
      </c>
      <c r="AM20" s="66">
        <f>IF(T_init2034[[#This Row],[p]]=1,T_fact2939[[#This Row],[players]]*T_fact2939[[#This Row],[stack]]/chips+COUNTIF(T_fact2939[stack],0),T_fact2939[[#This Row],[players]]*T_fact2939[[#This Row],[stack]]/chips)</f>
        <v>0.248</v>
      </c>
      <c r="AN20" s="16">
        <f>T_fact2939[[#This Row],[ICM]]+bounty*T_fact2939[[#This Row],[KO]]</f>
        <v>0</v>
      </c>
      <c r="AQ20" s="68">
        <f>'3wKhQs'!p3win* ('3wKhQs'!p1sp1win*T_p3p12337[[#This Row],[ICM]] + '3wKhQs'!p2sp1win*T_p3p22438[[#This Row],[ICM]])
+'3wKhQs'!p2win*T_p22236[[#This Row],[ICM]]
+'3wKhQs'!p1win*T_p12135[[#This Row],[ICM]]</f>
        <v>0</v>
      </c>
      <c r="AR20" s="68">
        <f>('3wKhQs'!p3win* ('3wKhQs'!p1sp1win*T_p3p12337[[#This Row],[KO]] + '3wKhQs'!p2sp1win*T_p3p22438[[#This Row],[KO]])
+'3wKhQs'!p2win*T_p22236[[#This Row],[KO]]
+'3wKhQs'!p1win*T_p12135[[#This Row],[KO]])*bounty</f>
        <v>0</v>
      </c>
      <c r="AS20" s="68">
        <f>'3wKhQs'!p3win* ('3wKhQs'!p1sp1win*T_p3p12337[[#This Row],[$stack]] + '3wKhQs'!p2sp1win*T_p3p22438[[#This Row],[$stack]])
+'3wKhQs'!p2win*T_p22236[[#This Row],[$stack]]
+'3wKhQs'!p1win*T_p12135[[#This Row],[$stack]]</f>
        <v>0</v>
      </c>
      <c r="AT20" s="68">
        <f>'3wKhQs'!p3win* ('3wKhQs'!p1sp1win*T_p3p12337[[#This Row],[stack]] + '3wKhQs'!p2sp1win*T_p3p22438[[#This Row],[stack]])
+'3wKhQs'!p2win*T_p22236[[#This Row],[stack]]
+'3wKhQs'!p1win*T_p12135[[#This Row],[stack]]</f>
        <v>52.278399999999998</v>
      </c>
      <c r="AU20" s="2">
        <f>T_EV3340[[#This Row],[chipEV]]-T_fact2939[[#This Row],[stack]]</f>
        <v>-71.721599999999995</v>
      </c>
      <c r="AV20" s="2">
        <f>T_EV3340[[#This Row],[EV]]-(T_fact2939[[#This Row],[ICM]]+bounty*T_fact2939[[#This Row],[KO]])</f>
        <v>0</v>
      </c>
    </row>
    <row r="21" spans="1:48" x14ac:dyDescent="0.25">
      <c r="B21">
        <v>474</v>
      </c>
      <c r="F21" s="5">
        <f>COUNTIF(T_p12135[stack],"&gt;0")</f>
        <v>4</v>
      </c>
      <c r="G21">
        <f>IF(T_init2034[[#This Row],[p]]=1,mainpot+sidepot1+sidepot2+uncalled,IF(T_init2034[[#This Row],[p]]&gt;1,0,T_init2034[[#This Row],[stack]]))</f>
        <v>474</v>
      </c>
      <c r="H21">
        <v>0.1973</v>
      </c>
      <c r="I21" s="2">
        <f>T_p12135[[#This Row],[EQ]]*prize</f>
        <v>0</v>
      </c>
      <c r="J21" s="66">
        <f>IF(T_init2034[[#This Row],[p]]=1,T_p12135[[#This Row],[players]]*T_p12135[[#This Row],[stack]]/chips+COUNTIF(T_p12135[stack],0),T_p12135[[#This Row],[players]]*T_p12135[[#This Row],[stack]]/chips)</f>
        <v>0.63200000000000001</v>
      </c>
      <c r="K21" s="66">
        <f>T_p12135[[#This Row],[ICM]]+bounty*T_p12135[[#This Row],[KO]]</f>
        <v>0</v>
      </c>
      <c r="M21" s="10">
        <f>COUNTIF(T_p22236[stack],"&gt;0")</f>
        <v>5</v>
      </c>
      <c r="N21" s="26">
        <f>IF(T_init2034[[#This Row],[p]]=1,uncalled,IF(T_init2034[[#This Row],[p]]=2,mainpot+sidepot1+sidepot2,IF(T_init2034[[#This Row],[p]]&gt;2,0,T_init2034[[#This Row],[stack]])))</f>
        <v>474</v>
      </c>
      <c r="O21">
        <v>0.16919999999999999</v>
      </c>
      <c r="P21" s="2">
        <f>T_p22236[[#This Row],[EQ]]*prize</f>
        <v>0</v>
      </c>
      <c r="Q21" s="66">
        <f>IF(T_init2034[[#This Row],[p]]=2,T_p22236[[#This Row],[players]]*T_p22236[[#This Row],[stack]]/chips+COUNTIF(T_p22236[stack],0),T_p22236[[#This Row],[players]]*T_p22236[[#This Row],[stack]]/chips)</f>
        <v>0.79</v>
      </c>
      <c r="R21" s="66">
        <f>T_p22236[[#This Row],[ICM]]+bounty*T_p22236[[#This Row],[KO]]</f>
        <v>0</v>
      </c>
      <c r="T21" s="5">
        <f>COUNTIF(T_p3p12337[stack],"&gt;0")</f>
        <v>5</v>
      </c>
      <c r="U21" s="26">
        <f>IF(T_init2034[[#This Row],[p]]=1,sidepot1+uncalled,IF(T_init2034[[#This Row],[p]]=3,mainpot,IF(ISBLANK(T_init2034[[#This Row],[p]]),T_init2034[[#This Row],[stack]],0)))</f>
        <v>474</v>
      </c>
      <c r="V21">
        <v>0.17929999999999999</v>
      </c>
      <c r="W21" s="2">
        <f>T_p3p12337[[#This Row],[EQ]]*prize</f>
        <v>0</v>
      </c>
      <c r="X21" s="66">
        <f>IF(T_init2034[[#This Row],[p]]=1,T_p3p12337[[#This Row],[players]]*T_p3p12337[[#This Row],[stack]]/chips+COUNTIF(T_p3p12337[stack],0),T_p3p12337[[#This Row],[players]]*T_p3p12337[[#This Row],[stack]]/chips)</f>
        <v>0.79</v>
      </c>
      <c r="Y21" s="66">
        <f>T_p3p12337[[#This Row],[ICM]]+bounty*T_p3p12337[[#This Row],[KO]]</f>
        <v>0</v>
      </c>
      <c r="AA21" s="5">
        <f>COUNTIF(T_p3p22438[stack],"&gt;0")</f>
        <v>6</v>
      </c>
      <c r="AB21">
        <f>IF(T_init2034[[#This Row],[p]]=1,uncalled,IF(T_init2034[[#This Row],[p]]=2,sidepot1,IF(T_init2034[[#This Row],[p]]=3,mainpot,IF(ISBLANK(T_init2034[[#This Row],[p]]),T_init2034[[#This Row],[stack]],0))))</f>
        <v>474</v>
      </c>
      <c r="AC21">
        <v>0.16200000000000001</v>
      </c>
      <c r="AD21" s="2">
        <f>T_p3p22438[[#This Row],[EQ]]*prize</f>
        <v>0</v>
      </c>
      <c r="AE21" s="66">
        <f>IF(T_init2034[[#This Row],[p]]=2,T_p3p22438[[#This Row],[players]]*T_p3p22438[[#This Row],[stack]]/chips+COUNTIF(T_p3p22438[stack],0),T_p3p22438[[#This Row],[players]]*T_p3p22438[[#This Row],[stack]]/chips)</f>
        <v>0.94799999999999995</v>
      </c>
      <c r="AF21" s="16">
        <f>T_p3p22438[[#This Row],[ICM]]+bounty*T_p3p22438[[#This Row],[KO]]</f>
        <v>0</v>
      </c>
      <c r="AI21" s="73">
        <f>COUNTIF(T_fact2939[stack],"&gt;0")</f>
        <v>6</v>
      </c>
      <c r="AJ21" s="26">
        <v>474</v>
      </c>
      <c r="AK21">
        <v>0.16500000000000001</v>
      </c>
      <c r="AL21" s="2">
        <f>T_fact2939[[#This Row],[EQ]]*prize</f>
        <v>0</v>
      </c>
      <c r="AM21" s="66">
        <f>IF(T_init2034[[#This Row],[p]]=1,T_fact2939[[#This Row],[players]]*T_fact2939[[#This Row],[stack]]/chips+COUNTIF(T_fact2939[stack],0),T_fact2939[[#This Row],[players]]*T_fact2939[[#This Row],[stack]]/chips)</f>
        <v>0.94799999999999995</v>
      </c>
      <c r="AN21" s="16">
        <f>T_fact2939[[#This Row],[ICM]]+bounty*T_fact2939[[#This Row],[KO]]</f>
        <v>0</v>
      </c>
      <c r="AQ21" s="68">
        <f>'3wKhQs'!p3win* ('3wKhQs'!p1sp1win*T_p3p12337[[#This Row],[ICM]] + '3wKhQs'!p2sp1win*T_p3p22438[[#This Row],[ICM]])
+'3wKhQs'!p2win*T_p22236[[#This Row],[ICM]]
+'3wKhQs'!p1win*T_p12135[[#This Row],[ICM]]</f>
        <v>0</v>
      </c>
      <c r="AR21" s="68">
        <f>('3wKhQs'!p3win* ('3wKhQs'!p1sp1win*T_p3p12337[[#This Row],[KO]] + '3wKhQs'!p2sp1win*T_p3p22438[[#This Row],[KO]])
+'3wKhQs'!p2win*T_p22236[[#This Row],[KO]]
+'3wKhQs'!p1win*T_p12135[[#This Row],[KO]])*bounty</f>
        <v>0</v>
      </c>
      <c r="AS21" s="68">
        <f>'3wKhQs'!p3win* ('3wKhQs'!p1sp1win*T_p3p12337[[#This Row],[$stack]] + '3wKhQs'!p2sp1win*T_p3p22438[[#This Row],[$stack]])
+'3wKhQs'!p2win*T_p22236[[#This Row],[$stack]]
+'3wKhQs'!p1win*T_p12135[[#This Row],[$stack]]</f>
        <v>0</v>
      </c>
      <c r="AT21" s="68">
        <f>'3wKhQs'!p3win* ('3wKhQs'!p1sp1win*T_p3p12337[[#This Row],[stack]] + '3wKhQs'!p2sp1win*T_p3p22438[[#This Row],[stack]])
+'3wKhQs'!p2win*T_p22236[[#This Row],[stack]]
+'3wKhQs'!p1win*T_p12135[[#This Row],[stack]]</f>
        <v>474</v>
      </c>
      <c r="AU21" s="2">
        <f>T_EV3340[[#This Row],[chipEV]]-T_fact2939[[#This Row],[stack]]</f>
        <v>0</v>
      </c>
      <c r="AV21" s="2">
        <f>T_EV3340[[#This Row],[EV]]-(T_fact2939[[#This Row],[ICM]]+bounty*T_fact2939[[#This Row],[KO]])</f>
        <v>0</v>
      </c>
    </row>
    <row r="22" spans="1:48" x14ac:dyDescent="0.25">
      <c r="A22" t="s">
        <v>95</v>
      </c>
      <c r="D22">
        <f>SUBTOTAL(109,T_init2034[pWin])</f>
        <v>0</v>
      </c>
      <c r="F22" s="53"/>
      <c r="G22" s="50">
        <f>SUM(T_p12135[stack])</f>
        <v>3000</v>
      </c>
      <c r="H22" s="50">
        <f>SUM(T_p12135[EQ])</f>
        <v>1.0001</v>
      </c>
      <c r="I22" s="50">
        <f>SUM(T_p12135[ICM])</f>
        <v>0</v>
      </c>
      <c r="J22" s="50">
        <f>SUM(T_p12135[KO])</f>
        <v>6</v>
      </c>
      <c r="K22" s="50">
        <f>SUM(T_p12135[$stack])</f>
        <v>0</v>
      </c>
      <c r="M22" s="53"/>
      <c r="N22" s="55">
        <f>SUM(T_p22236[stack])</f>
        <v>3000</v>
      </c>
      <c r="O22" s="50">
        <f>SUM(T_p22236[EQ])</f>
        <v>1</v>
      </c>
      <c r="P22" s="51">
        <f>SUM(T_p22236[ICM])</f>
        <v>0</v>
      </c>
      <c r="Q22" s="52">
        <f>SUM(T_p22236[KO])</f>
        <v>6</v>
      </c>
      <c r="R22" s="50">
        <f>SUM(T_p22236[$stack])</f>
        <v>0</v>
      </c>
      <c r="T22" s="53"/>
      <c r="U22" s="55">
        <f>SUM(T_p3p12337[stack])</f>
        <v>3000</v>
      </c>
      <c r="V22" s="50">
        <f>SUM(T_p3p12337[EQ])</f>
        <v>1</v>
      </c>
      <c r="W22" s="51">
        <f>SUM(T_p3p12337[ICM])</f>
        <v>0</v>
      </c>
      <c r="X22" s="52">
        <f>SUM(T_p3p12337[KO])</f>
        <v>6</v>
      </c>
      <c r="Y22" s="50">
        <f>SUM(T_p3p12337[$stack])</f>
        <v>0</v>
      </c>
      <c r="AA22" s="53"/>
      <c r="AB22" s="55">
        <f>SUM(T_p3p22438[stack])</f>
        <v>3000</v>
      </c>
      <c r="AC22" s="50">
        <f>SUM(T_p3p22438[EQ])</f>
        <v>1</v>
      </c>
      <c r="AD22" s="51">
        <f>SUM(T_p3p22438[ICM])</f>
        <v>0</v>
      </c>
      <c r="AE22" s="52">
        <f>SUM(T_p3p22438[KO])</f>
        <v>6</v>
      </c>
      <c r="AF22" s="50">
        <f>SUM(T_p3p12337[$stack])</f>
        <v>0</v>
      </c>
      <c r="AI22" s="53"/>
      <c r="AJ22" s="55">
        <f>SUM(T_fact2939[stack])</f>
        <v>3000</v>
      </c>
      <c r="AK22" s="50">
        <f>SUM(T_fact2939[EQ])</f>
        <v>1</v>
      </c>
      <c r="AL22" s="51">
        <f>SUM(T_fact2939[ICM])</f>
        <v>0</v>
      </c>
      <c r="AM22" s="52">
        <f>SUM(T_fact2939[KO])</f>
        <v>6</v>
      </c>
      <c r="AN22" s="51">
        <f>SUM(T_fact2939[$stack])</f>
        <v>0</v>
      </c>
      <c r="AQ22" s="52">
        <f>SUM(T_EV3340[ICM])</f>
        <v>0</v>
      </c>
      <c r="AR22" s="52">
        <f>SUM(T_EV3340[KO])</f>
        <v>0</v>
      </c>
      <c r="AS22" s="52">
        <f>SUM(T_EV3340[EV])</f>
        <v>0</v>
      </c>
      <c r="AT22" s="50">
        <f>SUM(T_EV3340[chipEV])</f>
        <v>3000</v>
      </c>
    </row>
    <row r="38" spans="2:4" x14ac:dyDescent="0.25">
      <c r="C38" t="s">
        <v>118</v>
      </c>
    </row>
    <row r="39" spans="2:4" x14ac:dyDescent="0.25">
      <c r="C39" t="s">
        <v>120</v>
      </c>
    </row>
    <row r="40" spans="2:4" x14ac:dyDescent="0.25">
      <c r="C40" t="s">
        <v>122</v>
      </c>
    </row>
    <row r="43" spans="2:4" x14ac:dyDescent="0.25">
      <c r="C43" t="s">
        <v>126</v>
      </c>
    </row>
    <row r="45" spans="2:4" x14ac:dyDescent="0.25">
      <c r="B45" t="s">
        <v>129</v>
      </c>
    </row>
    <row r="46" spans="2:4" x14ac:dyDescent="0.25">
      <c r="B46" t="s">
        <v>131</v>
      </c>
    </row>
    <row r="47" spans="2:4" x14ac:dyDescent="0.25">
      <c r="C47" t="s">
        <v>133</v>
      </c>
    </row>
    <row r="48" spans="2:4" x14ac:dyDescent="0.25">
      <c r="D48" t="s">
        <v>135</v>
      </c>
    </row>
    <row r="49" spans="3:6" x14ac:dyDescent="0.25">
      <c r="C49" t="s">
        <v>137</v>
      </c>
    </row>
    <row r="50" spans="3:6" x14ac:dyDescent="0.25">
      <c r="D50" t="s">
        <v>135</v>
      </c>
    </row>
    <row r="51" spans="3:6" x14ac:dyDescent="0.25">
      <c r="C51" t="s">
        <v>140</v>
      </c>
    </row>
    <row r="52" spans="3:6" x14ac:dyDescent="0.25">
      <c r="D52" t="s">
        <v>142</v>
      </c>
    </row>
    <row r="53" spans="3:6" x14ac:dyDescent="0.25">
      <c r="D53" t="s">
        <v>144</v>
      </c>
      <c r="E53" t="s">
        <v>145</v>
      </c>
    </row>
    <row r="54" spans="3:6" x14ac:dyDescent="0.25">
      <c r="F54" t="s">
        <v>147</v>
      </c>
    </row>
    <row r="55" spans="3:6" x14ac:dyDescent="0.25">
      <c r="E55" t="s">
        <v>149</v>
      </c>
    </row>
    <row r="56" spans="3:6" x14ac:dyDescent="0.25">
      <c r="F56" t="s">
        <v>151</v>
      </c>
    </row>
    <row r="58" spans="3:6" x14ac:dyDescent="0.25">
      <c r="C58" t="s">
        <v>154</v>
      </c>
    </row>
    <row r="59" spans="3:6" x14ac:dyDescent="0.25">
      <c r="D59" t="s">
        <v>156</v>
      </c>
    </row>
    <row r="60" spans="3:6" x14ac:dyDescent="0.25">
      <c r="D60" t="s">
        <v>158</v>
      </c>
      <c r="E60" t="s">
        <v>145</v>
      </c>
    </row>
    <row r="61" spans="3:6" x14ac:dyDescent="0.25">
      <c r="F61" t="s">
        <v>160</v>
      </c>
    </row>
    <row r="62" spans="3:6" x14ac:dyDescent="0.25">
      <c r="E62" t="s">
        <v>149</v>
      </c>
    </row>
    <row r="63" spans="3:6" x14ac:dyDescent="0.25">
      <c r="F63" t="s">
        <v>163</v>
      </c>
    </row>
    <row r="64" spans="3:6" x14ac:dyDescent="0.25">
      <c r="E64" t="s">
        <v>165</v>
      </c>
    </row>
    <row r="65" spans="6:8" x14ac:dyDescent="0.25">
      <c r="F65" t="s">
        <v>167</v>
      </c>
    </row>
    <row r="66" spans="6:8" x14ac:dyDescent="0.25">
      <c r="F66" t="s">
        <v>144</v>
      </c>
    </row>
    <row r="67" spans="6:8" x14ac:dyDescent="0.25">
      <c r="G67" t="s">
        <v>145</v>
      </c>
    </row>
    <row r="68" spans="6:8" x14ac:dyDescent="0.25">
      <c r="H68" t="s">
        <v>147</v>
      </c>
    </row>
    <row r="69" spans="6:8" x14ac:dyDescent="0.25">
      <c r="G69" t="s">
        <v>149</v>
      </c>
    </row>
    <row r="70" spans="6:8" x14ac:dyDescent="0.25">
      <c r="H70" t="s">
        <v>151</v>
      </c>
    </row>
  </sheetData>
  <mergeCells count="10">
    <mergeCell ref="T12:AE12"/>
    <mergeCell ref="AQ12:AT12"/>
    <mergeCell ref="T13:AE13"/>
    <mergeCell ref="AQ13:AT13"/>
    <mergeCell ref="F14:J14"/>
    <mergeCell ref="M14:Q14"/>
    <mergeCell ref="T14:X14"/>
    <mergeCell ref="AA14:AE14"/>
    <mergeCell ref="AI14:AM14"/>
    <mergeCell ref="AQ14:AT14"/>
  </mergeCells>
  <pageMargins left="0.7" right="0.7" top="0.75" bottom="0.75" header="0.3" footer="0.3"/>
  <pageSetup paperSize="9" orientation="portrait" horizontalDpi="4294967293" verticalDpi="0" r:id="rId1"/>
  <legacyDrawing r:id="rId2"/>
  <tableParts count="7">
    <tablePart r:id="rId3"/>
    <tablePart r:id="rId4"/>
    <tablePart r:id="rId5"/>
    <tablePart r:id="rId6"/>
    <tablePart r:id="rId7"/>
    <tablePart r:id="rId8"/>
    <tablePart r:id="rId9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V70"/>
  <sheetViews>
    <sheetView workbookViewId="0">
      <selection activeCell="J56" sqref="J56:J57"/>
    </sheetView>
  </sheetViews>
  <sheetFormatPr defaultRowHeight="15" x14ac:dyDescent="0.25"/>
  <cols>
    <col min="1" max="1" width="9.28515625" customWidth="1"/>
    <col min="6" max="6" width="10.28515625" customWidth="1"/>
    <col min="13" max="13" width="10.28515625" customWidth="1"/>
    <col min="20" max="20" width="9.5703125" bestFit="1" customWidth="1"/>
    <col min="27" max="27" width="7.7109375" customWidth="1"/>
    <col min="28" max="29" width="8.5703125" customWidth="1"/>
    <col min="30" max="30" width="9.85546875" customWidth="1"/>
    <col min="31" max="31" width="8.42578125" customWidth="1"/>
    <col min="35" max="35" width="10" customWidth="1"/>
    <col min="39" max="39" width="10.5703125" customWidth="1"/>
  </cols>
  <sheetData>
    <row r="1" spans="1:48" x14ac:dyDescent="0.25">
      <c r="C1" t="s">
        <v>0</v>
      </c>
      <c r="D1">
        <f>bounty*6</f>
        <v>0</v>
      </c>
      <c r="F1" t="s">
        <v>71</v>
      </c>
      <c r="G1">
        <v>0.34510000000000002</v>
      </c>
      <c r="I1" t="s">
        <v>72</v>
      </c>
      <c r="J1">
        <v>0.52800000000000002</v>
      </c>
      <c r="O1" s="75"/>
      <c r="S1" t="s">
        <v>73</v>
      </c>
      <c r="T1">
        <v>1404</v>
      </c>
    </row>
    <row r="2" spans="1:48" x14ac:dyDescent="0.25">
      <c r="C2" t="s">
        <v>1</v>
      </c>
      <c r="D2">
        <f>bounty</f>
        <v>0</v>
      </c>
      <c r="F2" t="s">
        <v>74</v>
      </c>
      <c r="G2">
        <v>0.17469999999999999</v>
      </c>
      <c r="I2" t="s">
        <v>75</v>
      </c>
      <c r="J2">
        <v>0.47199999999999998</v>
      </c>
      <c r="S2" t="s">
        <v>76</v>
      </c>
      <c r="T2">
        <v>144</v>
      </c>
    </row>
    <row r="3" spans="1:48" x14ac:dyDescent="0.25">
      <c r="C3" t="s">
        <v>77</v>
      </c>
      <c r="D3">
        <v>3000</v>
      </c>
      <c r="F3" t="s">
        <v>78</v>
      </c>
      <c r="G3">
        <v>0.48020000000000002</v>
      </c>
      <c r="S3" t="s">
        <v>79</v>
      </c>
      <c r="T3">
        <v>0</v>
      </c>
    </row>
    <row r="4" spans="1:48" x14ac:dyDescent="0.25">
      <c r="F4" t="s">
        <v>80</v>
      </c>
      <c r="G4">
        <v>0</v>
      </c>
      <c r="S4" t="s">
        <v>81</v>
      </c>
      <c r="T4">
        <v>20</v>
      </c>
    </row>
    <row r="6" spans="1:48" x14ac:dyDescent="0.25">
      <c r="C6" t="s">
        <v>82</v>
      </c>
      <c r="D6" t="s">
        <v>83</v>
      </c>
    </row>
    <row r="7" spans="1:48" x14ac:dyDescent="0.25">
      <c r="C7" t="s">
        <v>84</v>
      </c>
      <c r="D7" t="s">
        <v>85</v>
      </c>
    </row>
    <row r="8" spans="1:48" x14ac:dyDescent="0.25">
      <c r="C8" t="s">
        <v>86</v>
      </c>
      <c r="D8" t="s">
        <v>87</v>
      </c>
    </row>
    <row r="10" spans="1:48" ht="18.75" x14ac:dyDescent="0.3">
      <c r="F10" s="84"/>
      <c r="G10" s="84"/>
      <c r="H10" s="84"/>
      <c r="I10" s="84"/>
      <c r="J10" s="84"/>
      <c r="K10" s="84"/>
    </row>
    <row r="11" spans="1:48" ht="19.5" thickBot="1" x14ac:dyDescent="0.35">
      <c r="F11" s="84"/>
      <c r="G11" s="84"/>
      <c r="H11" s="84"/>
      <c r="I11" s="84"/>
      <c r="J11" s="84"/>
      <c r="K11" s="84"/>
      <c r="V11" t="s">
        <v>92</v>
      </c>
      <c r="AC11" t="s">
        <v>93</v>
      </c>
    </row>
    <row r="12" spans="1:48" ht="20.25" thickTop="1" thickBot="1" x14ac:dyDescent="0.35">
      <c r="F12" s="84"/>
      <c r="G12" s="84"/>
      <c r="H12" s="84"/>
      <c r="I12" s="84"/>
      <c r="J12" s="84"/>
      <c r="K12" s="84"/>
      <c r="T12" s="96" t="s">
        <v>94</v>
      </c>
      <c r="U12" s="97"/>
      <c r="V12" s="97"/>
      <c r="W12" s="97"/>
      <c r="X12" s="97"/>
      <c r="Y12" s="97"/>
      <c r="Z12" s="97"/>
      <c r="AA12" s="97"/>
      <c r="AB12" s="97"/>
      <c r="AC12" s="97"/>
      <c r="AD12" s="97"/>
      <c r="AE12" s="98"/>
      <c r="AQ12" s="96" t="s">
        <v>95</v>
      </c>
      <c r="AR12" s="97"/>
      <c r="AS12" s="97"/>
      <c r="AT12" s="97"/>
    </row>
    <row r="13" spans="1:48" ht="20.25" thickTop="1" thickBot="1" x14ac:dyDescent="0.35">
      <c r="F13" s="84"/>
      <c r="G13" s="84"/>
      <c r="H13" s="84" t="s">
        <v>96</v>
      </c>
      <c r="I13" s="84"/>
      <c r="J13" s="84"/>
      <c r="K13" s="84"/>
      <c r="O13" t="s">
        <v>97</v>
      </c>
      <c r="T13" s="96" t="s">
        <v>98</v>
      </c>
      <c r="U13" s="97"/>
      <c r="V13" s="97"/>
      <c r="W13" s="97"/>
      <c r="X13" s="97"/>
      <c r="Y13" s="97"/>
      <c r="Z13" s="97"/>
      <c r="AA13" s="97"/>
      <c r="AB13" s="97"/>
      <c r="AC13" s="97"/>
      <c r="AD13" s="97"/>
      <c r="AE13" s="98"/>
      <c r="AK13" t="s">
        <v>99</v>
      </c>
      <c r="AQ13" s="96"/>
      <c r="AR13" s="97"/>
      <c r="AS13" s="97"/>
      <c r="AT13" s="97"/>
    </row>
    <row r="14" spans="1:48" ht="19.5" thickTop="1" x14ac:dyDescent="0.3">
      <c r="F14" s="88" t="s">
        <v>100</v>
      </c>
      <c r="G14" s="89"/>
      <c r="H14" s="89"/>
      <c r="I14" s="89"/>
      <c r="J14" s="90"/>
      <c r="K14" s="84"/>
      <c r="M14" s="88" t="s">
        <v>101</v>
      </c>
      <c r="N14" s="89"/>
      <c r="O14" s="89"/>
      <c r="P14" s="89"/>
      <c r="Q14" s="90"/>
      <c r="R14" s="84"/>
      <c r="T14" s="99" t="s">
        <v>102</v>
      </c>
      <c r="U14" s="100"/>
      <c r="V14" s="100"/>
      <c r="W14" s="100"/>
      <c r="X14" s="101"/>
      <c r="Y14" s="84"/>
      <c r="AA14" s="99" t="s">
        <v>103</v>
      </c>
      <c r="AB14" s="100"/>
      <c r="AC14" s="100"/>
      <c r="AD14" s="100"/>
      <c r="AE14" s="101"/>
      <c r="AG14">
        <f>'3wAdKd'!p3win*'3wAdKd'!mainpot</f>
        <v>674.20080000000007</v>
      </c>
      <c r="AI14" s="85" t="s">
        <v>10</v>
      </c>
      <c r="AJ14" s="86"/>
      <c r="AK14" s="86"/>
      <c r="AL14" s="86"/>
      <c r="AM14" s="87"/>
      <c r="AQ14" s="91" t="s">
        <v>104</v>
      </c>
      <c r="AR14" s="92"/>
      <c r="AS14" s="92"/>
      <c r="AT14" s="93"/>
    </row>
    <row r="15" spans="1:48" x14ac:dyDescent="0.25">
      <c r="A15" t="s">
        <v>105</v>
      </c>
      <c r="B15" t="s">
        <v>12</v>
      </c>
      <c r="C15" t="s">
        <v>13</v>
      </c>
      <c r="D15" t="s">
        <v>14</v>
      </c>
      <c r="F15" s="5" t="s">
        <v>107</v>
      </c>
      <c r="G15" t="s">
        <v>12</v>
      </c>
      <c r="H15" t="s">
        <v>108</v>
      </c>
      <c r="I15" t="s">
        <v>109</v>
      </c>
      <c r="J15" s="5" t="s">
        <v>1</v>
      </c>
      <c r="K15" s="5" t="s">
        <v>110</v>
      </c>
      <c r="M15" s="5" t="s">
        <v>107</v>
      </c>
      <c r="N15" s="5" t="s">
        <v>12</v>
      </c>
      <c r="O15" s="5" t="s">
        <v>108</v>
      </c>
      <c r="P15" s="5" t="s">
        <v>109</v>
      </c>
      <c r="Q15" s="5" t="s">
        <v>1</v>
      </c>
      <c r="R15" s="5" t="s">
        <v>110</v>
      </c>
      <c r="T15" s="5" t="s">
        <v>107</v>
      </c>
      <c r="U15" s="5" t="s">
        <v>12</v>
      </c>
      <c r="V15" s="5" t="s">
        <v>108</v>
      </c>
      <c r="W15" s="5" t="s">
        <v>109</v>
      </c>
      <c r="X15" s="5" t="s">
        <v>1</v>
      </c>
      <c r="Y15" s="5" t="s">
        <v>110</v>
      </c>
      <c r="AA15" s="5" t="s">
        <v>107</v>
      </c>
      <c r="AB15" s="5" t="s">
        <v>12</v>
      </c>
      <c r="AC15" s="5" t="s">
        <v>108</v>
      </c>
      <c r="AD15" s="5" t="s">
        <v>109</v>
      </c>
      <c r="AE15" s="5" t="s">
        <v>1</v>
      </c>
      <c r="AF15" t="s">
        <v>110</v>
      </c>
      <c r="AG15" t="s">
        <v>104</v>
      </c>
      <c r="AI15" s="5" t="s">
        <v>107</v>
      </c>
      <c r="AJ15" s="5" t="s">
        <v>12</v>
      </c>
      <c r="AK15" s="5" t="s">
        <v>108</v>
      </c>
      <c r="AL15" s="5" t="s">
        <v>109</v>
      </c>
      <c r="AM15" s="5" t="s">
        <v>1</v>
      </c>
      <c r="AN15" t="s">
        <v>110</v>
      </c>
      <c r="AQ15" s="5" t="s">
        <v>109</v>
      </c>
      <c r="AR15" s="5" t="s">
        <v>1</v>
      </c>
      <c r="AS15" s="5" t="s">
        <v>104</v>
      </c>
      <c r="AT15" s="5" t="s">
        <v>111</v>
      </c>
      <c r="AU15" t="s">
        <v>112</v>
      </c>
      <c r="AV15" t="s">
        <v>113</v>
      </c>
    </row>
    <row r="16" spans="1:48" x14ac:dyDescent="0.25">
      <c r="A16" s="26">
        <v>3</v>
      </c>
      <c r="B16" s="26">
        <v>454</v>
      </c>
      <c r="C16" s="26" t="s">
        <v>447</v>
      </c>
      <c r="D16" s="26"/>
      <c r="F16" s="73">
        <f>COUNTIF(T_p121[stack],"&gt;0")</f>
        <v>4</v>
      </c>
      <c r="G16" s="26">
        <f>IF(T_init20[[#This Row],[p]]=1,mainpot+sidepot1+sidepot2+uncalled,IF(T_init20[[#This Row],[p]]&gt;1,0,T_init20[[#This Row],[stack]]))</f>
        <v>0</v>
      </c>
      <c r="H16" s="26">
        <v>0.27529999999999999</v>
      </c>
      <c r="I16" s="27">
        <f>T_p121[[#This Row],[EQ]]*prize</f>
        <v>0</v>
      </c>
      <c r="J16" s="71">
        <f>IF(T_init20[[#This Row],[p]]=1,T_p121[[#This Row],[players]]*T_p121[[#This Row],[stack]]/chips+COUNTIF(T_p121[stack],0),T_p121[[#This Row],[players]]*T_p121[[#This Row],[stack]]/chips)</f>
        <v>0</v>
      </c>
      <c r="K16" s="71">
        <f>T_p121[[#This Row],[ICM]]+bounty*T_p121[[#This Row],[KO]]</f>
        <v>0</v>
      </c>
      <c r="M16" s="29">
        <f>COUNTIF(T_p222[stack],"&gt;0")</f>
        <v>5</v>
      </c>
      <c r="N16" s="26">
        <f>IF(T_init20[[#This Row],[p]]=1,uncalled,IF(T_init20[[#This Row],[p]]=2,mainpot+sidepot1+sidepot2,IF(T_init20[[#This Row],[p]]&gt;2,0,T_init20[[#This Row],[stack]])))</f>
        <v>0</v>
      </c>
      <c r="O16" s="26">
        <v>0.19750000000000001</v>
      </c>
      <c r="P16" s="27">
        <f>T_p222[[#This Row],[EQ]]*prize</f>
        <v>0</v>
      </c>
      <c r="Q16" s="71">
        <f>IF(T_init20[[#This Row],[p]]=2,T_p222[[#This Row],[players]]*T_p222[[#This Row],[stack]]/chips+COUNTIF(T_p222[stack],0),T_p222[[#This Row],[players]]*T_p222[[#This Row],[stack]]/chips)</f>
        <v>0</v>
      </c>
      <c r="R16" s="71">
        <f>T_p222[[#This Row],[ICM]]+bounty*T_p222[[#This Row],[KO]]</f>
        <v>0</v>
      </c>
      <c r="T16" s="73">
        <f>COUNTIF(T_p3p123[stack],"&gt;0")</f>
        <v>5</v>
      </c>
      <c r="U16" s="26">
        <f>IF(T_init20[[#This Row],[p]]=1,sidepot1+uncalled,IF(T_init20[[#This Row],[p]]=3,mainpot,IF(ISBLANK(T_init20[[#This Row],[p]]),T_init20[[#This Row],[stack]],0)))</f>
        <v>1404</v>
      </c>
      <c r="V16" s="26">
        <v>0.19489999999999999</v>
      </c>
      <c r="W16" s="27">
        <f>T_p3p123[[#This Row],[EQ]]*prize</f>
        <v>0</v>
      </c>
      <c r="X16" s="71">
        <f>IF(T_init20[[#This Row],[p]]=1,T_p3p123[[#This Row],[players]]*T_p3p123[[#This Row],[stack]]/chips+COUNTIF(T_p3p123[stack],0),T_p3p123[[#This Row],[players]]*T_p3p123[[#This Row],[stack]]/chips)</f>
        <v>2.34</v>
      </c>
      <c r="Y16" s="71">
        <f>T_p3p123[[#This Row],[ICM]]+bounty*T_p3p123[[#This Row],[KO]]</f>
        <v>0</v>
      </c>
      <c r="AA16" s="73">
        <f>COUNTIF(T_p3p224[stack],"&gt;0")</f>
        <v>6</v>
      </c>
      <c r="AB16" s="26">
        <f>IF(T_init20[[#This Row],[p]]=1,uncalled,IF(T_init20[[#This Row],[p]]=2,sidepot1,IF(T_init20[[#This Row],[p]]=3,mainpot,IF(ISBLANK(T_init20[[#This Row],[p]]),T_init20[[#This Row],[stack]],0))))</f>
        <v>1404</v>
      </c>
      <c r="AC16" s="26">
        <v>0.1943</v>
      </c>
      <c r="AD16" s="27">
        <f>T_p3p224[[#This Row],[EQ]]*prize</f>
        <v>0</v>
      </c>
      <c r="AE16" s="71">
        <f>IF(T_init20[[#This Row],[p]]=2,T_p3p224[[#This Row],[players]]*T_p3p224[[#This Row],[stack]]/chips+COUNTIF(T_p3p224[stack],0),T_p3p224[[#This Row],[players]]*T_p3p224[[#This Row],[stack]]/chips)</f>
        <v>2.8079999999999998</v>
      </c>
      <c r="AF16" s="71">
        <f>T_p3p224[[#This Row],[ICM]]+bounty*T_p3p224[[#This Row],[KO]]</f>
        <v>0</v>
      </c>
      <c r="AG16">
        <f>'3wAdKd'!p1win*T_p121[[#This Row],[stack]]
+'3wAdKd'!p2win*T_p222[[#This Row],[stack]]
+'3wAdKd'!p3win*(T_p3p123[[#This Row],[stack]]*'3wAdKd'!p1sp2win+'3wAdKd'!p2sp2win*T_p3p224[[#This Row],[stack]])-T_fact29[[#This Row],[stack]]</f>
        <v>0</v>
      </c>
      <c r="AI16" s="73">
        <f>COUNTIF(T_fact29[stack],"&gt;0")</f>
        <v>4</v>
      </c>
      <c r="AJ16" s="26">
        <f>IF(T_init20[[#This Row],[p]]=1,mainpot+sidepot1+sidepot2+uncalled,IF(T_init20[[#This Row],[p]]&gt;1,0,T_init20[[#This Row],[stack]]))</f>
        <v>0</v>
      </c>
      <c r="AK16" s="26">
        <v>0.19489999999999999</v>
      </c>
      <c r="AL16" s="27">
        <f>T_fact29[[#This Row],[EQ]]*prize</f>
        <v>0</v>
      </c>
      <c r="AM16" s="71">
        <f>IF(T_init20[[#This Row],[p]]=1,T_fact29[[#This Row],[players]]*T_fact29[[#This Row],[stack]]/chips+COUNTIF(T_fact29[stack],0),T_fact29[[#This Row],[players]]*T_fact29[[#This Row],[stack]]/chips)</f>
        <v>0</v>
      </c>
      <c r="AN16" s="71">
        <f>T_fact29[[#This Row],[ICM]]+bounty*T_fact29[[#This Row],[KO]]</f>
        <v>0</v>
      </c>
      <c r="AQ16" s="72">
        <f>'3wAdKd'!p3win* ('3wAdKd'!p1sp1win*T_p3p123[[#This Row],[ICM]] + '3wAdKd'!p2sp1win*T_p3p224[[#This Row],[ICM]])
+'3wAdKd'!p2win*T_p222[[#This Row],[ICM]]
+'3wAdKd'!p1win*T_p121[[#This Row],[ICM]]</f>
        <v>0</v>
      </c>
      <c r="AR16" s="33">
        <f>('3wAdKd'!p3win* ('3wAdKd'!p1sp1win*T_p3p123[[#This Row],[KO]] + '3wAdKd'!p2sp1win*T_p3p224[[#This Row],[KO]])
+'3wAdKd'!p2win*T_p222[[#This Row],[KO]]
+'3wAdKd'!p1win*T_p121[[#This Row],[KO]])*bounty</f>
        <v>0</v>
      </c>
      <c r="AS16" s="72">
        <f>'3wAdKd'!p3win* ('3wAdKd'!p1sp1win*T_p3p123[[#This Row],[$stack]] + '3wAdKd'!p2sp1win*T_p3p224[[#This Row],[$stack]])
+'3wAdKd'!p2win*T_p222[[#This Row],[$stack]]
+'3wAdKd'!p1win*T_p121[[#This Row],[$stack]]</f>
        <v>0</v>
      </c>
      <c r="AT16" s="33">
        <f>'3wAdKd'!p3win* ('3wAdKd'!p1sp1win*T_p3p123[[#This Row],[stack]] + '3wAdKd'!p2sp1win*T_p3p224[[#This Row],[stack]])
+'3wAdKd'!p2win*T_p222[[#This Row],[stack]]
+'3wAdKd'!p1win*T_p121[[#This Row],[stack]]</f>
        <v>674.20080000000007</v>
      </c>
      <c r="AU16" s="2">
        <f>T_EV33[[#This Row],[chipEV]]-T_fact29[[#This Row],[stack]]</f>
        <v>674.20080000000007</v>
      </c>
      <c r="AV16" s="2">
        <f>T_EV33[[#This Row],[EV]]-(T_fact29[[#This Row],[ICM]]+bounty*T_fact29[[#This Row],[KO]])</f>
        <v>0</v>
      </c>
    </row>
    <row r="17" spans="1:48" x14ac:dyDescent="0.25">
      <c r="B17">
        <v>494</v>
      </c>
      <c r="F17" s="5">
        <f>COUNTIF(T_p121[stack],"&gt;0")</f>
        <v>4</v>
      </c>
      <c r="G17">
        <f>IF(T_init20[[#This Row],[p]]=1,mainpot+sidepot1+sidepot2+uncalled,IF(T_init20[[#This Row],[p]]&gt;1,0,T_init20[[#This Row],[stack]]))</f>
        <v>494</v>
      </c>
      <c r="I17" s="2">
        <f>T_p121[[#This Row],[EQ]]*prize</f>
        <v>0</v>
      </c>
      <c r="J17" s="66">
        <f>IF(T_init20[[#This Row],[p]]=1,T_p121[[#This Row],[players]]*T_p121[[#This Row],[stack]]/chips+COUNTIF(T_p121[stack],0),T_p121[[#This Row],[players]]*T_p121[[#This Row],[stack]]/chips)</f>
        <v>0.65866666666666662</v>
      </c>
      <c r="K17" s="66">
        <f>T_p121[[#This Row],[ICM]]+bounty*T_p121[[#This Row],[KO]]</f>
        <v>0</v>
      </c>
      <c r="M17" s="10">
        <f>COUNTIF(T_p222[stack],"&gt;0")</f>
        <v>5</v>
      </c>
      <c r="N17" s="26">
        <f>IF(T_init20[[#This Row],[p]]=1,uncalled,IF(T_init20[[#This Row],[p]]=2,mainpot+sidepot1+sidepot2,IF(T_init20[[#This Row],[p]]&gt;2,0,T_init20[[#This Row],[stack]])))</f>
        <v>494</v>
      </c>
      <c r="P17" s="2">
        <f>T_p222[[#This Row],[EQ]]*prize</f>
        <v>0</v>
      </c>
      <c r="Q17" s="66">
        <f>IF(T_init20[[#This Row],[p]]=2,T_p222[[#This Row],[players]]*T_p222[[#This Row],[stack]]/chips+COUNTIF(T_p222[stack],0),T_p222[[#This Row],[players]]*T_p222[[#This Row],[stack]]/chips)</f>
        <v>0.82333333333333336</v>
      </c>
      <c r="R17" s="66">
        <f>T_p222[[#This Row],[ICM]]+bounty*T_p222[[#This Row],[KO]]</f>
        <v>0</v>
      </c>
      <c r="T17" s="5">
        <f>COUNTIF(T_p3p123[stack],"&gt;0")</f>
        <v>5</v>
      </c>
      <c r="U17" s="26">
        <f>IF(T_init20[[#This Row],[p]]=1,sidepot1+uncalled,IF(T_init20[[#This Row],[p]]=3,mainpot,IF(ISBLANK(T_init20[[#This Row],[p]]),T_init20[[#This Row],[stack]],0)))</f>
        <v>494</v>
      </c>
      <c r="V17">
        <v>0</v>
      </c>
      <c r="W17" s="2">
        <f>T_p3p123[[#This Row],[EQ]]*prize</f>
        <v>0</v>
      </c>
      <c r="X17" s="66">
        <f>IF(T_init20[[#This Row],[p]]=1,T_p3p123[[#This Row],[players]]*T_p3p123[[#This Row],[stack]]/chips+COUNTIF(T_p3p123[stack],0),T_p3p123[[#This Row],[players]]*T_p3p123[[#This Row],[stack]]/chips)</f>
        <v>0.82333333333333336</v>
      </c>
      <c r="Y17" s="66">
        <f>T_p3p123[[#This Row],[ICM]]+bounty*T_p3p123[[#This Row],[KO]]</f>
        <v>0</v>
      </c>
      <c r="AA17" s="5">
        <f>COUNTIF(T_p3p224[stack],"&gt;0")</f>
        <v>6</v>
      </c>
      <c r="AB17">
        <f>IF(T_init20[[#This Row],[p]]=1,uncalled,IF(T_init20[[#This Row],[p]]=2,sidepot1,IF(T_init20[[#This Row],[p]]=3,mainpot,IF(ISBLANK(T_init20[[#This Row],[p]]),T_init20[[#This Row],[stack]],0))))</f>
        <v>494</v>
      </c>
      <c r="AC17">
        <v>0</v>
      </c>
      <c r="AD17" s="2">
        <f>T_p3p224[[#This Row],[EQ]]*prize</f>
        <v>0</v>
      </c>
      <c r="AE17" s="66">
        <f>IF(T_init20[[#This Row],[p]]=2,T_p3p224[[#This Row],[players]]*T_p3p224[[#This Row],[stack]]/chips+COUNTIF(T_p3p224[stack],0),T_p3p224[[#This Row],[players]]*T_p3p224[[#This Row],[stack]]/chips)</f>
        <v>0.98799999999999999</v>
      </c>
      <c r="AF17" s="16">
        <f>T_p3p224[[#This Row],[ICM]]+bounty*T_p3p224[[#This Row],[KO]]</f>
        <v>0</v>
      </c>
      <c r="AG17">
        <f>'3wAdKd'!p1win*T_p121[[#This Row],[stack]]
+'3wAdKd'!p2win*T_p222[[#This Row],[stack]]
+'3wAdKd'!p3win*(T_p3p123[[#This Row],[stack]]*'3wAdKd'!p1sp2win+'3wAdKd'!p2sp2win*T_p3p224[[#This Row],[stack]])-T_fact29[[#This Row],[stack]]</f>
        <v>-237.21879999999999</v>
      </c>
      <c r="AI17" s="73">
        <f>COUNTIF(T_fact29[stack],"&gt;0")</f>
        <v>4</v>
      </c>
      <c r="AJ17" s="26">
        <f>IF(T_init20[[#This Row],[p]]=1,mainpot+sidepot1+sidepot2+uncalled,IF(T_init20[[#This Row],[p]]&gt;1,0,T_init20[[#This Row],[stack]]))</f>
        <v>494</v>
      </c>
      <c r="AK17">
        <v>0</v>
      </c>
      <c r="AL17" s="2">
        <f>T_fact29[[#This Row],[EQ]]*prize</f>
        <v>0</v>
      </c>
      <c r="AM17" s="66">
        <f>IF(T_init20[[#This Row],[p]]=1,T_fact29[[#This Row],[players]]*T_fact29[[#This Row],[stack]]/chips+COUNTIF(T_fact29[stack],0),T_fact29[[#This Row],[players]]*T_fact29[[#This Row],[stack]]/chips)</f>
        <v>0.65866666666666662</v>
      </c>
      <c r="AN17" s="16">
        <f>T_fact29[[#This Row],[ICM]]+bounty*T_fact29[[#This Row],[KO]]</f>
        <v>0</v>
      </c>
      <c r="AQ17" s="68">
        <f>'3wAdKd'!p3win* ('3wAdKd'!p1sp1win*T_p3p123[[#This Row],[ICM]] + '3wAdKd'!p2sp1win*T_p3p224[[#This Row],[ICM]])
+'3wAdKd'!p2win*T_p222[[#This Row],[ICM]]
+'3wAdKd'!p1win*T_p121[[#This Row],[ICM]]</f>
        <v>0</v>
      </c>
      <c r="AR17" s="68">
        <f>('3wAdKd'!p3win* ('3wAdKd'!p1sp1win*T_p3p123[[#This Row],[KO]] + '3wAdKd'!p2sp1win*T_p3p224[[#This Row],[KO]])
+'3wAdKd'!p2win*T_p222[[#This Row],[KO]]
+'3wAdKd'!p1win*T_p121[[#This Row],[KO]])*bounty</f>
        <v>0</v>
      </c>
      <c r="AS17" s="68">
        <f>'3wAdKd'!p3win* ('3wAdKd'!p1sp1win*T_p3p123[[#This Row],[$stack]] + '3wAdKd'!p2sp1win*T_p3p224[[#This Row],[$stack]])
+'3wAdKd'!p2win*T_p222[[#This Row],[$stack]]
+'3wAdKd'!p1win*T_p121[[#This Row],[$stack]]</f>
        <v>0</v>
      </c>
      <c r="AT17" s="68">
        <f>'3wAdKd'!p3win* ('3wAdKd'!p1sp1win*T_p3p123[[#This Row],[stack]] + '3wAdKd'!p2sp1win*T_p3p224[[#This Row],[stack]])
+'3wAdKd'!p2win*T_p222[[#This Row],[stack]]
+'3wAdKd'!p1win*T_p121[[#This Row],[stack]]</f>
        <v>494</v>
      </c>
      <c r="AU17" s="2">
        <f>T_EV33[[#This Row],[chipEV]]-T_fact29[[#This Row],[stack]]</f>
        <v>0</v>
      </c>
      <c r="AV17" s="2">
        <f>T_EV33[[#This Row],[EV]]-(T_fact29[[#This Row],[ICM]]+bounty*T_fact29[[#This Row],[KO]])</f>
        <v>0</v>
      </c>
    </row>
    <row r="18" spans="1:48" x14ac:dyDescent="0.25">
      <c r="A18">
        <v>2</v>
      </c>
      <c r="B18">
        <v>526</v>
      </c>
      <c r="C18" t="s">
        <v>448</v>
      </c>
      <c r="F18" s="5">
        <f>COUNTIF(T_p121[stack],"&gt;0")</f>
        <v>4</v>
      </c>
      <c r="G18">
        <f>IF(T_init20[[#This Row],[p]]=1,mainpot+sidepot1+sidepot2+uncalled,IF(T_init20[[#This Row],[p]]&gt;1,0,T_init20[[#This Row],[stack]]))</f>
        <v>0</v>
      </c>
      <c r="I18" s="2">
        <f>T_p121[[#This Row],[EQ]]*prize</f>
        <v>0</v>
      </c>
      <c r="J18" s="66">
        <f>IF(T_init20[[#This Row],[p]]=1,T_p121[[#This Row],[players]]*T_p121[[#This Row],[stack]]/chips+COUNTIF(T_p121[stack],0),T_p121[[#This Row],[players]]*T_p121[[#This Row],[stack]]/chips)</f>
        <v>0</v>
      </c>
      <c r="K18" s="66">
        <f>T_p121[[#This Row],[ICM]]+bounty*T_p121[[#This Row],[KO]]</f>
        <v>0</v>
      </c>
      <c r="M18" s="10">
        <f>COUNTIF(T_p222[stack],"&gt;0")</f>
        <v>5</v>
      </c>
      <c r="N18" s="26">
        <f>IF(T_init20[[#This Row],[p]]=1,uncalled,IF(T_init20[[#This Row],[p]]=2,mainpot+sidepot1+sidepot2,IF(T_init20[[#This Row],[p]]&gt;2,0,T_init20[[#This Row],[stack]])))</f>
        <v>1548</v>
      </c>
      <c r="O18">
        <v>0.39929999999999999</v>
      </c>
      <c r="P18" s="2">
        <f>T_p222[[#This Row],[EQ]]*prize</f>
        <v>0</v>
      </c>
      <c r="Q18" s="66">
        <f>IF(T_init20[[#This Row],[p]]=2,T_p222[[#This Row],[players]]*T_p222[[#This Row],[stack]]/chips+COUNTIF(T_p222[stack],0),T_p222[[#This Row],[players]]*T_p222[[#This Row],[stack]]/chips)</f>
        <v>3.58</v>
      </c>
      <c r="R18" s="66">
        <f>T_p222[[#This Row],[ICM]]+bounty*T_p222[[#This Row],[KO]]</f>
        <v>0</v>
      </c>
      <c r="T18" s="5">
        <f>COUNTIF(T_p3p123[stack],"&gt;0")</f>
        <v>5</v>
      </c>
      <c r="U18" s="26">
        <f>IF(T_init20[[#This Row],[p]]=1,sidepot1+uncalled,IF(T_init20[[#This Row],[p]]=3,mainpot,IF(ISBLANK(T_init20[[#This Row],[p]]),T_init20[[#This Row],[stack]],0)))</f>
        <v>0</v>
      </c>
      <c r="V18">
        <v>0</v>
      </c>
      <c r="W18" s="2">
        <f>T_p3p123[[#This Row],[EQ]]*prize</f>
        <v>0</v>
      </c>
      <c r="X18" s="66">
        <f>IF(T_init20[[#This Row],[p]]=1,T_p3p123[[#This Row],[players]]*T_p3p123[[#This Row],[stack]]/chips+COUNTIF(T_p3p123[stack],0),T_p3p123[[#This Row],[players]]*T_p3p123[[#This Row],[stack]]/chips)</f>
        <v>0</v>
      </c>
      <c r="Y18" s="66">
        <f>T_p3p123[[#This Row],[ICM]]+bounty*T_p3p123[[#This Row],[KO]]</f>
        <v>0</v>
      </c>
      <c r="AA18" s="5">
        <f>COUNTIF(T_p3p224[stack],"&gt;0")</f>
        <v>6</v>
      </c>
      <c r="AB18">
        <f>IF(T_init20[[#This Row],[p]]=1,uncalled,IF(T_init20[[#This Row],[p]]=2,sidepot1,IF(T_init20[[#This Row],[p]]=3,mainpot,IF(ISBLANK(T_init20[[#This Row],[p]]),T_init20[[#This Row],[stack]],0))))</f>
        <v>144</v>
      </c>
      <c r="AC18">
        <v>1.7000000000000001E-2</v>
      </c>
      <c r="AD18" s="2">
        <f>T_p3p224[[#This Row],[EQ]]*prize</f>
        <v>0</v>
      </c>
      <c r="AE18" s="66">
        <f>IF(T_init20[[#This Row],[p]]=2,T_p3p224[[#This Row],[players]]*T_p3p224[[#This Row],[stack]]/chips+COUNTIF(T_p3p224[stack],0),T_p3p224[[#This Row],[players]]*T_p3p224[[#This Row],[stack]]/chips)</f>
        <v>0.28799999999999998</v>
      </c>
      <c r="AF18" s="16">
        <f>T_p3p224[[#This Row],[ICM]]+bounty*T_p3p224[[#This Row],[KO]]</f>
        <v>0</v>
      </c>
      <c r="AG18">
        <f>'3wAdKd'!p1win*T_p121[[#This Row],[stack]]
+'3wAdKd'!p2win*T_p222[[#This Row],[stack]]
+'3wAdKd'!p3win*(T_p3p123[[#This Row],[stack]]*'3wAdKd'!p1sp2win+'3wAdKd'!p2sp2win*T_p3p224[[#This Row],[stack]])-T_fact29[[#This Row],[stack]]</f>
        <v>270.43559999999997</v>
      </c>
      <c r="AI18" s="73">
        <f>COUNTIF(T_fact29[stack],"&gt;0")</f>
        <v>4</v>
      </c>
      <c r="AJ18" s="26">
        <f>IF(T_init20[[#This Row],[p]]=1,mainpot+sidepot1+sidepot2+uncalled,IF(T_init20[[#This Row],[p]]&gt;1,0,T_init20[[#This Row],[stack]]))</f>
        <v>0</v>
      </c>
      <c r="AK18">
        <v>0</v>
      </c>
      <c r="AL18" s="2">
        <f>T_fact29[[#This Row],[EQ]]*prize</f>
        <v>0</v>
      </c>
      <c r="AM18" s="66">
        <f>IF(T_init20[[#This Row],[p]]=1,T_fact29[[#This Row],[players]]*T_fact29[[#This Row],[stack]]/chips+COUNTIF(T_fact29[stack],0),T_fact29[[#This Row],[players]]*T_fact29[[#This Row],[stack]]/chips)</f>
        <v>0</v>
      </c>
      <c r="AN18" s="16">
        <f>T_fact29[[#This Row],[ICM]]+bounty*T_fact29[[#This Row],[KO]]</f>
        <v>0</v>
      </c>
      <c r="AQ18" s="68">
        <f>'3wAdKd'!p3win* ('3wAdKd'!p1sp1win*T_p3p123[[#This Row],[ICM]] + '3wAdKd'!p2sp1win*T_p3p224[[#This Row],[ICM]])
+'3wAdKd'!p2win*T_p222[[#This Row],[ICM]]
+'3wAdKd'!p1win*T_p121[[#This Row],[ICM]]</f>
        <v>0</v>
      </c>
      <c r="AR18" s="68">
        <f>('3wAdKd'!p3win* ('3wAdKd'!p1sp1win*T_p3p123[[#This Row],[KO]] + '3wAdKd'!p2sp1win*T_p3p224[[#This Row],[KO]])
+'3wAdKd'!p2win*T_p222[[#This Row],[KO]]
+'3wAdKd'!p1win*T_p121[[#This Row],[KO]])*bounty</f>
        <v>0</v>
      </c>
      <c r="AS18" s="68">
        <f>'3wAdKd'!p3win* ('3wAdKd'!p1sp1win*T_p3p123[[#This Row],[$stack]] + '3wAdKd'!p2sp1win*T_p3p224[[#This Row],[$stack]])
+'3wAdKd'!p2win*T_p222[[#This Row],[$stack]]
+'3wAdKd'!p1win*T_p121[[#This Row],[$stack]]</f>
        <v>0</v>
      </c>
      <c r="AT18" s="68">
        <f>'3wAdKd'!p3win* ('3wAdKd'!p1sp1win*T_p3p123[[#This Row],[stack]] + '3wAdKd'!p2sp1win*T_p3p224[[#This Row],[stack]])
+'3wAdKd'!p2win*T_p222[[#This Row],[stack]]
+'3wAdKd'!p1win*T_p121[[#This Row],[stack]]</f>
        <v>303.07383359999994</v>
      </c>
      <c r="AU18" s="2">
        <f>T_EV33[[#This Row],[chipEV]]-T_fact29[[#This Row],[stack]]</f>
        <v>303.07383359999994</v>
      </c>
      <c r="AV18" s="2">
        <f>T_EV33[[#This Row],[EV]]-(T_fact29[[#This Row],[ICM]]+bounty*T_fact29[[#This Row],[KO]])</f>
        <v>0</v>
      </c>
    </row>
    <row r="19" spans="1:48" x14ac:dyDescent="0.25">
      <c r="A19" s="26">
        <v>1</v>
      </c>
      <c r="B19" s="26">
        <v>546</v>
      </c>
      <c r="C19" s="26" t="s">
        <v>449</v>
      </c>
      <c r="D19" s="26"/>
      <c r="F19" s="73">
        <f>COUNTIF(T_p121[stack],"&gt;0")</f>
        <v>4</v>
      </c>
      <c r="G19" s="26">
        <f>IF(T_init20[[#This Row],[p]]=1,mainpot+sidepot1+sidepot2+uncalled,IF(T_init20[[#This Row],[p]]&gt;1,0,T_init20[[#This Row],[stack]]))</f>
        <v>1568</v>
      </c>
      <c r="H19" s="26"/>
      <c r="I19" s="27">
        <f>T_p121[[#This Row],[EQ]]*prize</f>
        <v>0</v>
      </c>
      <c r="J19" s="71">
        <f>IF(T_init20[[#This Row],[p]]=1,T_p121[[#This Row],[players]]*T_p121[[#This Row],[stack]]/chips+COUNTIF(T_p121[stack],0),T_p121[[#This Row],[players]]*T_p121[[#This Row],[stack]]/chips)</f>
        <v>4.0906666666666665</v>
      </c>
      <c r="K19" s="71">
        <f>T_p121[[#This Row],[ICM]]+bounty*T_p121[[#This Row],[KO]]</f>
        <v>0</v>
      </c>
      <c r="M19" s="29">
        <f>COUNTIF(T_p222[stack],"&gt;0")</f>
        <v>5</v>
      </c>
      <c r="N19" s="26">
        <f>IF(T_init20[[#This Row],[p]]=1,uncalled,IF(T_init20[[#This Row],[p]]=2,mainpot+sidepot1+sidepot2,IF(T_init20[[#This Row],[p]]&gt;2,0,T_init20[[#This Row],[stack]])))</f>
        <v>20</v>
      </c>
      <c r="O19" s="26"/>
      <c r="P19" s="27">
        <f>T_p222[[#This Row],[EQ]]*prize</f>
        <v>0</v>
      </c>
      <c r="Q19" s="71">
        <f>IF(T_init20[[#This Row],[p]]=2,T_p222[[#This Row],[players]]*T_p222[[#This Row],[stack]]/chips+COUNTIF(T_p222[stack],0),T_p222[[#This Row],[players]]*T_p222[[#This Row],[stack]]/chips)</f>
        <v>3.3333333333333333E-2</v>
      </c>
      <c r="R19" s="71">
        <f>T_p222[[#This Row],[ICM]]+bounty*T_p222[[#This Row],[KO]]</f>
        <v>0</v>
      </c>
      <c r="T19" s="73">
        <f>COUNTIF(T_p3p123[stack],"&gt;0")</f>
        <v>5</v>
      </c>
      <c r="U19" s="26">
        <f>IF(T_init20[[#This Row],[p]]=1,sidepot1+uncalled,IF(T_init20[[#This Row],[p]]=3,mainpot,IF(ISBLANK(T_init20[[#This Row],[p]]),T_init20[[#This Row],[stack]],0)))</f>
        <v>164</v>
      </c>
      <c r="V19" s="26">
        <v>0.39350000000000002</v>
      </c>
      <c r="W19" s="27">
        <f>T_p3p123[[#This Row],[EQ]]*prize</f>
        <v>0</v>
      </c>
      <c r="X19" s="71">
        <f>IF(T_init20[[#This Row],[p]]=1,T_p3p123[[#This Row],[players]]*T_p3p123[[#This Row],[stack]]/chips+COUNTIF(T_p3p123[stack],0),T_p3p123[[#This Row],[players]]*T_p3p123[[#This Row],[stack]]/chips)</f>
        <v>1.2733333333333334</v>
      </c>
      <c r="Y19" s="71">
        <f>T_p3p123[[#This Row],[ICM]]+bounty*T_p3p123[[#This Row],[KO]]</f>
        <v>0</v>
      </c>
      <c r="AA19" s="73">
        <f>COUNTIF(T_p3p224[stack],"&gt;0")</f>
        <v>6</v>
      </c>
      <c r="AB19" s="26">
        <f>IF(T_init20[[#This Row],[p]]=1,uncalled,IF(T_init20[[#This Row],[p]]=2,sidepot1,IF(T_init20[[#This Row],[p]]=3,mainpot,IF(ISBLANK(T_init20[[#This Row],[p]]),T_init20[[#This Row],[stack]],0))))</f>
        <v>20</v>
      </c>
      <c r="AC19" s="26">
        <v>0.39190000000000003</v>
      </c>
      <c r="AD19" s="27">
        <f>T_p3p224[[#This Row],[EQ]]*prize</f>
        <v>0</v>
      </c>
      <c r="AE19" s="71">
        <f>IF(T_init20[[#This Row],[p]]=2,T_p3p224[[#This Row],[players]]*T_p3p224[[#This Row],[stack]]/chips+COUNTIF(T_p3p224[stack],0),T_p3p224[[#This Row],[players]]*T_p3p224[[#This Row],[stack]]/chips)</f>
        <v>0.04</v>
      </c>
      <c r="AF19" s="16">
        <f>T_p3p224[[#This Row],[ICM]]+bounty*T_p3p224[[#This Row],[KO]]</f>
        <v>0</v>
      </c>
      <c r="AG19">
        <f>'3wAdKd'!p1win*T_p121[[#This Row],[stack]]
+'3wAdKd'!p2win*T_p222[[#This Row],[stack]]
+'3wAdKd'!p3win*(T_p3p123[[#This Row],[stack]]*'3wAdKd'!p1sp2win+'3wAdKd'!p2sp2win*T_p3p224[[#This Row],[stack]])-T_fact29[[#This Row],[stack]]</f>
        <v>-1023.3892</v>
      </c>
      <c r="AI19" s="73">
        <f>COUNTIF(T_fact29[stack],"&gt;0")</f>
        <v>4</v>
      </c>
      <c r="AJ19" s="26">
        <f>IF(T_init20[[#This Row],[p]]=1,mainpot+sidepot1+sidepot2+uncalled,IF(T_init20[[#This Row],[p]]&gt;1,0,T_init20[[#This Row],[stack]]))</f>
        <v>1568</v>
      </c>
      <c r="AK19" s="26">
        <v>0.39350000000000002</v>
      </c>
      <c r="AL19" s="27">
        <f>T_fact29[[#This Row],[EQ]]*prize</f>
        <v>0</v>
      </c>
      <c r="AM19" s="71">
        <f>IF(T_init20[[#This Row],[p]]=1,T_fact29[[#This Row],[players]]*T_fact29[[#This Row],[stack]]/chips+COUNTIF(T_fact29[stack],0),T_fact29[[#This Row],[players]]*T_fact29[[#This Row],[stack]]/chips)</f>
        <v>4.0906666666666665</v>
      </c>
      <c r="AN19" s="16">
        <f>T_fact29[[#This Row],[ICM]]+bounty*T_fact29[[#This Row],[KO]]</f>
        <v>0</v>
      </c>
      <c r="AQ19" s="68">
        <f>'3wAdKd'!p3win* ('3wAdKd'!p1sp1win*T_p3p123[[#This Row],[ICM]] + '3wAdKd'!p2sp1win*T_p3p224[[#This Row],[ICM]])
+'3wAdKd'!p2win*T_p222[[#This Row],[ICM]]
+'3wAdKd'!p1win*T_p121[[#This Row],[ICM]]</f>
        <v>0</v>
      </c>
      <c r="AR19" s="72">
        <f>('3wAdKd'!p3win* ('3wAdKd'!p1sp1win*T_p3p123[[#This Row],[KO]] + '3wAdKd'!p2sp1win*T_p3p224[[#This Row],[KO]])
+'3wAdKd'!p2win*T_p222[[#This Row],[KO]]
+'3wAdKd'!p1win*T_p121[[#This Row],[KO]])*bounty</f>
        <v>0</v>
      </c>
      <c r="AS19" s="72">
        <f>'3wAdKd'!p3win* ('3wAdKd'!p1sp1win*T_p3p123[[#This Row],[$stack]] + '3wAdKd'!p2sp1win*T_p3p224[[#This Row],[$stack]])
+'3wAdKd'!p2win*T_p222[[#This Row],[$stack]]
+'3wAdKd'!p1win*T_p121[[#This Row],[$stack]]</f>
        <v>0</v>
      </c>
      <c r="AT19" s="72">
        <f>'3wAdKd'!p3win* ('3wAdKd'!p1sp1win*T_p3p123[[#This Row],[stack]] + '3wAdKd'!p2sp1win*T_p3p224[[#This Row],[stack]])
+'3wAdKd'!p2win*T_p222[[#This Row],[stack]]
+'3wAdKd'!p1win*T_p121[[#This Row],[stack]]</f>
        <v>590.72536639999998</v>
      </c>
      <c r="AU19" s="2">
        <f>T_EV33[[#This Row],[chipEV]]-T_fact29[[#This Row],[stack]]</f>
        <v>-977.27463360000002</v>
      </c>
      <c r="AV19" s="2">
        <f>T_EV33[[#This Row],[EV]]-(T_fact29[[#This Row],[ICM]]+bounty*T_fact29[[#This Row],[KO]])</f>
        <v>0</v>
      </c>
    </row>
    <row r="20" spans="1:48" x14ac:dyDescent="0.25">
      <c r="B20">
        <v>464</v>
      </c>
      <c r="F20" s="5">
        <f>COUNTIF(T_p121[stack],"&gt;0")</f>
        <v>4</v>
      </c>
      <c r="G20">
        <f>IF(T_init20[[#This Row],[p]]=1,mainpot+sidepot1+sidepot2+uncalled,IF(T_init20[[#This Row],[p]]&gt;1,0,T_init20[[#This Row],[stack]]))</f>
        <v>464</v>
      </c>
      <c r="H20">
        <v>0.25459999999999999</v>
      </c>
      <c r="I20" s="2">
        <f>T_p121[[#This Row],[EQ]]*prize</f>
        <v>0</v>
      </c>
      <c r="J20" s="66">
        <f>IF(T_init20[[#This Row],[p]]=1,T_p121[[#This Row],[players]]*T_p121[[#This Row],[stack]]/chips+COUNTIF(T_p121[stack],0),T_p121[[#This Row],[players]]*T_p121[[#This Row],[stack]]/chips)</f>
        <v>0.6186666666666667</v>
      </c>
      <c r="K20" s="66">
        <f>T_p121[[#This Row],[ICM]]+bounty*T_p121[[#This Row],[KO]]</f>
        <v>0</v>
      </c>
      <c r="M20" s="10">
        <f>COUNTIF(T_p222[stack],"&gt;0")</f>
        <v>5</v>
      </c>
      <c r="N20" s="26">
        <f>IF(T_init20[[#This Row],[p]]=1,uncalled,IF(T_init20[[#This Row],[p]]=2,mainpot+sidepot1+sidepot2,IF(T_init20[[#This Row],[p]]&gt;2,0,T_init20[[#This Row],[stack]])))</f>
        <v>464</v>
      </c>
      <c r="O20">
        <v>0.18659999999999999</v>
      </c>
      <c r="P20" s="2">
        <f>T_p222[[#This Row],[EQ]]*prize</f>
        <v>0</v>
      </c>
      <c r="Q20" s="66">
        <f>IF(T_init20[[#This Row],[p]]=2,T_p222[[#This Row],[players]]*T_p222[[#This Row],[stack]]/chips+COUNTIF(T_p222[stack],0),T_p222[[#This Row],[players]]*T_p222[[#This Row],[stack]]/chips)</f>
        <v>0.77333333333333332</v>
      </c>
      <c r="R20" s="66">
        <f>T_p222[[#This Row],[ICM]]+bounty*T_p222[[#This Row],[KO]]</f>
        <v>0</v>
      </c>
      <c r="T20" s="5">
        <f>COUNTIF(T_p3p123[stack],"&gt;0")</f>
        <v>5</v>
      </c>
      <c r="U20" s="26">
        <f>IF(T_init20[[#This Row],[p]]=1,sidepot1+uncalled,IF(T_init20[[#This Row],[p]]=3,mainpot,IF(ISBLANK(T_init20[[#This Row],[p]]),T_init20[[#This Row],[stack]],0)))</f>
        <v>464</v>
      </c>
      <c r="V20">
        <v>0.1842</v>
      </c>
      <c r="W20" s="2">
        <f>T_p3p123[[#This Row],[EQ]]*prize</f>
        <v>0</v>
      </c>
      <c r="X20" s="66">
        <f>IF(T_init20[[#This Row],[p]]=1,T_p3p123[[#This Row],[players]]*T_p3p123[[#This Row],[stack]]/chips+COUNTIF(T_p3p123[stack],0),T_p3p123[[#This Row],[players]]*T_p3p123[[#This Row],[stack]]/chips)</f>
        <v>0.77333333333333332</v>
      </c>
      <c r="Y20" s="66">
        <f>T_p3p123[[#This Row],[ICM]]+bounty*T_p3p123[[#This Row],[KO]]</f>
        <v>0</v>
      </c>
      <c r="AA20" s="5">
        <f>COUNTIF(T_p3p224[stack],"&gt;0")</f>
        <v>6</v>
      </c>
      <c r="AB20">
        <f>IF(T_init20[[#This Row],[p]]=1,uncalled,IF(T_init20[[#This Row],[p]]=2,sidepot1,IF(T_init20[[#This Row],[p]]=3,mainpot,IF(ISBLANK(T_init20[[#This Row],[p]]),T_init20[[#This Row],[stack]],0))))</f>
        <v>464</v>
      </c>
      <c r="AC20">
        <v>0.18360000000000001</v>
      </c>
      <c r="AD20" s="2">
        <f>T_p3p224[[#This Row],[EQ]]*prize</f>
        <v>0</v>
      </c>
      <c r="AE20" s="66">
        <f>IF(T_init20[[#This Row],[p]]=2,T_p3p224[[#This Row],[players]]*T_p3p224[[#This Row],[stack]]/chips+COUNTIF(T_p3p224[stack],0),T_p3p224[[#This Row],[players]]*T_p3p224[[#This Row],[stack]]/chips)</f>
        <v>0.92800000000000005</v>
      </c>
      <c r="AF20" s="16">
        <f>T_p3p224[[#This Row],[ICM]]+bounty*T_p3p224[[#This Row],[KO]]</f>
        <v>0</v>
      </c>
      <c r="AG20">
        <f>'3wAdKd'!p1win*T_p121[[#This Row],[stack]]
+'3wAdKd'!p2win*T_p222[[#This Row],[stack]]
+'3wAdKd'!p3win*(T_p3p123[[#This Row],[stack]]*'3wAdKd'!p1sp2win+'3wAdKd'!p2sp2win*T_p3p224[[#This Row],[stack]])-T_fact29[[#This Row],[stack]]</f>
        <v>-222.81279999999998</v>
      </c>
      <c r="AI20" s="73">
        <f>COUNTIF(T_fact29[stack],"&gt;0")</f>
        <v>4</v>
      </c>
      <c r="AJ20" s="26">
        <f>IF(T_init20[[#This Row],[p]]=1,mainpot+sidepot1+sidepot2+uncalled,IF(T_init20[[#This Row],[p]]&gt;1,0,T_init20[[#This Row],[stack]]))</f>
        <v>464</v>
      </c>
      <c r="AK20">
        <v>0.1842</v>
      </c>
      <c r="AL20" s="2">
        <f>T_fact29[[#This Row],[EQ]]*prize</f>
        <v>0</v>
      </c>
      <c r="AM20" s="66">
        <f>IF(T_init20[[#This Row],[p]]=1,T_fact29[[#This Row],[players]]*T_fact29[[#This Row],[stack]]/chips+COUNTIF(T_fact29[stack],0),T_fact29[[#This Row],[players]]*T_fact29[[#This Row],[stack]]/chips)</f>
        <v>0.6186666666666667</v>
      </c>
      <c r="AN20" s="16">
        <f>T_fact29[[#This Row],[ICM]]+bounty*T_fact29[[#This Row],[KO]]</f>
        <v>0</v>
      </c>
      <c r="AQ20" s="68">
        <f>'3wAdKd'!p3win* ('3wAdKd'!p1sp1win*T_p3p123[[#This Row],[ICM]] + '3wAdKd'!p2sp1win*T_p3p224[[#This Row],[ICM]])
+'3wAdKd'!p2win*T_p222[[#This Row],[ICM]]
+'3wAdKd'!p1win*T_p121[[#This Row],[ICM]]</f>
        <v>0</v>
      </c>
      <c r="AR20" s="68">
        <f>('3wAdKd'!p3win* ('3wAdKd'!p1sp1win*T_p3p123[[#This Row],[KO]] + '3wAdKd'!p2sp1win*T_p3p224[[#This Row],[KO]])
+'3wAdKd'!p2win*T_p222[[#This Row],[KO]]
+'3wAdKd'!p1win*T_p121[[#This Row],[KO]])*bounty</f>
        <v>0</v>
      </c>
      <c r="AS20" s="68">
        <f>'3wAdKd'!p3win* ('3wAdKd'!p1sp1win*T_p3p123[[#This Row],[$stack]] + '3wAdKd'!p2sp1win*T_p3p224[[#This Row],[$stack]])
+'3wAdKd'!p2win*T_p222[[#This Row],[$stack]]
+'3wAdKd'!p1win*T_p121[[#This Row],[$stack]]</f>
        <v>0</v>
      </c>
      <c r="AT20" s="68">
        <f>'3wAdKd'!p3win* ('3wAdKd'!p1sp1win*T_p3p123[[#This Row],[stack]] + '3wAdKd'!p2sp1win*T_p3p224[[#This Row],[stack]])
+'3wAdKd'!p2win*T_p222[[#This Row],[stack]]
+'3wAdKd'!p1win*T_p121[[#This Row],[stack]]</f>
        <v>464</v>
      </c>
      <c r="AU20" s="2">
        <f>T_EV33[[#This Row],[chipEV]]-T_fact29[[#This Row],[stack]]</f>
        <v>0</v>
      </c>
      <c r="AV20" s="2">
        <f>T_EV33[[#This Row],[EV]]-(T_fact29[[#This Row],[ICM]]+bounty*T_fact29[[#This Row],[KO]])</f>
        <v>0</v>
      </c>
    </row>
    <row r="21" spans="1:48" x14ac:dyDescent="0.25">
      <c r="B21">
        <v>474</v>
      </c>
      <c r="F21" s="5">
        <f>COUNTIF(T_p121[stack],"&gt;0")</f>
        <v>4</v>
      </c>
      <c r="G21">
        <f>IF(T_init20[[#This Row],[p]]=1,mainpot+sidepot1+sidepot2+uncalled,IF(T_init20[[#This Row],[p]]&gt;1,0,T_init20[[#This Row],[stack]]))</f>
        <v>474</v>
      </c>
      <c r="H21">
        <v>0.47010000000000002</v>
      </c>
      <c r="I21" s="2">
        <f>T_p121[[#This Row],[EQ]]*prize</f>
        <v>0</v>
      </c>
      <c r="J21" s="66">
        <f>IF(T_init20[[#This Row],[p]]=1,T_p121[[#This Row],[players]]*T_p121[[#This Row],[stack]]/chips+COUNTIF(T_p121[stack],0),T_p121[[#This Row],[players]]*T_p121[[#This Row],[stack]]/chips)</f>
        <v>0.63200000000000001</v>
      </c>
      <c r="K21" s="66">
        <f>T_p121[[#This Row],[ICM]]+bounty*T_p121[[#This Row],[KO]]</f>
        <v>0</v>
      </c>
      <c r="M21" s="10">
        <f>COUNTIF(T_p222[stack],"&gt;0")</f>
        <v>5</v>
      </c>
      <c r="N21" s="26">
        <f>IF(T_init20[[#This Row],[p]]=1,uncalled,IF(T_init20[[#This Row],[p]]=2,mainpot+sidepot1+sidepot2,IF(T_init20[[#This Row],[p]]&gt;2,0,T_init20[[#This Row],[stack]])))</f>
        <v>474</v>
      </c>
      <c r="O21">
        <v>0.2167</v>
      </c>
      <c r="P21" s="2">
        <f>T_p222[[#This Row],[EQ]]*prize</f>
        <v>0</v>
      </c>
      <c r="Q21" s="66">
        <f>IF(T_init20[[#This Row],[p]]=2,T_p222[[#This Row],[players]]*T_p222[[#This Row],[stack]]/chips+COUNTIF(T_p222[stack],0),T_p222[[#This Row],[players]]*T_p222[[#This Row],[stack]]/chips)</f>
        <v>0.79</v>
      </c>
      <c r="R21" s="66">
        <f>T_p222[[#This Row],[ICM]]+bounty*T_p222[[#This Row],[KO]]</f>
        <v>0</v>
      </c>
      <c r="T21" s="5">
        <f>COUNTIF(T_p3p123[stack],"&gt;0")</f>
        <v>5</v>
      </c>
      <c r="U21" s="26">
        <f>IF(T_init20[[#This Row],[p]]=1,sidepot1+uncalled,IF(T_init20[[#This Row],[p]]=3,mainpot,IF(ISBLANK(T_init20[[#This Row],[p]]),T_init20[[#This Row],[stack]],0)))</f>
        <v>474</v>
      </c>
      <c r="V21">
        <v>0.22739999999999999</v>
      </c>
      <c r="W21" s="2">
        <f>T_p3p123[[#This Row],[EQ]]*prize</f>
        <v>0</v>
      </c>
      <c r="X21" s="66">
        <f>IF(T_init20[[#This Row],[p]]=1,T_p3p123[[#This Row],[players]]*T_p3p123[[#This Row],[stack]]/chips+COUNTIF(T_p3p123[stack],0),T_p3p123[[#This Row],[players]]*T_p3p123[[#This Row],[stack]]/chips)</f>
        <v>0.79</v>
      </c>
      <c r="Y21" s="66">
        <f>T_p3p123[[#This Row],[ICM]]+bounty*T_p3p123[[#This Row],[KO]]</f>
        <v>0</v>
      </c>
      <c r="AA21" s="5">
        <f>COUNTIF(T_p3p224[stack],"&gt;0")</f>
        <v>6</v>
      </c>
      <c r="AB21">
        <f>IF(T_init20[[#This Row],[p]]=1,uncalled,IF(T_init20[[#This Row],[p]]=2,sidepot1,IF(T_init20[[#This Row],[p]]=3,mainpot,IF(ISBLANK(T_init20[[#This Row],[p]]),T_init20[[#This Row],[stack]],0))))</f>
        <v>474</v>
      </c>
      <c r="AC21">
        <v>0.2132</v>
      </c>
      <c r="AD21" s="2">
        <f>T_p3p224[[#This Row],[EQ]]*prize</f>
        <v>0</v>
      </c>
      <c r="AE21" s="66">
        <f>IF(T_init20[[#This Row],[p]]=2,T_p3p224[[#This Row],[players]]*T_p3p224[[#This Row],[stack]]/chips+COUNTIF(T_p3p224[stack],0),T_p3p224[[#This Row],[players]]*T_p3p224[[#This Row],[stack]]/chips)</f>
        <v>0.94799999999999995</v>
      </c>
      <c r="AF21" s="16">
        <f>T_p3p224[[#This Row],[ICM]]+bounty*T_p3p224[[#This Row],[KO]]</f>
        <v>0</v>
      </c>
      <c r="AG21">
        <f>'3wAdKd'!p1win*T_p121[[#This Row],[stack]]
+'3wAdKd'!p2win*T_p222[[#This Row],[stack]]
+'3wAdKd'!p3win*(T_p3p123[[#This Row],[stack]]*'3wAdKd'!p1sp2win+'3wAdKd'!p2sp2win*T_p3p224[[#This Row],[stack]])-T_fact29[[#This Row],[stack]]</f>
        <v>-227.6148</v>
      </c>
      <c r="AI21" s="73">
        <f>COUNTIF(T_fact29[stack],"&gt;0")</f>
        <v>4</v>
      </c>
      <c r="AJ21" s="26">
        <f>IF(T_init20[[#This Row],[p]]=1,mainpot+sidepot1+sidepot2+uncalled,IF(T_init20[[#This Row],[p]]&gt;1,0,T_init20[[#This Row],[stack]]))</f>
        <v>474</v>
      </c>
      <c r="AK21">
        <v>0.22739999999999999</v>
      </c>
      <c r="AL21" s="2">
        <f>T_fact29[[#This Row],[EQ]]*prize</f>
        <v>0</v>
      </c>
      <c r="AM21" s="66">
        <f>IF(T_init20[[#This Row],[p]]=1,T_fact29[[#This Row],[players]]*T_fact29[[#This Row],[stack]]/chips+COUNTIF(T_fact29[stack],0),T_fact29[[#This Row],[players]]*T_fact29[[#This Row],[stack]]/chips)</f>
        <v>0.63200000000000001</v>
      </c>
      <c r="AN21" s="16">
        <f>T_fact29[[#This Row],[ICM]]+bounty*T_fact29[[#This Row],[KO]]</f>
        <v>0</v>
      </c>
      <c r="AQ21" s="68">
        <f>'3wAdKd'!p3win* ('3wAdKd'!p1sp1win*T_p3p123[[#This Row],[ICM]] + '3wAdKd'!p2sp1win*T_p3p224[[#This Row],[ICM]])
+'3wAdKd'!p2win*T_p222[[#This Row],[ICM]]
+'3wAdKd'!p1win*T_p121[[#This Row],[ICM]]</f>
        <v>0</v>
      </c>
      <c r="AR21" s="68">
        <f>('3wAdKd'!p3win* ('3wAdKd'!p1sp1win*T_p3p123[[#This Row],[KO]] + '3wAdKd'!p2sp1win*T_p3p224[[#This Row],[KO]])
+'3wAdKd'!p2win*T_p222[[#This Row],[KO]]
+'3wAdKd'!p1win*T_p121[[#This Row],[KO]])*bounty</f>
        <v>0</v>
      </c>
      <c r="AS21" s="68">
        <f>'3wAdKd'!p3win* ('3wAdKd'!p1sp1win*T_p3p123[[#This Row],[$stack]] + '3wAdKd'!p2sp1win*T_p3p224[[#This Row],[$stack]])
+'3wAdKd'!p2win*T_p222[[#This Row],[$stack]]
+'3wAdKd'!p1win*T_p121[[#This Row],[$stack]]</f>
        <v>0</v>
      </c>
      <c r="AT21" s="68">
        <f>'3wAdKd'!p3win* ('3wAdKd'!p1sp1win*T_p3p123[[#This Row],[stack]] + '3wAdKd'!p2sp1win*T_p3p224[[#This Row],[stack]])
+'3wAdKd'!p2win*T_p222[[#This Row],[stack]]
+'3wAdKd'!p1win*T_p121[[#This Row],[stack]]</f>
        <v>474</v>
      </c>
      <c r="AU21" s="2">
        <f>T_EV33[[#This Row],[chipEV]]-T_fact29[[#This Row],[stack]]</f>
        <v>0</v>
      </c>
      <c r="AV21" s="2">
        <f>T_EV33[[#This Row],[EV]]-(T_fact29[[#This Row],[ICM]]+bounty*T_fact29[[#This Row],[KO]])</f>
        <v>0</v>
      </c>
    </row>
    <row r="22" spans="1:48" x14ac:dyDescent="0.25">
      <c r="A22" t="s">
        <v>95</v>
      </c>
      <c r="D22">
        <f>SUBTOTAL(109,T_init20[pWin])</f>
        <v>0</v>
      </c>
      <c r="F22" s="53"/>
      <c r="G22" s="50">
        <f>SUM(T_p121[stack])</f>
        <v>3000</v>
      </c>
      <c r="H22" s="50">
        <f>SUM(T_p121[EQ])</f>
        <v>1</v>
      </c>
      <c r="I22" s="50">
        <f>SUM(T_p121[ICM])</f>
        <v>0</v>
      </c>
      <c r="J22" s="50">
        <f>SUM(T_p121[KO])</f>
        <v>6</v>
      </c>
      <c r="K22" s="50">
        <f>SUM(T_p121[$stack])</f>
        <v>0</v>
      </c>
      <c r="M22" s="53"/>
      <c r="N22" s="55">
        <f>SUM(T_p222[stack])</f>
        <v>3000</v>
      </c>
      <c r="O22" s="50">
        <f>SUM(T_p222[EQ])</f>
        <v>1.0001</v>
      </c>
      <c r="P22" s="51">
        <f>SUM(T_p222[ICM])</f>
        <v>0</v>
      </c>
      <c r="Q22" s="52">
        <f>SUM(T_p222[KO])</f>
        <v>6</v>
      </c>
      <c r="R22" s="50">
        <f>SUM(T_p222[$stack])</f>
        <v>0</v>
      </c>
      <c r="T22" s="53"/>
      <c r="U22" s="55">
        <f>SUM(T_p3p123[stack])</f>
        <v>3000</v>
      </c>
      <c r="V22" s="50">
        <f>SUM(T_p3p123[EQ])</f>
        <v>1</v>
      </c>
      <c r="W22" s="51">
        <f>SUM(T_p3p123[ICM])</f>
        <v>0</v>
      </c>
      <c r="X22" s="52">
        <f>SUM(T_p3p123[KO])</f>
        <v>6</v>
      </c>
      <c r="Y22" s="50">
        <f>SUM(T_p3p123[$stack])</f>
        <v>0</v>
      </c>
      <c r="AA22" s="53"/>
      <c r="AB22" s="55">
        <f>SUM(T_p3p224[stack])</f>
        <v>3000</v>
      </c>
      <c r="AC22" s="50">
        <f>SUM(T_p3p224[EQ])</f>
        <v>1</v>
      </c>
      <c r="AD22" s="51">
        <f>SUM(T_p3p224[ICM])</f>
        <v>0</v>
      </c>
      <c r="AE22" s="52">
        <f>SUM(T_p3p224[KO])</f>
        <v>6</v>
      </c>
      <c r="AF22" s="50">
        <f>SUM(T_p3p123[$stack])</f>
        <v>0</v>
      </c>
      <c r="AI22" s="53"/>
      <c r="AJ22" s="55">
        <f>SUM(T_fact29[stack])</f>
        <v>3000</v>
      </c>
      <c r="AK22" s="50">
        <f>SUM(T_fact29[EQ])</f>
        <v>1</v>
      </c>
      <c r="AL22" s="51">
        <f>SUM(T_fact29[ICM])</f>
        <v>0</v>
      </c>
      <c r="AM22" s="52">
        <f>SUM(T_fact29[KO])</f>
        <v>6</v>
      </c>
      <c r="AN22" s="51">
        <f>SUM(T_fact29[$stack])</f>
        <v>0</v>
      </c>
      <c r="AQ22" s="52">
        <f>SUM(T_EV33[ICM])</f>
        <v>0</v>
      </c>
      <c r="AR22" s="52">
        <f>SUM(T_EV33[KO])</f>
        <v>0</v>
      </c>
      <c r="AS22" s="52">
        <f>SUM(T_EV33[EV])</f>
        <v>0</v>
      </c>
      <c r="AT22" s="50">
        <f>SUM(T_EV33[chipEV])</f>
        <v>3000</v>
      </c>
    </row>
    <row r="38" spans="2:4" x14ac:dyDescent="0.25">
      <c r="C38" t="s">
        <v>118</v>
      </c>
    </row>
    <row r="39" spans="2:4" x14ac:dyDescent="0.25">
      <c r="C39" t="s">
        <v>120</v>
      </c>
    </row>
    <row r="40" spans="2:4" x14ac:dyDescent="0.25">
      <c r="C40" t="s">
        <v>122</v>
      </c>
    </row>
    <row r="43" spans="2:4" x14ac:dyDescent="0.25">
      <c r="C43" t="s">
        <v>126</v>
      </c>
    </row>
    <row r="45" spans="2:4" x14ac:dyDescent="0.25">
      <c r="B45" t="s">
        <v>129</v>
      </c>
    </row>
    <row r="46" spans="2:4" x14ac:dyDescent="0.25">
      <c r="B46" t="s">
        <v>131</v>
      </c>
    </row>
    <row r="47" spans="2:4" x14ac:dyDescent="0.25">
      <c r="C47" t="s">
        <v>133</v>
      </c>
    </row>
    <row r="48" spans="2:4" x14ac:dyDescent="0.25">
      <c r="D48" t="s">
        <v>135</v>
      </c>
    </row>
    <row r="49" spans="3:6" x14ac:dyDescent="0.25">
      <c r="C49" t="s">
        <v>137</v>
      </c>
    </row>
    <row r="50" spans="3:6" x14ac:dyDescent="0.25">
      <c r="D50" t="s">
        <v>135</v>
      </c>
    </row>
    <row r="51" spans="3:6" x14ac:dyDescent="0.25">
      <c r="C51" t="s">
        <v>140</v>
      </c>
    </row>
    <row r="52" spans="3:6" x14ac:dyDescent="0.25">
      <c r="D52" t="s">
        <v>142</v>
      </c>
    </row>
    <row r="53" spans="3:6" x14ac:dyDescent="0.25">
      <c r="D53" t="s">
        <v>144</v>
      </c>
    </row>
    <row r="54" spans="3:6" x14ac:dyDescent="0.25">
      <c r="E54" t="s">
        <v>145</v>
      </c>
    </row>
    <row r="55" spans="3:6" x14ac:dyDescent="0.25">
      <c r="F55" t="s">
        <v>147</v>
      </c>
    </row>
    <row r="56" spans="3:6" x14ac:dyDescent="0.25">
      <c r="E56" t="s">
        <v>149</v>
      </c>
    </row>
    <row r="57" spans="3:6" x14ac:dyDescent="0.25">
      <c r="F57" t="s">
        <v>151</v>
      </c>
    </row>
    <row r="58" spans="3:6" x14ac:dyDescent="0.25">
      <c r="C58" t="s">
        <v>154</v>
      </c>
    </row>
    <row r="59" spans="3:6" x14ac:dyDescent="0.25">
      <c r="D59" t="s">
        <v>156</v>
      </c>
    </row>
    <row r="60" spans="3:6" x14ac:dyDescent="0.25">
      <c r="D60" t="s">
        <v>158</v>
      </c>
      <c r="E60" t="s">
        <v>145</v>
      </c>
    </row>
    <row r="61" spans="3:6" x14ac:dyDescent="0.25">
      <c r="F61" t="s">
        <v>160</v>
      </c>
    </row>
    <row r="62" spans="3:6" x14ac:dyDescent="0.25">
      <c r="E62" t="s">
        <v>149</v>
      </c>
    </row>
    <row r="63" spans="3:6" x14ac:dyDescent="0.25">
      <c r="F63" t="s">
        <v>163</v>
      </c>
    </row>
    <row r="64" spans="3:6" x14ac:dyDescent="0.25">
      <c r="E64" t="s">
        <v>165</v>
      </c>
    </row>
    <row r="65" spans="6:8" x14ac:dyDescent="0.25">
      <c r="F65" t="s">
        <v>167</v>
      </c>
    </row>
    <row r="66" spans="6:8" x14ac:dyDescent="0.25">
      <c r="F66" t="s">
        <v>144</v>
      </c>
    </row>
    <row r="67" spans="6:8" x14ac:dyDescent="0.25">
      <c r="G67" t="s">
        <v>145</v>
      </c>
    </row>
    <row r="68" spans="6:8" x14ac:dyDescent="0.25">
      <c r="H68" t="s">
        <v>147</v>
      </c>
    </row>
    <row r="69" spans="6:8" x14ac:dyDescent="0.25">
      <c r="G69" t="s">
        <v>149</v>
      </c>
    </row>
    <row r="70" spans="6:8" x14ac:dyDescent="0.25">
      <c r="H70" t="s">
        <v>151</v>
      </c>
    </row>
  </sheetData>
  <mergeCells count="10">
    <mergeCell ref="F14:J14"/>
    <mergeCell ref="M14:Q14"/>
    <mergeCell ref="T14:X14"/>
    <mergeCell ref="AA14:AE14"/>
    <mergeCell ref="AQ12:AT12"/>
    <mergeCell ref="T13:AE13"/>
    <mergeCell ref="AQ13:AT13"/>
    <mergeCell ref="T12:AE12"/>
    <mergeCell ref="AQ14:AT14"/>
    <mergeCell ref="AI14:AM14"/>
  </mergeCells>
  <pageMargins left="0.7" right="0.7" top="0.75" bottom="0.75" header="0.3" footer="0.3"/>
  <pageSetup paperSize="9" orientation="portrait" horizontalDpi="4294967293" verticalDpi="0" r:id="rId1"/>
  <legacyDrawing r:id="rId2"/>
  <tableParts count="7">
    <tablePart r:id="rId3"/>
    <tablePart r:id="rId4"/>
    <tablePart r:id="rId5"/>
    <tablePart r:id="rId6"/>
    <tablePart r:id="rId7"/>
    <tablePart r:id="rId8"/>
    <tablePart r:id="rId9"/>
  </tablePar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V67"/>
  <sheetViews>
    <sheetView workbookViewId="0">
      <selection activeCell="AQ16" sqref="AQ16"/>
    </sheetView>
  </sheetViews>
  <sheetFormatPr defaultRowHeight="15" x14ac:dyDescent="0.25"/>
  <cols>
    <col min="1" max="1" width="9.28515625" customWidth="1"/>
    <col min="6" max="6" width="10.28515625" customWidth="1"/>
    <col min="13" max="13" width="10.28515625" customWidth="1"/>
    <col min="20" max="20" width="9.5703125" bestFit="1" customWidth="1"/>
    <col min="27" max="27" width="7.7109375" customWidth="1"/>
    <col min="28" max="29" width="8.5703125" customWidth="1"/>
    <col min="30" max="30" width="9.85546875" customWidth="1"/>
    <col min="31" max="31" width="8.42578125" customWidth="1"/>
    <col min="35" max="35" width="10" customWidth="1"/>
    <col min="39" max="39" width="10.5703125" customWidth="1"/>
    <col min="46" max="46" width="9.85546875" customWidth="1"/>
  </cols>
  <sheetData>
    <row r="1" spans="1:48" x14ac:dyDescent="0.25">
      <c r="C1" t="s">
        <v>0</v>
      </c>
      <c r="D1">
        <f>bounty*6</f>
        <v>0</v>
      </c>
      <c r="F1" t="s">
        <v>71</v>
      </c>
      <c r="G1">
        <v>0.37340000000000001</v>
      </c>
      <c r="I1" t="s">
        <v>72</v>
      </c>
      <c r="J1">
        <v>0.71519999999999995</v>
      </c>
      <c r="O1" s="75"/>
      <c r="S1" t="s">
        <v>73</v>
      </c>
      <c r="T1">
        <v>1389</v>
      </c>
    </row>
    <row r="2" spans="1:48" x14ac:dyDescent="0.25">
      <c r="C2" t="s">
        <v>1</v>
      </c>
      <c r="D2">
        <f>bounty</f>
        <v>0</v>
      </c>
      <c r="F2" t="s">
        <v>74</v>
      </c>
      <c r="G2">
        <v>0.24429999999999999</v>
      </c>
      <c r="I2" t="s">
        <v>75</v>
      </c>
      <c r="J2">
        <v>0.2848</v>
      </c>
      <c r="S2" t="s">
        <v>76</v>
      </c>
      <c r="T2">
        <v>792</v>
      </c>
    </row>
    <row r="3" spans="1:48" x14ac:dyDescent="0.25">
      <c r="C3" t="s">
        <v>77</v>
      </c>
      <c r="D3">
        <v>3000</v>
      </c>
      <c r="F3" t="s">
        <v>78</v>
      </c>
      <c r="G3">
        <v>0.38229999999999997</v>
      </c>
      <c r="S3" t="s">
        <v>79</v>
      </c>
      <c r="T3">
        <v>0</v>
      </c>
    </row>
    <row r="4" spans="1:48" x14ac:dyDescent="0.25">
      <c r="F4" t="s">
        <v>80</v>
      </c>
      <c r="G4">
        <v>0</v>
      </c>
      <c r="S4" t="s">
        <v>81</v>
      </c>
      <c r="T4">
        <v>819</v>
      </c>
    </row>
    <row r="6" spans="1:48" x14ac:dyDescent="0.25">
      <c r="C6" t="s">
        <v>82</v>
      </c>
      <c r="D6" t="s">
        <v>83</v>
      </c>
    </row>
    <row r="7" spans="1:48" x14ac:dyDescent="0.25">
      <c r="C7" t="s">
        <v>84</v>
      </c>
      <c r="D7" t="s">
        <v>85</v>
      </c>
    </row>
    <row r="8" spans="1:48" x14ac:dyDescent="0.25">
      <c r="C8" t="s">
        <v>86</v>
      </c>
      <c r="D8" t="s">
        <v>87</v>
      </c>
    </row>
    <row r="10" spans="1:48" ht="18.75" x14ac:dyDescent="0.3">
      <c r="F10" s="84"/>
      <c r="G10" s="84"/>
      <c r="H10" s="84"/>
      <c r="I10" s="84"/>
      <c r="J10" s="84"/>
      <c r="K10" s="84"/>
    </row>
    <row r="11" spans="1:48" ht="19.5" thickBot="1" x14ac:dyDescent="0.35">
      <c r="F11" s="84"/>
      <c r="G11" s="84"/>
      <c r="H11" s="84"/>
      <c r="I11" s="84"/>
      <c r="J11" s="84"/>
      <c r="K11" s="84"/>
      <c r="V11" t="s">
        <v>92</v>
      </c>
      <c r="AC11" t="s">
        <v>93</v>
      </c>
    </row>
    <row r="12" spans="1:48" ht="20.25" thickTop="1" thickBot="1" x14ac:dyDescent="0.35">
      <c r="F12" s="84"/>
      <c r="G12" s="84"/>
      <c r="H12" s="84"/>
      <c r="I12" s="84"/>
      <c r="J12" s="84"/>
      <c r="K12" s="84"/>
      <c r="T12" s="96" t="s">
        <v>94</v>
      </c>
      <c r="U12" s="97"/>
      <c r="V12" s="97"/>
      <c r="W12" s="97"/>
      <c r="X12" s="97"/>
      <c r="Y12" s="97"/>
      <c r="Z12" s="97"/>
      <c r="AA12" s="97"/>
      <c r="AB12" s="97"/>
      <c r="AC12" s="97"/>
      <c r="AD12" s="97"/>
      <c r="AE12" s="98"/>
      <c r="AQ12" s="96" t="s">
        <v>95</v>
      </c>
      <c r="AR12" s="97"/>
      <c r="AS12" s="97"/>
      <c r="AT12" s="97"/>
    </row>
    <row r="13" spans="1:48" ht="20.25" thickTop="1" thickBot="1" x14ac:dyDescent="0.35">
      <c r="F13" s="84"/>
      <c r="G13" s="84"/>
      <c r="H13" s="84" t="s">
        <v>96</v>
      </c>
      <c r="I13" s="84"/>
      <c r="J13" s="84"/>
      <c r="K13" s="84"/>
      <c r="O13" t="s">
        <v>97</v>
      </c>
      <c r="T13" s="96" t="s">
        <v>98</v>
      </c>
      <c r="U13" s="97"/>
      <c r="V13" s="97"/>
      <c r="W13" s="97"/>
      <c r="X13" s="97"/>
      <c r="Y13" s="97"/>
      <c r="Z13" s="97"/>
      <c r="AA13" s="97"/>
      <c r="AB13" s="97"/>
      <c r="AC13" s="97"/>
      <c r="AD13" s="97"/>
      <c r="AE13" s="98"/>
      <c r="AK13" t="s">
        <v>99</v>
      </c>
      <c r="AQ13" s="96"/>
      <c r="AR13" s="97"/>
      <c r="AS13" s="97"/>
      <c r="AT13" s="97"/>
    </row>
    <row r="14" spans="1:48" ht="19.5" thickTop="1" x14ac:dyDescent="0.3">
      <c r="F14" s="88" t="s">
        <v>100</v>
      </c>
      <c r="G14" s="89"/>
      <c r="H14" s="89"/>
      <c r="I14" s="89"/>
      <c r="J14" s="90"/>
      <c r="K14" s="84"/>
      <c r="M14" s="88" t="s">
        <v>101</v>
      </c>
      <c r="N14" s="89"/>
      <c r="O14" s="89"/>
      <c r="P14" s="89"/>
      <c r="Q14" s="90"/>
      <c r="R14" s="84"/>
      <c r="T14" s="99" t="s">
        <v>102</v>
      </c>
      <c r="U14" s="100"/>
      <c r="V14" s="100"/>
      <c r="W14" s="100"/>
      <c r="X14" s="101"/>
      <c r="Y14" s="84"/>
      <c r="AA14" s="99" t="s">
        <v>103</v>
      </c>
      <c r="AB14" s="100"/>
      <c r="AC14" s="100"/>
      <c r="AD14" s="100"/>
      <c r="AE14" s="101"/>
      <c r="AI14" s="85" t="s">
        <v>10</v>
      </c>
      <c r="AJ14" s="86"/>
      <c r="AK14" s="86"/>
      <c r="AL14" s="86"/>
      <c r="AM14" s="87"/>
      <c r="AQ14" s="91" t="s">
        <v>104</v>
      </c>
      <c r="AR14" s="92"/>
      <c r="AS14" s="92"/>
      <c r="AT14" s="93"/>
    </row>
    <row r="15" spans="1:48" x14ac:dyDescent="0.25">
      <c r="A15" t="s">
        <v>105</v>
      </c>
      <c r="B15" t="s">
        <v>12</v>
      </c>
      <c r="C15" t="s">
        <v>13</v>
      </c>
      <c r="D15" t="s">
        <v>14</v>
      </c>
      <c r="F15" s="5" t="s">
        <v>107</v>
      </c>
      <c r="G15" t="s">
        <v>12</v>
      </c>
      <c r="H15" t="s">
        <v>108</v>
      </c>
      <c r="I15" t="s">
        <v>109</v>
      </c>
      <c r="J15" s="5" t="s">
        <v>1</v>
      </c>
      <c r="K15" s="5" t="s">
        <v>110</v>
      </c>
      <c r="M15" s="5" t="s">
        <v>107</v>
      </c>
      <c r="N15" s="5" t="s">
        <v>12</v>
      </c>
      <c r="O15" s="5" t="s">
        <v>108</v>
      </c>
      <c r="P15" s="5" t="s">
        <v>109</v>
      </c>
      <c r="Q15" s="5" t="s">
        <v>1</v>
      </c>
      <c r="R15" s="5" t="s">
        <v>110</v>
      </c>
      <c r="T15" s="5" t="s">
        <v>107</v>
      </c>
      <c r="U15" s="5" t="s">
        <v>12</v>
      </c>
      <c r="V15" s="5" t="s">
        <v>108</v>
      </c>
      <c r="W15" s="5" t="s">
        <v>109</v>
      </c>
      <c r="X15" s="5" t="s">
        <v>1</v>
      </c>
      <c r="Y15" s="5" t="s">
        <v>110</v>
      </c>
      <c r="AA15" s="5" t="s">
        <v>107</v>
      </c>
      <c r="AB15" s="5" t="s">
        <v>12</v>
      </c>
      <c r="AC15" s="5" t="s">
        <v>108</v>
      </c>
      <c r="AD15" s="5" t="s">
        <v>109</v>
      </c>
      <c r="AE15" s="5" t="s">
        <v>1</v>
      </c>
      <c r="AF15" t="s">
        <v>110</v>
      </c>
      <c r="AI15" s="5" t="s">
        <v>107</v>
      </c>
      <c r="AJ15" s="5" t="s">
        <v>12</v>
      </c>
      <c r="AK15" s="5" t="s">
        <v>108</v>
      </c>
      <c r="AL15" s="5" t="s">
        <v>109</v>
      </c>
      <c r="AM15" s="5" t="s">
        <v>1</v>
      </c>
      <c r="AN15" t="s">
        <v>110</v>
      </c>
      <c r="AQ15" s="5" t="s">
        <v>109</v>
      </c>
      <c r="AR15" s="5" t="s">
        <v>1</v>
      </c>
      <c r="AS15" s="5" t="s">
        <v>104</v>
      </c>
      <c r="AT15" s="5" t="s">
        <v>111</v>
      </c>
      <c r="AU15" t="s">
        <v>112</v>
      </c>
      <c r="AV15" t="s">
        <v>113</v>
      </c>
    </row>
    <row r="16" spans="1:48" x14ac:dyDescent="0.25">
      <c r="A16" s="26">
        <v>3</v>
      </c>
      <c r="B16" s="26">
        <f>463-4</f>
        <v>459</v>
      </c>
      <c r="C16" s="26" t="s">
        <v>450</v>
      </c>
      <c r="D16" s="26"/>
      <c r="F16" s="73">
        <f>COUNTIF(T_p12142[stack],"&gt;0")</f>
        <v>1</v>
      </c>
      <c r="G16" s="26">
        <f>IF(T_init2041[[#This Row],[p]]=1,mainpot+sidepot1+sidepot2+uncalled,IF(T_init2041[[#This Row],[p]]&gt;1,0,T_init2041[[#This Row],[stack]]))</f>
        <v>0</v>
      </c>
      <c r="H16" s="26">
        <v>0</v>
      </c>
      <c r="I16" s="27">
        <f>T_p12142[[#This Row],[EQ]]*prize</f>
        <v>0</v>
      </c>
      <c r="J16" s="71">
        <f>IF(T_init2041[[#This Row],[p]]=1,T_p12142[[#This Row],[players]]*T_p12142[[#This Row],[stack]]/chips+COUNTIF(T_p12142[stack],0),T_p12142[[#This Row],[players]]*T_p12142[[#This Row],[stack]]/chips)</f>
        <v>0</v>
      </c>
      <c r="K16" s="71">
        <f>T_p12142[[#This Row],[ICM]]+bounty*T_p12142[[#This Row],[KO]]</f>
        <v>0</v>
      </c>
      <c r="M16" s="29">
        <f>COUNTIF(T_p22243[stack],"&gt;0")</f>
        <v>2</v>
      </c>
      <c r="N16" s="26">
        <f>IF(T_init2041[[#This Row],[p]]=1,uncalled,IF(T_init2041[[#This Row],[p]]=2,mainpot+sidepot1+sidepot2,IF(T_init2041[[#This Row],[p]]&gt;2,0,T_init2041[[#This Row],[stack]])))</f>
        <v>0</v>
      </c>
      <c r="O16" s="26">
        <v>0</v>
      </c>
      <c r="P16" s="27">
        <f>T_p22243[[#This Row],[EQ]]*prize</f>
        <v>0</v>
      </c>
      <c r="Q16" s="71">
        <f>IF(T_init2041[[#This Row],[p]]=2,T_p22243[[#This Row],[players]]*T_p22243[[#This Row],[stack]]/chips+COUNTIF(T_p22243[stack],0),T_p22243[[#This Row],[players]]*T_p22243[[#This Row],[stack]]/chips)</f>
        <v>0</v>
      </c>
      <c r="R16" s="71">
        <f>T_p22243[[#This Row],[ICM]]+bounty*T_p22243[[#This Row],[KO]]</f>
        <v>0</v>
      </c>
      <c r="T16" s="73">
        <f>COUNTIF(T_p3p12344[stack],"&gt;0")</f>
        <v>2</v>
      </c>
      <c r="U16" s="26">
        <f>IF(T_init2041[[#This Row],[p]]=1,sidepot1+uncalled,IF(T_init2041[[#This Row],[p]]=3,mainpot,IF(ISBLANK(T_init2041[[#This Row],[p]]),T_init2041[[#This Row],[stack]],0)))</f>
        <v>1389</v>
      </c>
      <c r="V16" s="26">
        <v>0.5</v>
      </c>
      <c r="W16" s="27">
        <f>T_p3p12344[[#This Row],[EQ]]*prize</f>
        <v>0</v>
      </c>
      <c r="X16" s="71">
        <f>IF(T_init2041[[#This Row],[p]]=1,T_p3p12344[[#This Row],[players]]*T_p3p12344[[#This Row],[stack]]/chips+COUNTIF(T_p3p12344[stack],0),T_p3p12344[[#This Row],[players]]*T_p3p12344[[#This Row],[stack]]/chips)</f>
        <v>0.92600000000000005</v>
      </c>
      <c r="Y16" s="71">
        <f>T_p3p12344[[#This Row],[ICM]]+bounty*T_p3p12344[[#This Row],[KO]]</f>
        <v>0</v>
      </c>
      <c r="AA16" s="73">
        <f>COUNTIF(T_p3p22445[stack],"&gt;0")</f>
        <v>3</v>
      </c>
      <c r="AB16" s="26">
        <f>IF(T_init2041[[#This Row],[p]]=1,uncalled,IF(T_init2041[[#This Row],[p]]=2,sidepot1,IF(T_init2041[[#This Row],[p]]=3,mainpot,IF(ISBLANK(T_init2041[[#This Row],[p]]),T_init2041[[#This Row],[stack]],0))))</f>
        <v>1389</v>
      </c>
      <c r="AC16" s="26">
        <v>0.40150000000000002</v>
      </c>
      <c r="AD16" s="27">
        <f>T_p3p22445[[#This Row],[EQ]]*prize</f>
        <v>0</v>
      </c>
      <c r="AE16" s="71">
        <f>IF(T_init2041[[#This Row],[p]]=2,T_p3p22445[[#This Row],[players]]*T_p3p22445[[#This Row],[stack]]/chips+COUNTIF(T_p3p22445[stack],0),T_p3p22445[[#This Row],[players]]*T_p3p22445[[#This Row],[stack]]/chips)</f>
        <v>1.389</v>
      </c>
      <c r="AF16" s="71">
        <f>T_p3p22445[[#This Row],[ICM]]+bounty*T_p3p22445[[#This Row],[KO]]</f>
        <v>0</v>
      </c>
      <c r="AI16" s="73">
        <f>COUNTIF(T_fact2946[stack],"&gt;0")</f>
        <v>2</v>
      </c>
      <c r="AJ16" s="26">
        <f>IF(T_init2041[[#This Row],[p]]=1,sidepot1+uncalled,IF(T_init2041[[#This Row],[p]]=3,mainpot,IF(ISBLANK(T_init2041[[#This Row],[p]]),T_init2041[[#This Row],[stack]],0)))</f>
        <v>1389</v>
      </c>
      <c r="AK16" s="26">
        <v>0.5</v>
      </c>
      <c r="AL16" s="27">
        <f>T_fact2946[[#This Row],[EQ]]*prize</f>
        <v>0</v>
      </c>
      <c r="AM16" s="71">
        <f>IF(T_init2041[[#This Row],[p]]=1,T_fact2946[[#This Row],[players]]*T_fact2946[[#This Row],[stack]]/chips+COUNTIF(T_fact2946[stack],0),T_fact2946[[#This Row],[players]]*T_fact2946[[#This Row],[stack]]/chips)</f>
        <v>0.92600000000000005</v>
      </c>
      <c r="AN16" s="71">
        <f>T_fact2946[[#This Row],[ICM]]+bounty*T_fact2946[[#This Row],[KO]]</f>
        <v>0</v>
      </c>
      <c r="AQ16" s="72">
        <f>'3wAh9s'!p3win* ('3wAh9s'!p1sp1win*T_p3p12344[[#This Row],[ICM]] + '3wAh9s'!p2sp1win*T_p3p22445[[#This Row],[ICM]])
+'3wAh9s'!p2win*T_p22243[[#This Row],[ICM]]
+'3wAh9s'!p1win*T_p12142[[#This Row],[ICM]]</f>
        <v>0</v>
      </c>
      <c r="AR16" s="33">
        <f>('3wAh9s'!p3win* ('3wAh9s'!p1sp1win*T_p3p12344[[#This Row],[KO]] + '3wAh9s'!p2sp1win*T_p3p22445[[#This Row],[KO]])
+'3wAh9s'!p2win*T_p22243[[#This Row],[KO]]
+'3wAh9s'!p1win*T_p12142[[#This Row],[KO]])*bounty</f>
        <v>0</v>
      </c>
      <c r="AS16" s="72">
        <f>'3wAh9s'!p3win* ('3wAh9s'!p1sp1win*T_p3p12344[[#This Row],[$stack]] + '3wAh9s'!p2sp1win*T_p3p22445[[#This Row],[$stack]])
+'3wAh9s'!p2win*T_p22243[[#This Row],[$stack]]
+'3wAh9s'!p1win*T_p12142[[#This Row],[$stack]]</f>
        <v>0</v>
      </c>
      <c r="AT16" s="33">
        <f>'3wAh9s'!p3win* ('3wAh9s'!p1sp1win*T_p3p12344[[#This Row],[stack]] + '3wAh9s'!p2sp1win*T_p3p22445[[#This Row],[stack]])
+'3wAh9s'!p2win*T_p22243[[#This Row],[stack]]
+'3wAh9s'!p1win*T_p12142[[#This Row],[stack]]</f>
        <v>531.01469999999995</v>
      </c>
      <c r="AU16" s="2">
        <f>T_EV3347[[#This Row],[chipEV]]-T_fact2946[[#This Row],[stack]]</f>
        <v>-857.98530000000005</v>
      </c>
      <c r="AV16" s="2">
        <f>T_EV3347[[#This Row],[EV]]-(T_fact2946[[#This Row],[ICM]]+bounty*T_fact2946[[#This Row],[KO]])</f>
        <v>0</v>
      </c>
    </row>
    <row r="17" spans="1:48" x14ac:dyDescent="0.25">
      <c r="A17">
        <v>2</v>
      </c>
      <c r="B17">
        <f>859-4-20</f>
        <v>835</v>
      </c>
      <c r="C17" t="s">
        <v>451</v>
      </c>
      <c r="F17" s="5">
        <f>COUNTIF(T_p12142[stack],"&gt;0")</f>
        <v>1</v>
      </c>
      <c r="G17">
        <f>IF(T_init2041[[#This Row],[p]]=1,mainpot+sidepot1+sidepot2+uncalled,IF(T_init2041[[#This Row],[p]]&gt;1,0,T_init2041[[#This Row],[stack]]))</f>
        <v>0</v>
      </c>
      <c r="H17">
        <v>0.5</v>
      </c>
      <c r="I17" s="2">
        <f>T_p12142[[#This Row],[EQ]]*prize</f>
        <v>0</v>
      </c>
      <c r="J17" s="66">
        <f>IF(T_init2041[[#This Row],[p]]=1,T_p12142[[#This Row],[players]]*T_p12142[[#This Row],[stack]]/chips+COUNTIF(T_p12142[stack],0),T_p12142[[#This Row],[players]]*T_p12142[[#This Row],[stack]]/chips)</f>
        <v>0</v>
      </c>
      <c r="K17" s="66">
        <f>T_p12142[[#This Row],[ICM]]+bounty*T_p12142[[#This Row],[KO]]</f>
        <v>0</v>
      </c>
      <c r="M17" s="10">
        <f>COUNTIF(T_p22243[stack],"&gt;0")</f>
        <v>2</v>
      </c>
      <c r="N17" s="26">
        <f>IF(T_init2041[[#This Row],[p]]=1,uncalled,IF(T_init2041[[#This Row],[p]]=2,mainpot+sidepot1+sidepot2,IF(T_init2041[[#This Row],[p]]&gt;2,0,T_init2041[[#This Row],[stack]])))</f>
        <v>2181</v>
      </c>
      <c r="O17">
        <v>0.5</v>
      </c>
      <c r="P17" s="2">
        <f>T_p22243[[#This Row],[EQ]]*prize</f>
        <v>0</v>
      </c>
      <c r="Q17" s="66">
        <f>IF(T_init2041[[#This Row],[p]]=2,T_p22243[[#This Row],[players]]*T_p22243[[#This Row],[stack]]/chips+COUNTIF(T_p22243[stack],0),T_p22243[[#This Row],[players]]*T_p22243[[#This Row],[stack]]/chips)</f>
        <v>2.4539999999999997</v>
      </c>
      <c r="R17" s="66">
        <f>T_p22243[[#This Row],[ICM]]+bounty*T_p22243[[#This Row],[KO]]</f>
        <v>0</v>
      </c>
      <c r="T17" s="5">
        <f>COUNTIF(T_p3p12344[stack],"&gt;0")</f>
        <v>2</v>
      </c>
      <c r="U17" s="26">
        <f>IF(T_init2041[[#This Row],[p]]=1,sidepot1+uncalled,IF(T_init2041[[#This Row],[p]]=3,mainpot,IF(ISBLANK(T_init2041[[#This Row],[p]]),T_init2041[[#This Row],[stack]],0)))</f>
        <v>0</v>
      </c>
      <c r="V17">
        <v>0</v>
      </c>
      <c r="W17" s="2">
        <f>T_p3p12344[[#This Row],[EQ]]*prize</f>
        <v>0</v>
      </c>
      <c r="X17" s="66">
        <f>IF(T_init2041[[#This Row],[p]]=1,T_p3p12344[[#This Row],[players]]*T_p3p12344[[#This Row],[stack]]/chips+COUNTIF(T_p3p12344[stack],0),T_p3p12344[[#This Row],[players]]*T_p3p12344[[#This Row],[stack]]/chips)</f>
        <v>0</v>
      </c>
      <c r="Y17" s="66">
        <f>T_p3p12344[[#This Row],[ICM]]+bounty*T_p3p12344[[#This Row],[KO]]</f>
        <v>0</v>
      </c>
      <c r="AA17" s="5">
        <f>COUNTIF(T_p3p22445[stack],"&gt;0")</f>
        <v>3</v>
      </c>
      <c r="AB17">
        <f>IF(T_init2041[[#This Row],[p]]=1,uncalled,IF(T_init2041[[#This Row],[p]]=2,sidepot1,IF(T_init2041[[#This Row],[p]]=3,mainpot,IF(ISBLANK(T_init2041[[#This Row],[p]]),T_init2041[[#This Row],[stack]],0))))</f>
        <v>792</v>
      </c>
      <c r="AC17">
        <v>0.2954</v>
      </c>
      <c r="AD17" s="2">
        <f>T_p3p22445[[#This Row],[EQ]]*prize</f>
        <v>0</v>
      </c>
      <c r="AE17" s="66">
        <f>IF(T_init2041[[#This Row],[p]]=2,T_p3p22445[[#This Row],[players]]*T_p3p22445[[#This Row],[stack]]/chips+COUNTIF(T_p3p22445[stack],0),T_p3p22445[[#This Row],[players]]*T_p3p22445[[#This Row],[stack]]/chips)</f>
        <v>0.79200000000000004</v>
      </c>
      <c r="AF17" s="16">
        <f>T_p3p22445[[#This Row],[ICM]]+bounty*T_p3p22445[[#This Row],[KO]]</f>
        <v>0</v>
      </c>
      <c r="AI17" s="73">
        <f>COUNTIF(T_fact2946[stack],"&gt;0")</f>
        <v>2</v>
      </c>
      <c r="AJ17" s="26">
        <f>IF(T_init2041[[#This Row],[p]]=1,sidepot1+uncalled,IF(T_init2041[[#This Row],[p]]=3,mainpot,IF(ISBLANK(T_init2041[[#This Row],[p]]),T_init2041[[#This Row],[stack]],0)))</f>
        <v>0</v>
      </c>
      <c r="AK17">
        <v>0</v>
      </c>
      <c r="AL17" s="2">
        <f>T_fact2946[[#This Row],[EQ]]*prize</f>
        <v>0</v>
      </c>
      <c r="AM17" s="66">
        <f>IF(T_init2041[[#This Row],[p]]=1,T_fact2946[[#This Row],[players]]*T_fact2946[[#This Row],[stack]]/chips+COUNTIF(T_fact2946[stack],0),T_fact2946[[#This Row],[players]]*T_fact2946[[#This Row],[stack]]/chips)</f>
        <v>0</v>
      </c>
      <c r="AN17" s="16">
        <f>T_fact2946[[#This Row],[ICM]]+bounty*T_fact2946[[#This Row],[KO]]</f>
        <v>0</v>
      </c>
      <c r="AQ17" s="68">
        <f>'3wAh9s'!p3win* ('3wAh9s'!p1sp1win*T_p3p12344[[#This Row],[ICM]] + '3wAh9s'!p2sp1win*T_p3p22445[[#This Row],[ICM]])
+'3wAh9s'!p2win*T_p22243[[#This Row],[ICM]]
+'3wAh9s'!p1win*T_p12142[[#This Row],[ICM]]</f>
        <v>0</v>
      </c>
      <c r="AR17" s="68">
        <f>('3wAh9s'!p3win* ('3wAh9s'!p1sp1win*T_p3p12344[[#This Row],[KO]] + '3wAh9s'!p2sp1win*T_p3p22445[[#This Row],[KO]])
+'3wAh9s'!p2win*T_p22243[[#This Row],[KO]]
+'3wAh9s'!p1win*T_p12142[[#This Row],[KO]])*bounty</f>
        <v>0</v>
      </c>
      <c r="AS17" s="68">
        <f>'3wAh9s'!p3win* ('3wAh9s'!p1sp1win*T_p3p12344[[#This Row],[$stack]] + '3wAh9s'!p2sp1win*T_p3p22445[[#This Row],[$stack]])
+'3wAh9s'!p2win*T_p22243[[#This Row],[$stack]]
+'3wAh9s'!p1win*T_p12142[[#This Row],[$stack]]</f>
        <v>0</v>
      </c>
      <c r="AT17" s="68">
        <f>'3wAh9s'!p3win* ('3wAh9s'!p1sp1win*T_p3p12344[[#This Row],[stack]] + '3wAh9s'!p2sp1win*T_p3p22445[[#This Row],[stack]])
+'3wAh9s'!p2win*T_p22243[[#This Row],[stack]]
+'3wAh9s'!p1win*T_p12142[[#This Row],[stack]]</f>
        <v>619.05049968000003</v>
      </c>
      <c r="AU17" s="2">
        <f>T_EV3347[[#This Row],[chipEV]]-T_fact2946[[#This Row],[stack]]</f>
        <v>619.05049968000003</v>
      </c>
      <c r="AV17" s="2">
        <f>T_EV3347[[#This Row],[EV]]-(T_fact2946[[#This Row],[ICM]]+bounty*T_fact2946[[#This Row],[KO]])</f>
        <v>0</v>
      </c>
    </row>
    <row r="18" spans="1:48" x14ac:dyDescent="0.25">
      <c r="A18">
        <v>1</v>
      </c>
      <c r="B18">
        <f>1678-4-40</f>
        <v>1634</v>
      </c>
      <c r="C18" t="s">
        <v>452</v>
      </c>
      <c r="F18" s="5">
        <f>COUNTIF(T_p12142[stack],"&gt;0")</f>
        <v>1</v>
      </c>
      <c r="G18">
        <f>IF(T_init2041[[#This Row],[p]]=1,mainpot+sidepot1+sidepot2+uncalled,IF(T_init2041[[#This Row],[p]]&gt;1,0,T_init2041[[#This Row],[stack]]))</f>
        <v>3000</v>
      </c>
      <c r="H18">
        <v>0.5</v>
      </c>
      <c r="I18" s="2">
        <f>T_p12142[[#This Row],[EQ]]*prize</f>
        <v>0</v>
      </c>
      <c r="J18" s="66">
        <f>IF(T_init2041[[#This Row],[p]]=1,T_p12142[[#This Row],[players]]*T_p12142[[#This Row],[stack]]/chips+COUNTIF(T_p12142[stack],0),T_p12142[[#This Row],[players]]*T_p12142[[#This Row],[stack]]/chips)</f>
        <v>3</v>
      </c>
      <c r="K18" s="66">
        <f>T_p12142[[#This Row],[ICM]]+bounty*T_p12142[[#This Row],[KO]]</f>
        <v>0</v>
      </c>
      <c r="M18" s="10">
        <f>COUNTIF(T_p22243[stack],"&gt;0")</f>
        <v>2</v>
      </c>
      <c r="N18" s="26">
        <f>IF(T_init2041[[#This Row],[p]]=1,uncalled,IF(T_init2041[[#This Row],[p]]=2,mainpot+sidepot1+sidepot2,IF(T_init2041[[#This Row],[p]]&gt;2,0,T_init2041[[#This Row],[stack]])))</f>
        <v>819</v>
      </c>
      <c r="O18">
        <v>0.5</v>
      </c>
      <c r="P18" s="2">
        <f>T_p22243[[#This Row],[EQ]]*prize</f>
        <v>0</v>
      </c>
      <c r="Q18" s="66">
        <f>IF(T_init2041[[#This Row],[p]]=2,T_p22243[[#This Row],[players]]*T_p22243[[#This Row],[stack]]/chips+COUNTIF(T_p22243[stack],0),T_p22243[[#This Row],[players]]*T_p22243[[#This Row],[stack]]/chips)</f>
        <v>0.54600000000000004</v>
      </c>
      <c r="R18" s="66">
        <f>T_p22243[[#This Row],[ICM]]+bounty*T_p22243[[#This Row],[KO]]</f>
        <v>0</v>
      </c>
      <c r="T18" s="5">
        <f>COUNTIF(T_p3p12344[stack],"&gt;0")</f>
        <v>2</v>
      </c>
      <c r="U18" s="26">
        <f>IF(T_init2041[[#This Row],[p]]=1,sidepot1+uncalled,IF(T_init2041[[#This Row],[p]]=3,mainpot,IF(ISBLANK(T_init2041[[#This Row],[p]]),T_init2041[[#This Row],[stack]],0)))</f>
        <v>1611</v>
      </c>
      <c r="V18">
        <v>0.5</v>
      </c>
      <c r="W18" s="2">
        <f>T_p3p12344[[#This Row],[EQ]]*prize</f>
        <v>0</v>
      </c>
      <c r="X18" s="66">
        <f>IF(T_init2041[[#This Row],[p]]=1,T_p3p12344[[#This Row],[players]]*T_p3p12344[[#This Row],[stack]]/chips+COUNTIF(T_p3p12344[stack],0),T_p3p12344[[#This Row],[players]]*T_p3p12344[[#This Row],[stack]]/chips)</f>
        <v>2.0739999999999998</v>
      </c>
      <c r="Y18" s="66">
        <f>T_p3p12344[[#This Row],[ICM]]+bounty*T_p3p12344[[#This Row],[KO]]</f>
        <v>0</v>
      </c>
      <c r="AA18" s="5">
        <f>COUNTIF(T_p3p22445[stack],"&gt;0")</f>
        <v>3</v>
      </c>
      <c r="AB18">
        <f>IF(T_init2041[[#This Row],[p]]=1,uncalled,IF(T_init2041[[#This Row],[p]]=2,sidepot1,IF(T_init2041[[#This Row],[p]]=3,mainpot,IF(ISBLANK(T_init2041[[#This Row],[p]]),T_init2041[[#This Row],[stack]],0))))</f>
        <v>819</v>
      </c>
      <c r="AC18">
        <v>0.30320000000000003</v>
      </c>
      <c r="AD18" s="2">
        <f>T_p3p22445[[#This Row],[EQ]]*prize</f>
        <v>0</v>
      </c>
      <c r="AE18" s="66">
        <f>IF(T_init2041[[#This Row],[p]]=2,T_p3p22445[[#This Row],[players]]*T_p3p22445[[#This Row],[stack]]/chips+COUNTIF(T_p3p22445[stack],0),T_p3p22445[[#This Row],[players]]*T_p3p22445[[#This Row],[stack]]/chips)</f>
        <v>0.81899999999999995</v>
      </c>
      <c r="AF18" s="16">
        <f>T_p3p22445[[#This Row],[ICM]]+bounty*T_p3p22445[[#This Row],[KO]]</f>
        <v>0</v>
      </c>
      <c r="AI18" s="73">
        <f>COUNTIF(T_fact2946[stack],"&gt;0")</f>
        <v>2</v>
      </c>
      <c r="AJ18" s="26">
        <f>IF(T_init2041[[#This Row],[p]]=1,sidepot1+uncalled,IF(T_init2041[[#This Row],[p]]=3,mainpot,IF(ISBLANK(T_init2041[[#This Row],[p]]),T_init2041[[#This Row],[stack]],0)))</f>
        <v>1611</v>
      </c>
      <c r="AK18">
        <v>0.5</v>
      </c>
      <c r="AL18" s="2">
        <f>T_fact2946[[#This Row],[EQ]]*prize</f>
        <v>0</v>
      </c>
      <c r="AM18" s="66">
        <f>IF(T_init2041[[#This Row],[p]]=1,T_fact2946[[#This Row],[players]]*T_fact2946[[#This Row],[stack]]/chips+COUNTIF(T_fact2946[stack],0),T_fact2946[[#This Row],[players]]*T_fact2946[[#This Row],[stack]]/chips)</f>
        <v>2.0739999999999998</v>
      </c>
      <c r="AN18" s="16">
        <f>T_fact2946[[#This Row],[ICM]]+bounty*T_fact2946[[#This Row],[KO]]</f>
        <v>0</v>
      </c>
      <c r="AQ18" s="68">
        <f>'3wAh9s'!p3win* ('3wAh9s'!p1sp1win*T_p3p12344[[#This Row],[ICM]] + '3wAh9s'!p2sp1win*T_p3p22445[[#This Row],[ICM]])
+'3wAh9s'!p2win*T_p22243[[#This Row],[ICM]]
+'3wAh9s'!p1win*T_p12142[[#This Row],[ICM]]</f>
        <v>0</v>
      </c>
      <c r="AR18" s="68">
        <f>('3wAh9s'!p3win* ('3wAh9s'!p1sp1win*T_p3p12344[[#This Row],[KO]] + '3wAh9s'!p2sp1win*T_p3p22445[[#This Row],[KO]])
+'3wAh9s'!p2win*T_p22243[[#This Row],[KO]]
+'3wAh9s'!p1win*T_p12142[[#This Row],[KO]])*bounty</f>
        <v>0</v>
      </c>
      <c r="AS18" s="68">
        <f>'3wAh9s'!p3win* ('3wAh9s'!p1sp1win*T_p3p12344[[#This Row],[$stack]] + '3wAh9s'!p2sp1win*T_p3p22445[[#This Row],[$stack]])
+'3wAh9s'!p2win*T_p22243[[#This Row],[$stack]]
+'3wAh9s'!p1win*T_p12142[[#This Row],[$stack]]</f>
        <v>0</v>
      </c>
      <c r="AT18" s="68">
        <f>'3wAh9s'!p3win* ('3wAh9s'!p1sp1win*T_p3p12344[[#This Row],[stack]] + '3wAh9s'!p2sp1win*T_p3p22445[[#This Row],[stack]])
+'3wAh9s'!p2win*T_p22243[[#This Row],[stack]]
+'3wAh9s'!p1win*T_p12142[[#This Row],[stack]]</f>
        <v>1849.9348003199998</v>
      </c>
      <c r="AU18" s="2">
        <f>T_EV3347[[#This Row],[chipEV]]-T_fact2946[[#This Row],[stack]]</f>
        <v>238.93480031999979</v>
      </c>
      <c r="AV18" s="2">
        <f>T_EV3347[[#This Row],[EV]]-(T_fact2946[[#This Row],[ICM]]+bounty*T_fact2946[[#This Row],[KO]])</f>
        <v>0</v>
      </c>
    </row>
    <row r="19" spans="1:48" x14ac:dyDescent="0.25">
      <c r="A19" t="s">
        <v>95</v>
      </c>
      <c r="D19">
        <f>SUBTOTAL(109,T_init2041[pWin])</f>
        <v>0</v>
      </c>
      <c r="F19" s="53"/>
      <c r="G19" s="50">
        <f>SUM(T_p12142[stack])</f>
        <v>3000</v>
      </c>
      <c r="H19" s="50">
        <f>SUM(T_p12142[EQ])</f>
        <v>1</v>
      </c>
      <c r="I19" s="50">
        <f>SUM(T_p12142[ICM])</f>
        <v>0</v>
      </c>
      <c r="J19" s="50">
        <f>SUM(T_p12142[KO])</f>
        <v>3</v>
      </c>
      <c r="K19" s="50">
        <f>SUM(T_p12142[$stack])</f>
        <v>0</v>
      </c>
      <c r="M19" s="53"/>
      <c r="N19" s="55">
        <f>SUM(T_p22243[stack])</f>
        <v>3000</v>
      </c>
      <c r="O19" s="50">
        <f>SUM(T_p22243[EQ])</f>
        <v>1</v>
      </c>
      <c r="P19" s="51">
        <f>SUM(T_p22243[ICM])</f>
        <v>0</v>
      </c>
      <c r="Q19" s="52">
        <f>SUM(T_p22243[KO])</f>
        <v>3</v>
      </c>
      <c r="R19" s="50">
        <f>SUM(T_p22243[$stack])</f>
        <v>0</v>
      </c>
      <c r="T19" s="53"/>
      <c r="U19" s="55">
        <f>SUM(T_p3p12344[stack])</f>
        <v>3000</v>
      </c>
      <c r="V19" s="50">
        <f>SUM(T_p3p12344[EQ])</f>
        <v>1</v>
      </c>
      <c r="W19" s="51">
        <f>SUM(T_p3p12344[ICM])</f>
        <v>0</v>
      </c>
      <c r="X19" s="52">
        <f>SUM(T_p3p12344[KO])</f>
        <v>3</v>
      </c>
      <c r="Y19" s="50">
        <f>SUM(T_p3p12344[$stack])</f>
        <v>0</v>
      </c>
      <c r="AA19" s="53"/>
      <c r="AB19" s="55">
        <f>SUM(T_p3p22445[stack])</f>
        <v>3000</v>
      </c>
      <c r="AC19" s="50">
        <f>SUM(T_p3p22445[EQ])</f>
        <v>1.0001000000000002</v>
      </c>
      <c r="AD19" s="51">
        <f>SUM(T_p3p22445[ICM])</f>
        <v>0</v>
      </c>
      <c r="AE19" s="52">
        <f>SUM(T_p3p22445[KO])</f>
        <v>3</v>
      </c>
      <c r="AF19" s="50">
        <f>SUM(T_p3p12344[$stack])</f>
        <v>0</v>
      </c>
      <c r="AI19" s="53"/>
      <c r="AJ19" s="55">
        <f>SUM(T_fact2946[stack])</f>
        <v>3000</v>
      </c>
      <c r="AK19" s="50">
        <f>SUM(T_fact2946[EQ])</f>
        <v>1</v>
      </c>
      <c r="AL19" s="51">
        <f>SUM(T_fact2946[ICM])</f>
        <v>0</v>
      </c>
      <c r="AM19" s="52">
        <f>SUM(T_fact2946[KO])</f>
        <v>3</v>
      </c>
      <c r="AN19" s="51">
        <f>SUM(T_fact2946[$stack])</f>
        <v>0</v>
      </c>
      <c r="AQ19" s="52">
        <f>SUM(T_EV3347[ICM])</f>
        <v>0</v>
      </c>
      <c r="AR19" s="52">
        <f>SUM(T_EV3347[KO])</f>
        <v>0</v>
      </c>
      <c r="AS19" s="52">
        <f>SUM(T_EV3347[EV])</f>
        <v>0</v>
      </c>
      <c r="AT19" s="50">
        <f>SUM(T_EV3347[chipEV])</f>
        <v>3000</v>
      </c>
    </row>
    <row r="35" spans="2:4" x14ac:dyDescent="0.25">
      <c r="C35" t="s">
        <v>118</v>
      </c>
    </row>
    <row r="36" spans="2:4" x14ac:dyDescent="0.25">
      <c r="C36" t="s">
        <v>120</v>
      </c>
    </row>
    <row r="37" spans="2:4" x14ac:dyDescent="0.25">
      <c r="C37" t="s">
        <v>122</v>
      </c>
    </row>
    <row r="40" spans="2:4" x14ac:dyDescent="0.25">
      <c r="C40" t="s">
        <v>126</v>
      </c>
    </row>
    <row r="42" spans="2:4" x14ac:dyDescent="0.25">
      <c r="B42" t="s">
        <v>129</v>
      </c>
    </row>
    <row r="43" spans="2:4" x14ac:dyDescent="0.25">
      <c r="B43" t="s">
        <v>131</v>
      </c>
    </row>
    <row r="44" spans="2:4" x14ac:dyDescent="0.25">
      <c r="C44" t="s">
        <v>133</v>
      </c>
    </row>
    <row r="45" spans="2:4" x14ac:dyDescent="0.25">
      <c r="D45" t="s">
        <v>135</v>
      </c>
    </row>
    <row r="46" spans="2:4" x14ac:dyDescent="0.25">
      <c r="C46" t="s">
        <v>137</v>
      </c>
    </row>
    <row r="47" spans="2:4" x14ac:dyDescent="0.25">
      <c r="D47" t="s">
        <v>135</v>
      </c>
    </row>
    <row r="48" spans="2:4" x14ac:dyDescent="0.25">
      <c r="C48" t="s">
        <v>140</v>
      </c>
    </row>
    <row r="49" spans="3:7" x14ac:dyDescent="0.25">
      <c r="D49" t="s">
        <v>142</v>
      </c>
    </row>
    <row r="50" spans="3:7" x14ac:dyDescent="0.25">
      <c r="D50" t="s">
        <v>144</v>
      </c>
    </row>
    <row r="51" spans="3:7" x14ac:dyDescent="0.25">
      <c r="F51" t="s">
        <v>147</v>
      </c>
    </row>
    <row r="53" spans="3:7" x14ac:dyDescent="0.25">
      <c r="E53" t="s">
        <v>145</v>
      </c>
      <c r="F53" t="s">
        <v>151</v>
      </c>
    </row>
    <row r="55" spans="3:7" x14ac:dyDescent="0.25">
      <c r="C55" t="s">
        <v>154</v>
      </c>
      <c r="E55" t="s">
        <v>149</v>
      </c>
    </row>
    <row r="56" spans="3:7" x14ac:dyDescent="0.25">
      <c r="D56" t="s">
        <v>156</v>
      </c>
    </row>
    <row r="57" spans="3:7" x14ac:dyDescent="0.25">
      <c r="D57" t="s">
        <v>158</v>
      </c>
    </row>
    <row r="58" spans="3:7" x14ac:dyDescent="0.25">
      <c r="F58" t="s">
        <v>160</v>
      </c>
    </row>
    <row r="60" spans="3:7" x14ac:dyDescent="0.25">
      <c r="E60" t="s">
        <v>145</v>
      </c>
      <c r="F60" t="s">
        <v>163</v>
      </c>
    </row>
    <row r="62" spans="3:7" x14ac:dyDescent="0.25">
      <c r="E62" t="s">
        <v>149</v>
      </c>
      <c r="F62" t="s">
        <v>167</v>
      </c>
    </row>
    <row r="63" spans="3:7" x14ac:dyDescent="0.25">
      <c r="F63" t="s">
        <v>144</v>
      </c>
    </row>
    <row r="64" spans="3:7" x14ac:dyDescent="0.25">
      <c r="E64" t="s">
        <v>165</v>
      </c>
      <c r="G64" t="s">
        <v>145</v>
      </c>
    </row>
    <row r="65" spans="7:8" x14ac:dyDescent="0.25">
      <c r="H65" t="s">
        <v>147</v>
      </c>
    </row>
    <row r="66" spans="7:8" x14ac:dyDescent="0.25">
      <c r="G66" t="s">
        <v>149</v>
      </c>
    </row>
    <row r="67" spans="7:8" x14ac:dyDescent="0.25">
      <c r="H67" t="s">
        <v>151</v>
      </c>
    </row>
  </sheetData>
  <mergeCells count="10">
    <mergeCell ref="T12:AE12"/>
    <mergeCell ref="AQ12:AT12"/>
    <mergeCell ref="T13:AE13"/>
    <mergeCell ref="AQ13:AT13"/>
    <mergeCell ref="F14:J14"/>
    <mergeCell ref="M14:Q14"/>
    <mergeCell ref="T14:X14"/>
    <mergeCell ref="AA14:AE14"/>
    <mergeCell ref="AI14:AM14"/>
    <mergeCell ref="AQ14:AT14"/>
  </mergeCells>
  <pageMargins left="0.7" right="0.7" top="0.75" bottom="0.75" header="0.3" footer="0.3"/>
  <pageSetup paperSize="9" orientation="portrait" horizontalDpi="4294967293" verticalDpi="0" r:id="rId1"/>
  <legacyDrawing r:id="rId2"/>
  <tableParts count="7">
    <tablePart r:id="rId3"/>
    <tablePart r:id="rId4"/>
    <tablePart r:id="rId5"/>
    <tablePart r:id="rId6"/>
    <tablePart r:id="rId7"/>
    <tablePart r:id="rId8"/>
    <tablePart r:id="rId9"/>
  </tablePart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5"/>
  <sheetViews>
    <sheetView workbookViewId="0">
      <selection activeCell="AK9" sqref="AK9"/>
    </sheetView>
  </sheetViews>
  <sheetFormatPr defaultRowHeight="15" x14ac:dyDescent="0.25"/>
  <cols>
    <col min="11" max="11" width="9.5703125" bestFit="1" customWidth="1"/>
    <col min="17" max="17" width="9.5703125" bestFit="1" customWidth="1"/>
    <col min="23" max="23" width="9.5703125" bestFit="1" customWidth="1"/>
    <col min="29" max="29" width="10.5703125" customWidth="1"/>
    <col min="31" max="31" width="10" customWidth="1"/>
    <col min="34" max="34" width="9.5703125" customWidth="1"/>
    <col min="36" max="36" width="10.28515625" customWidth="1"/>
  </cols>
  <sheetData>
    <row r="1" spans="1:39" x14ac:dyDescent="0.25">
      <c r="C1" t="s">
        <v>0</v>
      </c>
      <c r="D1">
        <f>bounty*6</f>
        <v>0</v>
      </c>
      <c r="F1" t="s">
        <v>71</v>
      </c>
      <c r="G1">
        <v>8.8999999999999996E-2</v>
      </c>
      <c r="I1" t="s">
        <v>453</v>
      </c>
      <c r="J1">
        <v>0.2893</v>
      </c>
      <c r="L1" t="s">
        <v>73</v>
      </c>
      <c r="M1">
        <v>1460</v>
      </c>
    </row>
    <row r="2" spans="1:39" x14ac:dyDescent="0.25">
      <c r="C2" t="s">
        <v>1</v>
      </c>
      <c r="D2">
        <f>bounty</f>
        <v>0</v>
      </c>
      <c r="F2" t="s">
        <v>74</v>
      </c>
      <c r="G2">
        <v>0.54559999999999997</v>
      </c>
      <c r="I2" t="s">
        <v>454</v>
      </c>
      <c r="J2">
        <v>0.7107</v>
      </c>
      <c r="L2" t="s">
        <v>455</v>
      </c>
      <c r="M2">
        <v>20</v>
      </c>
    </row>
    <row r="3" spans="1:39" x14ac:dyDescent="0.25">
      <c r="C3" t="s">
        <v>77</v>
      </c>
      <c r="D3">
        <v>3000</v>
      </c>
      <c r="F3" t="s">
        <v>78</v>
      </c>
      <c r="G3">
        <v>0.3654</v>
      </c>
    </row>
    <row r="5" spans="1:39" x14ac:dyDescent="0.25">
      <c r="C5" t="s">
        <v>456</v>
      </c>
      <c r="D5" t="s">
        <v>457</v>
      </c>
    </row>
    <row r="6" spans="1:39" ht="15.75" thickBot="1" x14ac:dyDescent="0.3"/>
    <row r="7" spans="1:39" ht="19.5" thickTop="1" x14ac:dyDescent="0.3">
      <c r="E7" s="88" t="s">
        <v>100</v>
      </c>
      <c r="F7" s="89"/>
      <c r="G7" s="89"/>
      <c r="H7" s="89"/>
      <c r="I7" s="90"/>
      <c r="J7" s="88" t="s">
        <v>101</v>
      </c>
      <c r="K7" s="89"/>
      <c r="L7" s="89"/>
      <c r="M7" s="89"/>
      <c r="N7" s="90"/>
      <c r="P7" s="88" t="s">
        <v>102</v>
      </c>
      <c r="Q7" s="89"/>
      <c r="R7" s="89"/>
      <c r="S7" s="89"/>
      <c r="T7" s="90"/>
      <c r="V7" s="88" t="s">
        <v>103</v>
      </c>
      <c r="W7" s="89"/>
      <c r="X7" s="89"/>
      <c r="Y7" s="89"/>
      <c r="Z7" s="90"/>
      <c r="AB7" s="85" t="s">
        <v>10</v>
      </c>
      <c r="AC7" s="86"/>
      <c r="AD7" s="86"/>
      <c r="AE7" s="86"/>
      <c r="AF7" s="87"/>
      <c r="AG7" s="3"/>
      <c r="AH7" s="91" t="s">
        <v>11</v>
      </c>
      <c r="AI7" s="92"/>
      <c r="AJ7" s="93"/>
    </row>
    <row r="8" spans="1:39" x14ac:dyDescent="0.25">
      <c r="A8" t="s">
        <v>107</v>
      </c>
      <c r="B8" t="s">
        <v>12</v>
      </c>
      <c r="C8" t="s">
        <v>13</v>
      </c>
      <c r="D8" t="s">
        <v>14</v>
      </c>
      <c r="E8" s="10" t="s">
        <v>458</v>
      </c>
      <c r="F8" t="s">
        <v>459</v>
      </c>
      <c r="G8" t="s">
        <v>460</v>
      </c>
      <c r="H8" t="s">
        <v>461</v>
      </c>
      <c r="I8" s="11" t="s">
        <v>462</v>
      </c>
      <c r="J8" s="5" t="s">
        <v>463</v>
      </c>
      <c r="K8" s="5" t="s">
        <v>464</v>
      </c>
      <c r="L8" s="5" t="s">
        <v>465</v>
      </c>
      <c r="M8" s="5" t="s">
        <v>466</v>
      </c>
      <c r="N8" s="11" t="s">
        <v>467</v>
      </c>
      <c r="O8" s="5" t="s">
        <v>468</v>
      </c>
      <c r="P8" s="10" t="s">
        <v>469</v>
      </c>
      <c r="Q8" s="5" t="s">
        <v>470</v>
      </c>
      <c r="R8" s="5" t="s">
        <v>471</v>
      </c>
      <c r="S8" s="5" t="s">
        <v>472</v>
      </c>
      <c r="T8" s="11" t="s">
        <v>473</v>
      </c>
      <c r="U8" t="s">
        <v>23</v>
      </c>
      <c r="V8" s="10" t="s">
        <v>474</v>
      </c>
      <c r="W8" s="5" t="s">
        <v>475</v>
      </c>
      <c r="X8" s="5" t="s">
        <v>476</v>
      </c>
      <c r="Y8" s="5" t="s">
        <v>477</v>
      </c>
      <c r="Z8" s="11" t="s">
        <v>478</v>
      </c>
      <c r="AA8" t="s">
        <v>479</v>
      </c>
      <c r="AB8" s="8" t="s">
        <v>480</v>
      </c>
      <c r="AC8" s="5" t="s">
        <v>481</v>
      </c>
      <c r="AD8" s="5" t="s">
        <v>482</v>
      </c>
      <c r="AE8" s="5" t="s">
        <v>483</v>
      </c>
      <c r="AF8" s="9" t="s">
        <v>484</v>
      </c>
      <c r="AG8" t="s">
        <v>28</v>
      </c>
      <c r="AH8" s="4" t="s">
        <v>485</v>
      </c>
      <c r="AI8" s="5" t="s">
        <v>486</v>
      </c>
      <c r="AJ8" s="5" t="s">
        <v>487</v>
      </c>
      <c r="AK8" t="s">
        <v>112</v>
      </c>
    </row>
    <row r="9" spans="1:39" s="17" customFormat="1" x14ac:dyDescent="0.25">
      <c r="A9" s="17">
        <v>1</v>
      </c>
      <c r="B9" s="17">
        <v>498</v>
      </c>
      <c r="C9" s="17" t="s">
        <v>488</v>
      </c>
      <c r="D9" s="17">
        <v>8.8999999999999996E-2</v>
      </c>
      <c r="E9" s="19">
        <v>4</v>
      </c>
      <c r="F9" s="17">
        <v>1490</v>
      </c>
      <c r="G9" s="17">
        <v>0.39860000000000001</v>
      </c>
      <c r="H9" s="18">
        <f>Table1[[#This Row],[EQ1]]*prize</f>
        <v>0</v>
      </c>
      <c r="I9" s="24">
        <f>Table1[[#This Row],[players1]]*Table1[[#This Row],[stack1]]/chips+2</f>
        <v>3.9866666666666664</v>
      </c>
      <c r="J9" s="19">
        <v>5</v>
      </c>
      <c r="K9" s="17">
        <v>10</v>
      </c>
      <c r="L9" s="17">
        <v>4.3E-3</v>
      </c>
      <c r="M9" s="18">
        <f>Table1[[#This Row],[EQ2]]*prize</f>
        <v>0</v>
      </c>
      <c r="N9" s="20">
        <f>Table1[[#This Row],[players2]]*Table1[[#This Row],[stack2]]/3000</f>
        <v>1.6666666666666666E-2</v>
      </c>
      <c r="O9" s="67"/>
      <c r="P9" s="19">
        <v>5</v>
      </c>
      <c r="Q9" s="17">
        <v>30</v>
      </c>
      <c r="R9" s="17">
        <v>1.2699999999999999E-2</v>
      </c>
      <c r="S9" s="18">
        <f>Table1[[#This Row],[EQside1]]*prize</f>
        <v>0</v>
      </c>
      <c r="T9" s="20">
        <f>Table1[[#This Row],[playersside1]]*Table1[[#This Row],[stackside1]]/3000+1</f>
        <v>1.05</v>
      </c>
      <c r="V9" s="19">
        <v>6</v>
      </c>
      <c r="W9" s="17">
        <v>10</v>
      </c>
      <c r="X9" s="17">
        <v>4.4000000000000003E-3</v>
      </c>
      <c r="Y9" s="18">
        <f>Table1[[#This Row],[EQside2]]*prize</f>
        <v>0</v>
      </c>
      <c r="Z9" s="20">
        <f>Table1[[#This Row],[playersside2]]*Table1[[#This Row],[stackside2]]/3000</f>
        <v>0.02</v>
      </c>
      <c r="AB9" s="21">
        <v>5</v>
      </c>
      <c r="AC9" s="17">
        <v>10</v>
      </c>
      <c r="AD9" s="17">
        <v>4.3E-3</v>
      </c>
      <c r="AE9" s="18">
        <f>Table1[[#This Row],[EQf]]*prize</f>
        <v>0</v>
      </c>
      <c r="AF9" s="22">
        <f>Table1[[#This Row],[playersf]]*Table1[[#This Row],[stackf]]/3000</f>
        <v>1.6666666666666666E-2</v>
      </c>
      <c r="AG9" s="35">
        <f>Table2[[#This Row],[EQwin]]*Table2[[#This Row],[pWin]] + Table2[[#This Row],[EQlose]]*(1-Table2[[#This Row],[pWin]]) - Table2[[#This Row],[Eqfact]]</f>
        <v>0</v>
      </c>
      <c r="AH9" s="23">
        <f>p3win*(p1spwin*Table1[[#This Row],[ICMside1]]+(1-p1spwin)*Table1[[#This Row],[ICMside2]])+p2win*Table1[[#This Row],[ICM2]]+p1win*Table1[[#This Row],[ICM1]] -Table1[[#This Row],[ICMf]]</f>
        <v>0</v>
      </c>
      <c r="AI9" s="23">
        <f>p3win*(p1spwin*Table1[[#This Row],[KOside1]]+(1-p1spwin)*Table1[[#This Row],[KOside2]])+p2win*Table1[[#This Row],[KO2]]+p1win*Table1[[#This Row],[KO1]] -Table1[[#This Row],[KOf]]</f>
        <v>0.46342952659999997</v>
      </c>
      <c r="AJ9" s="69">
        <f>Table1[[#This Row],[ICMd]]+Table1[[#This Row],[KOd]]</f>
        <v>0.46342952659999997</v>
      </c>
      <c r="AK9" s="17">
        <f>p3win*(p1spwin*Table1[[#This Row],[stackside1]]+(1-p1spwin)*Table1[[#This Row],[stackside2]])+p2win*Table1[[#This Row],[stack2]]+p1win*Table1[[#This Row],[stack1]] -Table1[[#This Row],[stackf]]</f>
        <v>133.83420439999998</v>
      </c>
      <c r="AM9" s="17">
        <f>M1*p1win+M2*p1spwin-Table1[[#This Row],[stackf]]+10</f>
        <v>135.726</v>
      </c>
    </row>
    <row r="10" spans="1:39" x14ac:dyDescent="0.25">
      <c r="B10">
        <v>540</v>
      </c>
      <c r="E10" s="10">
        <v>4</v>
      </c>
      <c r="F10">
        <v>538</v>
      </c>
      <c r="G10">
        <v>0.21279999999999999</v>
      </c>
      <c r="H10" s="2">
        <f>Table1[[#This Row],[EQ1]]*prize</f>
        <v>0</v>
      </c>
      <c r="I10" s="16">
        <f>Table1[[#This Row],[players1]]*Table1[[#This Row],[stack1]]/chips</f>
        <v>0.71733333333333338</v>
      </c>
      <c r="J10" s="10">
        <v>5</v>
      </c>
      <c r="K10">
        <v>538</v>
      </c>
      <c r="L10">
        <v>0.21190000000000001</v>
      </c>
      <c r="M10" s="2">
        <f>Table1[[#This Row],[EQ2]]*prize</f>
        <v>0</v>
      </c>
      <c r="N10" s="14">
        <f>Table1[[#This Row],[players2]]*Table1[[#This Row],[stack2]]/3000</f>
        <v>0.89666666666666661</v>
      </c>
      <c r="O10" s="66"/>
      <c r="P10" s="10">
        <v>5</v>
      </c>
      <c r="Q10">
        <v>538</v>
      </c>
      <c r="R10">
        <v>0.21029999999999999</v>
      </c>
      <c r="S10" s="2">
        <f>Table1[[#This Row],[EQside1]]*prize</f>
        <v>0</v>
      </c>
      <c r="T10" s="14">
        <f>Table1[[#This Row],[playersside1]]*Table1[[#This Row],[stackside1]]/3000</f>
        <v>0.89666666666666661</v>
      </c>
      <c r="V10" s="10">
        <v>6</v>
      </c>
      <c r="W10">
        <v>538</v>
      </c>
      <c r="X10">
        <v>0.2102</v>
      </c>
      <c r="Y10" s="2">
        <f>Table1[[#This Row],[EQside2]]*prize</f>
        <v>0</v>
      </c>
      <c r="Z10" s="14">
        <f>Table1[[#This Row],[playersside2]]*Table1[[#This Row],[stackside2]]/3000</f>
        <v>1.0760000000000001</v>
      </c>
      <c r="AB10" s="8">
        <v>5</v>
      </c>
      <c r="AC10">
        <v>538</v>
      </c>
      <c r="AD10">
        <v>0.21190000000000001</v>
      </c>
      <c r="AE10" s="2">
        <f>Table1[[#This Row],[EQf]]*prize</f>
        <v>0</v>
      </c>
      <c r="AF10" s="15">
        <f>Table1[[#This Row],[playersf]]*Table1[[#This Row],[stackf]]/3000</f>
        <v>0.89666666666666661</v>
      </c>
      <c r="AG10" s="38">
        <f>Table2[[#This Row],[EQwin]]*Table2[[#This Row],[pWin]] + Table2[[#This Row],[EQlose]]*(1-Table2[[#This Row],[pWin]]) - Table2[[#This Row],[Eqfact]]</f>
        <v>0</v>
      </c>
      <c r="AH10" s="12">
        <f>p3win*(p1spwin*Table1[[#This Row],[ICMside1]]+(1-p1spwin)*Table1[[#This Row],[ICMside2]])+p2win*Table1[[#This Row],[ICM2]]+p1win*Table1[[#This Row],[ICM1]] -Table1[[#This Row],[ICMf]]</f>
        <v>0</v>
      </c>
      <c r="AI10" s="68">
        <f>p3win*(p1spwin*Table1[[#This Row],[KOside1]]+(1-p1spwin)*Table1[[#This Row],[KOside2]])+p2win*Table1[[#This Row],[KO2]]+p1win*Table1[[#This Row],[KO1]] -Table1[[#This Row],[KOf]]</f>
        <v>3.0610367213333434E-2</v>
      </c>
      <c r="AJ10" s="68">
        <f>Table1[[#This Row],[ICMd]]+Table1[[#This Row],[KOd]]</f>
        <v>3.0610367213333434E-2</v>
      </c>
      <c r="AK10">
        <f>p3win*(p1spwin*Table1[[#This Row],[stackside1]]+(1-p1spwin)*Table1[[#This Row],[stackside2]])+p2win*Table1[[#This Row],[stack2]]+p1win*Table1[[#This Row],[stack1]] -Table1[[#This Row],[stackf]]</f>
        <v>0</v>
      </c>
    </row>
    <row r="11" spans="1:39" x14ac:dyDescent="0.25">
      <c r="B11">
        <v>498</v>
      </c>
      <c r="E11" s="10">
        <v>4</v>
      </c>
      <c r="F11">
        <v>496</v>
      </c>
      <c r="G11">
        <v>0.19789999999999999</v>
      </c>
      <c r="H11" s="2">
        <f>Table1[[#This Row],[EQ1]]*prize</f>
        <v>0</v>
      </c>
      <c r="I11" s="16">
        <f>Table1[[#This Row],[players1]]*Table1[[#This Row],[stack1]]/chips</f>
        <v>0.66133333333333333</v>
      </c>
      <c r="J11" s="10">
        <v>5</v>
      </c>
      <c r="K11">
        <v>496</v>
      </c>
      <c r="L11">
        <v>0.1971</v>
      </c>
      <c r="M11" s="2">
        <f>Table1[[#This Row],[EQ2]]*prize</f>
        <v>0</v>
      </c>
      <c r="N11" s="14">
        <f>Table1[[#This Row],[players2]]*Table1[[#This Row],[stack2]]/3000</f>
        <v>0.82666666666666666</v>
      </c>
      <c r="O11" s="66"/>
      <c r="P11" s="10">
        <v>5</v>
      </c>
      <c r="Q11">
        <v>496</v>
      </c>
      <c r="R11">
        <v>0.19550000000000001</v>
      </c>
      <c r="S11" s="2">
        <f>Table1[[#This Row],[EQside1]]*prize</f>
        <v>0</v>
      </c>
      <c r="T11" s="14">
        <f>Table1[[#This Row],[playersside1]]*Table1[[#This Row],[stackside1]]/3000</f>
        <v>0.82666666666666666</v>
      </c>
      <c r="V11" s="10">
        <v>6</v>
      </c>
      <c r="W11">
        <v>496</v>
      </c>
      <c r="X11">
        <v>0.19550000000000001</v>
      </c>
      <c r="Y11" s="2">
        <f>Table1[[#This Row],[EQside2]]*prize</f>
        <v>0</v>
      </c>
      <c r="Z11" s="14">
        <f>Table1[[#This Row],[playersside2]]*Table1[[#This Row],[stackside2]]/3000</f>
        <v>0.99199999999999999</v>
      </c>
      <c r="AB11" s="8">
        <v>5</v>
      </c>
      <c r="AC11">
        <v>496</v>
      </c>
      <c r="AD11">
        <v>0.1971</v>
      </c>
      <c r="AE11" s="2">
        <f>Table1[[#This Row],[EQf]]*prize</f>
        <v>0</v>
      </c>
      <c r="AF11" s="15">
        <f>Table1[[#This Row],[playersf]]*Table1[[#This Row],[stackf]]/3000</f>
        <v>0.82666666666666666</v>
      </c>
      <c r="AG11" s="38">
        <f>Table2[[#This Row],[EQwin]]*Table2[[#This Row],[pWin]] + Table2[[#This Row],[EQlose]]*(1-Table2[[#This Row],[pWin]]) - Table2[[#This Row],[Eqfact]]</f>
        <v>-7.9633889999999985E-2</v>
      </c>
      <c r="AH11" s="12">
        <f>p3win*(p1spwin*Table1[[#This Row],[ICMside1]]+(1-p1spwin)*Table1[[#This Row],[ICMside2]])+p2win*Table1[[#This Row],[ICM2]]+p1win*Table1[[#This Row],[ICM1]] -Table1[[#This Row],[ICMf]]</f>
        <v>0</v>
      </c>
      <c r="AI11" s="68">
        <f>p3win*(p1spwin*Table1[[#This Row],[KOside1]]+(1-p1spwin)*Table1[[#This Row],[KOside2]])+p2win*Table1[[#This Row],[KO2]]+p1win*Table1[[#This Row],[KO1]] -Table1[[#This Row],[KOf]]</f>
        <v>2.8220710293333173E-2</v>
      </c>
      <c r="AJ11" s="68">
        <f>Table1[[#This Row],[ICMd]]+Table1[[#This Row],[KOd]]</f>
        <v>2.8220710293333173E-2</v>
      </c>
      <c r="AK11">
        <f>p3win*(p1spwin*Table1[[#This Row],[stackside1]]+(1-p1spwin)*Table1[[#This Row],[stackside2]])+p2win*Table1[[#This Row],[stack2]]+p1win*Table1[[#This Row],[stack1]] -Table1[[#This Row],[stackf]]</f>
        <v>0</v>
      </c>
    </row>
    <row r="12" spans="1:39" s="26" customFormat="1" x14ac:dyDescent="0.25">
      <c r="A12" s="26">
        <v>2</v>
      </c>
      <c r="B12" s="26">
        <v>488</v>
      </c>
      <c r="C12" s="26" t="s">
        <v>489</v>
      </c>
      <c r="D12" s="26">
        <v>0.54559999999999997</v>
      </c>
      <c r="E12" s="29">
        <v>4</v>
      </c>
      <c r="F12" s="26">
        <v>0</v>
      </c>
      <c r="G12" s="26">
        <v>0</v>
      </c>
      <c r="H12" s="27">
        <f>Table1[[#This Row],[EQ1]]*prize</f>
        <v>0</v>
      </c>
      <c r="I12" s="28">
        <f>Table1[[#This Row],[players1]]*Table1[[#This Row],[stack1]]/chips</f>
        <v>0</v>
      </c>
      <c r="J12" s="29">
        <v>5</v>
      </c>
      <c r="K12" s="26">
        <v>1480</v>
      </c>
      <c r="L12" s="26">
        <v>0.39679999999999999</v>
      </c>
      <c r="M12" s="27">
        <f>Table1[[#This Row],[EQ2]]*prize</f>
        <v>0</v>
      </c>
      <c r="N12" s="30">
        <f>Table1[[#This Row],[players2]]*Table1[[#This Row],[stack2]]/3000+1</f>
        <v>3.4666666666666668</v>
      </c>
      <c r="O12" s="71"/>
      <c r="P12" s="29">
        <v>5</v>
      </c>
      <c r="Q12" s="26">
        <v>0</v>
      </c>
      <c r="R12" s="26">
        <v>0</v>
      </c>
      <c r="S12" s="27">
        <f>Table1[[#This Row],[EQside1]]*prize</f>
        <v>0</v>
      </c>
      <c r="T12" s="30">
        <f>Table1[[#This Row],[playersside1]]*Table1[[#This Row],[stackside1]]/3000</f>
        <v>0</v>
      </c>
      <c r="V12" s="29">
        <v>6</v>
      </c>
      <c r="W12" s="26">
        <v>20</v>
      </c>
      <c r="X12" s="26">
        <v>8.5000000000000006E-3</v>
      </c>
      <c r="Y12" s="27">
        <f>Table1[[#This Row],[EQside2]]*prize</f>
        <v>0</v>
      </c>
      <c r="Z12" s="30">
        <f>Table1[[#This Row],[playersside2]]*Table1[[#This Row],[stackside2]]/3000</f>
        <v>0.04</v>
      </c>
      <c r="AB12" s="31">
        <v>5</v>
      </c>
      <c r="AC12" s="26">
        <v>1480</v>
      </c>
      <c r="AD12" s="26">
        <v>0.39679999999999999</v>
      </c>
      <c r="AE12" s="27">
        <f>Table1[[#This Row],[EQf]]*prize</f>
        <v>0</v>
      </c>
      <c r="AF12" s="32">
        <f>Table1[[#This Row],[playersf]]*Table1[[#This Row],[stackf]]/3000+1</f>
        <v>3.4666666666666668</v>
      </c>
      <c r="AG12" s="39">
        <f>Table2[[#This Row],[EQwin]]*Table2[[#This Row],[pWin]] + Table2[[#This Row],[EQlose]]*(1-Table2[[#This Row],[pWin]]) - Table2[[#This Row],[Eqfact]]</f>
        <v>7.9633889999999999E-2</v>
      </c>
      <c r="AH12" s="12">
        <f>p3win*(p1spwin*Table1[[#This Row],[ICMside1]]+(1-p1spwin)*Table1[[#This Row],[ICMside2]])+p2win*Table1[[#This Row],[ICM2]]+p1win*Table1[[#This Row],[ICM1]] -Table1[[#This Row],[ICMf]]</f>
        <v>0</v>
      </c>
      <c r="AI12" s="72">
        <f>p3win*(p1spwin*Table1[[#This Row],[KOside1]]+(1-p1spwin)*Table1[[#This Row],[KOside2]])+p2win*Table1[[#This Row],[KO2]]+p1win*Table1[[#This Row],[KO1]] -Table1[[#This Row],[KOf]]</f>
        <v>-1.5648657421333334</v>
      </c>
      <c r="AJ12" s="72">
        <f>Table1[[#This Row],[ICMd]]+Table1[[#This Row],[KOd]]</f>
        <v>-1.5648657421333334</v>
      </c>
      <c r="AK12" s="26">
        <f>p3win*(p1spwin*Table1[[#This Row],[stackside1]]+(1-p1spwin)*Table1[[#This Row],[stackside2]])+p2win*Table1[[#This Row],[stack2]]+p1win*Table1[[#This Row],[stack1]] -Table1[[#This Row],[stackf]]</f>
        <v>-667.31820440000001</v>
      </c>
    </row>
    <row r="13" spans="1:39" x14ac:dyDescent="0.25">
      <c r="A13">
        <v>3</v>
      </c>
      <c r="B13">
        <v>478</v>
      </c>
      <c r="C13" t="s">
        <v>490</v>
      </c>
      <c r="D13">
        <v>0.3654</v>
      </c>
      <c r="E13" s="10">
        <v>4</v>
      </c>
      <c r="F13">
        <v>0</v>
      </c>
      <c r="H13" s="2">
        <f>Table1[[#This Row],[EQ1]]*prize</f>
        <v>0</v>
      </c>
      <c r="I13" s="16">
        <f>Table1[[#This Row],[players1]]*Table1[[#This Row],[stack1]]/chips</f>
        <v>0</v>
      </c>
      <c r="J13" s="10">
        <v>5</v>
      </c>
      <c r="K13">
        <v>0</v>
      </c>
      <c r="M13" s="2">
        <f>Table1[[#This Row],[EQ2]]*prize</f>
        <v>0</v>
      </c>
      <c r="N13" s="14">
        <f>Table1[[#This Row],[players2]]*Table1[[#This Row],[stack2]]/3000</f>
        <v>0</v>
      </c>
      <c r="O13" s="66"/>
      <c r="P13" s="10">
        <v>5</v>
      </c>
      <c r="Q13">
        <v>1460</v>
      </c>
      <c r="R13">
        <v>0.3931</v>
      </c>
      <c r="S13" s="2">
        <f>Table1[[#This Row],[EQside1]]*prize</f>
        <v>0</v>
      </c>
      <c r="T13" s="14">
        <f>Table1[[#This Row],[playersside1]]*Table1[[#This Row],[stackside1]]/3000</f>
        <v>2.4333333333333331</v>
      </c>
      <c r="V13" s="10">
        <v>6</v>
      </c>
      <c r="W13">
        <v>1460</v>
      </c>
      <c r="X13">
        <v>0.39300000000000002</v>
      </c>
      <c r="Y13" s="2">
        <f>Table1[[#This Row],[EQside2]]*prize</f>
        <v>0</v>
      </c>
      <c r="Z13" s="14">
        <f>Table1[[#This Row],[playersside2]]*Table1[[#This Row],[stackside2]]/3000</f>
        <v>2.92</v>
      </c>
      <c r="AB13" s="8">
        <v>5</v>
      </c>
      <c r="AC13">
        <v>0</v>
      </c>
      <c r="AE13" s="2">
        <f>Table1[[#This Row],[EQf]]*prize</f>
        <v>0</v>
      </c>
      <c r="AF13" s="15">
        <f>Table1[[#This Row],[playersf]]*Table1[[#This Row],[stackf]]/3000</f>
        <v>0</v>
      </c>
      <c r="AG13" s="38">
        <f>Table2[[#This Row],[EQwin]]*Table2[[#This Row],[pWin]] + Table2[[#This Row],[EQlose]]*(1-Table2[[#This Row],[pWin]]) - Table2[[#This Row],[Eqfact]]</f>
        <v>0</v>
      </c>
      <c r="AH13" s="12">
        <f>p3win*(p1spwin*Table1[[#This Row],[ICMside1]]+(1-p1spwin)*Table1[[#This Row],[ICMside2]])+p2win*Table1[[#This Row],[ICM2]]+p1win*Table1[[#This Row],[ICM1]] -Table1[[#This Row],[ICMf]]</f>
        <v>0</v>
      </c>
      <c r="AI13" s="68">
        <f>p3win*(p1spwin*Table1[[#This Row],[KOside1]]+(1-p1spwin)*Table1[[#This Row],[KOside2]])+p2win*Table1[[#This Row],[KO2]]+p1win*Table1[[#This Row],[KO1]] -Table1[[#This Row],[KOf]]</f>
        <v>1.0155223596</v>
      </c>
      <c r="AJ13" s="68">
        <f>Table1[[#This Row],[ICMd]]+Table1[[#This Row],[KOd]]</f>
        <v>1.0155223596</v>
      </c>
      <c r="AK13">
        <f>p3win*(p1spwin*Table1[[#This Row],[stackside1]]+(1-p1spwin)*Table1[[#This Row],[stackside2]])+p2win*Table1[[#This Row],[stack2]]+p1win*Table1[[#This Row],[stack1]] -Table1[[#This Row],[stackf]]</f>
        <v>533.48400000000004</v>
      </c>
    </row>
    <row r="14" spans="1:39" x14ac:dyDescent="0.25">
      <c r="B14">
        <v>498</v>
      </c>
      <c r="E14" s="10">
        <v>4</v>
      </c>
      <c r="F14">
        <v>476</v>
      </c>
      <c r="G14">
        <v>0.19070000000000001</v>
      </c>
      <c r="H14" s="2">
        <f>Table1[[#This Row],[EQ1]]*prize</f>
        <v>0</v>
      </c>
      <c r="I14" s="16">
        <f>Table1[[#This Row],[players1]]*Table1[[#This Row],[stack1]]/chips</f>
        <v>0.63466666666666671</v>
      </c>
      <c r="J14" s="10">
        <v>5</v>
      </c>
      <c r="K14">
        <v>476</v>
      </c>
      <c r="L14">
        <v>0.18990000000000001</v>
      </c>
      <c r="M14" s="2">
        <f>Table1[[#This Row],[EQ2]]*prize</f>
        <v>0</v>
      </c>
      <c r="N14" s="14">
        <f>Table1[[#This Row],[players2]]*Table1[[#This Row],[stack2]]/3000</f>
        <v>0.79333333333333333</v>
      </c>
      <c r="O14" s="66"/>
      <c r="P14" s="10">
        <v>5</v>
      </c>
      <c r="Q14">
        <v>476</v>
      </c>
      <c r="R14">
        <v>0.18840000000000001</v>
      </c>
      <c r="S14" s="2">
        <f>Table1[[#This Row],[EQside1]]*prize</f>
        <v>0</v>
      </c>
      <c r="T14" s="14">
        <f>Table1[[#This Row],[playersside1]]*Table1[[#This Row],[stackside1]]/3000</f>
        <v>0.79333333333333333</v>
      </c>
      <c r="V14" s="10">
        <v>6</v>
      </c>
      <c r="W14">
        <v>476</v>
      </c>
      <c r="X14">
        <v>0.18840000000000001</v>
      </c>
      <c r="Y14" s="2">
        <f>Table1[[#This Row],[EQside2]]*prize</f>
        <v>0</v>
      </c>
      <c r="Z14" s="14">
        <f>Table1[[#This Row],[playersside2]]*Table1[[#This Row],[stackside2]]/3000</f>
        <v>0.95199999999999996</v>
      </c>
      <c r="AB14" s="8">
        <v>5</v>
      </c>
      <c r="AC14">
        <v>476</v>
      </c>
      <c r="AD14">
        <v>0.18990000000000001</v>
      </c>
      <c r="AE14" s="2">
        <f>Table1[[#This Row],[EQf]]*prize</f>
        <v>0</v>
      </c>
      <c r="AF14" s="15">
        <f>Table1[[#This Row],[playersf]]*Table1[[#This Row],[stackf]]/3000</f>
        <v>0.79333333333333333</v>
      </c>
      <c r="AG14" s="38">
        <f>Table2[[#This Row],[EQwin]]*Table2[[#This Row],[pWin]] + Table2[[#This Row],[EQlose]]*(1-Table2[[#This Row],[pWin]]) - Table2[[#This Row],[Eqfact]]</f>
        <v>0</v>
      </c>
      <c r="AH14" s="12">
        <f>p3win*(p1spwin*Table1[[#This Row],[ICMside1]]+(1-p1spwin)*Table1[[#This Row],[ICMside2]])+p2win*Table1[[#This Row],[ICM2]]+p1win*Table1[[#This Row],[ICM1]] -Table1[[#This Row],[ICMf]]</f>
        <v>0</v>
      </c>
      <c r="AI14" s="68">
        <f>p3win*(p1spwin*Table1[[#This Row],[KOside1]]+(1-p1spwin)*Table1[[#This Row],[KOside2]])+p2win*Table1[[#This Row],[KO2]]+p1win*Table1[[#This Row],[KO1]] -Table1[[#This Row],[KOf]]</f>
        <v>2.708277842666662E-2</v>
      </c>
      <c r="AJ14" s="68">
        <f>Table1[[#This Row],[ICMd]]+Table1[[#This Row],[KOd]]</f>
        <v>2.708277842666662E-2</v>
      </c>
      <c r="AK14">
        <f>p3win*(p1spwin*Table1[[#This Row],[stackside1]]+(1-p1spwin)*Table1[[#This Row],[stackside2]])+p2win*Table1[[#This Row],[stack2]]+p1win*Table1[[#This Row],[stack1]] -Table1[[#This Row],[stackf]]</f>
        <v>0</v>
      </c>
    </row>
    <row r="15" spans="1:39" s="37" customFormat="1" x14ac:dyDescent="0.25">
      <c r="A15" s="50"/>
      <c r="B15" s="50"/>
      <c r="C15" s="50"/>
      <c r="D15" s="50"/>
      <c r="E15" s="53"/>
      <c r="F15" s="50">
        <f>SUM(Table1[stack1])</f>
        <v>3000</v>
      </c>
      <c r="G15" s="50">
        <f>SUM(Table1[EQ1])</f>
        <v>0.99999999999999989</v>
      </c>
      <c r="H15" s="52">
        <f>SUM(Table1[ICM1])</f>
        <v>0</v>
      </c>
      <c r="I15" s="52">
        <f>SUM(Table1[KO1])</f>
        <v>6</v>
      </c>
      <c r="J15" s="53"/>
      <c r="K15" s="50">
        <f>SUM(Table1[stack1])</f>
        <v>3000</v>
      </c>
      <c r="L15" s="52">
        <f>SUM(Table1[EQ2])</f>
        <v>1</v>
      </c>
      <c r="M15" s="52">
        <f>SUM(Table1[ICM2])</f>
        <v>0</v>
      </c>
      <c r="N15" s="52">
        <f>SUM(Table1[KO2])</f>
        <v>6</v>
      </c>
      <c r="O15" s="70"/>
      <c r="P15" s="53"/>
      <c r="Q15" s="52">
        <f>SUM(Table1[stackside1])</f>
        <v>3000</v>
      </c>
      <c r="R15" s="52">
        <f>SUM(Table1[EQside1])</f>
        <v>1</v>
      </c>
      <c r="S15" s="52">
        <f>SUM(Table1[ICMside1])</f>
        <v>0</v>
      </c>
      <c r="T15" s="52">
        <f>SUM(Table1[KOside1])</f>
        <v>6</v>
      </c>
      <c r="U15" s="50"/>
      <c r="V15" s="53"/>
      <c r="W15" s="52">
        <f>SUM(Table1[stackside2])</f>
        <v>3000</v>
      </c>
      <c r="X15" s="52">
        <f>SUM(Table1[EQside2])</f>
        <v>1</v>
      </c>
      <c r="Y15" s="52">
        <f>SUM(Table1[ICMside2])</f>
        <v>0</v>
      </c>
      <c r="Z15" s="52">
        <f>SUM(Table1[KOside2])</f>
        <v>6</v>
      </c>
      <c r="AA15" s="50"/>
      <c r="AB15" s="54"/>
      <c r="AC15" s="52">
        <f>SUM(Table1[stackf])</f>
        <v>3000</v>
      </c>
      <c r="AD15" s="52">
        <f>SUM(Table1[EQf])</f>
        <v>1</v>
      </c>
      <c r="AE15" s="51"/>
      <c r="AF15" s="52">
        <f>SUM(Table1[KOf])</f>
        <v>6</v>
      </c>
      <c r="AG15" s="55">
        <f>Table2[[#This Row],[EQwin]]*Table2[[#This Row],[pWin]] + Table2[[#This Row],[EQlose]]*(1-Table2[[#This Row],[pWin]]) - Table2[[#This Row],[Eqfact]]</f>
        <v>-0.17214599999999999</v>
      </c>
      <c r="AH15" s="52">
        <f>SUM(Table1[ICMd])</f>
        <v>0</v>
      </c>
      <c r="AI15" s="52">
        <f>SUM(Table1[KOd])</f>
        <v>-1.1102230246251565E-16</v>
      </c>
      <c r="AJ15" s="52">
        <f>SUM(Table1[totald])</f>
        <v>-1.1102230246251565E-16</v>
      </c>
      <c r="AK15" s="50"/>
    </row>
  </sheetData>
  <mergeCells count="6">
    <mergeCell ref="P7:T7"/>
    <mergeCell ref="V7:Z7"/>
    <mergeCell ref="AH7:AJ7"/>
    <mergeCell ref="E7:I7"/>
    <mergeCell ref="J7:N7"/>
    <mergeCell ref="AB7:AF7"/>
  </mergeCells>
  <pageMargins left="0.7" right="0.7" top="0.75" bottom="0.75" header="0.3" footer="0.3"/>
  <legacyDrawing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P70"/>
  <sheetViews>
    <sheetView workbookViewId="0">
      <selection activeCell="N11" sqref="N11"/>
    </sheetView>
  </sheetViews>
  <sheetFormatPr defaultRowHeight="15" x14ac:dyDescent="0.25"/>
  <cols>
    <col min="1" max="1" width="9.28515625" customWidth="1"/>
    <col min="6" max="6" width="10.28515625" customWidth="1"/>
    <col min="13" max="13" width="10.28515625" customWidth="1"/>
    <col min="20" max="20" width="9.5703125" bestFit="1" customWidth="1"/>
    <col min="27" max="27" width="7.7109375" customWidth="1"/>
    <col min="28" max="29" width="8.5703125" customWidth="1"/>
    <col min="30" max="30" width="9.85546875" customWidth="1"/>
    <col min="31" max="31" width="8.42578125" customWidth="1"/>
    <col min="62" max="62" width="10" customWidth="1"/>
    <col min="66" max="66" width="10.5703125" customWidth="1"/>
    <col min="69" max="69" width="10" customWidth="1"/>
    <col min="72" max="72" width="10" customWidth="1"/>
    <col min="75" max="75" width="10.28515625" customWidth="1"/>
    <col min="78" max="78" width="10.140625" customWidth="1"/>
  </cols>
  <sheetData>
    <row r="1" spans="1:92" x14ac:dyDescent="0.25">
      <c r="C1" t="s">
        <v>0</v>
      </c>
      <c r="D1">
        <f>bounty*6</f>
        <v>0</v>
      </c>
      <c r="F1" t="s">
        <v>71</v>
      </c>
      <c r="G1">
        <v>0.16070000000000001</v>
      </c>
      <c r="I1" t="s">
        <v>72</v>
      </c>
      <c r="J1">
        <v>0.16919999999999999</v>
      </c>
      <c r="N1" t="s">
        <v>491</v>
      </c>
      <c r="O1" s="75">
        <v>0.54400000000000004</v>
      </c>
      <c r="S1" t="s">
        <v>73</v>
      </c>
      <c r="T1">
        <v>182</v>
      </c>
    </row>
    <row r="2" spans="1:92" x14ac:dyDescent="0.25">
      <c r="C2" t="s">
        <v>1</v>
      </c>
      <c r="D2">
        <f>bounty</f>
        <v>0</v>
      </c>
      <c r="F2" t="s">
        <v>74</v>
      </c>
      <c r="G2">
        <v>0.1988</v>
      </c>
      <c r="I2" t="s">
        <v>75</v>
      </c>
      <c r="J2">
        <v>0.38219999999999998</v>
      </c>
      <c r="N2" t="s">
        <v>492</v>
      </c>
      <c r="O2">
        <v>0.45600000000000002</v>
      </c>
      <c r="S2" t="s">
        <v>76</v>
      </c>
      <c r="T2">
        <v>1272</v>
      </c>
    </row>
    <row r="3" spans="1:92" x14ac:dyDescent="0.25">
      <c r="C3" t="s">
        <v>77</v>
      </c>
      <c r="D3">
        <v>3000</v>
      </c>
      <c r="F3" t="s">
        <v>78</v>
      </c>
      <c r="G3">
        <v>0.35339999999999999</v>
      </c>
      <c r="I3" t="s">
        <v>493</v>
      </c>
      <c r="J3">
        <v>0.4486</v>
      </c>
      <c r="S3" t="s">
        <v>79</v>
      </c>
      <c r="T3">
        <v>40</v>
      </c>
    </row>
    <row r="4" spans="1:92" x14ac:dyDescent="0.25">
      <c r="F4" t="s">
        <v>80</v>
      </c>
      <c r="G4">
        <v>0.28710000000000002</v>
      </c>
      <c r="S4" t="s">
        <v>81</v>
      </c>
      <c r="T4">
        <v>548</v>
      </c>
    </row>
    <row r="6" spans="1:92" x14ac:dyDescent="0.25">
      <c r="C6" t="s">
        <v>82</v>
      </c>
      <c r="D6" t="s">
        <v>83</v>
      </c>
    </row>
    <row r="7" spans="1:92" x14ac:dyDescent="0.25">
      <c r="C7" t="s">
        <v>84</v>
      </c>
      <c r="D7" t="s">
        <v>494</v>
      </c>
    </row>
    <row r="8" spans="1:92" x14ac:dyDescent="0.25">
      <c r="C8" t="s">
        <v>86</v>
      </c>
      <c r="D8" t="s">
        <v>87</v>
      </c>
    </row>
    <row r="10" spans="1:92" ht="19.5" thickBot="1" x14ac:dyDescent="0.35">
      <c r="F10" s="84"/>
      <c r="G10" s="84"/>
      <c r="H10" s="84"/>
      <c r="I10" s="84"/>
      <c r="J10" s="84"/>
      <c r="K10" s="84"/>
      <c r="AH10" s="74"/>
      <c r="AJ10" t="s">
        <v>495</v>
      </c>
      <c r="AQ10" t="s">
        <v>496</v>
      </c>
      <c r="AX10" t="s">
        <v>497</v>
      </c>
      <c r="BE10" t="s">
        <v>498</v>
      </c>
      <c r="BX10" t="s">
        <v>499</v>
      </c>
    </row>
    <row r="11" spans="1:92" ht="20.25" thickTop="1" thickBot="1" x14ac:dyDescent="0.35">
      <c r="F11" s="84"/>
      <c r="G11" s="84"/>
      <c r="H11" s="84"/>
      <c r="I11" s="84"/>
      <c r="J11" s="84"/>
      <c r="K11" s="84"/>
      <c r="V11" t="s">
        <v>92</v>
      </c>
      <c r="AC11" t="s">
        <v>93</v>
      </c>
      <c r="AH11" s="96" t="s">
        <v>500</v>
      </c>
      <c r="AI11" s="97"/>
      <c r="AJ11" s="97"/>
      <c r="AK11" s="97"/>
      <c r="AL11" s="97"/>
      <c r="AM11" s="97"/>
      <c r="AN11" s="97"/>
      <c r="AO11" s="97"/>
      <c r="AP11" s="97"/>
      <c r="AQ11" s="97"/>
      <c r="AR11" s="97"/>
      <c r="AS11" s="97"/>
      <c r="AT11" s="97"/>
      <c r="AU11" s="97"/>
      <c r="AV11" s="97"/>
      <c r="AW11" s="97"/>
      <c r="AX11" s="97"/>
      <c r="AY11" s="97"/>
      <c r="AZ11" s="97"/>
      <c r="BA11" s="97"/>
      <c r="BB11" s="97"/>
      <c r="BC11" s="97"/>
      <c r="BD11" s="97"/>
      <c r="BE11" s="97"/>
      <c r="BF11" s="97"/>
      <c r="BG11" s="97"/>
      <c r="BR11" t="s">
        <v>501</v>
      </c>
      <c r="BW11" s="96" t="s">
        <v>500</v>
      </c>
      <c r="BX11" s="97"/>
      <c r="BY11" s="97"/>
      <c r="BZ11" s="97"/>
      <c r="CD11" t="s">
        <v>502</v>
      </c>
    </row>
    <row r="12" spans="1:92" ht="20.25" thickTop="1" thickBot="1" x14ac:dyDescent="0.35">
      <c r="F12" s="84"/>
      <c r="G12" s="84"/>
      <c r="H12" s="84"/>
      <c r="I12" s="84"/>
      <c r="J12" s="84"/>
      <c r="K12" s="84"/>
      <c r="T12" s="96" t="s">
        <v>94</v>
      </c>
      <c r="U12" s="97"/>
      <c r="V12" s="97"/>
      <c r="W12" s="97"/>
      <c r="X12" s="97"/>
      <c r="Y12" s="97"/>
      <c r="Z12" s="97"/>
      <c r="AA12" s="97"/>
      <c r="AB12" s="97"/>
      <c r="AC12" s="97"/>
      <c r="AD12" s="97"/>
      <c r="AE12" s="98"/>
      <c r="AH12" s="96" t="s">
        <v>503</v>
      </c>
      <c r="AI12" s="97"/>
      <c r="AJ12" s="97"/>
      <c r="AK12" s="97"/>
      <c r="AL12" s="97"/>
      <c r="AM12" s="97"/>
      <c r="AN12" s="97"/>
      <c r="AO12" s="97"/>
      <c r="AP12" s="97"/>
      <c r="AQ12" s="97"/>
      <c r="AR12" s="97"/>
      <c r="AS12" s="97"/>
      <c r="AT12" s="97"/>
      <c r="AU12" s="97"/>
      <c r="AV12" s="97"/>
      <c r="AW12" s="97"/>
      <c r="AX12" s="97"/>
      <c r="AY12" s="97"/>
      <c r="AZ12" s="97"/>
      <c r="BA12" s="97"/>
      <c r="BB12" s="97"/>
      <c r="BC12" s="97"/>
      <c r="BD12" s="97"/>
      <c r="BE12" s="97"/>
      <c r="BF12" s="97"/>
      <c r="BG12" s="97"/>
      <c r="BQ12" s="96" t="s">
        <v>94</v>
      </c>
      <c r="BR12" s="97"/>
      <c r="BS12" s="97"/>
      <c r="BT12" s="97"/>
      <c r="BW12" s="96" t="s">
        <v>94</v>
      </c>
      <c r="BX12" s="97"/>
      <c r="BY12" s="97"/>
      <c r="BZ12" s="97"/>
      <c r="CC12" s="96" t="s">
        <v>500</v>
      </c>
      <c r="CD12" s="97"/>
      <c r="CE12" s="97"/>
      <c r="CF12" s="97"/>
      <c r="CI12" s="96" t="s">
        <v>95</v>
      </c>
      <c r="CJ12" s="97"/>
      <c r="CK12" s="97"/>
      <c r="CL12" s="97"/>
    </row>
    <row r="13" spans="1:92" ht="20.25" thickTop="1" thickBot="1" x14ac:dyDescent="0.35">
      <c r="F13" s="84"/>
      <c r="G13" s="84"/>
      <c r="H13" s="84" t="s">
        <v>96</v>
      </c>
      <c r="I13" s="84"/>
      <c r="J13" s="84"/>
      <c r="K13" s="84"/>
      <c r="O13" t="s">
        <v>97</v>
      </c>
      <c r="T13" s="96" t="s">
        <v>504</v>
      </c>
      <c r="U13" s="97"/>
      <c r="V13" s="97"/>
      <c r="W13" s="97"/>
      <c r="X13" s="97"/>
      <c r="Y13" s="97"/>
      <c r="Z13" s="97"/>
      <c r="AA13" s="97"/>
      <c r="AB13" s="97"/>
      <c r="AC13" s="97"/>
      <c r="AD13" s="97"/>
      <c r="AE13" s="98"/>
      <c r="AH13" s="96"/>
      <c r="AI13" s="97"/>
      <c r="AJ13" s="97"/>
      <c r="AK13" s="97"/>
      <c r="AL13" s="97"/>
      <c r="AM13" s="97"/>
      <c r="AN13" s="97"/>
      <c r="AO13" s="97"/>
      <c r="AP13" s="97"/>
      <c r="AQ13" s="97"/>
      <c r="AR13" s="97"/>
      <c r="AS13" s="98"/>
      <c r="AV13" s="96" t="s">
        <v>505</v>
      </c>
      <c r="AW13" s="97"/>
      <c r="AX13" s="97"/>
      <c r="AY13" s="97"/>
      <c r="AZ13" s="97"/>
      <c r="BA13" s="97"/>
      <c r="BB13" s="97"/>
      <c r="BC13" s="97"/>
      <c r="BD13" s="97"/>
      <c r="BE13" s="97"/>
      <c r="BF13" s="97"/>
      <c r="BG13" s="98"/>
      <c r="BL13" t="s">
        <v>99</v>
      </c>
      <c r="BQ13" s="96" t="s">
        <v>504</v>
      </c>
      <c r="BR13" s="97"/>
      <c r="BS13" s="97"/>
      <c r="BT13" s="97"/>
      <c r="BW13" s="96" t="s">
        <v>504</v>
      </c>
      <c r="BX13" s="97"/>
      <c r="BY13" s="97"/>
      <c r="BZ13" s="97"/>
      <c r="CC13" s="96" t="s">
        <v>506</v>
      </c>
      <c r="CD13" s="97"/>
      <c r="CE13" s="97"/>
      <c r="CF13" s="97"/>
      <c r="CI13" s="96"/>
      <c r="CJ13" s="97"/>
      <c r="CK13" s="97"/>
      <c r="CL13" s="97"/>
    </row>
    <row r="14" spans="1:92" ht="19.5" thickTop="1" x14ac:dyDescent="0.3">
      <c r="F14" s="88" t="s">
        <v>100</v>
      </c>
      <c r="G14" s="89"/>
      <c r="H14" s="89"/>
      <c r="I14" s="89"/>
      <c r="J14" s="90"/>
      <c r="K14" s="84"/>
      <c r="M14" s="88" t="s">
        <v>101</v>
      </c>
      <c r="N14" s="89"/>
      <c r="O14" s="89"/>
      <c r="P14" s="89"/>
      <c r="Q14" s="90"/>
      <c r="R14" s="84"/>
      <c r="T14" s="99" t="s">
        <v>102</v>
      </c>
      <c r="U14" s="100"/>
      <c r="V14" s="100"/>
      <c r="W14" s="100"/>
      <c r="X14" s="101"/>
      <c r="Y14" s="84"/>
      <c r="AA14" s="99" t="s">
        <v>103</v>
      </c>
      <c r="AB14" s="100"/>
      <c r="AC14" s="100"/>
      <c r="AD14" s="100"/>
      <c r="AE14" s="101"/>
      <c r="AH14" s="99" t="s">
        <v>102</v>
      </c>
      <c r="AI14" s="100"/>
      <c r="AJ14" s="100"/>
      <c r="AK14" s="100"/>
      <c r="AL14" s="101"/>
      <c r="AO14" s="99" t="s">
        <v>103</v>
      </c>
      <c r="AP14" s="100"/>
      <c r="AQ14" s="100"/>
      <c r="AR14" s="100"/>
      <c r="AS14" s="101"/>
      <c r="AV14" s="99" t="s">
        <v>102</v>
      </c>
      <c r="AW14" s="100"/>
      <c r="AX14" s="100"/>
      <c r="AY14" s="100"/>
      <c r="AZ14" s="101"/>
      <c r="BC14" s="99" t="s">
        <v>103</v>
      </c>
      <c r="BD14" s="100"/>
      <c r="BE14" s="100"/>
      <c r="BF14" s="100"/>
      <c r="BG14" s="101"/>
      <c r="BJ14" s="85" t="s">
        <v>10</v>
      </c>
      <c r="BK14" s="86"/>
      <c r="BL14" s="86"/>
      <c r="BM14" s="86"/>
      <c r="BN14" s="87"/>
      <c r="BQ14" s="91" t="s">
        <v>104</v>
      </c>
      <c r="BR14" s="92"/>
      <c r="BS14" s="92"/>
      <c r="BT14" s="93"/>
      <c r="BW14" s="91" t="s">
        <v>104</v>
      </c>
      <c r="BX14" s="92"/>
      <c r="BY14" s="92"/>
      <c r="BZ14" s="93"/>
      <c r="CC14" s="91" t="s">
        <v>104</v>
      </c>
      <c r="CD14" s="92"/>
      <c r="CE14" s="92"/>
      <c r="CF14" s="93"/>
      <c r="CI14" s="91" t="s">
        <v>104</v>
      </c>
      <c r="CJ14" s="92"/>
      <c r="CK14" s="92"/>
      <c r="CL14" s="93"/>
    </row>
    <row r="15" spans="1:92" x14ac:dyDescent="0.25">
      <c r="A15" t="s">
        <v>105</v>
      </c>
      <c r="B15" t="s">
        <v>12</v>
      </c>
      <c r="C15" t="s">
        <v>13</v>
      </c>
      <c r="D15" t="s">
        <v>14</v>
      </c>
      <c r="F15" s="5" t="s">
        <v>107</v>
      </c>
      <c r="G15" t="s">
        <v>12</v>
      </c>
      <c r="H15" t="s">
        <v>108</v>
      </c>
      <c r="I15" t="s">
        <v>109</v>
      </c>
      <c r="J15" s="5" t="s">
        <v>1</v>
      </c>
      <c r="K15" s="5" t="s">
        <v>110</v>
      </c>
      <c r="M15" s="5" t="s">
        <v>107</v>
      </c>
      <c r="N15" s="5" t="s">
        <v>12</v>
      </c>
      <c r="O15" s="5" t="s">
        <v>108</v>
      </c>
      <c r="P15" s="5" t="s">
        <v>109</v>
      </c>
      <c r="Q15" s="5" t="s">
        <v>1</v>
      </c>
      <c r="R15" s="5" t="s">
        <v>110</v>
      </c>
      <c r="T15" s="5" t="s">
        <v>107</v>
      </c>
      <c r="U15" s="5" t="s">
        <v>12</v>
      </c>
      <c r="V15" s="5" t="s">
        <v>108</v>
      </c>
      <c r="W15" s="5" t="s">
        <v>109</v>
      </c>
      <c r="X15" s="5" t="s">
        <v>1</v>
      </c>
      <c r="Y15" s="5" t="s">
        <v>110</v>
      </c>
      <c r="AA15" s="5" t="s">
        <v>107</v>
      </c>
      <c r="AB15" s="5" t="s">
        <v>12</v>
      </c>
      <c r="AC15" s="5" t="s">
        <v>108</v>
      </c>
      <c r="AD15" s="5" t="s">
        <v>109</v>
      </c>
      <c r="AE15" s="5" t="s">
        <v>1</v>
      </c>
      <c r="AF15" t="s">
        <v>110</v>
      </c>
      <c r="AG15" t="s">
        <v>104</v>
      </c>
      <c r="AH15" s="5" t="s">
        <v>107</v>
      </c>
      <c r="AI15" s="5" t="s">
        <v>12</v>
      </c>
      <c r="AJ15" s="5" t="s">
        <v>108</v>
      </c>
      <c r="AK15" s="5" t="s">
        <v>109</v>
      </c>
      <c r="AL15" s="5" t="s">
        <v>1</v>
      </c>
      <c r="AM15" t="s">
        <v>110</v>
      </c>
      <c r="AO15" s="5" t="s">
        <v>107</v>
      </c>
      <c r="AP15" s="5" t="s">
        <v>12</v>
      </c>
      <c r="AQ15" s="5" t="s">
        <v>108</v>
      </c>
      <c r="AR15" s="5" t="s">
        <v>109</v>
      </c>
      <c r="AS15" s="5" t="s">
        <v>1</v>
      </c>
      <c r="AT15" t="s">
        <v>110</v>
      </c>
      <c r="AV15" s="5" t="s">
        <v>107</v>
      </c>
      <c r="AW15" s="5" t="s">
        <v>12</v>
      </c>
      <c r="AX15" s="5" t="s">
        <v>108</v>
      </c>
      <c r="AY15" s="5" t="s">
        <v>109</v>
      </c>
      <c r="AZ15" s="5" t="s">
        <v>1</v>
      </c>
      <c r="BA15" t="s">
        <v>110</v>
      </c>
      <c r="BC15" s="5" t="s">
        <v>107</v>
      </c>
      <c r="BD15" s="5" t="s">
        <v>12</v>
      </c>
      <c r="BE15" s="5" t="s">
        <v>108</v>
      </c>
      <c r="BF15" s="5" t="s">
        <v>109</v>
      </c>
      <c r="BG15" s="5" t="s">
        <v>1</v>
      </c>
      <c r="BH15" t="s">
        <v>110</v>
      </c>
      <c r="BJ15" s="5" t="s">
        <v>107</v>
      </c>
      <c r="BK15" s="5" t="s">
        <v>12</v>
      </c>
      <c r="BL15" s="5" t="s">
        <v>108</v>
      </c>
      <c r="BM15" s="5" t="s">
        <v>109</v>
      </c>
      <c r="BN15" s="5" t="s">
        <v>1</v>
      </c>
      <c r="BO15" t="s">
        <v>110</v>
      </c>
      <c r="BQ15" s="5" t="s">
        <v>109</v>
      </c>
      <c r="BR15" s="5" t="s">
        <v>1</v>
      </c>
      <c r="BS15" s="5" t="s">
        <v>104</v>
      </c>
      <c r="BT15" s="5" t="s">
        <v>111</v>
      </c>
      <c r="BW15" s="5" t="s">
        <v>109</v>
      </c>
      <c r="BX15" s="5" t="s">
        <v>1</v>
      </c>
      <c r="BY15" s="5" t="s">
        <v>104</v>
      </c>
      <c r="BZ15" s="5" t="s">
        <v>111</v>
      </c>
      <c r="CC15" s="5" t="s">
        <v>109</v>
      </c>
      <c r="CD15" s="5" t="s">
        <v>1</v>
      </c>
      <c r="CE15" s="5" t="s">
        <v>104</v>
      </c>
      <c r="CF15" s="5" t="s">
        <v>111</v>
      </c>
      <c r="CI15" s="5" t="s">
        <v>109</v>
      </c>
      <c r="CJ15" s="5" t="s">
        <v>1</v>
      </c>
      <c r="CK15" s="5" t="s">
        <v>104</v>
      </c>
      <c r="CL15" s="5" t="s">
        <v>111</v>
      </c>
      <c r="CM15" t="s">
        <v>112</v>
      </c>
      <c r="CN15" t="s">
        <v>113</v>
      </c>
    </row>
    <row r="16" spans="1:92" x14ac:dyDescent="0.25">
      <c r="A16" s="26"/>
      <c r="B16" s="26">
        <v>494</v>
      </c>
      <c r="C16" s="26"/>
      <c r="D16" s="26"/>
      <c r="F16" s="73">
        <f>COUNTIF(T_p1[stack],"&gt;0")</f>
        <v>3</v>
      </c>
      <c r="G16" s="26">
        <f>IF(T_init[[#This Row],[p]]=1,mainpot+sidepot1+sidepot2+uncalled,IF(T_init[[#This Row],[p]]&gt;1,0,T_init[[#This Row],[stack]]))</f>
        <v>494</v>
      </c>
      <c r="H16" s="26">
        <v>0.27529999999999999</v>
      </c>
      <c r="I16" s="27">
        <f>T_p1[[#This Row],[EQ]]*prize</f>
        <v>0</v>
      </c>
      <c r="J16" s="71">
        <f>IF(T_init[[#This Row],[p]]=1,T_p1[[#This Row],[players]]*T_p1[[#This Row],[stack]]/chips+COUNTIF(T_p1[stack],0),T_p1[[#This Row],[players]]*T_p1[[#This Row],[stack]]/chips)</f>
        <v>0.49399999999999999</v>
      </c>
      <c r="K16" s="71">
        <f>T_p1[[#This Row],[ICM]]+bounty*T_p1[[#This Row],[KO]]</f>
        <v>0</v>
      </c>
      <c r="M16" s="29">
        <f>COUNTIF(T_p2[stack],"&gt;0")</f>
        <v>4</v>
      </c>
      <c r="N16" s="26">
        <f>IF(T_init[[#This Row],[p]]=1,uncalled,IF(T_init[[#This Row],[p]]=2,mainpot+sidepot1+sidepot2,IF(T_init[[#This Row],[p]]&gt;2,0,T_init[[#This Row],[stack]])))</f>
        <v>494</v>
      </c>
      <c r="O16" s="26">
        <v>0.19750000000000001</v>
      </c>
      <c r="P16" s="27">
        <f>T_p2[[#This Row],[EQ]]*prize</f>
        <v>0</v>
      </c>
      <c r="Q16" s="71">
        <f>IF(T_init[[#This Row],[p]]=2,T_p2[[#This Row],[players]]*T_p2[[#This Row],[stack]]/chips+COUNTIF(T_p2[stack],0),T_p2[[#This Row],[players]]*T_p2[[#This Row],[stack]]/chips)</f>
        <v>0.65866666666666662</v>
      </c>
      <c r="R16" s="71">
        <f>T_p2[[#This Row],[ICM]]+bounty*T_p2[[#This Row],[KO]]</f>
        <v>0</v>
      </c>
      <c r="T16" s="73">
        <f>COUNTIF(T_p3p1[stack],"&gt;0")</f>
        <v>4</v>
      </c>
      <c r="U16" s="26">
        <f>IF(T_init[[#This Row],[p]]=1,sidepot2+uncalled,IF(T_init[[#This Row],[p]]=3,mainpot+sidepot1,IF(ISBLANK(T_init[[#This Row],[p]]),T_init[[#This Row],[stack]],0)))</f>
        <v>494</v>
      </c>
      <c r="V16" s="26">
        <v>0.19489999999999999</v>
      </c>
      <c r="W16" s="27">
        <f>T_p3p1[[#This Row],[EQ]]*prize</f>
        <v>0</v>
      </c>
      <c r="X16" s="71">
        <f>IF(OR(T_init[[#This Row],[p]]=1, T_init[[#This Row],[p]]=3),T_p3p1[[#This Row],[players]]*T_p3p1[[#This Row],[stack]]/chips+1,T_p3p1[[#This Row],[players]]*T_p3p1[[#This Row],[stack]]/chips)</f>
        <v>0.65866666666666662</v>
      </c>
      <c r="Y16" s="71">
        <f>T_p3p1[[#This Row],[ICM]]+bounty*T_p3p1[[#This Row],[KO]]</f>
        <v>0</v>
      </c>
      <c r="AA16" s="73">
        <f>COUNTIF(T_p3p2[stack],"&gt;0")</f>
        <v>5</v>
      </c>
      <c r="AB16" s="26">
        <f>IF(T_init[[#This Row],[p]]=1,uncalled,IF(T_init[[#This Row],[p]]=2,sidepot2,IF(T_init[[#This Row],[p]]=3,mainpot+sidepot1,IF(ISBLANK(T_init[[#This Row],[p]]),T_init[[#This Row],[stack]],0))))</f>
        <v>494</v>
      </c>
      <c r="AC16" s="26">
        <v>0.1943</v>
      </c>
      <c r="AD16" s="27">
        <f>T_p3p2[[#This Row],[EQ]]*prize</f>
        <v>0</v>
      </c>
      <c r="AE16" s="71">
        <f>IF(T_init[[#This Row],[p]]=3,T_p3p2[[#This Row],[players]]*T_p3p2[[#This Row],[stack]]/chips+1,T_p3p2[[#This Row],[players]]*T_p3p2[[#This Row],[stack]]/chips)</f>
        <v>0.82333333333333336</v>
      </c>
      <c r="AF16" s="71">
        <f>T_p3p2[[#This Row],[ICM]]+bounty*T_p3p2[[#This Row],[KO]]</f>
        <v>0</v>
      </c>
      <c r="AH16" s="73">
        <f>COUNTIF(T_p4p1[stack],"&gt;0")</f>
        <v>4</v>
      </c>
      <c r="AI16" s="26">
        <f>IF(T_init[[#This Row],[p]]=4,mainpot,IF(T_init[[#This Row],[p]]=1,sidepot1+sidepot2+uncalled,IF(ISBLANK(T_init[[#This Row],[p]]),T_init[[#This Row],[stack]],0)))</f>
        <v>494</v>
      </c>
      <c r="AJ16" s="26">
        <v>0.23699999999999999</v>
      </c>
      <c r="AK16" s="27">
        <f>T_p4p1[[#This Row],[EQ]]*prize</f>
        <v>0</v>
      </c>
      <c r="AL16" s="71">
        <f>IF(T_init[[#This Row],[p]]=1,T_p4p1[[#This Row],[players]]*T_p4p1[[#This Row],[stack]]/chips+2,T_p4p1[[#This Row],[players]]*T_p4p1[[#This Row],[stack]]/chips)</f>
        <v>0.65866666666666662</v>
      </c>
      <c r="AM16" s="71">
        <f>T_p4p1[[#This Row],[ICM]]+bounty*T_p4p1[[#This Row],[KO]]</f>
        <v>0</v>
      </c>
      <c r="AO16" s="73">
        <f>COUNTIF(T_p4p2[stack],"&gt;0")</f>
        <v>5</v>
      </c>
      <c r="AP16" s="26">
        <f>IF(T_init[[#This Row],[p]]=1,uncalled,IF(T_init[[#This Row],[p]]=2,sidepot1+sidepot2,IF(T_init[[#This Row],[p]]=4,mainpot,IF(ISBLANK(T_init[[#This Row],[p]]),T_init[[#This Row],[stack]],0))))</f>
        <v>494</v>
      </c>
      <c r="AQ16" s="26">
        <v>0.18509999999999999</v>
      </c>
      <c r="AR16" s="27">
        <f>T_p4p2[[#This Row],[EQ]]*prize</f>
        <v>0</v>
      </c>
      <c r="AS16" s="71">
        <f>IF(T_init[[#This Row],[p]]=2,T_p4p2[[#This Row],[players]]*T_p4p2[[#This Row],[stack]]/chips+1,T_p4p2[[#This Row],[players]]*T_p4p2[[#This Row],[stack]]/chips)</f>
        <v>0.82333333333333336</v>
      </c>
      <c r="AT16" s="71">
        <f>T_p4p2[[#This Row],[ICM]]+bounty*T_p4p2[[#This Row],[KO]]</f>
        <v>0</v>
      </c>
      <c r="AV16" s="73">
        <f>COUNTIF(T_p4p3p1[stack],"&gt;0")</f>
        <v>5</v>
      </c>
      <c r="AW16" s="26">
        <f>IF(T_init[[#This Row],[p]]=1,uncalled+sidepot2,IF(T_init[[#This Row],[p]]=3,sidepot1,IF(T_init[[#This Row],[p]]=4,mainpot,IF(ISBLANK(T_init[[#This Row],[p]]),T_init[[#This Row],[stack]],0))))</f>
        <v>494</v>
      </c>
      <c r="AX16" s="26">
        <v>0.18340000000000001</v>
      </c>
      <c r="AY16" s="27">
        <f>T_p4p3p1[[#This Row],[EQ]]*prize</f>
        <v>0</v>
      </c>
      <c r="AZ16" s="71">
        <f>IF(T_init[[#This Row],[p]]=1,T_p4p3p1[[#This Row],[players]]*T_p4p3p1[[#This Row],[stack]]/chips+1,T_p4p3p1[[#This Row],[players]]*T_p4p3p1[[#This Row],[stack]]/chips)</f>
        <v>0.82333333333333336</v>
      </c>
      <c r="BA16" s="71">
        <f>T_p4p3p1[[#This Row],[ICM]]+bounty*T_p4p3p1[[#This Row],[KO]]</f>
        <v>0</v>
      </c>
      <c r="BC16" s="73">
        <f>COUNTIF(T_p4p3p2[stack],"&gt;0")</f>
        <v>6</v>
      </c>
      <c r="BD16" s="26">
        <f>IF(T_init[[#This Row],[p]]=1,uncalled,IF(T_init[[#This Row],[p]]=2,sidepot2,IF(T_init[[#This Row],[p]]=3,sidepot1,IF(T_init[[#This Row],[p]]=4,mainpot,IF(ISBLANK(T_init[[#This Row],[p]]),T_init[[#This Row],[stack]],0)))))</f>
        <v>494</v>
      </c>
      <c r="BE16" s="26">
        <v>0.18279999999999999</v>
      </c>
      <c r="BF16" s="27">
        <f>T_p4p3p2[[#This Row],[EQ]]*prize</f>
        <v>0</v>
      </c>
      <c r="BG16" s="71">
        <f>T_p4p3p2[[#This Row],[players]]*T_p4p3p2[[#This Row],[stack]]/chips</f>
        <v>0.98799999999999999</v>
      </c>
      <c r="BH16" s="71">
        <f>T_p4p3p2[[#This Row],[ICM]]+bounty*T_p4p3p2[[#This Row],[KO]]</f>
        <v>0</v>
      </c>
      <c r="BJ16" s="73">
        <f>COUNTIF(T_fact[stack],"&gt;0")</f>
        <v>4</v>
      </c>
      <c r="BK16" s="26">
        <f>IF(T_init[[#This Row],[p]]=1,sidepot2+uncalled,IF(T_init[[#This Row],[p]]=3,mainpot+sidepot1,IF(ISBLANK(T_init[[#This Row],[p]]),T_init[[#This Row],[stack]],0)))</f>
        <v>494</v>
      </c>
      <c r="BL16" s="26">
        <v>0.19489999999999999</v>
      </c>
      <c r="BM16" s="27">
        <f>T_fact[[#This Row],[EQ]]*prize</f>
        <v>0</v>
      </c>
      <c r="BN16" s="71">
        <f>IF(OR(T_init[[#This Row],[p]]=1, T_init[[#This Row],[p]]=3),T_fact[[#This Row],[players]]*T_fact[[#This Row],[stack]]/chips+1,T_fact[[#This Row],[players]]*T_fact[[#This Row],[stack]]/chips)</f>
        <v>0.65866666666666662</v>
      </c>
      <c r="BO16" s="71">
        <f>T_fact[[#This Row],[ICM]]+bounty*T_fact[[#This Row],[KO]]</f>
        <v>0</v>
      </c>
      <c r="BQ16" s="72">
        <f>p1sp2win*T_p3p1[[#This Row],[ICM]]+p2sp2win*T_p3p2[[#This Row],[ICM]]</f>
        <v>0</v>
      </c>
      <c r="BR16" s="33">
        <f>bounty*(p1sp2win*T_p3p1[[#This Row],[KO]]+p2sp2win*T_p3p2[[#This Row],[KO]])</f>
        <v>0</v>
      </c>
      <c r="BS16" s="72">
        <f>T_EV_p3sp2[[#This Row],[ICM]]+T_EV_p3sp2[[#This Row],[KO]]</f>
        <v>0</v>
      </c>
      <c r="BT16" s="33">
        <f>p1sp2win*T_p3p1[[#This Row],[stack]]+p2sp2win*T_p3p2[[#This Row],[stack]]</f>
        <v>494.00000000000006</v>
      </c>
      <c r="BW16" s="72">
        <f>p1sp2win*T_p4p3p1[[#This Row],[ICM]]+p2sp2win*T_p4p3p2[[#This Row],[ICM]]</f>
        <v>0</v>
      </c>
      <c r="BX16" s="33">
        <f>bounty*(p1sp2win*T_p4p3p1[[#This Row],[KO]]+p2sp2win*T_p4p3p2[[#This Row],[KO]])</f>
        <v>0</v>
      </c>
      <c r="BY16" s="72">
        <f>T_EV_p4p3sp2[[#This Row],[ICM]]+T_EV_p4p3sp2[[#This Row],[KO]]</f>
        <v>0</v>
      </c>
      <c r="BZ16" s="33">
        <f>p1sp2win*T_p4p3p1[[#This Row],[stack]]+p2sp2win*T_p4p3p2[[#This Row],[stack]]</f>
        <v>494.00000000000006</v>
      </c>
      <c r="CC16" s="72">
        <f>p1sp1win*T_p4p1[[#This Row],[ICM]]+p2sp1win*T_p4p2[[#This Row],[ICM]]+p3sp1win*T_EV_p4p3sp2[[#This Row],[ICM]]</f>
        <v>0</v>
      </c>
      <c r="CD16" s="33">
        <f>bounty*(p1sp1win*T_p4p1[[#This Row],[KO]]+p2sp1win*T_p4p2[[#This Row],[KO]])+p3sp1win*T_EV_p4p3sp2[[#This Row],[KO]]</f>
        <v>0</v>
      </c>
      <c r="CE16" s="72">
        <f>T_EV_p4sp1[[#This Row],[ICM]]+T_EV_p4sp1[[#This Row],[KO]]</f>
        <v>0</v>
      </c>
      <c r="CF16" s="33">
        <f>p1sp1win*T_p4p1[[#This Row],[stack]]+p2sp1win*T_p4p2[[#This Row],[stack]]+p3sp1win*T_EV_p4p3sp2[[#This Row],[chipEV]]</f>
        <v>494</v>
      </c>
      <c r="CI16" s="72">
        <f>p4win*(T_EV_p4sp1[[#This Row],[ICM]])+'4way'!p3win*T_EV_p3sp2[[#This Row],[ICM]]+'4way'!p2win*T_p2[[#This Row],[ICM]]+'4way'!p1win*T_p1[[#This Row],[ICM]]</f>
        <v>0</v>
      </c>
      <c r="CJ16" s="33">
        <f>p4win*(T_EV_p4sp1[[#This Row],[KO]])+'4way'!p3win*T_EV_p3sp2[[#This Row],[KO]]+bounty*('4way'!p2win*T_p2[[#This Row],[KO]]+'4way'!p1win*T_p1[[#This Row],[KO]])</f>
        <v>0</v>
      </c>
      <c r="CK16" s="72">
        <f>T_EV[[#This Row],[ICM]]+T_EV[[#This Row],[KO]]</f>
        <v>0</v>
      </c>
      <c r="CL16" s="33">
        <f>'4way'!p1win*T_p1[[#This Row],[stack]]+
'4way'!p2win*T_p2[[#This Row],[stack]]+
'4way'!p3win*(p1sp2win*T_p3p1[[#This Row],[stack]]+p2sp2win*T_p3p2[[#This Row],[stack]])+
p4win*(p1sp1win*T_p4p1[[#This Row],[stack]]+p2sp1win*T_p4p2[[#This Row],[stack]]+p3sp1win*(p1sp2win*T_p4p3p1[[#This Row],[stack]]+p2sp2win*T_p4p3p2[[#This Row],[stack]]))</f>
        <v>494.00000000000006</v>
      </c>
      <c r="CM16" s="2">
        <f>T_EV[[#This Row],[chipEV]]-T_fact[[#This Row],[stack]]</f>
        <v>0</v>
      </c>
      <c r="CN16" s="2">
        <f>T_EV[[#This Row],[EV]]-(T_fact[[#This Row],[ICM]]+bounty*T_fact[[#This Row],[KO]])</f>
        <v>0</v>
      </c>
    </row>
    <row r="17" spans="1:94" x14ac:dyDescent="0.25">
      <c r="A17">
        <v>4</v>
      </c>
      <c r="B17">
        <v>40</v>
      </c>
      <c r="C17" t="s">
        <v>507</v>
      </c>
      <c r="D17">
        <v>0.28699999999999998</v>
      </c>
      <c r="F17" s="5">
        <f>COUNTIF(T_p1[stack],"&gt;0")</f>
        <v>3</v>
      </c>
      <c r="G17">
        <f>IF(T_init[[#This Row],[p]]=1,mainpot+sidepot1+sidepot2+uncalled,IF(T_init[[#This Row],[p]]&gt;1,0,T_init[[#This Row],[stack]]))</f>
        <v>0</v>
      </c>
      <c r="I17" s="2">
        <f>T_p1[[#This Row],[EQ]]*prize</f>
        <v>0</v>
      </c>
      <c r="J17" s="66">
        <f>IF(T_init[[#This Row],[p]]=1,T_p1[[#This Row],[players]]*T_p1[[#This Row],[stack]]/chips+COUNTIF(T_p1[stack],0),T_p1[[#This Row],[players]]*T_p1[[#This Row],[stack]]/chips)</f>
        <v>0</v>
      </c>
      <c r="K17" s="66">
        <f>T_p1[[#This Row],[ICM]]+bounty*T_p1[[#This Row],[KO]]</f>
        <v>0</v>
      </c>
      <c r="M17" s="10">
        <f>COUNTIF(T_p2[stack],"&gt;0")</f>
        <v>4</v>
      </c>
      <c r="N17">
        <f>IF(T_init[[#This Row],[p]]=1,uncalled,IF(T_init[[#This Row],[p]]=2,mainpot+sidepot1+sidepot2,IF(T_init[[#This Row],[p]]&gt;2,0,T_init[[#This Row],[stack]])))</f>
        <v>0</v>
      </c>
      <c r="P17" s="2">
        <f>T_p2[[#This Row],[EQ]]*prize</f>
        <v>0</v>
      </c>
      <c r="Q17" s="66">
        <f>IF(T_init[[#This Row],[p]]=2,T_p2[[#This Row],[players]]*T_p2[[#This Row],[stack]]/chips+COUNTIF(T_p2[stack],0),T_p2[[#This Row],[players]]*T_p2[[#This Row],[stack]]/chips)</f>
        <v>0</v>
      </c>
      <c r="R17" s="66">
        <f>T_p2[[#This Row],[ICM]]+bounty*T_p2[[#This Row],[KO]]</f>
        <v>0</v>
      </c>
      <c r="T17" s="5">
        <f>COUNTIF(T_p3p1[stack],"&gt;0")</f>
        <v>4</v>
      </c>
      <c r="U17" s="26">
        <f>IF(T_init[[#This Row],[p]]=1,sidepot2+uncalled,IF(T_init[[#This Row],[p]]=3,mainpot+sidepot1,IF(ISBLANK(T_init[[#This Row],[p]]),T_init[[#This Row],[stack]],0)))</f>
        <v>0</v>
      </c>
      <c r="V17">
        <v>0</v>
      </c>
      <c r="W17" s="2">
        <f>T_p3p1[[#This Row],[EQ]]*prize</f>
        <v>0</v>
      </c>
      <c r="X17" s="66">
        <f>IF(OR(T_init[[#This Row],[p]]=1, T_init[[#This Row],[p]]=3),T_p3p1[[#This Row],[players]]*T_p3p1[[#This Row],[stack]]/chips+1,T_p3p1[[#This Row],[players]]*T_p3p1[[#This Row],[stack]]/chips)</f>
        <v>0</v>
      </c>
      <c r="Y17" s="66">
        <f>T_p3p1[[#This Row],[ICM]]+bounty*T_p3p1[[#This Row],[KO]]</f>
        <v>0</v>
      </c>
      <c r="AA17" s="5">
        <f>COUNTIF(T_p3p2[stack],"&gt;0")</f>
        <v>5</v>
      </c>
      <c r="AB17">
        <f>IF(T_init[[#This Row],[p]]=1,uncalled,IF(T_init[[#This Row],[p]]=2,sidepot2,IF(T_init[[#This Row],[p]]=3,mainpot+sidepot1,IF(ISBLANK(T_init[[#This Row],[p]]),T_init[[#This Row],[stack]],0))))</f>
        <v>0</v>
      </c>
      <c r="AC17">
        <v>0</v>
      </c>
      <c r="AD17" s="2">
        <f>T_p3p2[[#This Row],[EQ]]*prize</f>
        <v>0</v>
      </c>
      <c r="AE17" s="66">
        <f>IF(T_init[[#This Row],[p]]=3,T_p3p2[[#This Row],[players]]*T_p3p2[[#This Row],[stack]]/chips+1,T_p3p2[[#This Row],[players]]*T_p3p2[[#This Row],[stack]]/chips)</f>
        <v>0</v>
      </c>
      <c r="AF17" s="16">
        <f>T_p3p2[[#This Row],[ICM]]+bounty*T_p3p2[[#This Row],[KO]]</f>
        <v>0</v>
      </c>
      <c r="AH17" s="5">
        <f>COUNTIF(T_p4p1[stack],"&gt;0")</f>
        <v>4</v>
      </c>
      <c r="AI17">
        <f>IF(T_init[[#This Row],[p]]=4,mainpot,IF(T_init[[#This Row],[p]]=1,sidepot1+sidepot2+uncalled,IF(ISBLANK(T_init[[#This Row],[p]]),T_init[[#This Row],[stack]],0)))</f>
        <v>182</v>
      </c>
      <c r="AJ17">
        <v>9.1399999999999995E-2</v>
      </c>
      <c r="AK17" s="2">
        <f>T_p4p1[[#This Row],[EQ]]*prize</f>
        <v>0</v>
      </c>
      <c r="AL17" s="66">
        <f>IF(T_init[[#This Row],[p]]=1,T_p4p1[[#This Row],[players]]*T_p4p1[[#This Row],[stack]]/chips+2,T_p4p1[[#This Row],[players]]*T_p4p1[[#This Row],[stack]]/chips)</f>
        <v>0.24266666666666667</v>
      </c>
      <c r="AM17" s="16">
        <f>T_p4p1[[#This Row],[ICM]]+bounty*T_p4p1[[#This Row],[KO]]</f>
        <v>0</v>
      </c>
      <c r="AO17" s="5">
        <f>COUNTIF(T_p4p2[stack],"&gt;0")</f>
        <v>5</v>
      </c>
      <c r="AP17">
        <f>IF(T_init[[#This Row],[p]]=1,uncalled,IF(T_init[[#This Row],[p]]=2,sidepot1+sidepot2,IF(T_init[[#This Row],[p]]=4,mainpot,IF(ISBLANK(T_init[[#This Row],[p]]),T_init[[#This Row],[stack]],0))))</f>
        <v>182</v>
      </c>
      <c r="AQ17">
        <v>7.22E-2</v>
      </c>
      <c r="AR17" s="2">
        <f>T_p4p2[[#This Row],[EQ]]*prize</f>
        <v>0</v>
      </c>
      <c r="AS17" s="66">
        <f>IF(T_init[[#This Row],[p]]=2,T_p4p2[[#This Row],[players]]*T_p4p2[[#This Row],[stack]]/chips+1,T_p4p2[[#This Row],[players]]*T_p4p2[[#This Row],[stack]]/chips)</f>
        <v>0.30333333333333334</v>
      </c>
      <c r="AT17" s="16">
        <f>T_p4p2[[#This Row],[ICM]]+bounty*T_p4p2[[#This Row],[KO]]</f>
        <v>0</v>
      </c>
      <c r="AV17" s="5">
        <f>COUNTIF(T_p4p3p1[stack],"&gt;0")</f>
        <v>5</v>
      </c>
      <c r="AW17">
        <f>IF(T_init[[#This Row],[p]]=1,uncalled+sidepot2,IF(T_init[[#This Row],[p]]=3,sidepot1,IF(T_init[[#This Row],[p]]=4,mainpot,IF(ISBLANK(T_init[[#This Row],[p]]),T_init[[#This Row],[stack]],0))))</f>
        <v>182</v>
      </c>
      <c r="AX17">
        <v>7.1599999999999997E-2</v>
      </c>
      <c r="AY17" s="2">
        <f>T_p4p3p1[[#This Row],[EQ]]*prize</f>
        <v>0</v>
      </c>
      <c r="AZ17" s="66">
        <f>IF(T_init[[#This Row],[p]]=1,T_p4p3p1[[#This Row],[players]]*T_p4p3p1[[#This Row],[stack]]/chips+1,T_p4p3p1[[#This Row],[players]]*T_p4p3p1[[#This Row],[stack]]/chips)</f>
        <v>0.30333333333333334</v>
      </c>
      <c r="BA17" s="16">
        <f>T_p4p3p1[[#This Row],[ICM]]+bounty*T_p4p3p1[[#This Row],[KO]]</f>
        <v>0</v>
      </c>
      <c r="BC17" s="5">
        <f>COUNTIF(T_p4p3p2[stack],"&gt;0")</f>
        <v>6</v>
      </c>
      <c r="BD17">
        <f>IF(T_init[[#This Row],[p]]=1,uncalled,IF(T_init[[#This Row],[p]]=2,sidepot2,IF(T_init[[#This Row],[p]]=3,sidepot1,IF(T_init[[#This Row],[p]]=4,mainpot,IF(ISBLANK(T_init[[#This Row],[p]]),T_init[[#This Row],[stack]],0)))))</f>
        <v>182</v>
      </c>
      <c r="BE17">
        <v>7.1400000000000005E-2</v>
      </c>
      <c r="BF17" s="2">
        <f>T_p4p3p2[[#This Row],[EQ]]*prize</f>
        <v>0</v>
      </c>
      <c r="BG17" s="66">
        <f>T_p4p3p2[[#This Row],[players]]*T_p4p3p2[[#This Row],[stack]]/chips</f>
        <v>0.36399999999999999</v>
      </c>
      <c r="BH17" s="16">
        <f>T_p4p3p2[[#This Row],[ICM]]+bounty*T_p4p3p2[[#This Row],[KO]]</f>
        <v>0</v>
      </c>
      <c r="BJ17" s="73">
        <f>COUNTIF(T_fact[stack],"&gt;0")</f>
        <v>4</v>
      </c>
      <c r="BK17" s="26">
        <f>IF(T_init[[#This Row],[p]]=1,sidepot2+uncalled,IF(T_init[[#This Row],[p]]=3,mainpot+sidepot1,IF(ISBLANK(T_init[[#This Row],[p]]),T_init[[#This Row],[stack]],0)))</f>
        <v>0</v>
      </c>
      <c r="BL17">
        <v>0</v>
      </c>
      <c r="BM17" s="2">
        <f>T_fact[[#This Row],[EQ]]*prize</f>
        <v>0</v>
      </c>
      <c r="BN17" s="66">
        <f>IF(OR(T_init[[#This Row],[p]]=1, T_init[[#This Row],[p]]=3),T_fact[[#This Row],[players]]*T_fact[[#This Row],[stack]]/chips+1,T_fact[[#This Row],[players]]*T_fact[[#This Row],[stack]]/chips)</f>
        <v>0</v>
      </c>
      <c r="BO17" s="16">
        <f>T_fact[[#This Row],[ICM]]+bounty*T_fact[[#This Row],[KO]]</f>
        <v>0</v>
      </c>
      <c r="BQ17" s="68">
        <f>p1sp2win*T_p3p1[[#This Row],[ICM]]+p2sp2win*T_p3p2[[#This Row],[ICM]]</f>
        <v>0</v>
      </c>
      <c r="BR17" s="68">
        <f>bounty*(p1sp2win*T_p3p1[[#This Row],[KO]]+p2sp2win*T_p3p2[[#This Row],[KO]])</f>
        <v>0</v>
      </c>
      <c r="BS17" s="68">
        <f>T_EV_p3sp2[[#This Row],[ICM]]+T_EV_p3sp2[[#This Row],[KO]]</f>
        <v>0</v>
      </c>
      <c r="BT17" s="68">
        <f>p1sp2win*T_p3p1[[#This Row],[stack]]+p2sp2win*T_p3p2[[#This Row],[stack]]</f>
        <v>0</v>
      </c>
      <c r="BW17" s="68">
        <f>p1sp2win*T_p4p3p1[[#This Row],[ICM]]+p2sp2win*T_p4p3p2[[#This Row],[ICM]]</f>
        <v>0</v>
      </c>
      <c r="BX17" s="68">
        <f>bounty*(p1sp2win*T_p4p3p1[[#This Row],[KO]]+p2sp2win*T_p4p3p2[[#This Row],[KO]])</f>
        <v>0</v>
      </c>
      <c r="BY17" s="68">
        <f>T_EV_p4p3sp2[[#This Row],[ICM]]+T_EV_p4p3sp2[[#This Row],[KO]]</f>
        <v>0</v>
      </c>
      <c r="BZ17" s="68">
        <f>p1sp2win*T_p4p3p1[[#This Row],[stack]]+p2sp2win*T_p4p3p2[[#This Row],[stack]]</f>
        <v>182</v>
      </c>
      <c r="CC17" s="68">
        <f>p1sp1win*T_p4p1[[#This Row],[ICM]]+p2sp1win*T_p4p2[[#This Row],[ICM]]+p3sp1win*T_EV_p4p3sp2[[#This Row],[ICM]]</f>
        <v>0</v>
      </c>
      <c r="CD17" s="68">
        <f>bounty*(p1sp1win*T_p4p1[[#This Row],[KO]]+p2sp1win*T_p4p2[[#This Row],[KO]])+p3sp1win*T_EV_p4p3sp2[[#This Row],[KO]]</f>
        <v>0</v>
      </c>
      <c r="CE17" s="68">
        <f>T_EV_p4sp1[[#This Row],[ICM]]+T_EV_p4sp1[[#This Row],[KO]]</f>
        <v>0</v>
      </c>
      <c r="CF17" s="68">
        <f>p1sp1win*T_p4p1[[#This Row],[stack]]+p2sp1win*T_p4p2[[#This Row],[stack]]+p3sp1win*T_EV_p4p3sp2[[#This Row],[chipEV]]</f>
        <v>182</v>
      </c>
      <c r="CI17" s="68">
        <f>p4win*(T_EV_p4sp1[[#This Row],[ICM]])+'4way'!p3win*T_EV_p3sp2[[#This Row],[ICM]]+'4way'!p2win*T_p2[[#This Row],[ICM]]+'4way'!p1win*T_p1[[#This Row],[ICM]]</f>
        <v>0</v>
      </c>
      <c r="CJ17" s="68">
        <f>p4win*(T_EV_p4sp1[[#This Row],[KO]])+'4way'!p3win*T_EV_p3sp2[[#This Row],[KO]]+bounty*('4way'!p2win*T_p2[[#This Row],[KO]]+'4way'!p1win*T_p1[[#This Row],[KO]])</f>
        <v>0</v>
      </c>
      <c r="CK17" s="68">
        <f>T_EV[[#This Row],[ICM]]+T_EV[[#This Row],[KO]]</f>
        <v>0</v>
      </c>
      <c r="CL17" s="68">
        <f>'4way'!p1win*T_p1[[#This Row],[stack]]+
'4way'!p2win*T_p2[[#This Row],[stack]]+
'4way'!p3win*(p1sp2win*T_p3p1[[#This Row],[stack]]+p2sp2win*T_p3p2[[#This Row],[stack]])+
p4win*(p1sp1win*T_p4p1[[#This Row],[stack]]+p2sp1win*T_p4p2[[#This Row],[stack]]+p3sp1win*(p1sp2win*T_p4p3p1[[#This Row],[stack]]+p2sp2win*T_p4p3p2[[#This Row],[stack]]))</f>
        <v>52.252200000000002</v>
      </c>
      <c r="CM17" s="2">
        <f>T_EV[[#This Row],[chipEV]]-T_fact[[#This Row],[stack]]</f>
        <v>52.252200000000002</v>
      </c>
      <c r="CN17" s="2">
        <f>T_EV[[#This Row],[EV]]-(T_fact[[#This Row],[ICM]]+bounty*T_fact[[#This Row],[KO]])</f>
        <v>0</v>
      </c>
    </row>
    <row r="18" spans="1:94" x14ac:dyDescent="0.25">
      <c r="A18">
        <v>2</v>
      </c>
      <c r="B18">
        <v>484</v>
      </c>
      <c r="C18" t="s">
        <v>508</v>
      </c>
      <c r="D18">
        <v>0.19850000000000001</v>
      </c>
      <c r="F18" s="5">
        <f>COUNTIF(T_p1[stack],"&gt;0")</f>
        <v>3</v>
      </c>
      <c r="G18">
        <f>IF(T_init[[#This Row],[p]]=1,mainpot+sidepot1+sidepot2+uncalled,IF(T_init[[#This Row],[p]]&gt;1,0,T_init[[#This Row],[stack]]))</f>
        <v>0</v>
      </c>
      <c r="I18" s="2">
        <f>T_p1[[#This Row],[EQ]]*prize</f>
        <v>0</v>
      </c>
      <c r="J18" s="66">
        <f>IF(T_init[[#This Row],[p]]=1,T_p1[[#This Row],[players]]*T_p1[[#This Row],[stack]]/chips+COUNTIF(T_p1[stack],0),T_p1[[#This Row],[players]]*T_p1[[#This Row],[stack]]/chips)</f>
        <v>0</v>
      </c>
      <c r="K18" s="66">
        <f>T_p1[[#This Row],[ICM]]+bounty*T_p1[[#This Row],[KO]]</f>
        <v>0</v>
      </c>
      <c r="M18" s="10">
        <f>COUNTIF(T_p2[stack],"&gt;0")</f>
        <v>4</v>
      </c>
      <c r="N18">
        <f>IF(T_init[[#This Row],[p]]=1,uncalled,IF(T_init[[#This Row],[p]]=2,mainpot+sidepot1+sidepot2,IF(T_init[[#This Row],[p]]&gt;2,0,T_init[[#This Row],[stack]])))</f>
        <v>1494</v>
      </c>
      <c r="O18">
        <v>0.39929999999999999</v>
      </c>
      <c r="P18" s="2">
        <f>T_p2[[#This Row],[EQ]]*prize</f>
        <v>0</v>
      </c>
      <c r="Q18" s="66">
        <f>IF(T_init[[#This Row],[p]]=2,T_p2[[#This Row],[players]]*T_p2[[#This Row],[stack]]/chips+COUNTIF(T_p2[stack],0),T_p2[[#This Row],[players]]*T_p2[[#This Row],[stack]]/chips)</f>
        <v>3.992</v>
      </c>
      <c r="R18" s="66">
        <f>T_p2[[#This Row],[ICM]]+bounty*T_p2[[#This Row],[KO]]</f>
        <v>0</v>
      </c>
      <c r="T18" s="5">
        <f>COUNTIF(T_p3p1[stack],"&gt;0")</f>
        <v>4</v>
      </c>
      <c r="U18" s="26">
        <f>IF(T_init[[#This Row],[p]]=1,sidepot2+uncalled,IF(T_init[[#This Row],[p]]=3,mainpot+sidepot1,IF(ISBLANK(T_init[[#This Row],[p]]),T_init[[#This Row],[stack]],0)))</f>
        <v>0</v>
      </c>
      <c r="V18">
        <v>0</v>
      </c>
      <c r="W18" s="2">
        <f>T_p3p1[[#This Row],[EQ]]*prize</f>
        <v>0</v>
      </c>
      <c r="X18" s="66">
        <f>IF(OR(T_init[[#This Row],[p]]=1, T_init[[#This Row],[p]]=3),T_p3p1[[#This Row],[players]]*T_p3p1[[#This Row],[stack]]/chips+1,T_p3p1[[#This Row],[players]]*T_p3p1[[#This Row],[stack]]/chips)</f>
        <v>0</v>
      </c>
      <c r="Y18" s="66">
        <f>T_p3p1[[#This Row],[ICM]]+bounty*T_p3p1[[#This Row],[KO]]</f>
        <v>0</v>
      </c>
      <c r="AA18" s="5">
        <f>COUNTIF(T_p3p2[stack],"&gt;0")</f>
        <v>5</v>
      </c>
      <c r="AB18">
        <f>IF(T_init[[#This Row],[p]]=1,uncalled,IF(T_init[[#This Row],[p]]=2,sidepot2,IF(T_init[[#This Row],[p]]=3,mainpot+sidepot1,IF(ISBLANK(T_init[[#This Row],[p]]),T_init[[#This Row],[stack]],0))))</f>
        <v>40</v>
      </c>
      <c r="AC18">
        <v>1.7000000000000001E-2</v>
      </c>
      <c r="AD18" s="2">
        <f>T_p3p2[[#This Row],[EQ]]*prize</f>
        <v>0</v>
      </c>
      <c r="AE18" s="66">
        <f>IF(T_init[[#This Row],[p]]=3,T_p3p2[[#This Row],[players]]*T_p3p2[[#This Row],[stack]]/chips+1,T_p3p2[[#This Row],[players]]*T_p3p2[[#This Row],[stack]]/chips)</f>
        <v>6.6666666666666666E-2</v>
      </c>
      <c r="AF18" s="16">
        <f>T_p3p2[[#This Row],[ICM]]+bounty*T_p3p2[[#This Row],[KO]]</f>
        <v>0</v>
      </c>
      <c r="AH18" s="5">
        <f>COUNTIF(T_p4p1[stack],"&gt;0")</f>
        <v>4</v>
      </c>
      <c r="AI18">
        <f>IF(T_init[[#This Row],[p]]=4,mainpot,IF(T_init[[#This Row],[p]]=1,sidepot1+sidepot2+uncalled,IF(ISBLANK(T_init[[#This Row],[p]]),T_init[[#This Row],[stack]],0)))</f>
        <v>0</v>
      </c>
      <c r="AJ18">
        <v>0</v>
      </c>
      <c r="AK18" s="2">
        <f>T_p4p1[[#This Row],[EQ]]*prize</f>
        <v>0</v>
      </c>
      <c r="AL18" s="66">
        <f>IF(T_init[[#This Row],[p]]=1,T_p4p1[[#This Row],[players]]*T_p4p1[[#This Row],[stack]]/chips+2,T_p4p1[[#This Row],[players]]*T_p4p1[[#This Row],[stack]]/chips)</f>
        <v>0</v>
      </c>
      <c r="AM18" s="16">
        <f>T_p4p1[[#This Row],[ICM]]+bounty*T_p4p1[[#This Row],[KO]]</f>
        <v>0</v>
      </c>
      <c r="AO18" s="5">
        <f>COUNTIF(T_p4p2[stack],"&gt;0")</f>
        <v>5</v>
      </c>
      <c r="AP18">
        <f>IF(T_init[[#This Row],[p]]=1,uncalled,IF(T_init[[#This Row],[p]]=2,sidepot1+sidepot2,IF(T_init[[#This Row],[p]]=4,mainpot,IF(ISBLANK(T_init[[#This Row],[p]]),T_init[[#This Row],[stack]],0))))</f>
        <v>1312</v>
      </c>
      <c r="AQ18">
        <v>0.36480000000000001</v>
      </c>
      <c r="AR18" s="2">
        <f>T_p4p2[[#This Row],[EQ]]*prize</f>
        <v>0</v>
      </c>
      <c r="AS18" s="66">
        <f>IF(T_init[[#This Row],[p]]=2,T_p4p2[[#This Row],[players]]*T_p4p2[[#This Row],[stack]]/chips+1,T_p4p2[[#This Row],[players]]*T_p4p2[[#This Row],[stack]]/chips)</f>
        <v>3.1866666666666665</v>
      </c>
      <c r="AT18" s="16">
        <f>T_p4p2[[#This Row],[ICM]]+bounty*T_p4p2[[#This Row],[KO]]</f>
        <v>0</v>
      </c>
      <c r="AV18" s="5">
        <f>COUNTIF(T_p4p3p1[stack],"&gt;0")</f>
        <v>5</v>
      </c>
      <c r="AW18">
        <f>IF(T_init[[#This Row],[p]]=1,uncalled+sidepot2,IF(T_init[[#This Row],[p]]=3,sidepot1,IF(T_init[[#This Row],[p]]=4,mainpot,IF(ISBLANK(T_init[[#This Row],[p]]),T_init[[#This Row],[stack]],0))))</f>
        <v>0</v>
      </c>
      <c r="AX18">
        <v>0</v>
      </c>
      <c r="AY18" s="2">
        <f>T_p4p3p1[[#This Row],[EQ]]*prize</f>
        <v>0</v>
      </c>
      <c r="AZ18" s="66">
        <f>IF(T_init[[#This Row],[p]]=1,T_p4p3p1[[#This Row],[players]]*T_p4p3p1[[#This Row],[stack]]/chips+1,T_p4p3p1[[#This Row],[players]]*T_p4p3p1[[#This Row],[stack]]/chips)</f>
        <v>0</v>
      </c>
      <c r="BA18" s="16">
        <f>T_p4p3p1[[#This Row],[ICM]]+bounty*T_p4p3p1[[#This Row],[KO]]</f>
        <v>0</v>
      </c>
      <c r="BC18" s="5">
        <f>COUNTIF(T_p4p3p2[stack],"&gt;0")</f>
        <v>6</v>
      </c>
      <c r="BD18">
        <f>IF(T_init[[#This Row],[p]]=1,uncalled,IF(T_init[[#This Row],[p]]=2,sidepot2,IF(T_init[[#This Row],[p]]=3,sidepot1,IF(T_init[[#This Row],[p]]=4,mainpot,IF(ISBLANK(T_init[[#This Row],[p]]),T_init[[#This Row],[stack]],0)))))</f>
        <v>40</v>
      </c>
      <c r="BE18">
        <v>1.6E-2</v>
      </c>
      <c r="BF18" s="2">
        <f>T_p4p3p2[[#This Row],[EQ]]*prize</f>
        <v>0</v>
      </c>
      <c r="BG18" s="66">
        <f>T_p4p3p2[[#This Row],[players]]*T_p4p3p2[[#This Row],[stack]]/chips</f>
        <v>0.08</v>
      </c>
      <c r="BH18" s="16">
        <f>T_p4p3p2[[#This Row],[ICM]]+bounty*T_p4p3p2[[#This Row],[KO]]</f>
        <v>0</v>
      </c>
      <c r="BJ18" s="73">
        <f>COUNTIF(T_fact[stack],"&gt;0")</f>
        <v>4</v>
      </c>
      <c r="BK18" s="26">
        <f>IF(T_init[[#This Row],[p]]=1,sidepot2+uncalled,IF(T_init[[#This Row],[p]]=3,mainpot+sidepot1,IF(ISBLANK(T_init[[#This Row],[p]]),T_init[[#This Row],[stack]],0)))</f>
        <v>0</v>
      </c>
      <c r="BL18">
        <v>0</v>
      </c>
      <c r="BM18" s="2">
        <f>T_fact[[#This Row],[EQ]]*prize</f>
        <v>0</v>
      </c>
      <c r="BN18" s="66">
        <f>IF(OR(T_init[[#This Row],[p]]=1, T_init[[#This Row],[p]]=3),T_fact[[#This Row],[players]]*T_fact[[#This Row],[stack]]/chips+1,T_fact[[#This Row],[players]]*T_fact[[#This Row],[stack]]/chips)</f>
        <v>0</v>
      </c>
      <c r="BO18" s="16">
        <f>T_fact[[#This Row],[ICM]]+bounty*T_fact[[#This Row],[KO]]</f>
        <v>0</v>
      </c>
      <c r="BQ18" s="68">
        <f>p1sp2win*T_p3p1[[#This Row],[ICM]]+p2sp2win*T_p3p2[[#This Row],[ICM]]</f>
        <v>0</v>
      </c>
      <c r="BR18" s="68">
        <f>bounty*(p1sp2win*T_p3p1[[#This Row],[KO]]+p2sp2win*T_p3p2[[#This Row],[KO]])</f>
        <v>0</v>
      </c>
      <c r="BS18" s="68">
        <f>T_EV_p3sp2[[#This Row],[ICM]]+T_EV_p3sp2[[#This Row],[KO]]</f>
        <v>0</v>
      </c>
      <c r="BT18" s="68">
        <f>p1sp2win*T_p3p1[[#This Row],[stack]]+p2sp2win*T_p3p2[[#This Row],[stack]]</f>
        <v>18.240000000000002</v>
      </c>
      <c r="BW18" s="68">
        <f>p1sp2win*T_p4p3p1[[#This Row],[ICM]]+p2sp2win*T_p4p3p2[[#This Row],[ICM]]</f>
        <v>0</v>
      </c>
      <c r="BX18" s="68">
        <f>bounty*(p1sp2win*T_p4p3p1[[#This Row],[KO]]+p2sp2win*T_p4p3p2[[#This Row],[KO]])</f>
        <v>0</v>
      </c>
      <c r="BY18" s="68">
        <f>T_EV_p4p3sp2[[#This Row],[ICM]]+T_EV_p4p3sp2[[#This Row],[KO]]</f>
        <v>0</v>
      </c>
      <c r="BZ18" s="68">
        <f>p1sp2win*T_p4p3p1[[#This Row],[stack]]+p2sp2win*T_p4p3p2[[#This Row],[stack]]</f>
        <v>18.240000000000002</v>
      </c>
      <c r="CC18" s="68">
        <f>p1sp1win*T_p4p1[[#This Row],[ICM]]+p2sp1win*T_p4p2[[#This Row],[ICM]]+p3sp1win*T_EV_p4p3sp2[[#This Row],[ICM]]</f>
        <v>0</v>
      </c>
      <c r="CD18" s="68">
        <f>bounty*(p1sp1win*T_p4p1[[#This Row],[KO]]+p2sp1win*T_p4p2[[#This Row],[KO]])+p3sp1win*T_EV_p4p3sp2[[#This Row],[KO]]</f>
        <v>0</v>
      </c>
      <c r="CE18" s="68">
        <f>T_EV_p4sp1[[#This Row],[ICM]]+T_EV_p4sp1[[#This Row],[KO]]</f>
        <v>0</v>
      </c>
      <c r="CF18" s="68">
        <f>p1sp1win*T_p4p1[[#This Row],[stack]]+p2sp1win*T_p4p2[[#This Row],[stack]]+p3sp1win*T_EV_p4p3sp2[[#This Row],[chipEV]]</f>
        <v>509.62886399999996</v>
      </c>
      <c r="CI18" s="68">
        <f>p4win*(T_EV_p4sp1[[#This Row],[ICM]])+'4way'!p3win*T_EV_p3sp2[[#This Row],[ICM]]+'4way'!p2win*T_p2[[#This Row],[ICM]]+'4way'!p1win*T_p1[[#This Row],[ICM]]</f>
        <v>0</v>
      </c>
      <c r="CJ18" s="68">
        <f>p4win*(T_EV_p4sp1[[#This Row],[KO]])+'4way'!p3win*T_EV_p3sp2[[#This Row],[KO]]+bounty*('4way'!p2win*T_p2[[#This Row],[KO]]+'4way'!p1win*T_p1[[#This Row],[KO]])</f>
        <v>0</v>
      </c>
      <c r="CK18" s="68">
        <f>T_EV[[#This Row],[ICM]]+T_EV[[#This Row],[KO]]</f>
        <v>0</v>
      </c>
      <c r="CL18" s="68">
        <f>'4way'!p1win*T_p1[[#This Row],[stack]]+
'4way'!p2win*T_p2[[#This Row],[stack]]+
'4way'!p3win*(p1sp2win*T_p3p1[[#This Row],[stack]]+p2sp2win*T_p3p2[[#This Row],[stack]])+
p4win*(p1sp1win*T_p4p1[[#This Row],[stack]]+p2sp1win*T_p4p2[[#This Row],[stack]]+p3sp1win*(p1sp2win*T_p4p3p1[[#This Row],[stack]]+p2sp2win*T_p4p3p2[[#This Row],[stack]]))</f>
        <v>449.76766285439999</v>
      </c>
      <c r="CM18" s="2">
        <f>T_EV[[#This Row],[chipEV]]-T_fact[[#This Row],[stack]]</f>
        <v>449.76766285439999</v>
      </c>
      <c r="CN18" s="2">
        <f>T_EV[[#This Row],[EV]]-(T_fact[[#This Row],[ICM]]+bounty*T_fact[[#This Row],[KO]])</f>
        <v>0</v>
      </c>
    </row>
    <row r="19" spans="1:94" x14ac:dyDescent="0.25">
      <c r="A19" s="26">
        <v>3</v>
      </c>
      <c r="B19" s="26">
        <v>464</v>
      </c>
      <c r="C19" s="26" t="s">
        <v>509</v>
      </c>
      <c r="D19" s="26">
        <v>0.35349999999999998</v>
      </c>
      <c r="F19" s="73">
        <f>COUNTIF(T_p1[stack],"&gt;0")</f>
        <v>3</v>
      </c>
      <c r="G19" s="26">
        <f>IF(T_init[[#This Row],[p]]=1,mainpot+sidepot1+sidepot2+uncalled,IF(T_init[[#This Row],[p]]&gt;1,0,T_init[[#This Row],[stack]]))</f>
        <v>0</v>
      </c>
      <c r="H19" s="26"/>
      <c r="I19" s="27">
        <f>T_p1[[#This Row],[EQ]]*prize</f>
        <v>0</v>
      </c>
      <c r="J19" s="71">
        <f>IF(T_init[[#This Row],[p]]=1,T_p1[[#This Row],[players]]*T_p1[[#This Row],[stack]]/chips+COUNTIF(T_p1[stack],0),T_p1[[#This Row],[players]]*T_p1[[#This Row],[stack]]/chips)</f>
        <v>0</v>
      </c>
      <c r="K19" s="71">
        <f>T_p1[[#This Row],[ICM]]+bounty*T_p1[[#This Row],[KO]]</f>
        <v>0</v>
      </c>
      <c r="M19" s="29">
        <f>COUNTIF(T_p2[stack],"&gt;0")</f>
        <v>4</v>
      </c>
      <c r="N19" s="26">
        <f>IF(T_init[[#This Row],[p]]=1,uncalled,IF(T_init[[#This Row],[p]]=2,mainpot+sidepot1+sidepot2,IF(T_init[[#This Row],[p]]&gt;2,0,T_init[[#This Row],[stack]])))</f>
        <v>0</v>
      </c>
      <c r="O19" s="26"/>
      <c r="P19" s="27">
        <f>T_p2[[#This Row],[EQ]]*prize</f>
        <v>0</v>
      </c>
      <c r="Q19" s="71">
        <f>IF(T_init[[#This Row],[p]]=2,T_p2[[#This Row],[players]]*T_p2[[#This Row],[stack]]/chips+COUNTIF(T_p2[stack],0),T_p2[[#This Row],[players]]*T_p2[[#This Row],[stack]]/chips)</f>
        <v>0</v>
      </c>
      <c r="R19" s="71">
        <f>T_p2[[#This Row],[ICM]]+bounty*T_p2[[#This Row],[KO]]</f>
        <v>0</v>
      </c>
      <c r="T19" s="73">
        <f>COUNTIF(T_p3p1[stack],"&gt;0")</f>
        <v>4</v>
      </c>
      <c r="U19" s="26">
        <f>IF(T_init[[#This Row],[p]]=1,sidepot2+uncalled,IF(T_init[[#This Row],[p]]=3,mainpot+sidepot1,IF(ISBLANK(T_init[[#This Row],[p]]),T_init[[#This Row],[stack]],0)))</f>
        <v>1454</v>
      </c>
      <c r="V19" s="26">
        <v>0.39350000000000002</v>
      </c>
      <c r="W19" s="27">
        <f>T_p3p1[[#This Row],[EQ]]*prize</f>
        <v>0</v>
      </c>
      <c r="X19" s="71">
        <f>IF(OR(T_init[[#This Row],[p]]=1, T_init[[#This Row],[p]]=3),T_p3p1[[#This Row],[players]]*T_p3p1[[#This Row],[stack]]/chips+1,T_p3p1[[#This Row],[players]]*T_p3p1[[#This Row],[stack]]/chips)</f>
        <v>2.9386666666666668</v>
      </c>
      <c r="Y19" s="71">
        <f>T_p3p1[[#This Row],[ICM]]+bounty*T_p3p1[[#This Row],[KO]]</f>
        <v>0</v>
      </c>
      <c r="AA19" s="73">
        <f>COUNTIF(T_p3p2[stack],"&gt;0")</f>
        <v>5</v>
      </c>
      <c r="AB19" s="26">
        <f>IF(T_init[[#This Row],[p]]=1,uncalled,IF(T_init[[#This Row],[p]]=2,sidepot2,IF(T_init[[#This Row],[p]]=3,mainpot+sidepot1,IF(ISBLANK(T_init[[#This Row],[p]]),T_init[[#This Row],[stack]],0))))</f>
        <v>1454</v>
      </c>
      <c r="AC19" s="26">
        <v>0.39190000000000003</v>
      </c>
      <c r="AD19" s="27">
        <f>T_p3p2[[#This Row],[EQ]]*prize</f>
        <v>0</v>
      </c>
      <c r="AE19" s="71">
        <f>IF(T_init[[#This Row],[p]]=3,T_p3p2[[#This Row],[players]]*T_p3p2[[#This Row],[stack]]/chips+1,T_p3p2[[#This Row],[players]]*T_p3p2[[#This Row],[stack]]/chips)</f>
        <v>3.4233333333333333</v>
      </c>
      <c r="AF19" s="16">
        <f>T_p3p2[[#This Row],[ICM]]+bounty*T_p3p2[[#This Row],[KO]]</f>
        <v>0</v>
      </c>
      <c r="AH19" s="73">
        <f>COUNTIF(T_p4p1[stack],"&gt;0")</f>
        <v>4</v>
      </c>
      <c r="AI19" s="26">
        <f>IF(T_init[[#This Row],[p]]=4,mainpot,IF(T_init[[#This Row],[p]]=1,sidepot1+sidepot2+uncalled,IF(ISBLANK(T_init[[#This Row],[p]]),T_init[[#This Row],[stack]],0)))</f>
        <v>0</v>
      </c>
      <c r="AJ19" s="26">
        <v>0</v>
      </c>
      <c r="AK19" s="27">
        <f>T_p4p1[[#This Row],[EQ]]*prize</f>
        <v>0</v>
      </c>
      <c r="AL19" s="71">
        <f>IF(T_init[[#This Row],[p]]=1,T_p4p1[[#This Row],[players]]*T_p4p1[[#This Row],[stack]]/chips+2,T_p4p1[[#This Row],[players]]*T_p4p1[[#This Row],[stack]]/chips)</f>
        <v>0</v>
      </c>
      <c r="AM19" s="16">
        <f>T_p4p1[[#This Row],[ICM]]+bounty*T_p4p1[[#This Row],[KO]]</f>
        <v>0</v>
      </c>
      <c r="AO19" s="73">
        <f>COUNTIF(T_p4p2[stack],"&gt;0")</f>
        <v>5</v>
      </c>
      <c r="AP19" s="26">
        <f>IF(T_init[[#This Row],[p]]=1,uncalled,IF(T_init[[#This Row],[p]]=2,sidepot1+sidepot2,IF(T_init[[#This Row],[p]]=4,mainpot,IF(ISBLANK(T_init[[#This Row],[p]]),T_init[[#This Row],[stack]],0))))</f>
        <v>0</v>
      </c>
      <c r="AQ19" s="26">
        <v>0</v>
      </c>
      <c r="AR19" s="27">
        <f>T_p4p2[[#This Row],[EQ]]*prize</f>
        <v>0</v>
      </c>
      <c r="AS19" s="71">
        <f>IF(T_init[[#This Row],[p]]=2,T_p4p2[[#This Row],[players]]*T_p4p2[[#This Row],[stack]]/chips+1,T_p4p2[[#This Row],[players]]*T_p4p2[[#This Row],[stack]]/chips)</f>
        <v>0</v>
      </c>
      <c r="AT19" s="16">
        <f>T_p4p2[[#This Row],[ICM]]+bounty*T_p4p2[[#This Row],[KO]]</f>
        <v>0</v>
      </c>
      <c r="AV19" s="73">
        <f>COUNTIF(T_p4p3p1[stack],"&gt;0")</f>
        <v>5</v>
      </c>
      <c r="AW19" s="26">
        <f>IF(T_init[[#This Row],[p]]=1,uncalled+sidepot2,IF(T_init[[#This Row],[p]]=3,sidepot1,IF(T_init[[#This Row],[p]]=4,mainpot,IF(ISBLANK(T_init[[#This Row],[p]]),T_init[[#This Row],[stack]],0))))</f>
        <v>1272</v>
      </c>
      <c r="AX19" s="26">
        <v>0.35799999999999998</v>
      </c>
      <c r="AY19" s="27">
        <f>T_p4p3p1[[#This Row],[EQ]]*prize</f>
        <v>0</v>
      </c>
      <c r="AZ19" s="71">
        <f>IF(T_init[[#This Row],[p]]=1,T_p4p3p1[[#This Row],[players]]*T_p4p3p1[[#This Row],[stack]]/chips+1,T_p4p3p1[[#This Row],[players]]*T_p4p3p1[[#This Row],[stack]]/chips)</f>
        <v>2.12</v>
      </c>
      <c r="BA19" s="16">
        <f>T_p4p3p1[[#This Row],[ICM]]+bounty*T_p4p3p1[[#This Row],[KO]]</f>
        <v>0</v>
      </c>
      <c r="BC19" s="73">
        <f>COUNTIF(T_p4p3p2[stack],"&gt;0")</f>
        <v>6</v>
      </c>
      <c r="BD19" s="26">
        <f>IF(T_init[[#This Row],[p]]=1,uncalled,IF(T_init[[#This Row],[p]]=2,sidepot2,IF(T_init[[#This Row],[p]]=3,sidepot1,IF(T_init[[#This Row],[p]]=4,mainpot,IF(ISBLANK(T_init[[#This Row],[p]]),T_init[[#This Row],[stack]],0)))))</f>
        <v>1272</v>
      </c>
      <c r="BE19" s="26">
        <v>0.35649999999999998</v>
      </c>
      <c r="BF19" s="27">
        <f>T_p4p3p2[[#This Row],[EQ]]*prize</f>
        <v>0</v>
      </c>
      <c r="BG19" s="71">
        <f>T_p4p3p2[[#This Row],[players]]*T_p4p3p2[[#This Row],[stack]]/chips</f>
        <v>2.544</v>
      </c>
      <c r="BH19" s="16">
        <f>T_p4p3p2[[#This Row],[ICM]]+bounty*T_p4p3p2[[#This Row],[KO]]</f>
        <v>0</v>
      </c>
      <c r="BJ19" s="73">
        <f>COUNTIF(T_fact[stack],"&gt;0")</f>
        <v>4</v>
      </c>
      <c r="BK19" s="26">
        <f>IF(T_init[[#This Row],[p]]=1,sidepot2+uncalled,IF(T_init[[#This Row],[p]]=3,mainpot+sidepot1,IF(ISBLANK(T_init[[#This Row],[p]]),T_init[[#This Row],[stack]],0)))</f>
        <v>1454</v>
      </c>
      <c r="BL19" s="26">
        <v>0.39350000000000002</v>
      </c>
      <c r="BM19" s="27">
        <f>T_fact[[#This Row],[EQ]]*prize</f>
        <v>0</v>
      </c>
      <c r="BN19" s="71">
        <f>IF(OR(T_init[[#This Row],[p]]=1, T_init[[#This Row],[p]]=3),T_fact[[#This Row],[players]]*T_fact[[#This Row],[stack]]/chips+1,T_fact[[#This Row],[players]]*T_fact[[#This Row],[stack]]/chips)</f>
        <v>2.9386666666666668</v>
      </c>
      <c r="BO19" s="16">
        <f>T_fact[[#This Row],[ICM]]+bounty*T_fact[[#This Row],[KO]]</f>
        <v>0</v>
      </c>
      <c r="BQ19" s="68">
        <f>p1sp2win*T_p3p1[[#This Row],[ICM]]+p2sp2win*T_p3p2[[#This Row],[ICM]]</f>
        <v>0</v>
      </c>
      <c r="BR19" s="72">
        <f>bounty*(p1sp2win*T_p3p1[[#This Row],[KO]]+p2sp2win*T_p3p2[[#This Row],[KO]])</f>
        <v>0</v>
      </c>
      <c r="BS19" s="72">
        <f>T_EV_p3sp2[[#This Row],[ICM]]+T_EV_p3sp2[[#This Row],[KO]]</f>
        <v>0</v>
      </c>
      <c r="BT19" s="72">
        <f>p1sp2win*T_p3p1[[#This Row],[stack]]+p2sp2win*T_p3p2[[#This Row],[stack]]</f>
        <v>1454</v>
      </c>
      <c r="BW19" s="68">
        <f>p1sp2win*T_p4p3p1[[#This Row],[ICM]]+p2sp2win*T_p4p3p2[[#This Row],[ICM]]</f>
        <v>0</v>
      </c>
      <c r="BX19" s="72">
        <f>bounty*(p1sp2win*T_p4p3p1[[#This Row],[KO]]+p2sp2win*T_p4p3p2[[#This Row],[KO]])</f>
        <v>0</v>
      </c>
      <c r="BY19" s="72">
        <f>T_EV_p4p3sp2[[#This Row],[ICM]]+T_EV_p4p3sp2[[#This Row],[KO]]</f>
        <v>0</v>
      </c>
      <c r="BZ19" s="72">
        <f>p1sp2win*T_p4p3p1[[#This Row],[stack]]+p2sp2win*T_p4p3p2[[#This Row],[stack]]</f>
        <v>1272</v>
      </c>
      <c r="CC19" s="68">
        <f>p1sp1win*T_p4p1[[#This Row],[ICM]]+p2sp1win*T_p4p2[[#This Row],[ICM]]+p3sp1win*T_EV_p4p3sp2[[#This Row],[ICM]]</f>
        <v>0</v>
      </c>
      <c r="CD19" s="72">
        <f>bounty*(p1sp1win*T_p4p1[[#This Row],[KO]]+p2sp1win*T_p4p2[[#This Row],[KO]])+p3sp1win*T_EV_p4p3sp2[[#This Row],[KO]]</f>
        <v>0</v>
      </c>
      <c r="CE19" s="72">
        <f>T_EV_p4sp1[[#This Row],[ICM]]+T_EV_p4sp1[[#This Row],[KO]]</f>
        <v>0</v>
      </c>
      <c r="CF19" s="72">
        <f>p1sp1win*T_p4p1[[#This Row],[stack]]+p2sp1win*T_p4p2[[#This Row],[stack]]+p3sp1win*T_EV_p4p3sp2[[#This Row],[chipEV]]</f>
        <v>570.61919999999998</v>
      </c>
      <c r="CI19" s="68">
        <f>p4win*(T_EV_p4sp1[[#This Row],[ICM]])+'4way'!p3win*T_EV_p3sp2[[#This Row],[ICM]]+'4way'!p2win*T_p2[[#This Row],[ICM]]+'4way'!p1win*T_p1[[#This Row],[ICM]]</f>
        <v>0</v>
      </c>
      <c r="CJ19" s="72">
        <f>p4win*(T_EV_p4sp1[[#This Row],[KO]])+'4way'!p3win*T_EV_p3sp2[[#This Row],[KO]]+bounty*('4way'!p2win*T_p2[[#This Row],[KO]]+'4way'!p1win*T_p1[[#This Row],[KO]])</f>
        <v>0</v>
      </c>
      <c r="CK19" s="72">
        <f>T_EV[[#This Row],[ICM]]+T_EV[[#This Row],[KO]]</f>
        <v>0</v>
      </c>
      <c r="CL19" s="72">
        <f>'4way'!p1win*T_p1[[#This Row],[stack]]+
'4way'!p2win*T_p2[[#This Row],[stack]]+
'4way'!p3win*(p1sp2win*T_p3p1[[#This Row],[stack]]+p2sp2win*T_p3p2[[#This Row],[stack]])+
p4win*(p1sp1win*T_p4p1[[#This Row],[stack]]+p2sp1win*T_p4p2[[#This Row],[stack]]+p3sp1win*(p1sp2win*T_p4p3p1[[#This Row],[stack]]+p2sp2win*T_p4p3p2[[#This Row],[stack]]))</f>
        <v>677.66837232</v>
      </c>
      <c r="CM19" s="2">
        <f>T_EV[[#This Row],[chipEV]]-T_fact[[#This Row],[stack]]</f>
        <v>-776.33162768</v>
      </c>
      <c r="CN19" s="2">
        <f>T_EV[[#This Row],[EV]]-(T_fact[[#This Row],[ICM]]+bounty*T_fact[[#This Row],[KO]])</f>
        <v>0</v>
      </c>
    </row>
    <row r="20" spans="1:94" x14ac:dyDescent="0.25">
      <c r="B20">
        <v>464</v>
      </c>
      <c r="F20" s="5">
        <f>COUNTIF(T_p1[stack],"&gt;0")</f>
        <v>3</v>
      </c>
      <c r="G20">
        <f>IF(T_init[[#This Row],[p]]=1,mainpot+sidepot1+sidepot2+uncalled,IF(T_init[[#This Row],[p]]&gt;1,0,T_init[[#This Row],[stack]]))</f>
        <v>464</v>
      </c>
      <c r="H20">
        <v>0.25459999999999999</v>
      </c>
      <c r="I20" s="2">
        <f>T_p1[[#This Row],[EQ]]*prize</f>
        <v>0</v>
      </c>
      <c r="J20" s="66">
        <f>IF(T_init[[#This Row],[p]]=1,T_p1[[#This Row],[players]]*T_p1[[#This Row],[stack]]/chips+COUNTIF(T_p1[stack],0),T_p1[[#This Row],[players]]*T_p1[[#This Row],[stack]]/chips)</f>
        <v>0.46400000000000002</v>
      </c>
      <c r="K20" s="66">
        <f>T_p1[[#This Row],[ICM]]+bounty*T_p1[[#This Row],[KO]]</f>
        <v>0</v>
      </c>
      <c r="M20" s="10">
        <f>COUNTIF(T_p2[stack],"&gt;0")</f>
        <v>4</v>
      </c>
      <c r="N20">
        <f>IF(T_init[[#This Row],[p]]=1,uncalled,IF(T_init[[#This Row],[p]]=2,mainpot+sidepot1+sidepot2,IF(T_init[[#This Row],[p]]&gt;2,0,T_init[[#This Row],[stack]])))</f>
        <v>464</v>
      </c>
      <c r="O20">
        <v>0.18659999999999999</v>
      </c>
      <c r="P20" s="2">
        <f>T_p2[[#This Row],[EQ]]*prize</f>
        <v>0</v>
      </c>
      <c r="Q20" s="66">
        <f>IF(T_init[[#This Row],[p]]=2,T_p2[[#This Row],[players]]*T_p2[[#This Row],[stack]]/chips+COUNTIF(T_p2[stack],0),T_p2[[#This Row],[players]]*T_p2[[#This Row],[stack]]/chips)</f>
        <v>0.6186666666666667</v>
      </c>
      <c r="R20" s="66">
        <f>T_p2[[#This Row],[ICM]]+bounty*T_p2[[#This Row],[KO]]</f>
        <v>0</v>
      </c>
      <c r="T20" s="5">
        <f>COUNTIF(T_p3p1[stack],"&gt;0")</f>
        <v>4</v>
      </c>
      <c r="U20" s="26">
        <f>IF(T_init[[#This Row],[p]]=1,sidepot2+uncalled,IF(T_init[[#This Row],[p]]=3,mainpot+sidepot1,IF(ISBLANK(T_init[[#This Row],[p]]),T_init[[#This Row],[stack]],0)))</f>
        <v>464</v>
      </c>
      <c r="V20">
        <v>0.1842</v>
      </c>
      <c r="W20" s="2">
        <f>T_p3p1[[#This Row],[EQ]]*prize</f>
        <v>0</v>
      </c>
      <c r="X20" s="66">
        <f>IF(OR(T_init[[#This Row],[p]]=1, T_init[[#This Row],[p]]=3),T_p3p1[[#This Row],[players]]*T_p3p1[[#This Row],[stack]]/chips+1,T_p3p1[[#This Row],[players]]*T_p3p1[[#This Row],[stack]]/chips)</f>
        <v>0.6186666666666667</v>
      </c>
      <c r="Y20" s="66">
        <f>T_p3p1[[#This Row],[ICM]]+bounty*T_p3p1[[#This Row],[KO]]</f>
        <v>0</v>
      </c>
      <c r="AA20" s="5">
        <f>COUNTIF(T_p3p2[stack],"&gt;0")</f>
        <v>5</v>
      </c>
      <c r="AB20">
        <f>IF(T_init[[#This Row],[p]]=1,uncalled,IF(T_init[[#This Row],[p]]=2,sidepot2,IF(T_init[[#This Row],[p]]=3,mainpot+sidepot1,IF(ISBLANK(T_init[[#This Row],[p]]),T_init[[#This Row],[stack]],0))))</f>
        <v>464</v>
      </c>
      <c r="AC20">
        <v>0.18360000000000001</v>
      </c>
      <c r="AD20" s="2">
        <f>T_p3p2[[#This Row],[EQ]]*prize</f>
        <v>0</v>
      </c>
      <c r="AE20" s="66">
        <f>IF(T_init[[#This Row],[p]]=3,T_p3p2[[#This Row],[players]]*T_p3p2[[#This Row],[stack]]/chips+1,T_p3p2[[#This Row],[players]]*T_p3p2[[#This Row],[stack]]/chips)</f>
        <v>0.77333333333333332</v>
      </c>
      <c r="AF20" s="16">
        <f>T_p3p2[[#This Row],[ICM]]+bounty*T_p3p2[[#This Row],[KO]]</f>
        <v>0</v>
      </c>
      <c r="AH20" s="5">
        <f>COUNTIF(T_p4p1[stack],"&gt;0")</f>
        <v>4</v>
      </c>
      <c r="AI20">
        <f>IF(T_init[[#This Row],[p]]=4,mainpot,IF(T_init[[#This Row],[p]]=1,sidepot1+sidepot2+uncalled,IF(ISBLANK(T_init[[#This Row],[p]]),T_init[[#This Row],[stack]],0)))</f>
        <v>464</v>
      </c>
      <c r="AJ20">
        <v>0.22370000000000001</v>
      </c>
      <c r="AK20" s="2">
        <f>T_p4p1[[#This Row],[EQ]]*prize</f>
        <v>0</v>
      </c>
      <c r="AL20" s="66">
        <f>IF(T_init[[#This Row],[p]]=1,T_p4p1[[#This Row],[players]]*T_p4p1[[#This Row],[stack]]/chips+2,T_p4p1[[#This Row],[players]]*T_p4p1[[#This Row],[stack]]/chips)</f>
        <v>0.6186666666666667</v>
      </c>
      <c r="AM20" s="16">
        <f>T_p4p1[[#This Row],[ICM]]+bounty*T_p4p1[[#This Row],[KO]]</f>
        <v>0</v>
      </c>
      <c r="AO20" s="5">
        <f>COUNTIF(T_p4p2[stack],"&gt;0")</f>
        <v>5</v>
      </c>
      <c r="AP20">
        <f>IF(T_init[[#This Row],[p]]=1,uncalled,IF(T_init[[#This Row],[p]]=2,sidepot1+sidepot2,IF(T_init[[#This Row],[p]]=4,mainpot,IF(ISBLANK(T_init[[#This Row],[p]]),T_init[[#This Row],[stack]],0))))</f>
        <v>464</v>
      </c>
      <c r="AQ20">
        <v>0.17499999999999999</v>
      </c>
      <c r="AR20" s="2">
        <f>T_p4p2[[#This Row],[EQ]]*prize</f>
        <v>0</v>
      </c>
      <c r="AS20" s="66">
        <f>IF(T_init[[#This Row],[p]]=2,T_p4p2[[#This Row],[players]]*T_p4p2[[#This Row],[stack]]/chips+1,T_p4p2[[#This Row],[players]]*T_p4p2[[#This Row],[stack]]/chips)</f>
        <v>0.77333333333333332</v>
      </c>
      <c r="AT20" s="16">
        <f>T_p4p2[[#This Row],[ICM]]+bounty*T_p4p2[[#This Row],[KO]]</f>
        <v>0</v>
      </c>
      <c r="AV20" s="5">
        <f>COUNTIF(T_p4p3p1[stack],"&gt;0")</f>
        <v>5</v>
      </c>
      <c r="AW20">
        <f>IF(T_init[[#This Row],[p]]=1,uncalled+sidepot2,IF(T_init[[#This Row],[p]]=3,sidepot1,IF(T_init[[#This Row],[p]]=4,mainpot,IF(ISBLANK(T_init[[#This Row],[p]]),T_init[[#This Row],[stack]],0))))</f>
        <v>464</v>
      </c>
      <c r="AX20">
        <v>0.1734</v>
      </c>
      <c r="AY20" s="2">
        <f>T_p4p3p1[[#This Row],[EQ]]*prize</f>
        <v>0</v>
      </c>
      <c r="AZ20" s="66">
        <f>IF(T_init[[#This Row],[p]]=1,T_p4p3p1[[#This Row],[players]]*T_p4p3p1[[#This Row],[stack]]/chips+1,T_p4p3p1[[#This Row],[players]]*T_p4p3p1[[#This Row],[stack]]/chips)</f>
        <v>0.77333333333333332</v>
      </c>
      <c r="BA20" s="16">
        <f>T_p4p3p1[[#This Row],[ICM]]+bounty*T_p4p3p1[[#This Row],[KO]]</f>
        <v>0</v>
      </c>
      <c r="BC20" s="5">
        <f>COUNTIF(T_p4p3p2[stack],"&gt;0")</f>
        <v>6</v>
      </c>
      <c r="BD20">
        <f>IF(T_init[[#This Row],[p]]=1,uncalled,IF(T_init[[#This Row],[p]]=2,sidepot2,IF(T_init[[#This Row],[p]]=3,sidepot1,IF(T_init[[#This Row],[p]]=4,mainpot,IF(ISBLANK(T_init[[#This Row],[p]]),T_init[[#This Row],[stack]],0)))))</f>
        <v>464</v>
      </c>
      <c r="BE20">
        <v>0.17280000000000001</v>
      </c>
      <c r="BF20" s="2">
        <f>T_p4p3p2[[#This Row],[EQ]]*prize</f>
        <v>0</v>
      </c>
      <c r="BG20" s="66">
        <f>T_p4p3p2[[#This Row],[players]]*T_p4p3p2[[#This Row],[stack]]/chips</f>
        <v>0.92800000000000005</v>
      </c>
      <c r="BH20" s="16">
        <f>T_p4p3p2[[#This Row],[ICM]]+bounty*T_p4p3p2[[#This Row],[KO]]</f>
        <v>0</v>
      </c>
      <c r="BJ20" s="73">
        <f>COUNTIF(T_fact[stack],"&gt;0")</f>
        <v>4</v>
      </c>
      <c r="BK20" s="26">
        <f>IF(T_init[[#This Row],[p]]=1,sidepot2+uncalled,IF(T_init[[#This Row],[p]]=3,mainpot+sidepot1,IF(ISBLANK(T_init[[#This Row],[p]]),T_init[[#This Row],[stack]],0)))</f>
        <v>464</v>
      </c>
      <c r="BL20">
        <v>0.1842</v>
      </c>
      <c r="BM20" s="2">
        <f>T_fact[[#This Row],[EQ]]*prize</f>
        <v>0</v>
      </c>
      <c r="BN20" s="66">
        <f>IF(OR(T_init[[#This Row],[p]]=1, T_init[[#This Row],[p]]=3),T_fact[[#This Row],[players]]*T_fact[[#This Row],[stack]]/chips+1,T_fact[[#This Row],[players]]*T_fact[[#This Row],[stack]]/chips)</f>
        <v>0.6186666666666667</v>
      </c>
      <c r="BO20" s="16">
        <f>T_fact[[#This Row],[ICM]]+bounty*T_fact[[#This Row],[KO]]</f>
        <v>0</v>
      </c>
      <c r="BQ20" s="68">
        <f>p1sp2win*T_p3p1[[#This Row],[ICM]]+p2sp2win*T_p3p2[[#This Row],[ICM]]</f>
        <v>0</v>
      </c>
      <c r="BR20" s="68">
        <f>bounty*(p1sp2win*T_p3p1[[#This Row],[KO]]+p2sp2win*T_p3p2[[#This Row],[KO]])</f>
        <v>0</v>
      </c>
      <c r="BS20" s="68">
        <f>T_EV_p3sp2[[#This Row],[ICM]]+T_EV_p3sp2[[#This Row],[KO]]</f>
        <v>0</v>
      </c>
      <c r="BT20" s="68">
        <f>p1sp2win*T_p3p1[[#This Row],[stack]]+p2sp2win*T_p3p2[[#This Row],[stack]]</f>
        <v>464</v>
      </c>
      <c r="BW20" s="68">
        <f>p1sp2win*T_p4p3p1[[#This Row],[ICM]]+p2sp2win*T_p4p3p2[[#This Row],[ICM]]</f>
        <v>0</v>
      </c>
      <c r="BX20" s="68">
        <f>bounty*(p1sp2win*T_p4p3p1[[#This Row],[KO]]+p2sp2win*T_p4p3p2[[#This Row],[KO]])</f>
        <v>0</v>
      </c>
      <c r="BY20" s="68">
        <f>T_EV_p4p3sp2[[#This Row],[ICM]]+T_EV_p4p3sp2[[#This Row],[KO]]</f>
        <v>0</v>
      </c>
      <c r="BZ20" s="68">
        <f>p1sp2win*T_p4p3p1[[#This Row],[stack]]+p2sp2win*T_p4p3p2[[#This Row],[stack]]</f>
        <v>464</v>
      </c>
      <c r="CC20" s="68">
        <f>p1sp1win*T_p4p1[[#This Row],[ICM]]+p2sp1win*T_p4p2[[#This Row],[ICM]]+p3sp1win*T_EV_p4p3sp2[[#This Row],[ICM]]</f>
        <v>0</v>
      </c>
      <c r="CD20" s="68">
        <f>bounty*(p1sp1win*T_p4p1[[#This Row],[KO]]+p2sp1win*T_p4p2[[#This Row],[KO]])+p3sp1win*T_EV_p4p3sp2[[#This Row],[KO]]</f>
        <v>0</v>
      </c>
      <c r="CE20" s="68">
        <f>T_EV_p4sp1[[#This Row],[ICM]]+T_EV_p4sp1[[#This Row],[KO]]</f>
        <v>0</v>
      </c>
      <c r="CF20" s="68">
        <f>p1sp1win*T_p4p1[[#This Row],[stack]]+p2sp1win*T_p4p2[[#This Row],[stack]]+p3sp1win*T_EV_p4p3sp2[[#This Row],[chipEV]]</f>
        <v>464</v>
      </c>
      <c r="CI20" s="68">
        <f>p4win*(T_EV_p4sp1[[#This Row],[ICM]])+'4way'!p3win*T_EV_p3sp2[[#This Row],[ICM]]+'4way'!p2win*T_p2[[#This Row],[ICM]]+'4way'!p1win*T_p1[[#This Row],[ICM]]</f>
        <v>0</v>
      </c>
      <c r="CJ20" s="68">
        <f>p4win*(T_EV_p4sp1[[#This Row],[KO]])+'4way'!p3win*T_EV_p3sp2[[#This Row],[KO]]+bounty*('4way'!p2win*T_p2[[#This Row],[KO]]+'4way'!p1win*T_p1[[#This Row],[KO]])</f>
        <v>0</v>
      </c>
      <c r="CK20" s="68">
        <f>T_EV[[#This Row],[ICM]]+T_EV[[#This Row],[KO]]</f>
        <v>0</v>
      </c>
      <c r="CL20" s="68">
        <f>'4way'!p1win*T_p1[[#This Row],[stack]]+
'4way'!p2win*T_p2[[#This Row],[stack]]+
'4way'!p3win*(p1sp2win*T_p3p1[[#This Row],[stack]]+p2sp2win*T_p3p2[[#This Row],[stack]])+
p4win*(p1sp1win*T_p4p1[[#This Row],[stack]]+p2sp1win*T_p4p2[[#This Row],[stack]]+p3sp1win*(p1sp2win*T_p4p3p1[[#This Row],[stack]]+p2sp2win*T_p4p3p2[[#This Row],[stack]]))</f>
        <v>464</v>
      </c>
      <c r="CM20" s="2">
        <f>T_EV[[#This Row],[chipEV]]-T_fact[[#This Row],[stack]]</f>
        <v>0</v>
      </c>
      <c r="CN20" s="2">
        <f>T_EV[[#This Row],[EV]]-(T_fact[[#This Row],[ICM]]+bounty*T_fact[[#This Row],[KO]])</f>
        <v>0</v>
      </c>
    </row>
    <row r="21" spans="1:94" x14ac:dyDescent="0.25">
      <c r="A21">
        <v>1</v>
      </c>
      <c r="B21">
        <v>1012</v>
      </c>
      <c r="C21" t="s">
        <v>510</v>
      </c>
      <c r="D21">
        <v>0.16089999999999999</v>
      </c>
      <c r="F21" s="5">
        <f>COUNTIF(T_p1[stack],"&gt;0")</f>
        <v>3</v>
      </c>
      <c r="G21">
        <f>IF(T_init[[#This Row],[p]]=1,mainpot+sidepot1+sidepot2+uncalled,IF(T_init[[#This Row],[p]]&gt;1,0,T_init[[#This Row],[stack]]))</f>
        <v>2042</v>
      </c>
      <c r="H21">
        <v>0.47010000000000002</v>
      </c>
      <c r="I21" s="2">
        <f>T_p1[[#This Row],[EQ]]*prize</f>
        <v>0</v>
      </c>
      <c r="J21" s="66">
        <f>IF(T_init[[#This Row],[p]]=1,T_p1[[#This Row],[players]]*T_p1[[#This Row],[stack]]/chips+COUNTIF(T_p1[stack],0),T_p1[[#This Row],[players]]*T_p1[[#This Row],[stack]]/chips)</f>
        <v>5.0419999999999998</v>
      </c>
      <c r="K21" s="66">
        <f>T_p1[[#This Row],[ICM]]+bounty*T_p1[[#This Row],[KO]]</f>
        <v>0</v>
      </c>
      <c r="M21" s="10">
        <f>COUNTIF(T_p2[stack],"&gt;0")</f>
        <v>4</v>
      </c>
      <c r="N21">
        <f>IF(T_init[[#This Row],[p]]=1,uncalled,IF(T_init[[#This Row],[p]]=2,mainpot+sidepot1+sidepot2,IF(T_init[[#This Row],[p]]&gt;2,0,T_init[[#This Row],[stack]])))</f>
        <v>548</v>
      </c>
      <c r="O21">
        <v>0.2167</v>
      </c>
      <c r="P21" s="2">
        <f>T_p2[[#This Row],[EQ]]*prize</f>
        <v>0</v>
      </c>
      <c r="Q21" s="66">
        <f>IF(T_init[[#This Row],[p]]=2,T_p2[[#This Row],[players]]*T_p2[[#This Row],[stack]]/chips+COUNTIF(T_p2[stack],0),T_p2[[#This Row],[players]]*T_p2[[#This Row],[stack]]/chips)</f>
        <v>0.73066666666666669</v>
      </c>
      <c r="R21" s="66">
        <f>T_p2[[#This Row],[ICM]]+bounty*T_p2[[#This Row],[KO]]</f>
        <v>0</v>
      </c>
      <c r="T21" s="5">
        <f>COUNTIF(T_p3p1[stack],"&gt;0")</f>
        <v>4</v>
      </c>
      <c r="U21" s="26">
        <f>IF(T_init[[#This Row],[p]]=1,sidepot2+uncalled,IF(T_init[[#This Row],[p]]=3,mainpot+sidepot1,IF(ISBLANK(T_init[[#This Row],[p]]),T_init[[#This Row],[stack]],0)))</f>
        <v>588</v>
      </c>
      <c r="V21">
        <v>0.22739999999999999</v>
      </c>
      <c r="W21" s="2">
        <f>T_p3p1[[#This Row],[EQ]]*prize</f>
        <v>0</v>
      </c>
      <c r="X21" s="66">
        <f>IF(OR(T_init[[#This Row],[p]]=1, T_init[[#This Row],[p]]=3),T_p3p1[[#This Row],[players]]*T_p3p1[[#This Row],[stack]]/chips+1,T_p3p1[[#This Row],[players]]*T_p3p1[[#This Row],[stack]]/chips)</f>
        <v>1.784</v>
      </c>
      <c r="Y21" s="66">
        <f>T_p3p1[[#This Row],[ICM]]+bounty*T_p3p1[[#This Row],[KO]]</f>
        <v>0</v>
      </c>
      <c r="AA21" s="5">
        <f>COUNTIF(T_p3p2[stack],"&gt;0")</f>
        <v>5</v>
      </c>
      <c r="AB21">
        <f>IF(T_init[[#This Row],[p]]=1,uncalled,IF(T_init[[#This Row],[p]]=2,sidepot2,IF(T_init[[#This Row],[p]]=3,mainpot+sidepot1,IF(ISBLANK(T_init[[#This Row],[p]]),T_init[[#This Row],[stack]],0))))</f>
        <v>548</v>
      </c>
      <c r="AC21">
        <v>0.2132</v>
      </c>
      <c r="AD21" s="2">
        <f>T_p3p2[[#This Row],[EQ]]*prize</f>
        <v>0</v>
      </c>
      <c r="AE21" s="66">
        <f>IF(T_init[[#This Row],[p]]=3,T_p3p2[[#This Row],[players]]*T_p3p2[[#This Row],[stack]]/chips+1,T_p3p2[[#This Row],[players]]*T_p3p2[[#This Row],[stack]]/chips)</f>
        <v>0.91333333333333333</v>
      </c>
      <c r="AF21" s="16">
        <f>T_p3p2[[#This Row],[ICM]]+bounty*T_p3p2[[#This Row],[KO]]</f>
        <v>0</v>
      </c>
      <c r="AH21" s="5">
        <f>COUNTIF(T_p4p1[stack],"&gt;0")</f>
        <v>4</v>
      </c>
      <c r="AI21">
        <f>IF(T_init[[#This Row],[p]]=4,mainpot,IF(T_init[[#This Row],[p]]=1,sidepot1+sidepot2+uncalled,IF(ISBLANK(T_init[[#This Row],[p]]),T_init[[#This Row],[stack]],0)))</f>
        <v>1860</v>
      </c>
      <c r="AJ21">
        <v>0.44790000000000002</v>
      </c>
      <c r="AK21" s="2">
        <f>T_p4p1[[#This Row],[EQ]]*prize</f>
        <v>0</v>
      </c>
      <c r="AL21" s="66">
        <f>IF(T_init[[#This Row],[p]]=1,T_p4p1[[#This Row],[players]]*T_p4p1[[#This Row],[stack]]/chips+2,T_p4p1[[#This Row],[players]]*T_p4p1[[#This Row],[stack]]/chips)</f>
        <v>4.4800000000000004</v>
      </c>
      <c r="AM21" s="16">
        <f>T_p4p1[[#This Row],[ICM]]+bounty*T_p4p1[[#This Row],[KO]]</f>
        <v>0</v>
      </c>
      <c r="AO21" s="5">
        <f>COUNTIF(T_p4p2[stack],"&gt;0")</f>
        <v>5</v>
      </c>
      <c r="AP21">
        <f>IF(T_init[[#This Row],[p]]=1,uncalled,IF(T_init[[#This Row],[p]]=2,sidepot1+sidepot2,IF(T_init[[#This Row],[p]]=4,mainpot,IF(ISBLANK(T_init[[#This Row],[p]]),T_init[[#This Row],[stack]],0))))</f>
        <v>548</v>
      </c>
      <c r="AQ21">
        <v>0.2029</v>
      </c>
      <c r="AR21" s="2">
        <f>T_p4p2[[#This Row],[EQ]]*prize</f>
        <v>0</v>
      </c>
      <c r="AS21" s="66">
        <f>IF(T_init[[#This Row],[p]]=2,T_p4p2[[#This Row],[players]]*T_p4p2[[#This Row],[stack]]/chips+1,T_p4p2[[#This Row],[players]]*T_p4p2[[#This Row],[stack]]/chips)</f>
        <v>0.91333333333333333</v>
      </c>
      <c r="AT21" s="16">
        <f>T_p4p2[[#This Row],[ICM]]+bounty*T_p4p2[[#This Row],[KO]]</f>
        <v>0</v>
      </c>
      <c r="AV21" s="5">
        <f>COUNTIF(T_p4p3p1[stack],"&gt;0")</f>
        <v>5</v>
      </c>
      <c r="AW21">
        <f>IF(T_init[[#This Row],[p]]=1,uncalled+sidepot2,IF(T_init[[#This Row],[p]]=3,sidepot1,IF(T_init[[#This Row],[p]]=4,mainpot,IF(ISBLANK(T_init[[#This Row],[p]]),T_init[[#This Row],[stack]],0))))</f>
        <v>588</v>
      </c>
      <c r="AX21">
        <v>0.2137</v>
      </c>
      <c r="AY21" s="2">
        <f>T_p4p3p1[[#This Row],[EQ]]*prize</f>
        <v>0</v>
      </c>
      <c r="AZ21" s="66">
        <f>IF(T_init[[#This Row],[p]]=1,T_p4p3p1[[#This Row],[players]]*T_p4p3p1[[#This Row],[stack]]/chips+1,T_p4p3p1[[#This Row],[players]]*T_p4p3p1[[#This Row],[stack]]/chips)</f>
        <v>1.98</v>
      </c>
      <c r="BA21" s="16">
        <f>T_p4p3p1[[#This Row],[ICM]]+bounty*T_p4p3p1[[#This Row],[KO]]</f>
        <v>0</v>
      </c>
      <c r="BC21" s="5">
        <f>COUNTIF(T_p4p3p2[stack],"&gt;0")</f>
        <v>6</v>
      </c>
      <c r="BD21">
        <f>IF(T_init[[#This Row],[p]]=1,uncalled,IF(T_init[[#This Row],[p]]=2,sidepot2,IF(T_init[[#This Row],[p]]=3,sidepot1,IF(T_init[[#This Row],[p]]=4,mainpot,IF(ISBLANK(T_init[[#This Row],[p]]),T_init[[#This Row],[stack]],0)))))</f>
        <v>548</v>
      </c>
      <c r="BE21">
        <v>0.20039999999999999</v>
      </c>
      <c r="BF21" s="2">
        <f>T_p4p3p2[[#This Row],[EQ]]*prize</f>
        <v>0</v>
      </c>
      <c r="BG21" s="66">
        <f>T_p4p3p2[[#This Row],[players]]*T_p4p3p2[[#This Row],[stack]]/chips</f>
        <v>1.0960000000000001</v>
      </c>
      <c r="BH21" s="16">
        <f>T_p4p3p2[[#This Row],[ICM]]+bounty*T_p4p3p2[[#This Row],[KO]]</f>
        <v>0</v>
      </c>
      <c r="BJ21" s="73">
        <f>COUNTIF(T_fact[stack],"&gt;0")</f>
        <v>4</v>
      </c>
      <c r="BK21" s="26">
        <f>IF(T_init[[#This Row],[p]]=1,sidepot2+uncalled,IF(T_init[[#This Row],[p]]=3,mainpot+sidepot1,IF(ISBLANK(T_init[[#This Row],[p]]),T_init[[#This Row],[stack]],0)))</f>
        <v>588</v>
      </c>
      <c r="BL21">
        <v>0.22739999999999999</v>
      </c>
      <c r="BM21" s="2">
        <f>T_fact[[#This Row],[EQ]]*prize</f>
        <v>0</v>
      </c>
      <c r="BN21" s="66">
        <f>IF(OR(T_init[[#This Row],[p]]=1, T_init[[#This Row],[p]]=3),T_fact[[#This Row],[players]]*T_fact[[#This Row],[stack]]/chips+1,T_fact[[#This Row],[players]]*T_fact[[#This Row],[stack]]/chips)</f>
        <v>1.784</v>
      </c>
      <c r="BO21" s="16">
        <f>T_fact[[#This Row],[ICM]]+bounty*T_fact[[#This Row],[KO]]</f>
        <v>0</v>
      </c>
      <c r="BQ21" s="68">
        <f>p1sp2win*T_p3p1[[#This Row],[ICM]]+p2sp2win*T_p3p2[[#This Row],[ICM]]</f>
        <v>0</v>
      </c>
      <c r="BR21" s="68">
        <f>bounty*(p1sp2win*T_p3p1[[#This Row],[KO]]+p2sp2win*T_p3p2[[#This Row],[KO]])</f>
        <v>0</v>
      </c>
      <c r="BS21" s="68">
        <f>T_EV_p3sp2[[#This Row],[ICM]]+T_EV_p3sp2[[#This Row],[KO]]</f>
        <v>0</v>
      </c>
      <c r="BT21" s="68">
        <f>p1sp2win*T_p3p1[[#This Row],[stack]]+p2sp2win*T_p3p2[[#This Row],[stack]]</f>
        <v>569.76</v>
      </c>
      <c r="BW21" s="68">
        <f>p1sp2win*T_p4p3p1[[#This Row],[ICM]]+p2sp2win*T_p4p3p2[[#This Row],[ICM]]</f>
        <v>0</v>
      </c>
      <c r="BX21" s="68">
        <f>bounty*(p1sp2win*T_p4p3p1[[#This Row],[KO]]+p2sp2win*T_p4p3p2[[#This Row],[KO]])</f>
        <v>0</v>
      </c>
      <c r="BY21" s="68">
        <f>T_EV_p4p3sp2[[#This Row],[ICM]]+T_EV_p4p3sp2[[#This Row],[KO]]</f>
        <v>0</v>
      </c>
      <c r="BZ21" s="68">
        <f>p1sp2win*T_p4p3p1[[#This Row],[stack]]+p2sp2win*T_p4p3p2[[#This Row],[stack]]</f>
        <v>569.76</v>
      </c>
      <c r="CC21" s="68">
        <f>p1sp1win*T_p4p1[[#This Row],[ICM]]+p2sp1win*T_p4p2[[#This Row],[ICM]]+p3sp1win*T_EV_p4p3sp2[[#This Row],[ICM]]</f>
        <v>0</v>
      </c>
      <c r="CD21" s="68">
        <f>bounty*(p1sp1win*T_p4p1[[#This Row],[KO]]+p2sp1win*T_p4p2[[#This Row],[KO]])+p3sp1win*T_EV_p4p3sp2[[#This Row],[KO]]</f>
        <v>0</v>
      </c>
      <c r="CE21" s="68">
        <f>T_EV_p4sp1[[#This Row],[ICM]]+T_EV_p4sp1[[#This Row],[KO]]</f>
        <v>0</v>
      </c>
      <c r="CF21" s="68">
        <f>p1sp1win*T_p4p1[[#This Row],[stack]]+p2sp1win*T_p4p2[[#This Row],[stack]]+p3sp1win*T_EV_p4p3sp2[[#This Row],[chipEV]]</f>
        <v>779.751936</v>
      </c>
      <c r="CI21" s="68">
        <f>p4win*(T_EV_p4sp1[[#This Row],[ICM]])+'4way'!p3win*T_EV_p3sp2[[#This Row],[ICM]]+'4way'!p2win*T_p2[[#This Row],[ICM]]+'4way'!p1win*T_p1[[#This Row],[ICM]]</f>
        <v>0</v>
      </c>
      <c r="CJ21" s="68">
        <f>p4win*(T_EV_p4sp1[[#This Row],[KO]])+'4way'!p3win*T_EV_p3sp2[[#This Row],[KO]]+bounty*('4way'!p2win*T_p2[[#This Row],[KO]]+'4way'!p1win*T_p1[[#This Row],[KO]])</f>
        <v>0</v>
      </c>
      <c r="CK21" s="68">
        <f>T_EV[[#This Row],[ICM]]+T_EV[[#This Row],[KO]]</f>
        <v>0</v>
      </c>
      <c r="CL21" s="68">
        <f>'4way'!p1win*T_p1[[#This Row],[stack]]+
'4way'!p2win*T_p2[[#This Row],[stack]]+
'4way'!p3win*(p1sp2win*T_p3p1[[#This Row],[stack]]+p2sp2win*T_p3p2[[#This Row],[stack]])+
p4win*(p1sp1win*T_p4p1[[#This Row],[stack]]+p2sp1win*T_p4p2[[#This Row],[stack]]+p3sp1win*(p1sp2win*T_p4p3p1[[#This Row],[stack]]+p2sp2win*T_p4p3p2[[#This Row],[stack]]))</f>
        <v>862.31176482559999</v>
      </c>
      <c r="CM21" s="2">
        <f>T_EV[[#This Row],[chipEV]]-T_fact[[#This Row],[stack]]</f>
        <v>274.31176482559999</v>
      </c>
      <c r="CN21" s="2">
        <f>T_EV[[#This Row],[EV]]-(T_fact[[#This Row],[ICM]]+bounty*T_fact[[#This Row],[KO]])</f>
        <v>0</v>
      </c>
      <c r="CP21">
        <f>'4way'!p1win*mainpot+p1sp1win*sidepot1+p1sp2win*sidepot2 -T_fact[[#This Row],[stack]]+uncalled</f>
        <v>226.22980000000001</v>
      </c>
    </row>
    <row r="22" spans="1:94" x14ac:dyDescent="0.25">
      <c r="A22" t="s">
        <v>95</v>
      </c>
      <c r="D22">
        <f>SUBTOTAL(109,T_init[pWin])</f>
        <v>0.99990000000000001</v>
      </c>
      <c r="F22" s="53"/>
      <c r="G22" s="50">
        <f>SUM(T_p1[stack])</f>
        <v>3000</v>
      </c>
      <c r="H22" s="50">
        <f>SUM(T_p1[EQ])</f>
        <v>1</v>
      </c>
      <c r="I22" s="50">
        <f>SUM(T_p1[ICM])</f>
        <v>0</v>
      </c>
      <c r="J22" s="50">
        <f>SUM(T_p1[KO])</f>
        <v>6</v>
      </c>
      <c r="K22" s="50">
        <f>SUM(T_p1[$stack])</f>
        <v>0</v>
      </c>
      <c r="M22" s="53"/>
      <c r="N22" s="55">
        <f>SUM(T_p2[stack])</f>
        <v>3000</v>
      </c>
      <c r="O22" s="50">
        <f>SUM(T_p2[EQ])</f>
        <v>1.0001</v>
      </c>
      <c r="P22" s="51">
        <f>SUM(T_p2[ICM])</f>
        <v>0</v>
      </c>
      <c r="Q22" s="52">
        <f>SUM(T_p2[KO])</f>
        <v>6.0000000000000009</v>
      </c>
      <c r="R22" s="50">
        <f>SUM(T_p2[$stack])</f>
        <v>0</v>
      </c>
      <c r="T22" s="53"/>
      <c r="U22" s="55">
        <f>SUM(T_p3p1[stack])</f>
        <v>3000</v>
      </c>
      <c r="V22" s="50">
        <f>SUM(T_p3p1[EQ])</f>
        <v>1</v>
      </c>
      <c r="W22" s="51">
        <f>SUM(T_p3p1[ICM])</f>
        <v>0</v>
      </c>
      <c r="X22" s="52">
        <f>SUM(T_p3p1[KO])</f>
        <v>6</v>
      </c>
      <c r="Y22" s="50">
        <f>SUM(T_p3p1[$stack])</f>
        <v>0</v>
      </c>
      <c r="AA22" s="53"/>
      <c r="AB22" s="55">
        <f>SUM(T_p3p2[stack])</f>
        <v>3000</v>
      </c>
      <c r="AC22" s="50">
        <f>SUM(T_p3p2[EQ])</f>
        <v>1</v>
      </c>
      <c r="AD22" s="51">
        <f>SUM(T_p3p2[ICM])</f>
        <v>0</v>
      </c>
      <c r="AE22" s="52">
        <f>SUM(T_p3p2[KO])</f>
        <v>6</v>
      </c>
      <c r="AF22" s="50">
        <f>SUM(T_p3p1[$stack])</f>
        <v>0</v>
      </c>
      <c r="AH22" s="53"/>
      <c r="AI22" s="55">
        <f>SUM(T_p4p1[stack])</f>
        <v>3000</v>
      </c>
      <c r="AJ22" s="50">
        <f>SUM(T_p4p1[EQ])</f>
        <v>1</v>
      </c>
      <c r="AK22" s="51">
        <f>SUM(T_p4p1[ICM])</f>
        <v>0</v>
      </c>
      <c r="AL22" s="52">
        <f>SUM(T_p4p1[KO])</f>
        <v>6</v>
      </c>
      <c r="AM22" s="51">
        <f>SUM(T_p4p1[$stack])</f>
        <v>0</v>
      </c>
      <c r="AO22" s="53"/>
      <c r="AP22" s="55">
        <f>SUM(T_p4p2[stack])</f>
        <v>3000</v>
      </c>
      <c r="AQ22" s="50">
        <f>SUM(T_p4p2[EQ])</f>
        <v>0.99999999999999989</v>
      </c>
      <c r="AR22" s="51">
        <f>SUM(T_p4p2[ICM])</f>
        <v>0</v>
      </c>
      <c r="AS22" s="52">
        <f>SUM(T_p4p2[KO])</f>
        <v>6</v>
      </c>
      <c r="AT22" s="51">
        <f>SUM(T_p4p2[$stack])</f>
        <v>0</v>
      </c>
      <c r="AV22" s="53"/>
      <c r="AW22" s="55">
        <f>SUM(T_p4p3p1[stack])</f>
        <v>3000</v>
      </c>
      <c r="AX22" s="50">
        <f>SUM(T_p4p3p1[EQ])</f>
        <v>1.0001</v>
      </c>
      <c r="AY22" s="51">
        <f>SUM(T_p4p3p1[ICM])</f>
        <v>0</v>
      </c>
      <c r="AZ22" s="52">
        <f>SUM(T_p4p3p1[KO])</f>
        <v>6</v>
      </c>
      <c r="BA22" s="51">
        <f>SUM(T_p4p3p1[$stack])</f>
        <v>0</v>
      </c>
      <c r="BC22" s="53"/>
      <c r="BD22" s="55">
        <f>SUM(T_p4p3p2[stack])</f>
        <v>3000</v>
      </c>
      <c r="BE22" s="50">
        <f>SUM(T_p4p3p2[EQ])</f>
        <v>0.99990000000000012</v>
      </c>
      <c r="BF22" s="51">
        <f>SUM(T_p4p3p2[ICM])</f>
        <v>0</v>
      </c>
      <c r="BG22" s="52">
        <f>SUM(T_p4p3p2[KO])</f>
        <v>6</v>
      </c>
      <c r="BH22" s="51">
        <f>SUM(T_p4p3p2[$stack])</f>
        <v>0</v>
      </c>
      <c r="BJ22" s="53"/>
      <c r="BK22" s="55">
        <f>SUM(T_fact[stack])</f>
        <v>3000</v>
      </c>
      <c r="BL22" s="50">
        <f>SUM(T_fact[EQ])</f>
        <v>1</v>
      </c>
      <c r="BM22" s="51">
        <f>SUM(T_fact[ICM])</f>
        <v>0</v>
      </c>
      <c r="BN22" s="52">
        <f>SUM(T_fact[KO])</f>
        <v>6</v>
      </c>
      <c r="BO22" s="51">
        <f>SUM(T_fact[$stack])</f>
        <v>0</v>
      </c>
      <c r="BQ22" s="52">
        <f>SUM(T_EV_p3sp2[ICM])</f>
        <v>0</v>
      </c>
      <c r="BR22" s="52">
        <f>SUM(T_EV_p3sp2[KO])</f>
        <v>0</v>
      </c>
      <c r="BS22" s="52">
        <f>SUM(T_EV_p3sp2[EV])</f>
        <v>0</v>
      </c>
      <c r="BT22" s="50">
        <f>SUM(T_EV_p3sp2[chipEV])</f>
        <v>3000</v>
      </c>
      <c r="BW22" s="52">
        <f>SUM(T_EV_p4p3sp2[ICM])</f>
        <v>0</v>
      </c>
      <c r="BX22" s="52">
        <f>SUM(T_EV_p4p3sp2[KO])</f>
        <v>0</v>
      </c>
      <c r="BY22" s="52">
        <f>SUM(T_EV_p4p3sp2[EV])</f>
        <v>0</v>
      </c>
      <c r="BZ22" s="50">
        <f>SUM(T_EV_p4p3sp2[chipEV])</f>
        <v>3000</v>
      </c>
      <c r="CC22" s="52">
        <f>SUM(T_EV_p4sp1[ICM])</f>
        <v>0</v>
      </c>
      <c r="CD22" s="52">
        <f>SUM(T_EV_p4sp1[KO])</f>
        <v>0</v>
      </c>
      <c r="CE22" s="52">
        <f>SUM(T_EV_p4sp1[EV])</f>
        <v>0</v>
      </c>
      <c r="CF22" s="50">
        <f>SUM(T_EV_p4sp1[chipEV])</f>
        <v>3000</v>
      </c>
      <c r="CI22" s="52">
        <f>SUM(T_EV[ICM])</f>
        <v>0</v>
      </c>
      <c r="CJ22" s="52">
        <f>SUM(T_EV[KO])</f>
        <v>0</v>
      </c>
      <c r="CK22" s="52">
        <f>SUM(T_EV[EV])</f>
        <v>0</v>
      </c>
      <c r="CL22" s="50">
        <f>SUM(T_EV[chipEV])</f>
        <v>3000</v>
      </c>
    </row>
    <row r="38" spans="2:4" x14ac:dyDescent="0.25">
      <c r="C38" t="s">
        <v>118</v>
      </c>
    </row>
    <row r="39" spans="2:4" x14ac:dyDescent="0.25">
      <c r="C39" t="s">
        <v>120</v>
      </c>
    </row>
    <row r="40" spans="2:4" x14ac:dyDescent="0.25">
      <c r="C40" t="s">
        <v>122</v>
      </c>
    </row>
    <row r="43" spans="2:4" x14ac:dyDescent="0.25">
      <c r="C43" t="s">
        <v>126</v>
      </c>
    </row>
    <row r="45" spans="2:4" x14ac:dyDescent="0.25">
      <c r="B45" t="s">
        <v>129</v>
      </c>
    </row>
    <row r="46" spans="2:4" x14ac:dyDescent="0.25">
      <c r="B46" t="s">
        <v>131</v>
      </c>
    </row>
    <row r="47" spans="2:4" x14ac:dyDescent="0.25">
      <c r="C47" t="s">
        <v>133</v>
      </c>
    </row>
    <row r="48" spans="2:4" x14ac:dyDescent="0.25">
      <c r="D48" t="s">
        <v>135</v>
      </c>
    </row>
    <row r="49" spans="3:6" x14ac:dyDescent="0.25">
      <c r="C49" t="s">
        <v>137</v>
      </c>
    </row>
    <row r="50" spans="3:6" x14ac:dyDescent="0.25">
      <c r="D50" t="s">
        <v>135</v>
      </c>
    </row>
    <row r="51" spans="3:6" x14ac:dyDescent="0.25">
      <c r="C51" t="s">
        <v>140</v>
      </c>
    </row>
    <row r="52" spans="3:6" x14ac:dyDescent="0.25">
      <c r="D52" t="s">
        <v>142</v>
      </c>
    </row>
    <row r="53" spans="3:6" x14ac:dyDescent="0.25">
      <c r="D53" t="s">
        <v>144</v>
      </c>
      <c r="E53" t="s">
        <v>145</v>
      </c>
    </row>
    <row r="54" spans="3:6" x14ac:dyDescent="0.25">
      <c r="F54" t="s">
        <v>147</v>
      </c>
    </row>
    <row r="55" spans="3:6" x14ac:dyDescent="0.25">
      <c r="E55" t="s">
        <v>149</v>
      </c>
    </row>
    <row r="56" spans="3:6" x14ac:dyDescent="0.25">
      <c r="F56" t="s">
        <v>151</v>
      </c>
    </row>
    <row r="58" spans="3:6" x14ac:dyDescent="0.25">
      <c r="C58" t="s">
        <v>154</v>
      </c>
    </row>
    <row r="59" spans="3:6" x14ac:dyDescent="0.25">
      <c r="D59" t="s">
        <v>156</v>
      </c>
    </row>
    <row r="60" spans="3:6" x14ac:dyDescent="0.25">
      <c r="D60" t="s">
        <v>158</v>
      </c>
      <c r="E60" t="s">
        <v>145</v>
      </c>
    </row>
    <row r="61" spans="3:6" x14ac:dyDescent="0.25">
      <c r="F61" t="s">
        <v>160</v>
      </c>
    </row>
    <row r="62" spans="3:6" x14ac:dyDescent="0.25">
      <c r="E62" t="s">
        <v>149</v>
      </c>
    </row>
    <row r="63" spans="3:6" x14ac:dyDescent="0.25">
      <c r="F63" t="s">
        <v>163</v>
      </c>
    </row>
    <row r="64" spans="3:6" x14ac:dyDescent="0.25">
      <c r="E64" t="s">
        <v>165</v>
      </c>
    </row>
    <row r="65" spans="6:8" x14ac:dyDescent="0.25">
      <c r="F65" t="s">
        <v>167</v>
      </c>
    </row>
    <row r="66" spans="6:8" x14ac:dyDescent="0.25">
      <c r="F66" t="s">
        <v>144</v>
      </c>
    </row>
    <row r="67" spans="6:8" x14ac:dyDescent="0.25">
      <c r="G67" t="s">
        <v>145</v>
      </c>
    </row>
    <row r="68" spans="6:8" x14ac:dyDescent="0.25">
      <c r="H68" t="s">
        <v>147</v>
      </c>
    </row>
    <row r="69" spans="6:8" x14ac:dyDescent="0.25">
      <c r="G69" t="s">
        <v>149</v>
      </c>
    </row>
    <row r="70" spans="6:8" x14ac:dyDescent="0.25">
      <c r="H70" t="s">
        <v>151</v>
      </c>
    </row>
  </sheetData>
  <mergeCells count="28">
    <mergeCell ref="CI12:CL12"/>
    <mergeCell ref="CI13:CL13"/>
    <mergeCell ref="CI14:CL14"/>
    <mergeCell ref="BJ14:BN14"/>
    <mergeCell ref="BQ14:BT14"/>
    <mergeCell ref="BQ12:BT12"/>
    <mergeCell ref="BQ13:BT13"/>
    <mergeCell ref="BW12:BZ12"/>
    <mergeCell ref="BW13:BZ13"/>
    <mergeCell ref="BW14:BZ14"/>
    <mergeCell ref="CC12:CF12"/>
    <mergeCell ref="CC13:CF13"/>
    <mergeCell ref="CC14:CF14"/>
    <mergeCell ref="AH11:BG11"/>
    <mergeCell ref="AH12:BG12"/>
    <mergeCell ref="BW11:BZ11"/>
    <mergeCell ref="F14:J14"/>
    <mergeCell ref="M14:Q14"/>
    <mergeCell ref="T14:X14"/>
    <mergeCell ref="AA14:AE14"/>
    <mergeCell ref="T12:AE12"/>
    <mergeCell ref="T13:AE13"/>
    <mergeCell ref="BC14:BG14"/>
    <mergeCell ref="AV13:BG13"/>
    <mergeCell ref="AH14:AL14"/>
    <mergeCell ref="AO14:AS14"/>
    <mergeCell ref="AV14:AZ14"/>
    <mergeCell ref="AH13:AS13"/>
  </mergeCells>
  <pageMargins left="0.7" right="0.7" top="0.75" bottom="0.75" header="0.3" footer="0.3"/>
  <pageSetup paperSize="9" orientation="portrait" horizontalDpi="4294967293" verticalDpi="0" r:id="rId1"/>
  <legacyDrawing r:id="rId2"/>
  <tableParts count="14"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M2:N10"/>
  <sheetViews>
    <sheetView topLeftCell="L1" workbookViewId="0">
      <selection activeCell="N11" sqref="N11"/>
    </sheetView>
  </sheetViews>
  <sheetFormatPr defaultRowHeight="15" x14ac:dyDescent="0.25"/>
  <sheetData>
    <row r="2" spans="13:14" x14ac:dyDescent="0.25">
      <c r="M2" t="s">
        <v>511</v>
      </c>
    </row>
    <row r="3" spans="13:14" x14ac:dyDescent="0.25">
      <c r="N3" t="s">
        <v>512</v>
      </c>
    </row>
    <row r="4" spans="13:14" x14ac:dyDescent="0.25">
      <c r="N4" t="s">
        <v>513</v>
      </c>
    </row>
    <row r="5" spans="13:14" x14ac:dyDescent="0.25">
      <c r="N5" t="s">
        <v>514</v>
      </c>
    </row>
    <row r="6" spans="13:14" x14ac:dyDescent="0.25">
      <c r="N6" t="s">
        <v>515</v>
      </c>
    </row>
    <row r="7" spans="13:14" x14ac:dyDescent="0.25">
      <c r="N7" t="s">
        <v>516</v>
      </c>
    </row>
    <row r="8" spans="13:14" x14ac:dyDescent="0.25">
      <c r="N8" t="s">
        <v>517</v>
      </c>
    </row>
    <row r="9" spans="13:14" x14ac:dyDescent="0.25">
      <c r="N9" t="s">
        <v>518</v>
      </c>
    </row>
    <row r="10" spans="13:14" x14ac:dyDescent="0.25">
      <c r="N10" t="s">
        <v>519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30965F-3E55-48C9-A4F9-04BC255DDD4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17</vt:i4>
      </vt:variant>
      <vt:variant>
        <vt:lpstr>Именованные диапазоны</vt:lpstr>
      </vt:variant>
      <vt:variant>
        <vt:i4>231</vt:i4>
      </vt:variant>
    </vt:vector>
  </HeadingPairs>
  <TitlesOfParts>
    <vt:vector size="248" baseType="lpstr">
      <vt:lpstr>2way</vt:lpstr>
      <vt:lpstr>3w9h9s шалблон копия</vt:lpstr>
      <vt:lpstr>3w9h9s шалблон</vt:lpstr>
      <vt:lpstr>3wKs2s Ден v2</vt:lpstr>
      <vt:lpstr>3w Ac5c Ден</vt:lpstr>
      <vt:lpstr>3w 98s v2</vt:lpstr>
      <vt:lpstr>3w KsJs Ден v2 </vt:lpstr>
      <vt:lpstr>3w 8h8c Ден</vt:lpstr>
      <vt:lpstr>3w 5h5c Ден</vt:lpstr>
      <vt:lpstr>3w Kc5c Ден</vt:lpstr>
      <vt:lpstr>3w postflop 9c7s Ден v2</vt:lpstr>
      <vt:lpstr>3wKhQs</vt:lpstr>
      <vt:lpstr>3wAdKd</vt:lpstr>
      <vt:lpstr>3wAh9s</vt:lpstr>
      <vt:lpstr>3way</vt:lpstr>
      <vt:lpstr>4way</vt:lpstr>
      <vt:lpstr>Sheet2</vt:lpstr>
      <vt:lpstr>asdasd</vt:lpstr>
      <vt:lpstr>bounty</vt:lpstr>
      <vt:lpstr>'3w 5h5c Ден'!chips</vt:lpstr>
      <vt:lpstr>'3w 8h8c Ден'!chips</vt:lpstr>
      <vt:lpstr>'3w 98s v2'!chips</vt:lpstr>
      <vt:lpstr>'3w Ac5c Ден'!chips</vt:lpstr>
      <vt:lpstr>'3w Kc5c Ден'!chips</vt:lpstr>
      <vt:lpstr>'3w KsJs Ден v2 '!chips</vt:lpstr>
      <vt:lpstr>'3w postflop 9c7s Ден v2'!chips</vt:lpstr>
      <vt:lpstr>'3w9h9s шалблон'!chips</vt:lpstr>
      <vt:lpstr>'3w9h9s шалблон копия'!chips</vt:lpstr>
      <vt:lpstr>'3wAdKd'!chips</vt:lpstr>
      <vt:lpstr>'3wAh9s'!chips</vt:lpstr>
      <vt:lpstr>'3wKhQs'!chips</vt:lpstr>
      <vt:lpstr>'3wKs2s Ден v2'!chips</vt:lpstr>
      <vt:lpstr>'4way'!chips</vt:lpstr>
      <vt:lpstr>chips</vt:lpstr>
      <vt:lpstr>KO</vt:lpstr>
      <vt:lpstr>'3w 5h5c Ден'!mainpot</vt:lpstr>
      <vt:lpstr>'3w 8h8c Ден'!mainpot</vt:lpstr>
      <vt:lpstr>'3w 98s v2'!mainpot</vt:lpstr>
      <vt:lpstr>'3w Ac5c Ден'!mainpot</vt:lpstr>
      <vt:lpstr>'3w Kc5c Ден'!mainpot</vt:lpstr>
      <vt:lpstr>'3w KsJs Ден v2 '!mainpot</vt:lpstr>
      <vt:lpstr>'3w postflop 9c7s Ден v2'!mainpot</vt:lpstr>
      <vt:lpstr>'3w9h9s шалблон'!mainpot</vt:lpstr>
      <vt:lpstr>'3w9h9s шалблон копия'!mainpot</vt:lpstr>
      <vt:lpstr>'3wAdKd'!mainpot</vt:lpstr>
      <vt:lpstr>'3wAh9s'!mainpot</vt:lpstr>
      <vt:lpstr>'3wKhQs'!mainpot</vt:lpstr>
      <vt:lpstr>'3wKs2s Ден v2'!mainpot</vt:lpstr>
      <vt:lpstr>mainpot</vt:lpstr>
      <vt:lpstr>'3w 5h5c Ден'!p1sp1win</vt:lpstr>
      <vt:lpstr>'3w 8h8c Ден'!p1sp1win</vt:lpstr>
      <vt:lpstr>'3w 98s v2'!p1sp1win</vt:lpstr>
      <vt:lpstr>'3w Ac5c Ден'!p1sp1win</vt:lpstr>
      <vt:lpstr>'3w Kc5c Ден'!p1sp1win</vt:lpstr>
      <vt:lpstr>'3w KsJs Ден v2 '!p1sp1win</vt:lpstr>
      <vt:lpstr>'3w postflop 9c7s Ден v2'!p1sp1win</vt:lpstr>
      <vt:lpstr>'3w9h9s шалблон'!p1sp1win</vt:lpstr>
      <vt:lpstr>'3w9h9s шалблон копия'!p1sp1win</vt:lpstr>
      <vt:lpstr>'3wAdKd'!p1sp1win</vt:lpstr>
      <vt:lpstr>'3wAh9s'!p1sp1win</vt:lpstr>
      <vt:lpstr>'3wKhQs'!p1sp1win</vt:lpstr>
      <vt:lpstr>'3wKs2s Ден v2'!p1sp1win</vt:lpstr>
      <vt:lpstr>p1sp1win</vt:lpstr>
      <vt:lpstr>'3wAdKd'!p1sp2win</vt:lpstr>
      <vt:lpstr>'3wAh9s'!p1sp2win</vt:lpstr>
      <vt:lpstr>'3wKhQs'!p1sp2win</vt:lpstr>
      <vt:lpstr>p1sp2win</vt:lpstr>
      <vt:lpstr>'3w 5h5c Ден'!p1spwin</vt:lpstr>
      <vt:lpstr>'3w 8h8c Ден'!p1spwin</vt:lpstr>
      <vt:lpstr>'3w 98s v2'!p1spwin</vt:lpstr>
      <vt:lpstr>'3w Ac5c Ден'!p1spwin</vt:lpstr>
      <vt:lpstr>'3w Kc5c Ден'!p1spwin</vt:lpstr>
      <vt:lpstr>'3w KsJs Ден v2 '!p1spwin</vt:lpstr>
      <vt:lpstr>'3w postflop 9c7s Ден v2'!p1spwin</vt:lpstr>
      <vt:lpstr>'3w9h9s шалблон'!p1spwin</vt:lpstr>
      <vt:lpstr>'3w9h9s шалблон копия'!p1spwin</vt:lpstr>
      <vt:lpstr>'3wAdKd'!p1spwin</vt:lpstr>
      <vt:lpstr>'3wAh9s'!p1spwin</vt:lpstr>
      <vt:lpstr>'3wKhQs'!p1spwin</vt:lpstr>
      <vt:lpstr>'3wKs2s Ден v2'!p1spwin</vt:lpstr>
      <vt:lpstr>'4way'!p1spwin</vt:lpstr>
      <vt:lpstr>p1spwin</vt:lpstr>
      <vt:lpstr>'3w 5h5c Ден'!p1win</vt:lpstr>
      <vt:lpstr>'3w 8h8c Ден'!p1win</vt:lpstr>
      <vt:lpstr>'3w 98s v2'!p1win</vt:lpstr>
      <vt:lpstr>'3w Ac5c Ден'!p1win</vt:lpstr>
      <vt:lpstr>'3w Kc5c Ден'!p1win</vt:lpstr>
      <vt:lpstr>'3w KsJs Ден v2 '!p1win</vt:lpstr>
      <vt:lpstr>'3w postflop 9c7s Ден v2'!p1win</vt:lpstr>
      <vt:lpstr>'3w9h9s шалблон'!p1win</vt:lpstr>
      <vt:lpstr>'3w9h9s шалблон копия'!p1win</vt:lpstr>
      <vt:lpstr>'3wAdKd'!p1win</vt:lpstr>
      <vt:lpstr>'3wAh9s'!p1win</vt:lpstr>
      <vt:lpstr>'3wKhQs'!p1win</vt:lpstr>
      <vt:lpstr>'3wKs2s Ден v2'!p1win</vt:lpstr>
      <vt:lpstr>'4way'!p1win</vt:lpstr>
      <vt:lpstr>p1win</vt:lpstr>
      <vt:lpstr>'3w 5h5c Ден'!p2sp1win</vt:lpstr>
      <vt:lpstr>'3w 8h8c Ден'!p2sp1win</vt:lpstr>
      <vt:lpstr>'3w 98s v2'!p2sp1win</vt:lpstr>
      <vt:lpstr>'3w Ac5c Ден'!p2sp1win</vt:lpstr>
      <vt:lpstr>'3w Kc5c Ден'!p2sp1win</vt:lpstr>
      <vt:lpstr>'3w KsJs Ден v2 '!p2sp1win</vt:lpstr>
      <vt:lpstr>'3w postflop 9c7s Ден v2'!p2sp1win</vt:lpstr>
      <vt:lpstr>'3w9h9s шалблон'!p2sp1win</vt:lpstr>
      <vt:lpstr>'3w9h9s шалблон копия'!p2sp1win</vt:lpstr>
      <vt:lpstr>'3wAdKd'!p2sp1win</vt:lpstr>
      <vt:lpstr>'3wAh9s'!p2sp1win</vt:lpstr>
      <vt:lpstr>'3wKhQs'!p2sp1win</vt:lpstr>
      <vt:lpstr>'3wKs2s Ден v2'!p2sp1win</vt:lpstr>
      <vt:lpstr>p2sp1win</vt:lpstr>
      <vt:lpstr>'3wAdKd'!p2sp2win</vt:lpstr>
      <vt:lpstr>'3wAh9s'!p2sp2win</vt:lpstr>
      <vt:lpstr>'3wKhQs'!p2sp2win</vt:lpstr>
      <vt:lpstr>p2sp2win</vt:lpstr>
      <vt:lpstr>'3w 5h5c Ден'!p2spwin</vt:lpstr>
      <vt:lpstr>'3w 8h8c Ден'!p2spwin</vt:lpstr>
      <vt:lpstr>'3w 98s v2'!p2spwin</vt:lpstr>
      <vt:lpstr>'3w Ac5c Ден'!p2spwin</vt:lpstr>
      <vt:lpstr>'3w Kc5c Ден'!p2spwin</vt:lpstr>
      <vt:lpstr>'3w KsJs Ден v2 '!p2spwin</vt:lpstr>
      <vt:lpstr>'3w postflop 9c7s Ден v2'!p2spwin</vt:lpstr>
      <vt:lpstr>'3w9h9s шалблон'!p2spwin</vt:lpstr>
      <vt:lpstr>'3w9h9s шалблон копия'!p2spwin</vt:lpstr>
      <vt:lpstr>'3wAdKd'!p2spwin</vt:lpstr>
      <vt:lpstr>'3wAh9s'!p2spwin</vt:lpstr>
      <vt:lpstr>'3wKhQs'!p2spwin</vt:lpstr>
      <vt:lpstr>'3wKs2s Ден v2'!p2spwin</vt:lpstr>
      <vt:lpstr>'4way'!p2spwin</vt:lpstr>
      <vt:lpstr>p2spwin</vt:lpstr>
      <vt:lpstr>'3w 5h5c Ден'!p2win</vt:lpstr>
      <vt:lpstr>'3w 8h8c Ден'!p2win</vt:lpstr>
      <vt:lpstr>'3w 98s v2'!p2win</vt:lpstr>
      <vt:lpstr>'3w Ac5c Ден'!p2win</vt:lpstr>
      <vt:lpstr>'3w Kc5c Ден'!p2win</vt:lpstr>
      <vt:lpstr>'3w KsJs Ден v2 '!p2win</vt:lpstr>
      <vt:lpstr>'3w postflop 9c7s Ден v2'!p2win</vt:lpstr>
      <vt:lpstr>'3w9h9s шалблон'!p2win</vt:lpstr>
      <vt:lpstr>'3w9h9s шалблон копия'!p2win</vt:lpstr>
      <vt:lpstr>'3wAdKd'!p2win</vt:lpstr>
      <vt:lpstr>'3wAh9s'!p2win</vt:lpstr>
      <vt:lpstr>'3wKhQs'!p2win</vt:lpstr>
      <vt:lpstr>'3wKs2s Ден v2'!p2win</vt:lpstr>
      <vt:lpstr>'4way'!p2win</vt:lpstr>
      <vt:lpstr>p2win</vt:lpstr>
      <vt:lpstr>'3w 5h5c Ден'!p3sp1win</vt:lpstr>
      <vt:lpstr>'3w 8h8c Ден'!p3sp1win</vt:lpstr>
      <vt:lpstr>'3w 98s v2'!p3sp1win</vt:lpstr>
      <vt:lpstr>'3w Ac5c Ден'!p3sp1win</vt:lpstr>
      <vt:lpstr>'3w Kc5c Ден'!p3sp1win</vt:lpstr>
      <vt:lpstr>'3w KsJs Ден v2 '!p3sp1win</vt:lpstr>
      <vt:lpstr>'3w postflop 9c7s Ден v2'!p3sp1win</vt:lpstr>
      <vt:lpstr>'3w9h9s шалблон'!p3sp1win</vt:lpstr>
      <vt:lpstr>'3w9h9s шалблон копия'!p3sp1win</vt:lpstr>
      <vt:lpstr>'3wAdKd'!p3sp1win</vt:lpstr>
      <vt:lpstr>'3wAh9s'!p3sp1win</vt:lpstr>
      <vt:lpstr>'3wKhQs'!p3sp1win</vt:lpstr>
      <vt:lpstr>'3wKs2s Ден v2'!p3sp1win</vt:lpstr>
      <vt:lpstr>p3sp1win</vt:lpstr>
      <vt:lpstr>'3w 5h5c Ден'!p3win</vt:lpstr>
      <vt:lpstr>'3w 8h8c Ден'!p3win</vt:lpstr>
      <vt:lpstr>'3w 98s v2'!p3win</vt:lpstr>
      <vt:lpstr>'3w Ac5c Ден'!p3win</vt:lpstr>
      <vt:lpstr>'3w Kc5c Ден'!p3win</vt:lpstr>
      <vt:lpstr>'3w KsJs Ден v2 '!p3win</vt:lpstr>
      <vt:lpstr>'3w postflop 9c7s Ден v2'!p3win</vt:lpstr>
      <vt:lpstr>'3w9h9s шалблон'!p3win</vt:lpstr>
      <vt:lpstr>'3w9h9s шалблон копия'!p3win</vt:lpstr>
      <vt:lpstr>'3wAdKd'!p3win</vt:lpstr>
      <vt:lpstr>'3wAh9s'!p3win</vt:lpstr>
      <vt:lpstr>'3wKhQs'!p3win</vt:lpstr>
      <vt:lpstr>'3wKs2s Ден v2'!p3win</vt:lpstr>
      <vt:lpstr>'4way'!p3win</vt:lpstr>
      <vt:lpstr>p3win</vt:lpstr>
      <vt:lpstr>'3w 5h5c Ден'!p4win</vt:lpstr>
      <vt:lpstr>'3w 8h8c Ден'!p4win</vt:lpstr>
      <vt:lpstr>'3w 98s v2'!p4win</vt:lpstr>
      <vt:lpstr>'3w Ac5c Ден'!p4win</vt:lpstr>
      <vt:lpstr>'3w Kc5c Ден'!p4win</vt:lpstr>
      <vt:lpstr>'3w KsJs Ден v2 '!p4win</vt:lpstr>
      <vt:lpstr>'3w postflop 9c7s Ден v2'!p4win</vt:lpstr>
      <vt:lpstr>'3w9h9s шалблон'!p4win</vt:lpstr>
      <vt:lpstr>'3w9h9s шалблон копия'!p4win</vt:lpstr>
      <vt:lpstr>'3wAdKd'!p4win</vt:lpstr>
      <vt:lpstr>'3wAh9s'!p4win</vt:lpstr>
      <vt:lpstr>'3wKhQs'!p4win</vt:lpstr>
      <vt:lpstr>'3wKs2s Ден v2'!p4win</vt:lpstr>
      <vt:lpstr>p4win</vt:lpstr>
      <vt:lpstr>'3w 5h5c Ден'!prize</vt:lpstr>
      <vt:lpstr>'3w 8h8c Ден'!prize</vt:lpstr>
      <vt:lpstr>'3w 98s v2'!prize</vt:lpstr>
      <vt:lpstr>'3w Ac5c Ден'!prize</vt:lpstr>
      <vt:lpstr>'3w Kc5c Ден'!prize</vt:lpstr>
      <vt:lpstr>'3w KsJs Ден v2 '!prize</vt:lpstr>
      <vt:lpstr>'3w postflop 9c7s Ден v2'!prize</vt:lpstr>
      <vt:lpstr>'3w9h9s шалблон'!prize</vt:lpstr>
      <vt:lpstr>'3w9h9s шалблон копия'!prize</vt:lpstr>
      <vt:lpstr>'3wAdKd'!prize</vt:lpstr>
      <vt:lpstr>'3wAh9s'!prize</vt:lpstr>
      <vt:lpstr>'3wKhQs'!prize</vt:lpstr>
      <vt:lpstr>'3wKs2s Ден v2'!prize</vt:lpstr>
      <vt:lpstr>'4way'!prize</vt:lpstr>
      <vt:lpstr>prize</vt:lpstr>
      <vt:lpstr>qweqwe</vt:lpstr>
      <vt:lpstr>'3w 5h5c Ден'!sidepot1</vt:lpstr>
      <vt:lpstr>'3w 8h8c Ден'!sidepot1</vt:lpstr>
      <vt:lpstr>'3w 98s v2'!sidepot1</vt:lpstr>
      <vt:lpstr>'3w Ac5c Ден'!sidepot1</vt:lpstr>
      <vt:lpstr>'3w Kc5c Ден'!sidepot1</vt:lpstr>
      <vt:lpstr>'3w KsJs Ден v2 '!sidepot1</vt:lpstr>
      <vt:lpstr>'3w postflop 9c7s Ден v2'!sidepot1</vt:lpstr>
      <vt:lpstr>'3w9h9s шалблон'!sidepot1</vt:lpstr>
      <vt:lpstr>'3w9h9s шалблон копия'!sidepot1</vt:lpstr>
      <vt:lpstr>'3wAdKd'!sidepot1</vt:lpstr>
      <vt:lpstr>'3wAh9s'!sidepot1</vt:lpstr>
      <vt:lpstr>'3wKhQs'!sidepot1</vt:lpstr>
      <vt:lpstr>'3wKs2s Ден v2'!sidepot1</vt:lpstr>
      <vt:lpstr>sidepot1</vt:lpstr>
      <vt:lpstr>'3w 5h5c Ден'!sidepot2</vt:lpstr>
      <vt:lpstr>'3w 8h8c Ден'!sidepot2</vt:lpstr>
      <vt:lpstr>'3w 98s v2'!sidepot2</vt:lpstr>
      <vt:lpstr>'3w Ac5c Ден'!sidepot2</vt:lpstr>
      <vt:lpstr>'3w Kc5c Ден'!sidepot2</vt:lpstr>
      <vt:lpstr>'3w KsJs Ден v2 '!sidepot2</vt:lpstr>
      <vt:lpstr>'3w postflop 9c7s Ден v2'!sidepot2</vt:lpstr>
      <vt:lpstr>'3w9h9s шалблон'!sidepot2</vt:lpstr>
      <vt:lpstr>'3w9h9s шалблон копия'!sidepot2</vt:lpstr>
      <vt:lpstr>'3wAdKd'!sidepot2</vt:lpstr>
      <vt:lpstr>'3wAh9s'!sidepot2</vt:lpstr>
      <vt:lpstr>'3wKhQs'!sidepot2</vt:lpstr>
      <vt:lpstr>'3wKs2s Ден v2'!sidepot2</vt:lpstr>
      <vt:lpstr>sidepot2</vt:lpstr>
      <vt:lpstr>sss</vt:lpstr>
      <vt:lpstr>T4pwinsp1</vt:lpstr>
      <vt:lpstr>'3w 5h5c Ден'!uncalled</vt:lpstr>
      <vt:lpstr>'3w 8h8c Ден'!uncalled</vt:lpstr>
      <vt:lpstr>'3w 98s v2'!uncalled</vt:lpstr>
      <vt:lpstr>'3w Ac5c Ден'!uncalled</vt:lpstr>
      <vt:lpstr>'3w Kc5c Ден'!uncalled</vt:lpstr>
      <vt:lpstr>'3w KsJs Ден v2 '!uncalled</vt:lpstr>
      <vt:lpstr>'3w postflop 9c7s Ден v2'!uncalled</vt:lpstr>
      <vt:lpstr>'3w9h9s шалблон'!uncalled</vt:lpstr>
      <vt:lpstr>'3w9h9s шалблон копия'!uncalled</vt:lpstr>
      <vt:lpstr>'3wAdKd'!uncalled</vt:lpstr>
      <vt:lpstr>'3wAh9s'!uncalled</vt:lpstr>
      <vt:lpstr>'3wKhQs'!uncalled</vt:lpstr>
      <vt:lpstr>'3wKs2s Ден v2'!uncalled</vt:lpstr>
      <vt:lpstr>uncalled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Anton Andryukhov</cp:lastModifiedBy>
  <cp:revision/>
  <dcterms:created xsi:type="dcterms:W3CDTF">2018-02-19T11:11:03Z</dcterms:created>
  <dcterms:modified xsi:type="dcterms:W3CDTF">2020-12-30T12:47:00Z</dcterms:modified>
  <cp:category/>
  <cp:contentStatus/>
</cp:coreProperties>
</file>