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1" documentId="8_{4E02DA48-9E1C-4B3C-9AFD-32E322B38594}" xr6:coauthVersionLast="46" xr6:coauthVersionMax="46" xr10:uidLastSave="{76E5F12F-9C39-47AE-A99D-4BF308848E82}"/>
  <bookViews>
    <workbookView xWindow="165" yWindow="2460" windowWidth="23310" windowHeight="14970" xr2:uid="{A9BE2B81-C2E8-43AD-B9FD-0DDCC44767B2}"/>
  </bookViews>
  <sheets>
    <sheet name="3way template" sheetId="1" r:id="rId1"/>
  </sheets>
  <externalReferences>
    <externalReference r:id="rId2"/>
  </externalReferences>
  <definedNames>
    <definedName name="bounty">'[1]2way'!$E$2</definedName>
    <definedName name="chips" localSheetId="0">'3way template'!$D$3</definedName>
    <definedName name="chips">'[1]3way'!$D$3</definedName>
    <definedName name="mainpot" localSheetId="0">'3way template'!$J$1</definedName>
    <definedName name="mainpot">'[1]4way'!$T$1</definedName>
    <definedName name="p1sp1win" localSheetId="0">'3way template'!#REF!</definedName>
    <definedName name="p1sp1win">'[1]4way'!$J$1</definedName>
    <definedName name="p1sp2win" localSheetId="0">'3way template'!#REF!</definedName>
    <definedName name="p1sp2win">'[1]4way'!$O$1</definedName>
    <definedName name="p1spwin" localSheetId="0">'3way template'!#REF!</definedName>
    <definedName name="p1spwin">'[1]3way'!$J$1</definedName>
    <definedName name="p1win" localSheetId="0">'3way template'!#REF!</definedName>
    <definedName name="p1win">'[1]3way'!$G$1</definedName>
    <definedName name="p2sp1win" localSheetId="0">'3way template'!#REF!</definedName>
    <definedName name="p2sp1win">'[1]4way'!$J$2</definedName>
    <definedName name="p2sp2win" localSheetId="0">'3way template'!#REF!</definedName>
    <definedName name="p2sp2win">'[1]4way'!$O$2</definedName>
    <definedName name="p2spwin" localSheetId="0">'3way template'!#REF!</definedName>
    <definedName name="p2win" localSheetId="0">'3way template'!#REF!</definedName>
    <definedName name="p2win">'[1]3way'!$G$2</definedName>
    <definedName name="p3sp1win" localSheetId="0">'3way template'!#REF!</definedName>
    <definedName name="p3sp1win">'[1]4way'!$J$3</definedName>
    <definedName name="p3win" localSheetId="0">'3way template'!#REF!</definedName>
    <definedName name="p3win">'[1]3way'!$G$3</definedName>
    <definedName name="p4win" localSheetId="0">'3way template'!$G$4</definedName>
    <definedName name="p4win">'[1]4way'!$G$4</definedName>
    <definedName name="prize" localSheetId="0">'3way template'!$D$1</definedName>
    <definedName name="prize">'[1]3way'!$D$1</definedName>
    <definedName name="sidepot1" localSheetId="0">'3way template'!$J$2</definedName>
    <definedName name="sidepot1">'[1]4way'!$T$2</definedName>
    <definedName name="sidepot2" localSheetId="0">'3way template'!$J$3</definedName>
    <definedName name="sidepot2">'[1]4way'!$T$3</definedName>
    <definedName name="T4pwinsp1" localSheetId="0">'3way template'!#REF!</definedName>
    <definedName name="tie" localSheetId="0">'3way template'!$G$5</definedName>
    <definedName name="tie">'[1]3way шаблон ничьи'!$G$5</definedName>
    <definedName name="tiesp1" localSheetId="0">'3way template'!#REF!</definedName>
    <definedName name="tiesp1">'[1]3way шаблон ничьи'!$J$4</definedName>
    <definedName name="uncalled" localSheetId="0">'3way template'!$J$4</definedName>
    <definedName name="uncalled">'[1]4way'!$T$4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5" i="1" l="1"/>
  <c r="BL25" i="1"/>
  <c r="BE25" i="1"/>
  <c r="AX25" i="1"/>
  <c r="AQ25" i="1"/>
  <c r="AJ25" i="1"/>
  <c r="AC25" i="1"/>
  <c r="V25" i="1"/>
  <c r="O25" i="1"/>
  <c r="H25" i="1"/>
  <c r="D25" i="1"/>
  <c r="BR24" i="1"/>
  <c r="BU24" i="1" s="1"/>
  <c r="BK24" i="1"/>
  <c r="BD24" i="1"/>
  <c r="CB24" i="1" s="1"/>
  <c r="CE24" i="1" s="1"/>
  <c r="AW24" i="1"/>
  <c r="AP24" i="1"/>
  <c r="AI24" i="1"/>
  <c r="AB24" i="1"/>
  <c r="U24" i="1"/>
  <c r="N24" i="1"/>
  <c r="G24" i="1"/>
  <c r="BR23" i="1"/>
  <c r="CC23" i="1" s="1"/>
  <c r="BK23" i="1"/>
  <c r="BD23" i="1"/>
  <c r="AW23" i="1"/>
  <c r="CB23" i="1" s="1"/>
  <c r="CE23" i="1" s="1"/>
  <c r="AP23" i="1"/>
  <c r="AI23" i="1"/>
  <c r="AB23" i="1"/>
  <c r="U23" i="1"/>
  <c r="N23" i="1"/>
  <c r="G23" i="1"/>
  <c r="BR22" i="1"/>
  <c r="BU22" i="1" s="1"/>
  <c r="BK22" i="1"/>
  <c r="BD22" i="1"/>
  <c r="AW22" i="1"/>
  <c r="AP22" i="1"/>
  <c r="AI22" i="1"/>
  <c r="AD22" i="1"/>
  <c r="AB22" i="1"/>
  <c r="AA19" i="1" s="1"/>
  <c r="AE19" i="1" s="1"/>
  <c r="U22" i="1"/>
  <c r="N22" i="1"/>
  <c r="G22" i="1"/>
  <c r="BR21" i="1"/>
  <c r="CC21" i="1" s="1"/>
  <c r="BM21" i="1"/>
  <c r="BK21" i="1"/>
  <c r="BD21" i="1"/>
  <c r="AW21" i="1"/>
  <c r="AP21" i="1"/>
  <c r="AI21" i="1"/>
  <c r="AB21" i="1"/>
  <c r="AA21" i="1"/>
  <c r="AE21" i="1" s="1"/>
  <c r="U21" i="1"/>
  <c r="N21" i="1"/>
  <c r="G21" i="1"/>
  <c r="BT20" i="1"/>
  <c r="BR20" i="1"/>
  <c r="BU20" i="1" s="1"/>
  <c r="BK20" i="1"/>
  <c r="BJ20" i="1"/>
  <c r="BN20" i="1" s="1"/>
  <c r="BD20" i="1"/>
  <c r="CB20" i="1" s="1"/>
  <c r="CE20" i="1" s="1"/>
  <c r="AW20" i="1"/>
  <c r="AP20" i="1"/>
  <c r="AI20" i="1"/>
  <c r="AB20" i="1"/>
  <c r="AA20" i="1"/>
  <c r="AE20" i="1" s="1"/>
  <c r="W20" i="1"/>
  <c r="U20" i="1"/>
  <c r="N20" i="1"/>
  <c r="G20" i="1"/>
  <c r="BR19" i="1"/>
  <c r="BR25" i="1" s="1"/>
  <c r="BK19" i="1"/>
  <c r="BJ21" i="1" s="1"/>
  <c r="BN21" i="1" s="1"/>
  <c r="BJ19" i="1"/>
  <c r="BN19" i="1" s="1"/>
  <c r="BF19" i="1"/>
  <c r="BD19" i="1"/>
  <c r="BD25" i="1" s="1"/>
  <c r="AW19" i="1"/>
  <c r="AV24" i="1" s="1"/>
  <c r="AZ24" i="1" s="1"/>
  <c r="AV19" i="1"/>
  <c r="AZ19" i="1" s="1"/>
  <c r="AP19" i="1"/>
  <c r="AO21" i="1" s="1"/>
  <c r="AS21" i="1" s="1"/>
  <c r="AK19" i="1"/>
  <c r="AI19" i="1"/>
  <c r="AI25" i="1" s="1"/>
  <c r="AD19" i="1"/>
  <c r="AB19" i="1"/>
  <c r="W19" i="1"/>
  <c r="U19" i="1"/>
  <c r="T24" i="1" s="1"/>
  <c r="X24" i="1" s="1"/>
  <c r="P19" i="1"/>
  <c r="N19" i="1"/>
  <c r="N25" i="1" s="1"/>
  <c r="G19" i="1"/>
  <c r="F22" i="1" s="1"/>
  <c r="J22" i="1" s="1"/>
  <c r="G3" i="1"/>
  <c r="G2" i="1"/>
  <c r="D2" i="1"/>
  <c r="G1" i="1"/>
  <c r="D1" i="1"/>
  <c r="BT24" i="1" s="1"/>
  <c r="BC20" i="1" l="1"/>
  <c r="BG20" i="1" s="1"/>
  <c r="CC24" i="1"/>
  <c r="T19" i="1"/>
  <c r="X19" i="1" s="1"/>
  <c r="CC19" i="1"/>
  <c r="BJ23" i="1"/>
  <c r="BN23" i="1" s="1"/>
  <c r="T21" i="1"/>
  <c r="X21" i="1" s="1"/>
  <c r="AA22" i="1"/>
  <c r="AE22" i="1" s="1"/>
  <c r="CB22" i="1"/>
  <c r="CE22" i="1" s="1"/>
  <c r="AA24" i="1"/>
  <c r="AE24" i="1" s="1"/>
  <c r="AV20" i="1"/>
  <c r="AZ20" i="1" s="1"/>
  <c r="CB21" i="1"/>
  <c r="CE21" i="1" s="1"/>
  <c r="CD21" i="1" s="1"/>
  <c r="BO21" i="1"/>
  <c r="CD24" i="1"/>
  <c r="BV20" i="1"/>
  <c r="AF22" i="1"/>
  <c r="CD23" i="1"/>
  <c r="BV24" i="1"/>
  <c r="AR21" i="1"/>
  <c r="AT21" i="1" s="1"/>
  <c r="I22" i="1"/>
  <c r="K22" i="1" s="1"/>
  <c r="AO23" i="1"/>
  <c r="AS23" i="1" s="1"/>
  <c r="F24" i="1"/>
  <c r="J24" i="1" s="1"/>
  <c r="AY24" i="1"/>
  <c r="BT19" i="1"/>
  <c r="M20" i="1"/>
  <c r="Q20" i="1" s="1"/>
  <c r="BZ20" i="1" s="1"/>
  <c r="BF20" i="1"/>
  <c r="BH20" i="1" s="1"/>
  <c r="CC20" i="1"/>
  <c r="CD20" i="1" s="1"/>
  <c r="W21" i="1"/>
  <c r="Y21" i="1" s="1"/>
  <c r="BC22" i="1"/>
  <c r="BG22" i="1" s="1"/>
  <c r="T23" i="1"/>
  <c r="X23" i="1" s="1"/>
  <c r="BM23" i="1"/>
  <c r="BO23" i="1" s="1"/>
  <c r="AD24" i="1"/>
  <c r="AF24" i="1" s="1"/>
  <c r="BU19" i="1"/>
  <c r="AK20" i="1"/>
  <c r="AH22" i="1"/>
  <c r="AL22" i="1" s="1"/>
  <c r="AR23" i="1"/>
  <c r="AT23" i="1" s="1"/>
  <c r="I24" i="1"/>
  <c r="K24" i="1" s="1"/>
  <c r="BK25" i="1"/>
  <c r="AH20" i="1"/>
  <c r="AL20" i="1" s="1"/>
  <c r="Y19" i="1"/>
  <c r="F19" i="1"/>
  <c r="J19" i="1" s="1"/>
  <c r="AY19" i="1"/>
  <c r="P20" i="1"/>
  <c r="AV21" i="1"/>
  <c r="AZ21" i="1" s="1"/>
  <c r="BT21" i="1"/>
  <c r="BV21" i="1" s="1"/>
  <c r="M22" i="1"/>
  <c r="Q22" i="1" s="1"/>
  <c r="BF22" i="1"/>
  <c r="CC22" i="1"/>
  <c r="CD22" i="1" s="1"/>
  <c r="W23" i="1"/>
  <c r="BC24" i="1"/>
  <c r="BG24" i="1" s="1"/>
  <c r="AP25" i="1"/>
  <c r="BU21" i="1"/>
  <c r="AK22" i="1"/>
  <c r="AM22" i="1" s="1"/>
  <c r="AH24" i="1"/>
  <c r="AL24" i="1" s="1"/>
  <c r="U25" i="1"/>
  <c r="AY21" i="1"/>
  <c r="P22" i="1"/>
  <c r="AV23" i="1"/>
  <c r="AZ23" i="1" s="1"/>
  <c r="BT23" i="1"/>
  <c r="BV23" i="1" s="1"/>
  <c r="M24" i="1"/>
  <c r="Q24" i="1" s="1"/>
  <c r="BF24" i="1"/>
  <c r="BH24" i="1" s="1"/>
  <c r="I19" i="1"/>
  <c r="AO20" i="1"/>
  <c r="AS20" i="1" s="1"/>
  <c r="F21" i="1"/>
  <c r="J21" i="1" s="1"/>
  <c r="AF19" i="1"/>
  <c r="BC19" i="1"/>
  <c r="BG19" i="1" s="1"/>
  <c r="T20" i="1"/>
  <c r="X20" i="1" s="1"/>
  <c r="Y20" i="1" s="1"/>
  <c r="BM20" i="1"/>
  <c r="BO20" i="1" s="1"/>
  <c r="AD21" i="1"/>
  <c r="AF21" i="1" s="1"/>
  <c r="BJ22" i="1"/>
  <c r="BN22" i="1" s="1"/>
  <c r="BN25" i="1" s="1"/>
  <c r="AA23" i="1"/>
  <c r="AE23" i="1" s="1"/>
  <c r="AE25" i="1" s="1"/>
  <c r="BU23" i="1"/>
  <c r="AK24" i="1"/>
  <c r="AM24" i="1" s="1"/>
  <c r="AH19" i="1"/>
  <c r="AL19" i="1" s="1"/>
  <c r="CB19" i="1"/>
  <c r="AR20" i="1"/>
  <c r="AT20" i="1" s="1"/>
  <c r="I21" i="1"/>
  <c r="K21" i="1" s="1"/>
  <c r="AO22" i="1"/>
  <c r="AS22" i="1" s="1"/>
  <c r="F23" i="1"/>
  <c r="J23" i="1" s="1"/>
  <c r="AY23" i="1"/>
  <c r="P24" i="1"/>
  <c r="M19" i="1"/>
  <c r="Q19" i="1" s="1"/>
  <c r="R19" i="1" s="1"/>
  <c r="BC21" i="1"/>
  <c r="BG21" i="1" s="1"/>
  <c r="T22" i="1"/>
  <c r="X22" i="1" s="1"/>
  <c r="BM22" i="1"/>
  <c r="AD23" i="1"/>
  <c r="AF23" i="1" s="1"/>
  <c r="BJ24" i="1"/>
  <c r="BN24" i="1" s="1"/>
  <c r="AW25" i="1"/>
  <c r="AH21" i="1"/>
  <c r="AL21" i="1" s="1"/>
  <c r="AR22" i="1"/>
  <c r="I23" i="1"/>
  <c r="K23" i="1" s="1"/>
  <c r="AO24" i="1"/>
  <c r="AS24" i="1" s="1"/>
  <c r="AB25" i="1"/>
  <c r="M21" i="1"/>
  <c r="Q21" i="1" s="1"/>
  <c r="BF21" i="1"/>
  <c r="W22" i="1"/>
  <c r="BC23" i="1"/>
  <c r="BG23" i="1" s="1"/>
  <c r="BM24" i="1"/>
  <c r="BO24" i="1" s="1"/>
  <c r="G25" i="1"/>
  <c r="AK21" i="1"/>
  <c r="AH23" i="1"/>
  <c r="AL23" i="1" s="1"/>
  <c r="AR24" i="1"/>
  <c r="AO19" i="1"/>
  <c r="AS19" i="1" s="1"/>
  <c r="F20" i="1"/>
  <c r="J20" i="1" s="1"/>
  <c r="AY20" i="1"/>
  <c r="P21" i="1"/>
  <c r="AV22" i="1"/>
  <c r="AZ22" i="1" s="1"/>
  <c r="BZ22" i="1" s="1"/>
  <c r="BT22" i="1"/>
  <c r="BV22" i="1" s="1"/>
  <c r="M23" i="1"/>
  <c r="Q23" i="1" s="1"/>
  <c r="BF23" i="1"/>
  <c r="BH23" i="1" s="1"/>
  <c r="W24" i="1"/>
  <c r="Y24" i="1" s="1"/>
  <c r="BM19" i="1"/>
  <c r="AD20" i="1"/>
  <c r="AF20" i="1" s="1"/>
  <c r="AK23" i="1"/>
  <c r="AM23" i="1" s="1"/>
  <c r="AR19" i="1"/>
  <c r="I20" i="1"/>
  <c r="K20" i="1" s="1"/>
  <c r="AY22" i="1"/>
  <c r="P23" i="1"/>
  <c r="AZ25" i="1" l="1"/>
  <c r="R20" i="1"/>
  <c r="BO22" i="1"/>
  <c r="AK25" i="1"/>
  <c r="BZ24" i="1"/>
  <c r="I25" i="1"/>
  <c r="K19" i="1"/>
  <c r="K25" i="1" s="1"/>
  <c r="BZ21" i="1"/>
  <c r="AD25" i="1"/>
  <c r="CB25" i="1"/>
  <c r="CE19" i="1"/>
  <c r="CD19" i="1" s="1"/>
  <c r="R21" i="1"/>
  <c r="AT22" i="1"/>
  <c r="AM19" i="1"/>
  <c r="AL25" i="1"/>
  <c r="BZ23" i="1"/>
  <c r="AY25" i="1"/>
  <c r="BY19" i="1"/>
  <c r="BY25" i="1" s="1"/>
  <c r="BA19" i="1"/>
  <c r="BA20" i="1"/>
  <c r="CA20" i="1" s="1"/>
  <c r="CF20" i="1" s="1"/>
  <c r="BY20" i="1"/>
  <c r="R22" i="1"/>
  <c r="J25" i="1"/>
  <c r="BA21" i="1"/>
  <c r="BY21" i="1"/>
  <c r="AS25" i="1"/>
  <c r="BT25" i="1"/>
  <c r="BV19" i="1"/>
  <c r="BV25" i="1" s="1"/>
  <c r="BF25" i="1"/>
  <c r="R23" i="1"/>
  <c r="AT24" i="1"/>
  <c r="BA24" i="1"/>
  <c r="CA24" i="1" s="1"/>
  <c r="CF24" i="1" s="1"/>
  <c r="BY24" i="1"/>
  <c r="BA22" i="1"/>
  <c r="BY22" i="1"/>
  <c r="W25" i="1"/>
  <c r="AM21" i="1"/>
  <c r="AR25" i="1"/>
  <c r="AT19" i="1"/>
  <c r="Q25" i="1"/>
  <c r="BH19" i="1"/>
  <c r="BG25" i="1"/>
  <c r="AM20" i="1"/>
  <c r="X25" i="1"/>
  <c r="R24" i="1"/>
  <c r="AF25" i="1"/>
  <c r="Y23" i="1"/>
  <c r="BU25" i="1"/>
  <c r="BO19" i="1"/>
  <c r="BM25" i="1"/>
  <c r="Y22" i="1"/>
  <c r="BA23" i="1"/>
  <c r="BY23" i="1"/>
  <c r="P25" i="1"/>
  <c r="BH21" i="1"/>
  <c r="BH22" i="1"/>
  <c r="BZ19" i="1"/>
  <c r="BZ25" i="1" s="1"/>
  <c r="AM25" i="1" l="1"/>
  <c r="R25" i="1"/>
  <c r="Y25" i="1"/>
  <c r="CA22" i="1"/>
  <c r="CF22" i="1" s="1"/>
  <c r="BA25" i="1"/>
  <c r="BO25" i="1"/>
  <c r="CA19" i="1"/>
  <c r="BH25" i="1"/>
  <c r="AT25" i="1"/>
  <c r="CA21" i="1"/>
  <c r="CF21" i="1" s="1"/>
  <c r="CA23" i="1"/>
  <c r="CF23" i="1" s="1"/>
  <c r="CA25" i="1" l="1"/>
  <c r="C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tc={75B2911D-7C09-4257-813C-B6E3798DA6BD}</author>
  </authors>
  <commentList>
    <comment ref="I1" authorId="0" shapeId="0" xr:uid="{B43BCBC0-EB71-4416-BEB7-7CC9D84842D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I4" authorId="0" shapeId="0" xr:uid="{89858934-7590-47D9-BB97-FFADA523995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8" authorId="0" shapeId="0" xr:uid="{4E18617B-5251-4989-A646-0B3A3AD57DC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8" authorId="0" shapeId="0" xr:uid="{AD153BD2-EB51-4776-AAB2-BE3E1291768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8" authorId="0" shapeId="0" xr:uid="{2C156C0A-400B-4F2D-A437-F004B4E20A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8" authorId="0" shapeId="0" xr:uid="{158412FE-5631-4ABD-B5ED-367E7040FF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8" authorId="0" shapeId="0" xr:uid="{31F9EE2C-F60A-4D42-8669-F66B9CF94B9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8" authorId="0" shapeId="0" xr:uid="{955BA8E8-E7A5-449B-BE94-AFE821EAA97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8" authorId="0" shapeId="0" xr:uid="{23177F39-6E2B-4AC2-942F-1D9837D1244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8" authorId="0" shapeId="0" xr:uid="{78A91242-3657-4AC7-85BD-D3FFB4CC19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8" authorId="0" shapeId="0" xr:uid="{E4829CE0-FC0B-4C0A-BB13-452BF9F58A3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8" authorId="0" shapeId="0" xr:uid="{F5360946-135E-486F-8E55-1490AC46199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8" authorId="0" shapeId="0" xr:uid="{04113C78-0493-4A08-9432-4383BC6A70B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C18" authorId="0" shapeId="0" xr:uid="{B30169CC-4A33-457C-95C4-6FFCD12A2F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J18" authorId="0" shapeId="0" xr:uid="{F6C9A20F-7E2A-4602-8731-EB3709AB627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Q18" authorId="1" shapeId="0" xr:uid="{75B2911D-7C09-4257-813C-B6E3798DA6B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R18" authorId="0" shapeId="0" xr:uid="{7CCE4D9F-4894-44FE-A047-E21751491CC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Y18" authorId="0" shapeId="0" xr:uid="{EF4372D3-857A-4CED-9CA0-F364F076086E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<sst xmlns="http://schemas.openxmlformats.org/spreadsheetml/2006/main" count="182" uniqueCount="111">
  <si>
    <t>bi</t>
  </si>
  <si>
    <t>prize</t>
  </si>
  <si>
    <t>p1win</t>
  </si>
  <si>
    <t>mainpot</t>
  </si>
  <si>
    <t>Outcome* Breakdown:</t>
  </si>
  <si>
    <t>KO</t>
  </si>
  <si>
    <t>p2win</t>
  </si>
  <si>
    <t>sidepot1</t>
  </si>
  <si>
    <t>chips</t>
  </si>
  <si>
    <t>p3win</t>
  </si>
  <si>
    <t>sidepot2</t>
  </si>
  <si>
    <t>uncalled</t>
  </si>
  <si>
    <t xml:space="preserve">EV = </t>
  </si>
  <si>
    <t>cXYZ * pXYZ + …</t>
  </si>
  <si>
    <t>cXYZ распределение фишек</t>
  </si>
  <si>
    <t xml:space="preserve">pXYZ вероятность исхода, где </t>
  </si>
  <si>
    <t>XYZ означает что 1 игрок занял место X, 2 место Y, 3 место Z</t>
  </si>
  <si>
    <t>p1win = 122 + 123 + 132 + 113 / 2 + 111 / 3 + 131/2</t>
  </si>
  <si>
    <t>p2win = 212 + 213 + 312 + 113 / 2 + 111 / 3 + 311 /2</t>
  </si>
  <si>
    <t>p3win = 221 + 231 + 321 + 111 / 3 + 311/2 + 131/2</t>
  </si>
  <si>
    <t>3rd player Win side pot</t>
  </si>
  <si>
    <t>123, 132, 122</t>
  </si>
  <si>
    <t>213, 312, 212</t>
  </si>
  <si>
    <t>T_fact</t>
  </si>
  <si>
    <t>Total</t>
  </si>
  <si>
    <t>1st player Win</t>
  </si>
  <si>
    <t>2nd player Win</t>
  </si>
  <si>
    <t>Tie</t>
  </si>
  <si>
    <t>side pot 1st player Win</t>
  </si>
  <si>
    <t>side pot 2nd player Win</t>
  </si>
  <si>
    <t>side pot Tie</t>
  </si>
  <si>
    <t>Fact</t>
  </si>
  <si>
    <t>EV</t>
  </si>
  <si>
    <t>p</t>
  </si>
  <si>
    <t>stack</t>
  </si>
  <si>
    <t>hand</t>
  </si>
  <si>
    <t>anteblinds</t>
  </si>
  <si>
    <t>players</t>
  </si>
  <si>
    <t>EQ</t>
  </si>
  <si>
    <t>ICM</t>
  </si>
  <si>
    <t>$stack</t>
  </si>
  <si>
    <t>chipEV</t>
  </si>
  <si>
    <t>netwon</t>
  </si>
  <si>
    <t>netwon_adj</t>
  </si>
  <si>
    <t>cEVdiff</t>
  </si>
  <si>
    <t>Evdiff</t>
  </si>
  <si>
    <t>Kh Jc</t>
  </si>
  <si>
    <t>Ks 7h</t>
  </si>
  <si>
    <t>Kd 8h</t>
  </si>
  <si>
    <t>Исходная раздача</t>
  </si>
  <si>
    <t>main pot</t>
  </si>
  <si>
    <t>PokerStars Hand #222998201047: Tournament #3110569924, $26.96+$0.54 USD Hold'em No Limit - Match Round I, Level I (25/50) - 2021/01/24 18:13:13 MSK [2021/01/24 10:13:13 ET]</t>
  </si>
  <si>
    <t>банк где учавствуют все игроки</t>
  </si>
  <si>
    <t>Table '3110569924 3' 4-max Seat #2 is the button</t>
  </si>
  <si>
    <t>side pot образуется если больше 2 человек в АИ</t>
  </si>
  <si>
    <t>Seat 1: slavikus555 (115 in chips)</t>
  </si>
  <si>
    <t>Seat 2: anateodora (580 in chips)</t>
  </si>
  <si>
    <t>Seat 3: DiggErr555 (815 in chips)</t>
  </si>
  <si>
    <t>если есть side pot 2 в нем учавствуют топ 2, а в сайд пот 1 учавствуют топ 3</t>
  </si>
  <si>
    <t>Seat 4: gaudas12 (490 in chips)</t>
  </si>
  <si>
    <t>slavikus555: posts the ante 10</t>
  </si>
  <si>
    <t xml:space="preserve">Алгоритм расчета </t>
  </si>
  <si>
    <t>anateodora: posts the ante 10</t>
  </si>
  <si>
    <t>считаем эквити между топ1 топ2 топ3 топ4</t>
  </si>
  <si>
    <t>DiggErr555: posts the ante 10</t>
  </si>
  <si>
    <t>1 случай топ1 выиграл</t>
  </si>
  <si>
    <t>gaudas12: posts the ante 10</t>
  </si>
  <si>
    <t>получает все фишки со всех банков, + ноки, отсальные обнуляются</t>
  </si>
  <si>
    <t>DiggErr555: posts small blind 25</t>
  </si>
  <si>
    <t>2 случай топ2 выиграл</t>
  </si>
  <si>
    <t>gaudas12: posts big blind 50</t>
  </si>
  <si>
    <t>*** HOLE CARDS ***</t>
  </si>
  <si>
    <t>3 случай топ3 выиглал</t>
  </si>
  <si>
    <t>Dealt to DiggErr555 [Ks 7h]</t>
  </si>
  <si>
    <t>получает сайд1 и мэйн + нок за 1 игрока</t>
  </si>
  <si>
    <t>slavikus555: raises 55 to 105 and is all-in</t>
  </si>
  <si>
    <t>считаем эквити между топ1 и топ2</t>
  </si>
  <si>
    <t xml:space="preserve">выиграл топ1 </t>
  </si>
  <si>
    <t>anateodora: folds</t>
  </si>
  <si>
    <t>получает сайд2 и нок за топ2</t>
  </si>
  <si>
    <t>DiggErr555: raises 700 to 805 and is all-in</t>
  </si>
  <si>
    <t>выиграл топ2</t>
  </si>
  <si>
    <t>gaudas12: calls 430 and is all-in</t>
  </si>
  <si>
    <t>получает сайд2</t>
  </si>
  <si>
    <t>Uncalled bet (325) returned to DiggErr555</t>
  </si>
  <si>
    <t>*** FLOP *** [8s 8d 5h]</t>
  </si>
  <si>
    <t>4 случай топ4 выиграл</t>
  </si>
  <si>
    <t>*** TURN *** [8s 8d 5h] [9d]</t>
  </si>
  <si>
    <t>получает мэйн</t>
  </si>
  <si>
    <t>*** RIVER *** [8s 8d 5h 9d] [Tc]</t>
  </si>
  <si>
    <t>считаем эквити между топ1 топ2 топ3</t>
  </si>
  <si>
    <t>*** SHOW DOWN ***</t>
  </si>
  <si>
    <t>получает сайд1 и сайд2 + 2 нока за топ2 и топ3</t>
  </si>
  <si>
    <t>DiggErr555: shows [Ks 7h] (a pair of Eights)</t>
  </si>
  <si>
    <t>gaudas12: shows [Kd 8h] (three of a kind, Eights)</t>
  </si>
  <si>
    <t>получает сайд1 и сайд2 + 1 нок за топ3</t>
  </si>
  <si>
    <t>gaudas12 collected 750 from side pot</t>
  </si>
  <si>
    <t>выйграл топ3</t>
  </si>
  <si>
    <t>slavikus555: shows [Kh Jc] (a pair of Eights)</t>
  </si>
  <si>
    <t>получает сайд1</t>
  </si>
  <si>
    <t>gaudas12 collected 355 from main pot</t>
  </si>
  <si>
    <t>slavikus555 finished the tournament in 11th place</t>
  </si>
  <si>
    <t>*** SUMMARY ***</t>
  </si>
  <si>
    <t>Total pot 1105 Main pot 355. Side pot 750. | Rake 0</t>
  </si>
  <si>
    <t>Board [8s 8d 5h 9d Tc]</t>
  </si>
  <si>
    <t>Seat 1: slavikus555 showed [Kh Jc] and lost with a pair of Eights</t>
  </si>
  <si>
    <t>Seat 2: anateodora (button) folded before Flop (didn't bet)</t>
  </si>
  <si>
    <t>Seat 3: DiggErr555 (small blind) showed [Ks 7h] and lost with a pair of Eights</t>
  </si>
  <si>
    <t>Seat 4: gaudas12 (big blind) showed [Kd 8h] and won (1105) with three of a kind, Eights</t>
  </si>
  <si>
    <t>Seat 3: NL_Classic (big blind) showed [7s 9c] and lost with a pair of Nines</t>
  </si>
  <si>
    <t>Seat 4: MATECO folded before Flop (didn't bet)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</si>
</sst>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12" xfId="0" applyFill="1" applyBorder="1"/>
    <xf numFmtId="164" fontId="0" fillId="2" borderId="17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0" borderId="12" xfId="0" applyBorder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12" xfId="0" applyFill="1" applyBorder="1"/>
    <xf numFmtId="0" fontId="1" fillId="4" borderId="12" xfId="0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</cellXfs>
  <cellStyles count="1">
    <cellStyle name="Обычный" xfId="0" builtinId="0"/>
  </cellStyles>
  <dxfs count="103"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right style="thick">
          <color rgb="FF0070C0"/>
        </right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diff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d Jd разбивка"/>
      <sheetName val="3way-bu-call-sb-call разбивка"/>
      <sheetName val="3way-ai-preflo разбивка"/>
      <sheetName val="3way шаблон разбивка"/>
      <sheetName val="разбивка"/>
      <sheetName val="3way шаблон ничьи"/>
      <sheetName val="3way шаблон"/>
      <sheetName val="3way 8c Kh ничьи"/>
      <sheetName val="3way 7d Jd ничьи"/>
      <sheetName val="2way"/>
      <sheetName val="3wKs7h"/>
      <sheetName val="3wAsQc"/>
      <sheetName val="3w9h9s"/>
      <sheetName val="3wKs2s Ден v2"/>
      <sheetName val="3w Ac5c Ден"/>
      <sheetName val="3w 98s v2"/>
      <sheetName val="3w KsJs Ден v2 "/>
      <sheetName val="3w 8h8c Ден"/>
      <sheetName val="3w 5h5c Ден"/>
      <sheetName val="3w Kc5c Ден"/>
      <sheetName val="3w postflop 9c7s Ден v2"/>
      <sheetName val="3wKhQs"/>
      <sheetName val="3wAdKd"/>
      <sheetName val="3wAh9s"/>
      <sheetName val="3way"/>
      <sheetName val="4way"/>
    </sheetNames>
    <sheetDataSet>
      <sheetData sheetId="0"/>
      <sheetData sheetId="1"/>
      <sheetData sheetId="2"/>
      <sheetData sheetId="3"/>
      <sheetData sheetId="4"/>
      <sheetData sheetId="5">
        <row r="4">
          <cell r="J4">
            <v>0.1067</v>
          </cell>
        </row>
        <row r="5">
          <cell r="G5">
            <v>6.1800000000000001E-2</v>
          </cell>
        </row>
      </sheetData>
      <sheetData sheetId="6"/>
      <sheetData sheetId="7"/>
      <sheetData sheetId="8"/>
      <sheetData sheetId="9">
        <row r="2">
          <cell r="E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D1">
            <v>0</v>
          </cell>
          <cell r="G1">
            <v>8.8999999999999996E-2</v>
          </cell>
          <cell r="J1">
            <v>0.2893</v>
          </cell>
        </row>
        <row r="2">
          <cell r="G2">
            <v>0.54559999999999997</v>
          </cell>
        </row>
        <row r="3">
          <cell r="D3">
            <v>3000</v>
          </cell>
          <cell r="G3">
            <v>0.3654</v>
          </cell>
        </row>
      </sheetData>
      <sheetData sheetId="25">
        <row r="1">
          <cell r="J1">
            <v>0.16919999999999999</v>
          </cell>
          <cell r="O1">
            <v>0.54400000000000004</v>
          </cell>
          <cell r="T1">
            <v>182</v>
          </cell>
        </row>
        <row r="2">
          <cell r="J2">
            <v>0.38219999999999998</v>
          </cell>
          <cell r="O2">
            <v>0.45600000000000002</v>
          </cell>
          <cell r="T2">
            <v>1272</v>
          </cell>
        </row>
        <row r="3">
          <cell r="J3">
            <v>0.4486</v>
          </cell>
          <cell r="T3">
            <v>40</v>
          </cell>
        </row>
        <row r="4">
          <cell r="G4">
            <v>0.28710000000000002</v>
          </cell>
          <cell r="T4">
            <v>548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ton Andryukhov" id="{27F183DB-7C89-4168-B8CE-360CD9553519}" userId="a89796590138a2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1FFB-9422-4D41-8615-CA71348484D3}" name="T_init2034474536067150" displayName="T_init2034474536067150" ref="A18:D25" totalsRowCount="1">
  <autoFilter ref="A18:D24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7CC90AF4-11C3-4B9F-B4B1-AA3D6BFDD5B9}" name="p" totalsRowLabel="Total"/>
    <tableColumn id="2" xr3:uid="{244C798C-5785-49E3-8FE7-03D5CE5D01D7}" name="stack"/>
    <tableColumn id="3" xr3:uid="{68E884AB-2425-4621-83FF-66F609CD0257}" name="hand"/>
    <tableColumn id="4" xr3:uid="{6B6E7886-6ACD-4686-B1EB-7426735894DE}" name="anteblinds" totalsRowFunction="sum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AD830B-1727-4C0D-893F-A89E51D480BD}" name="T_p22236257655626974157159" displayName="T_p22236257655626974157159" ref="AA18:AF24" totalsRowShown="0" tableBorderDxfId="32">
  <autoFilter ref="AA18:AF24" xr:uid="{65A7E52C-5FB7-4BB3-8A75-2B9A177732FF}"/>
  <tableColumns count="6">
    <tableColumn id="1" xr3:uid="{3DBA2B64-29C2-44DC-8ED0-4124BAB4FD6B}" name="players" dataDxfId="30" totalsRowDxfId="31">
      <calculatedColumnFormula>COUNTIF(T_p22236257655626974157159[stack],"&gt;0")</calculatedColumnFormula>
    </tableColumn>
    <tableColumn id="2" xr3:uid="{BB9BD791-044E-4D07-ABFC-E16CCF90F9F2}" name="stack" dataDxfId="28" totalsRowDxfId="29">
      <calculatedColumnFormula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calculatedColumnFormula>
    </tableColumn>
    <tableColumn id="3" xr3:uid="{0B1CAC12-4CC9-4670-9610-C198946AEBBA}" name="EQ" totalsRowDxfId="27"/>
    <tableColumn id="4" xr3:uid="{EEC7A208-9E38-45D2-A2E6-06660184F279}" name="ICM" dataDxfId="25" totalsRowDxfId="26">
      <calculatedColumnFormula>T_p22236257655626974157159[[#This Row],[EQ]]*prize</calculatedColumnFormula>
    </tableColumn>
    <tableColumn id="5" xr3:uid="{E9BAB419-8EB8-4621-A20E-DAFFF49C5A11}" name="KO" dataDxfId="23" totalsRowDxfId="24">
      <calculatedColumnFormula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calculatedColumnFormula>
    </tableColumn>
    <tableColumn id="6" xr3:uid="{836CF42E-2D36-4708-B668-132A534E4C4C}" name="$stack" dataDxfId="22">
      <calculatedColumnFormula>T_p22236257655626974157159[[#This Row],[ICM]]+bounty*T_p22236257655626974157159[[#This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2BA3F3-C93C-43E1-9491-4D92DA9BC4FC}" name="T_p22236257655626974157159160" displayName="T_p22236257655626974157159160" ref="AH18:AM24" totalsRowShown="0" tableBorderDxfId="21">
  <autoFilter ref="AH18:AM24" xr:uid="{22DD0C87-8B5C-4E2F-A7A6-3E4489B3D96B}"/>
  <tableColumns count="6">
    <tableColumn id="1" xr3:uid="{E9F11EDD-EC3F-42E9-A5DF-51BF787DCF32}" name="players" dataDxfId="19" totalsRowDxfId="20">
      <calculatedColumnFormula>COUNTIF(T_p22236257655626974157159160[stack],"&gt;0")</calculatedColumnFormula>
    </tableColumn>
    <tableColumn id="2" xr3:uid="{21D47BC4-FB6A-401B-84DA-DA013DD71F6A}" name="stack" dataDxfId="17" totalsRowDxfId="18">
      <calculatedColumnFormula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calculatedColumnFormula>
    </tableColumn>
    <tableColumn id="3" xr3:uid="{B39BDF60-4C6E-4588-9ADC-2B93DE45F6F0}" name="EQ" totalsRowDxfId="16"/>
    <tableColumn id="4" xr3:uid="{EAF0EAD7-BFBB-4159-90A1-F2B51438C566}" name="ICM" dataDxfId="14" totalsRowDxfId="15">
      <calculatedColumnFormula>T_p22236257655626974157159160[[#This Row],[EQ]]*prize</calculatedColumnFormula>
    </tableColumn>
    <tableColumn id="5" xr3:uid="{A21219F3-6EE2-48CB-B890-B4CFCEE384BC}" name="KO" dataDxfId="12" totalsRowDxfId="13">
      <calculatedColumnFormula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calculatedColumnFormula>
    </tableColumn>
    <tableColumn id="6" xr3:uid="{D6C235B0-8258-4ED8-9082-0C9FFBE2DF58}" name="$stack" dataDxfId="11">
      <calculatedColumnFormula>T_p22236257655626974157159160[[#This Row],[ICM]]+bounty*T_p22236257655626974157159160[[#This Row],[KO]]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6CA732-7CB2-46FA-B643-4C2F4B016CA2}" name="T_p22236257655626974157159160161" displayName="T_p22236257655626974157159160161" ref="AO18:AT24" totalsRowShown="0" tableBorderDxfId="10">
  <autoFilter ref="AO18:AT24" xr:uid="{85FE0BC8-7AC0-49B1-8516-7148FA962FFE}"/>
  <tableColumns count="6">
    <tableColumn id="1" xr3:uid="{1E6B5958-CAA5-4CB5-B929-143C057F107D}" name="players" dataDxfId="8" totalsRowDxfId="9">
      <calculatedColumnFormula>COUNTIF(T_p22236257655626974157159160161[stack],"&gt;0")</calculatedColumnFormula>
    </tableColumn>
    <tableColumn id="2" xr3:uid="{46F3DC55-C338-4BE8-932E-124D941D3B11}" name="stack" dataDxfId="6" totalsRowDxfId="7">
      <calculatedColumnFormula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calculatedColumnFormula>
    </tableColumn>
    <tableColumn id="3" xr3:uid="{0E989D4C-CC42-42C5-A005-A1CEA4300BC4}" name="EQ" totalsRowDxfId="5"/>
    <tableColumn id="4" xr3:uid="{F447223E-E948-4B63-BFC9-C871463330C4}" name="ICM" dataDxfId="3" totalsRowDxfId="4">
      <calculatedColumnFormula>T_p22236257655626974157159160161[[#This Row],[EQ]]*prize</calculatedColumnFormula>
    </tableColumn>
    <tableColumn id="5" xr3:uid="{1C7FD170-7B82-4544-B01A-F1942634CF49}" name="KO" dataDxfId="1" totalsRowDxfId="2">
      <calculatedColumnFormula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calculatedColumnFormula>
    </tableColumn>
    <tableColumn id="6" xr3:uid="{669EFF92-A522-4C43-BA2D-07910484F185}" name="$stack" dataDxfId="0">
      <calculatedColumnFormula>T_p22236257655626974157159160161[[#This Row],[ICM]]+bounty*T_p22236257655626974157159160161[[#This Row],[KO]]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28EEE-3443-4705-964E-74A74CB55CAD}" name="T_p121351975546168151" displayName="T_p121351975546168151" ref="F18:K24" totalsRowShown="0" tableBorderDxfId="102">
  <autoFilter ref="F18:K24" xr:uid="{00000000-0009-0000-0100-000022000000}"/>
  <tableColumns count="6">
    <tableColumn id="1" xr3:uid="{53DE4489-192D-4FB0-A80F-D1529C28C6B8}" name="players" dataDxfId="101">
      <calculatedColumnFormula>COUNTIF(T_p121351975546168151[stack],"&gt;0")</calculatedColumnFormula>
    </tableColumn>
    <tableColumn id="2" xr3:uid="{AF81A46B-F425-43D9-A3F1-0D61C84D460F}" name="stack" dataDxfId="100">
      <calculatedColumnFormula>IF(T_init2034474536067150[[#This Row],[p]]=1,mainpot+sidepot1+sidepot2+uncalled,IF(T_init2034474536067150[[#This Row],[p]]&gt;1,0,T_init2034474536067150[[#This Row],[stack]]-T_init2034474536067150[[#This Row],[anteblinds]]))</calculatedColumnFormula>
    </tableColumn>
    <tableColumn id="3" xr3:uid="{14FE6783-0364-49EF-A327-8505CC4D9E77}" name="EQ"/>
    <tableColumn id="4" xr3:uid="{55106670-06C7-4C3D-9AAA-619C17BA7E6C}" name="ICM" dataDxfId="99">
      <calculatedColumnFormula>T_p121351975546168151[[#This Row],[EQ]]*prize</calculatedColumnFormula>
    </tableColumn>
    <tableColumn id="5" xr3:uid="{FC027651-14D5-460E-B369-75ECAF471C69}" name="KO" dataDxfId="98">
      <calculatedColumnFormula>IF(T_init2034474536067150[[#This Row],[p]]=1,T_p121351975546168151[[#This Row],[players]]*T_p121351975546168151[[#This Row],[stack]]/chips+COUNTIF(T_p121351975546168151[stack],0),T_p121351975546168151[[#This Row],[players]]*T_p121351975546168151[[#This Row],[stack]]/chips)</calculatedColumnFormula>
    </tableColumn>
    <tableColumn id="6" xr3:uid="{4FF285EF-7F6A-455C-B0B7-E071E4E34889}" name="$stack" dataDxfId="97">
      <calculatedColumnFormula>T_p121351975546168151[[#This Row],[ICM]]+bounty*T_p121351975546168151[[#This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693EE0-402B-4E2B-9FE7-4AF05B7B9804}" name="T_p222362576556269152" displayName="T_p222362576556269152" ref="M18:R24" totalsRowShown="0" tableBorderDxfId="96">
  <autoFilter ref="M18:R24" xr:uid="{00000000-0009-0000-0100-000023000000}"/>
  <tableColumns count="6">
    <tableColumn id="1" xr3:uid="{4E033CC2-AD90-43FB-BA16-829F963C1DE4}" name="players" dataDxfId="94" totalsRowDxfId="95">
      <calculatedColumnFormula>COUNTIF(T_p222362576556269152[stack],"&gt;0")</calculatedColumnFormula>
    </tableColumn>
    <tableColumn id="2" xr3:uid="{024C1867-DCCC-453B-A157-6B6455B9F13B}" name="stack" dataDxfId="92" totalsRowDxfId="93">
      <calculatedColumnFormula>IF(T_init2034474536067150[[#This Row],[p]]=1,uncalled,IF(T_init2034474536067150[[#This Row],[p]]=2,mainpot+sidepot1+sidepot2,IF(T_init2034474536067150[[#This Row],[p]]&gt;2,0,T_init2034474536067150[[#This Row],[stack]]-T_init2034474536067150[[#This Row],[anteblinds]])))</calculatedColumnFormula>
    </tableColumn>
    <tableColumn id="3" xr3:uid="{9C1D0B4A-9417-4549-B514-C6FAFD2ABBE1}" name="EQ" totalsRowDxfId="91"/>
    <tableColumn id="4" xr3:uid="{408862A7-8D47-4A49-BD66-B1D42C9A9A57}" name="ICM" dataDxfId="89" totalsRowDxfId="90">
      <calculatedColumnFormula>T_p222362576556269152[[#This Row],[EQ]]*prize</calculatedColumnFormula>
    </tableColumn>
    <tableColumn id="5" xr3:uid="{3910DB4E-0807-4376-957D-93947A07AD46}" name="KO" dataDxfId="87" totalsRowDxfId="88">
      <calculatedColumnFormula>IF(T_init2034474536067150[[#This Row],[p]]=2,T_p222362576556269152[[#This Row],[players]]*T_p222362576556269152[[#This Row],[stack]]/chips+COUNTIF(T_p222362576556269152[stack],0),T_p222362576556269152[[#This Row],[players]]*T_p222362576556269152[[#This Row],[stack]]/chips)</calculatedColumnFormula>
    </tableColumn>
    <tableColumn id="6" xr3:uid="{7880F8A0-AD2A-41F1-953A-65D339E0296E}" name="$stack" dataDxfId="86">
      <calculatedColumnFormula>T_p222362576556269152[[#This Row],[ICM]]+bounty*T_p222362576556269152[[#This Row],[KO]]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18B799-24AD-4E2F-A094-333823397B90}" name="T_p3p123372677566370153" displayName="T_p3p123372677566370153" ref="AV18:BA24" totalsRowShown="0" tableBorderDxfId="85">
  <autoFilter ref="AV18:BA24" xr:uid="{00000000-0009-0000-0100-000024000000}"/>
  <tableColumns count="6">
    <tableColumn id="1" xr3:uid="{1F6E2028-B0B7-4599-AC2A-84B5E7B6868A}" name="players" dataDxfId="84">
      <calculatedColumnFormula>COUNTIF(T_p3p123372677566370153[stack],"&gt;0")</calculatedColumnFormula>
    </tableColumn>
    <tableColumn id="2" xr3:uid="{516C987B-4418-4D75-980D-DD0EC6E057F7}" name="stack" dataDxfId="83">
      <calculatedColumnFormula>IF(T_init2034474536067150[[#This Row],[p]]=1,sidepot1+uncalled,IF(T_init2034474536067150[[#This Row],[p]]=3,mainpot,IF(ISBLANK(T_init2034474536067150[[#This Row],[p]]),T_init2034474536067150[[#This Row],[stack]]-T_init2034474536067150[[#This Row],[anteblinds]],0)))</calculatedColumnFormula>
    </tableColumn>
    <tableColumn id="3" xr3:uid="{44F62217-ADE0-4D01-A16F-BCDE731B3A75}" name="EQ"/>
    <tableColumn id="4" xr3:uid="{9815FE52-6BEB-4842-8C25-76016DC48D37}" name="ICM" dataDxfId="82">
      <calculatedColumnFormula>T_p3p123372677566370153[[#This Row],[EQ]]*prize</calculatedColumnFormula>
    </tableColumn>
    <tableColumn id="5" xr3:uid="{FC9AD878-2B4C-4F32-84DB-12DA1ED9749A}" name="KO" dataDxfId="81">
      <calculatedColumnFormula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calculatedColumnFormula>
    </tableColumn>
    <tableColumn id="6" xr3:uid="{92B87AA5-CDF9-42CD-A85C-3171B342A2CC}" name="$stack" dataDxfId="80">
      <calculatedColumnFormula>T_p3p123372677566370153[[#This Row],[ICM]]+bounty*T_p3p123372677566370153[[#This Row],[KO]]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D09516-E43A-4914-A41A-EF5F8D7B26C0}" name="T_p3p224382778576471154" displayName="T_p3p224382778576471154" ref="BC18:BH24" totalsRowShown="0" tableBorderDxfId="79">
  <autoFilter ref="BC18:BH24" xr:uid="{00000000-0009-0000-0100-000025000000}"/>
  <tableColumns count="6">
    <tableColumn id="1" xr3:uid="{765BB2EE-79E1-423B-824C-DD306E1F04C2}" name="players" dataDxfId="77" totalsRowDxfId="78">
      <calculatedColumnFormula>COUNTIF(T_p3p224382778576471154[stack],"&gt;0")</calculatedColumnFormula>
    </tableColumn>
    <tableColumn id="2" xr3:uid="{BF29A719-5C59-4B5D-80BF-AB903C948D6F}" name="stack" dataDxfId="75" totalsRowDxfId="76">
      <calculatedColumnFormula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calculatedColumnFormula>
    </tableColumn>
    <tableColumn id="3" xr3:uid="{A33204D0-D659-4858-83C9-26F58BAC7C6E}" name="EQ" totalsRowDxfId="74"/>
    <tableColumn id="4" xr3:uid="{9EB5AC6F-E2F3-4F93-8B55-8B95FDCEFC35}" name="ICM" dataDxfId="72" totalsRowDxfId="73">
      <calculatedColumnFormula>T_p3p224382778576471154[[#This Row],[EQ]]*prize</calculatedColumnFormula>
    </tableColumn>
    <tableColumn id="5" xr3:uid="{DA1A7754-EA0E-4353-88B4-0FD3F512C54D}" name="KO" dataDxfId="70" totalsRowDxfId="71">
      <calculatedColumnFormula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calculatedColumnFormula>
    </tableColumn>
    <tableColumn id="6" xr3:uid="{8E3B5C3C-9490-439F-A475-D284EC4CE5E3}" name="$stack" dataDxfId="69">
      <calculatedColumnFormula>T_p3p224382778576471154[[#This Row],[ICM]]+bounty*T_p3p224382778576471154[[#This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B6B52D-638F-4A71-89D6-97E2AFF867BE}" name="T_fact29392879586572155" displayName="T_fact29392879586572155" ref="BQ18:BV24" totalsRowShown="0" tableBorderDxfId="68">
  <autoFilter ref="BQ18:BV24" xr:uid="{00000000-0009-0000-0100-000026000000}"/>
  <tableColumns count="6">
    <tableColumn id="1" xr3:uid="{C351FFD1-5940-461A-AFDC-41E1DE52214A}" name="players">
      <calculatedColumnFormula>COUNTIF(T_fact29392879586572155[stack],"&gt;0")</calculatedColumnFormula>
    </tableColumn>
    <tableColumn id="2" xr3:uid="{C922B9AB-9CAD-4F94-95BE-B67C73D28C5C}" name="stack" dataDxfId="67">
      <calculatedColumnFormula>IF(T_init2034474536067150[[#This Row],[p]]=1,uncalled,IF(T_init2034474536067150[[#This Row],[p]]=2,mainpot+sidepot1+sidepot2,IF(T_init2034474536067150[[#This Row],[p]]&gt;2,0,T_init2034474536067150[[#This Row],[stack]]-T_init2034474536067150[[#This Row],[anteblinds]])))</calculatedColumnFormula>
    </tableColumn>
    <tableColumn id="3" xr3:uid="{AF4B85F1-C4AC-4302-B127-D28B28B695C0}" name="EQ"/>
    <tableColumn id="4" xr3:uid="{1F26703B-0758-4387-8A75-EE811A6EF70C}" name="ICM" dataDxfId="66">
      <calculatedColumnFormula>T_fact29392879586572155[[#This Row],[EQ]]*prize</calculatedColumnFormula>
    </tableColumn>
    <tableColumn id="5" xr3:uid="{AE330A42-AAC8-4248-B14C-6EB25BD03A21}" name="KO" dataDxfId="65">
      <calculatedColumnFormula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calculatedColumnFormula>
    </tableColumn>
    <tableColumn id="6" xr3:uid="{9F9CCADB-5AA3-4E5C-9598-ABA57C22D4EF}" name="$stack" dataDxfId="64">
      <calculatedColumnFormula>T_fact29392879586572155[[#This Row],[ICM]]+bounty*T_fact29392879586572155[[#This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62F0D-477F-4F47-BEBE-5CE9907B2BBA}" name="T_EV33403080596673156" displayName="T_EV33403080596673156" ref="BY18:CF24" totalsRowShown="0" tableBorderDxfId="63">
  <autoFilter ref="BY18:CF24" xr:uid="{00000000-0009-0000-0100-000027000000}"/>
  <tableColumns count="8">
    <tableColumn id="1" xr3:uid="{CE631D14-4D0F-4621-9375-89ADDA7632F1}" name="ICM" dataDxfId="62">
      <calculatedColumnFormula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calculatedColumnFormula>
    </tableColumn>
    <tableColumn id="2" xr3:uid="{0201F6FF-3993-45AD-BA7C-9961AAF36898}" name="KO" dataDxfId="61">
      <calculatedColumnFormula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calculatedColumnFormula>
    </tableColumn>
    <tableColumn id="3" xr3:uid="{91BCF5EC-6AB2-49BE-9FEA-8FD50888EEC3}" name="EV" dataDxfId="60">
      <calculatedColumnFormula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calculatedColumnFormula>
    </tableColumn>
    <tableColumn id="4" xr3:uid="{9ACC1811-EDEA-4D6A-8664-ABE72A921A50}" name="chipEV" dataDxfId="59">
      <calculatedColumnFormula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calculatedColumnFormula>
    </tableColumn>
    <tableColumn id="8" xr3:uid="{3B5B274F-A176-46E9-85F3-3B7E6DC3A028}" name="netwon" dataDxfId="58">
      <calculatedColumnFormula>T_fact29392879586572155[[#This Row],[stack]]- T_init2034474536067150[[#This Row],[stack]]</calculatedColumnFormula>
    </tableColumn>
    <tableColumn id="7" xr3:uid="{7AD91F09-B87F-41DF-A877-59D59339E0FD}" name="netwon_adj" dataDxfId="57">
      <calculatedColumnFormula>T_EV33403080596673156[[#This Row],[netwon]]+T_EV33403080596673156[[#This Row],[cEVdiff]]</calculatedColumnFormula>
    </tableColumn>
    <tableColumn id="5" xr3:uid="{885AFB47-F60F-4BE2-A1A9-C4ACAEC419EB}" name="cEVdiff" dataDxfId="56">
      <calculatedColumnFormula>T_EV33403080596673156[[#This Row],[chipEV]]-T_fact29392879586572155[[#This Row],[stack]]</calculatedColumnFormula>
    </tableColumn>
    <tableColumn id="6" xr3:uid="{2722D7B0-6C2C-452A-9D43-3048B6479A42}" name="Evdiff" dataDxfId="55">
      <calculatedColumnFormula>T_EV33403080596673156[[#This Row],[EV]]-(T_fact29392879586572155[[#This Row],[ICM]])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07E10E-FA1D-44F1-B8E5-20DC78CB48FD}" name="T_p22236257655626974157" displayName="T_p22236257655626974157" ref="T18:Y24" totalsRowShown="0" tableBorderDxfId="54">
  <autoFilter ref="T18:Y24" xr:uid="{CE38ABBA-F0F2-4A26-90AC-5B8D0B66446B}"/>
  <tableColumns count="6">
    <tableColumn id="1" xr3:uid="{E6131841-2C28-46B4-9213-E1508C1FC7A2}" name="players" dataDxfId="52" totalsRowDxfId="53">
      <calculatedColumnFormula>COUNTIF(T_p22236257655626974157[stack],"&gt;0")</calculatedColumnFormula>
    </tableColumn>
    <tableColumn id="2" xr3:uid="{0BE3EEB4-4DAA-41BF-A5CE-5B46807F6073}" name="stack" dataDxfId="50" totalsRowDxfId="51">
      <calculatedColumnFormula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calculatedColumnFormula>
    </tableColumn>
    <tableColumn id="3" xr3:uid="{18A888A0-9D52-4086-9BC2-32F39C8FD975}" name="EQ" totalsRowDxfId="49"/>
    <tableColumn id="4" xr3:uid="{829C07E1-BF18-4099-B5A0-AE22B4793CE2}" name="ICM" dataDxfId="47" totalsRowDxfId="48">
      <calculatedColumnFormula>T_p22236257655626974157[[#This Row],[EQ]]*prize</calculatedColumnFormula>
    </tableColumn>
    <tableColumn id="5" xr3:uid="{443E2782-F166-4E43-9534-76134B288700}" name="KO" dataDxfId="45" totalsRowDxfId="46">
      <calculatedColumnFormula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calculatedColumnFormula>
    </tableColumn>
    <tableColumn id="6" xr3:uid="{93174DA4-9EE0-4DE8-996E-9CB3B54C6099}" name="$stack" dataDxfId="44">
      <calculatedColumnFormula>T_p22236257655626974157[[#This Row],[ICM]]+bounty*T_p22236257655626974157[[#This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E52FF1-62FE-484E-ACB9-F9320084DA89}" name="T_p3p22438277857647175158" displayName="T_p3p22438277857647175158" ref="BJ18:BO24" totalsRowShown="0" tableBorderDxfId="43">
  <autoFilter ref="BJ18:BO24" xr:uid="{0E6963F0-4D2D-49F5-BA0C-CC131E0278C6}"/>
  <tableColumns count="6">
    <tableColumn id="1" xr3:uid="{C6DF676C-09D0-41CA-98A7-DD13FAF30B87}" name="players" dataDxfId="41" totalsRowDxfId="42">
      <calculatedColumnFormula>COUNTIF(T_p3p22438277857647175158[stack],"&gt;0")</calculatedColumnFormula>
    </tableColumn>
    <tableColumn id="2" xr3:uid="{B57D73C9-2DA9-4522-A62D-477AAFDB4253}" name="stack" dataDxfId="39" totalsRowDxfId="40">
      <calculatedColumnFormula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calculatedColumnFormula>
    </tableColumn>
    <tableColumn id="3" xr3:uid="{F710C907-4415-430E-9EB3-8147114FE60C}" name="EQ" totalsRowDxfId="38"/>
    <tableColumn id="4" xr3:uid="{9E2A5154-1537-4BB0-9B44-630A7CEAD7CD}" name="ICM" dataDxfId="36" totalsRowDxfId="37">
      <calculatedColumnFormula>T_p3p22438277857647175158[[#This Row],[EQ]]*prize</calculatedColumnFormula>
    </tableColumn>
    <tableColumn id="5" xr3:uid="{91A4F8E8-0806-4183-9724-743DF3A36A88}" name="KO" dataDxfId="34" totalsRowDxfId="35">
      <calculatedColumnFormula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calculatedColumnFormula>
    </tableColumn>
    <tableColumn id="6" xr3:uid="{5877A379-BA54-428C-BA95-560F531178A2}" name="$stack" dataDxfId="33">
      <calculatedColumnFormula>T_p3p22438277857647175158[[#This Row],[ICM]]+bounty*T_p3p22438277857647175158[[#This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Q18" dT="2021-02-04T09:46:00.81" personId="{27F183DB-7C89-4168-B8CE-360CD9553519}" id="{75B2911D-7C09-4257-813C-B6E3798DA6BD}">
    <text>Заполнить вручную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1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A178-1286-416E-9F49-41F1D12E7764}">
  <dimension ref="A1:CF66"/>
  <sheetViews>
    <sheetView tabSelected="1" workbookViewId="0">
      <pane xSplit="5" ySplit="14" topLeftCell="F15" activePane="bottomRight" state="frozen"/>
      <selection pane="topRight" activeCell="F1" sqref="F1"/>
      <selection pane="bottomLeft" activeCell="A12" sqref="A12"/>
      <selection pane="bottomRight" activeCell="G1" sqref="G1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.140625" customWidth="1"/>
    <col min="20" max="20" width="6.7109375" customWidth="1"/>
    <col min="21" max="21" width="9.5703125" bestFit="1" customWidth="1"/>
    <col min="22" max="22" width="10.28515625" customWidth="1"/>
    <col min="26" max="26" width="2.28515625" customWidth="1"/>
    <col min="27" max="27" width="6.7109375" customWidth="1"/>
    <col min="28" max="28" width="9.5703125" bestFit="1" customWidth="1"/>
    <col min="29" max="29" width="10.28515625" customWidth="1"/>
    <col min="33" max="33" width="2.42578125" customWidth="1"/>
    <col min="34" max="34" width="6.7109375" customWidth="1"/>
    <col min="35" max="35" width="9.5703125" bestFit="1" customWidth="1"/>
    <col min="36" max="36" width="10.28515625" customWidth="1"/>
    <col min="40" max="40" width="2.5703125" customWidth="1"/>
    <col min="41" max="41" width="6.7109375" customWidth="1"/>
    <col min="42" max="42" width="9.5703125" bestFit="1" customWidth="1"/>
    <col min="43" max="43" width="10.28515625" customWidth="1"/>
    <col min="47" max="47" width="2.5703125" customWidth="1"/>
    <col min="48" max="48" width="5.5703125" customWidth="1"/>
    <col min="49" max="49" width="7.7109375" customWidth="1"/>
    <col min="50" max="51" width="8.5703125" customWidth="1"/>
    <col min="52" max="52" width="9.85546875" customWidth="1"/>
    <col min="53" max="53" width="8.42578125" customWidth="1"/>
    <col min="54" max="54" width="2.85546875" customWidth="1"/>
    <col min="55" max="55" width="7.28515625" customWidth="1"/>
    <col min="56" max="56" width="8.5703125" customWidth="1"/>
    <col min="57" max="57" width="10" customWidth="1"/>
    <col min="61" max="61" width="2.42578125" customWidth="1"/>
    <col min="62" max="62" width="7.28515625" customWidth="1"/>
    <col min="63" max="63" width="8.5703125" customWidth="1"/>
    <col min="64" max="64" width="10" customWidth="1"/>
    <col min="68" max="68" width="2.85546875" customWidth="1"/>
    <col min="69" max="69" width="5.85546875" customWidth="1"/>
    <col min="70" max="70" width="6.7109375" customWidth="1"/>
    <col min="74" max="74" width="10.7109375" customWidth="1"/>
    <col min="75" max="75" width="2.42578125" customWidth="1"/>
    <col min="76" max="76" width="1" customWidth="1"/>
    <col min="77" max="77" width="9.140625" customWidth="1"/>
    <col min="78" max="78" width="7.42578125" customWidth="1"/>
    <col min="79" max="79" width="10.28515625" customWidth="1"/>
  </cols>
  <sheetData>
    <row r="1" spans="1:82" ht="15.75" x14ac:dyDescent="0.25">
      <c r="A1" t="s">
        <v>0</v>
      </c>
      <c r="B1">
        <v>26.96</v>
      </c>
      <c r="C1" s="1" t="s">
        <v>1</v>
      </c>
      <c r="D1">
        <f>B1*4</f>
        <v>107.84</v>
      </c>
      <c r="F1" s="1" t="s">
        <v>2</v>
      </c>
      <c r="G1" s="2">
        <f>N5+N6+N7 + N3/2 + N2/3 +N4/2</f>
        <v>0.18218533333333334</v>
      </c>
      <c r="I1" s="1" t="s">
        <v>3</v>
      </c>
      <c r="J1">
        <v>355</v>
      </c>
      <c r="M1" t="s">
        <v>4</v>
      </c>
    </row>
    <row r="2" spans="1:82" ht="15.75" x14ac:dyDescent="0.25">
      <c r="C2" s="1" t="s">
        <v>5</v>
      </c>
      <c r="D2">
        <f>bounty</f>
        <v>0</v>
      </c>
      <c r="F2" s="1" t="s">
        <v>6</v>
      </c>
      <c r="G2" s="2">
        <f>N8+N10+N13 + N3/2 + N2/3+N12/2</f>
        <v>0.18218533333333334</v>
      </c>
      <c r="I2" s="1" t="s">
        <v>7</v>
      </c>
      <c r="J2">
        <v>750</v>
      </c>
      <c r="M2">
        <v>111</v>
      </c>
      <c r="N2" s="2">
        <v>3.5409999999999999E-3</v>
      </c>
    </row>
    <row r="3" spans="1:82" ht="15.75" x14ac:dyDescent="0.25">
      <c r="C3" s="1" t="s">
        <v>8</v>
      </c>
      <c r="D3">
        <v>2000</v>
      </c>
      <c r="F3" s="1" t="s">
        <v>9</v>
      </c>
      <c r="G3" s="2">
        <f>N9+N11+N14 + N2/3+N12/2+N4/2</f>
        <v>0.63562833333333346</v>
      </c>
      <c r="I3" s="1" t="s">
        <v>10</v>
      </c>
      <c r="J3">
        <v>0</v>
      </c>
      <c r="M3">
        <v>113</v>
      </c>
      <c r="N3" s="2">
        <v>0.33298800000000001</v>
      </c>
    </row>
    <row r="4" spans="1:82" ht="15.75" x14ac:dyDescent="0.25">
      <c r="F4" s="1"/>
      <c r="I4" s="1" t="s">
        <v>11</v>
      </c>
      <c r="J4">
        <v>325</v>
      </c>
      <c r="M4">
        <v>131</v>
      </c>
      <c r="N4" s="2">
        <v>0</v>
      </c>
    </row>
    <row r="5" spans="1:82" ht="17.25" customHeight="1" x14ac:dyDescent="0.25">
      <c r="F5" s="1"/>
      <c r="M5">
        <v>122</v>
      </c>
      <c r="N5" s="2">
        <v>3.57E-4</v>
      </c>
    </row>
    <row r="6" spans="1:82" ht="21" customHeight="1" x14ac:dyDescent="0.25">
      <c r="C6" s="1" t="s">
        <v>12</v>
      </c>
      <c r="D6" s="3" t="s">
        <v>13</v>
      </c>
      <c r="M6">
        <v>123</v>
      </c>
      <c r="N6" s="2">
        <v>5.0369999999999998E-3</v>
      </c>
    </row>
    <row r="7" spans="1:82" ht="22.5" customHeight="1" x14ac:dyDescent="0.25">
      <c r="C7" s="1" t="s">
        <v>14</v>
      </c>
      <c r="D7" s="3"/>
      <c r="M7">
        <v>132</v>
      </c>
      <c r="N7" s="2">
        <v>9.1170000000000001E-3</v>
      </c>
    </row>
    <row r="8" spans="1:82" ht="18.75" customHeight="1" x14ac:dyDescent="0.25">
      <c r="C8" s="1" t="s">
        <v>15</v>
      </c>
      <c r="D8" s="3"/>
      <c r="M8">
        <v>212</v>
      </c>
      <c r="N8" s="2">
        <v>3.57E-4</v>
      </c>
    </row>
    <row r="9" spans="1:82" ht="18.75" customHeight="1" x14ac:dyDescent="0.25">
      <c r="C9" s="1" t="s">
        <v>16</v>
      </c>
      <c r="D9" s="3"/>
      <c r="M9">
        <v>221</v>
      </c>
      <c r="N9" s="2">
        <v>0.63257600000000003</v>
      </c>
    </row>
    <row r="10" spans="1:82" ht="18.75" customHeight="1" x14ac:dyDescent="0.25">
      <c r="C10" t="s">
        <v>17</v>
      </c>
      <c r="M10">
        <v>213</v>
      </c>
      <c r="N10" s="2">
        <v>5.0369999999999998E-3</v>
      </c>
    </row>
    <row r="11" spans="1:82" ht="18.75" customHeight="1" x14ac:dyDescent="0.25">
      <c r="C11" t="s">
        <v>18</v>
      </c>
      <c r="M11">
        <v>231</v>
      </c>
      <c r="N11" s="2">
        <v>9.3599999999999998E-4</v>
      </c>
    </row>
    <row r="12" spans="1:82" ht="18.75" customHeight="1" x14ac:dyDescent="0.25">
      <c r="C12" t="s">
        <v>19</v>
      </c>
      <c r="M12">
        <v>311</v>
      </c>
      <c r="N12" s="2">
        <v>0</v>
      </c>
    </row>
    <row r="13" spans="1:82" ht="15.75" customHeight="1" x14ac:dyDescent="0.25">
      <c r="M13">
        <v>312</v>
      </c>
      <c r="N13" s="2">
        <v>9.1170000000000001E-3</v>
      </c>
    </row>
    <row r="14" spans="1:82" ht="15.75" thickBot="1" x14ac:dyDescent="0.3">
      <c r="F14" s="4"/>
      <c r="M14">
        <v>321</v>
      </c>
      <c r="N14" s="2">
        <v>9.3599999999999998E-4</v>
      </c>
    </row>
    <row r="15" spans="1:82" ht="7.5" customHeight="1" thickBot="1" x14ac:dyDescent="0.35">
      <c r="F15" s="5"/>
      <c r="G15" s="5"/>
      <c r="H15" s="5"/>
      <c r="I15" s="5"/>
      <c r="J15" s="5"/>
      <c r="K15" s="5"/>
      <c r="AV15" s="6" t="s">
        <v>20</v>
      </c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8"/>
      <c r="BW15" s="9"/>
      <c r="BX15" s="9"/>
    </row>
    <row r="16" spans="1:82" ht="22.5" thickTop="1" thickBot="1" x14ac:dyDescent="0.4">
      <c r="F16" s="5"/>
      <c r="G16" s="5"/>
      <c r="H16" s="10" t="s">
        <v>21</v>
      </c>
      <c r="I16" s="5"/>
      <c r="J16" s="5"/>
      <c r="K16" s="5"/>
      <c r="O16" s="11" t="s">
        <v>22</v>
      </c>
      <c r="V16" s="12">
        <v>111</v>
      </c>
      <c r="AC16" s="12">
        <v>113</v>
      </c>
      <c r="AJ16" s="12">
        <v>131</v>
      </c>
      <c r="AQ16" s="12">
        <v>311</v>
      </c>
      <c r="AV16" s="13"/>
      <c r="AW16" s="14"/>
      <c r="AX16" s="14">
        <v>231</v>
      </c>
      <c r="AY16" s="14"/>
      <c r="AZ16" s="14"/>
      <c r="BA16" s="14"/>
      <c r="BB16" s="14"/>
      <c r="BC16" s="14"/>
      <c r="BD16" s="14"/>
      <c r="BE16" s="14">
        <v>321</v>
      </c>
      <c r="BF16" s="14"/>
      <c r="BG16" s="14"/>
      <c r="BH16" s="14"/>
      <c r="BI16" s="14"/>
      <c r="BJ16" s="14"/>
      <c r="BK16" s="14"/>
      <c r="BL16" s="14">
        <v>221</v>
      </c>
      <c r="BM16" s="14"/>
      <c r="BN16" s="14"/>
      <c r="BO16" s="15"/>
      <c r="BS16" t="s">
        <v>23</v>
      </c>
      <c r="BY16" s="16" t="s">
        <v>24</v>
      </c>
      <c r="BZ16" s="17"/>
      <c r="CA16" s="17"/>
      <c r="CB16" s="17"/>
      <c r="CC16" s="9"/>
      <c r="CD16" s="9"/>
    </row>
    <row r="17" spans="1:84" ht="19.5" thickTop="1" x14ac:dyDescent="0.3">
      <c r="F17" s="18" t="s">
        <v>25</v>
      </c>
      <c r="G17" s="19"/>
      <c r="H17" s="19"/>
      <c r="I17" s="19"/>
      <c r="J17" s="20"/>
      <c r="K17" s="5"/>
      <c r="M17" s="18" t="s">
        <v>26</v>
      </c>
      <c r="N17" s="19"/>
      <c r="O17" s="19"/>
      <c r="P17" s="19"/>
      <c r="Q17" s="20"/>
      <c r="R17" s="5"/>
      <c r="S17" s="5"/>
      <c r="T17" s="18" t="s">
        <v>27</v>
      </c>
      <c r="U17" s="19"/>
      <c r="V17" s="19"/>
      <c r="W17" s="19"/>
      <c r="X17" s="20"/>
      <c r="Y17" s="5"/>
      <c r="Z17" s="5"/>
      <c r="AA17" s="18" t="s">
        <v>27</v>
      </c>
      <c r="AB17" s="19"/>
      <c r="AC17" s="19"/>
      <c r="AD17" s="19"/>
      <c r="AE17" s="20"/>
      <c r="AF17" s="5"/>
      <c r="AG17" s="5"/>
      <c r="AH17" s="18" t="s">
        <v>27</v>
      </c>
      <c r="AI17" s="19"/>
      <c r="AJ17" s="19"/>
      <c r="AK17" s="19"/>
      <c r="AL17" s="20"/>
      <c r="AM17" s="5"/>
      <c r="AO17" s="18" t="s">
        <v>27</v>
      </c>
      <c r="AP17" s="19"/>
      <c r="AQ17" s="19"/>
      <c r="AR17" s="19"/>
      <c r="AS17" s="20"/>
      <c r="AT17" s="5"/>
      <c r="AV17" s="21" t="s">
        <v>28</v>
      </c>
      <c r="AW17" s="22"/>
      <c r="AX17" s="22"/>
      <c r="AY17" s="22"/>
      <c r="AZ17" s="23"/>
      <c r="BA17" s="5"/>
      <c r="BC17" s="21" t="s">
        <v>29</v>
      </c>
      <c r="BD17" s="22"/>
      <c r="BE17" s="22"/>
      <c r="BF17" s="22"/>
      <c r="BG17" s="23"/>
      <c r="BJ17" s="21" t="s">
        <v>30</v>
      </c>
      <c r="BK17" s="22"/>
      <c r="BL17" s="22"/>
      <c r="BM17" s="22"/>
      <c r="BN17" s="23"/>
      <c r="BQ17" s="24" t="s">
        <v>31</v>
      </c>
      <c r="BR17" s="25"/>
      <c r="BS17" s="25"/>
      <c r="BT17" s="25"/>
      <c r="BU17" s="26"/>
      <c r="BY17" s="27" t="s">
        <v>32</v>
      </c>
      <c r="BZ17" s="28"/>
      <c r="CA17" s="28"/>
      <c r="CB17" s="29"/>
      <c r="CC17" s="5"/>
      <c r="CD17" s="5"/>
    </row>
    <row r="18" spans="1:84" x14ac:dyDescent="0.25">
      <c r="A18" t="s">
        <v>33</v>
      </c>
      <c r="B18" t="s">
        <v>34</v>
      </c>
      <c r="C18" t="s">
        <v>35</v>
      </c>
      <c r="D18" t="s">
        <v>36</v>
      </c>
      <c r="F18" t="s">
        <v>37</v>
      </c>
      <c r="G18" t="s">
        <v>34</v>
      </c>
      <c r="H18" t="s">
        <v>38</v>
      </c>
      <c r="I18" t="s">
        <v>39</v>
      </c>
      <c r="J18" t="s">
        <v>5</v>
      </c>
      <c r="K18" t="s">
        <v>40</v>
      </c>
      <c r="M18" t="s">
        <v>37</v>
      </c>
      <c r="N18" t="s">
        <v>34</v>
      </c>
      <c r="O18" t="s">
        <v>38</v>
      </c>
      <c r="P18" t="s">
        <v>39</v>
      </c>
      <c r="Q18" t="s">
        <v>5</v>
      </c>
      <c r="R18" t="s">
        <v>40</v>
      </c>
      <c r="T18" t="s">
        <v>37</v>
      </c>
      <c r="U18" t="s">
        <v>34</v>
      </c>
      <c r="V18" t="s">
        <v>38</v>
      </c>
      <c r="W18" t="s">
        <v>39</v>
      </c>
      <c r="X18" t="s">
        <v>5</v>
      </c>
      <c r="Y18" t="s">
        <v>40</v>
      </c>
      <c r="AA18" t="s">
        <v>37</v>
      </c>
      <c r="AB18" t="s">
        <v>34</v>
      </c>
      <c r="AC18" t="s">
        <v>38</v>
      </c>
      <c r="AD18" t="s">
        <v>39</v>
      </c>
      <c r="AE18" t="s">
        <v>5</v>
      </c>
      <c r="AF18" t="s">
        <v>40</v>
      </c>
      <c r="AH18" t="s">
        <v>37</v>
      </c>
      <c r="AI18" t="s">
        <v>34</v>
      </c>
      <c r="AJ18" t="s">
        <v>38</v>
      </c>
      <c r="AK18" t="s">
        <v>39</v>
      </c>
      <c r="AL18" t="s">
        <v>5</v>
      </c>
      <c r="AM18" t="s">
        <v>40</v>
      </c>
      <c r="AO18" t="s">
        <v>37</v>
      </c>
      <c r="AP18" t="s">
        <v>34</v>
      </c>
      <c r="AQ18" t="s">
        <v>38</v>
      </c>
      <c r="AR18" t="s">
        <v>39</v>
      </c>
      <c r="AS18" t="s">
        <v>5</v>
      </c>
      <c r="AT18" t="s">
        <v>40</v>
      </c>
      <c r="AV18" t="s">
        <v>37</v>
      </c>
      <c r="AW18" t="s">
        <v>34</v>
      </c>
      <c r="AX18" t="s">
        <v>38</v>
      </c>
      <c r="AY18" t="s">
        <v>39</v>
      </c>
      <c r="AZ18" t="s">
        <v>5</v>
      </c>
      <c r="BA18" t="s">
        <v>40</v>
      </c>
      <c r="BC18" t="s">
        <v>37</v>
      </c>
      <c r="BD18" t="s">
        <v>34</v>
      </c>
      <c r="BE18" t="s">
        <v>38</v>
      </c>
      <c r="BF18" t="s">
        <v>39</v>
      </c>
      <c r="BG18" t="s">
        <v>5</v>
      </c>
      <c r="BH18" t="s">
        <v>40</v>
      </c>
      <c r="BJ18" t="s">
        <v>37</v>
      </c>
      <c r="BK18" t="s">
        <v>34</v>
      </c>
      <c r="BL18" t="s">
        <v>38</v>
      </c>
      <c r="BM18" t="s">
        <v>39</v>
      </c>
      <c r="BN18" t="s">
        <v>5</v>
      </c>
      <c r="BO18" t="s">
        <v>40</v>
      </c>
      <c r="BQ18" t="s">
        <v>37</v>
      </c>
      <c r="BR18" t="s">
        <v>34</v>
      </c>
      <c r="BS18" t="s">
        <v>38</v>
      </c>
      <c r="BT18" t="s">
        <v>39</v>
      </c>
      <c r="BU18" t="s">
        <v>5</v>
      </c>
      <c r="BV18" t="s">
        <v>40</v>
      </c>
      <c r="BY18" t="s">
        <v>39</v>
      </c>
      <c r="BZ18" t="s">
        <v>5</v>
      </c>
      <c r="CA18" t="s">
        <v>32</v>
      </c>
      <c r="CB18" t="s">
        <v>41</v>
      </c>
      <c r="CC18" t="s">
        <v>42</v>
      </c>
      <c r="CD18" t="s">
        <v>43</v>
      </c>
      <c r="CE18" t="s">
        <v>44</v>
      </c>
      <c r="CF18" t="s">
        <v>45</v>
      </c>
    </row>
    <row r="19" spans="1:84" x14ac:dyDescent="0.25">
      <c r="A19" s="30">
        <v>3</v>
      </c>
      <c r="B19" s="30">
        <v>115</v>
      </c>
      <c r="C19" s="30" t="s">
        <v>46</v>
      </c>
      <c r="D19" s="30">
        <v>10</v>
      </c>
      <c r="F19" s="30">
        <f>COUNTIF(T_p121351975546168151[stack],"&gt;0")</f>
        <v>2</v>
      </c>
      <c r="G19" s="30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H19" s="30"/>
      <c r="I19" s="31">
        <f>T_p121351975546168151[[#This Row],[EQ]]*prize</f>
        <v>0</v>
      </c>
      <c r="J19" s="32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19" s="32">
        <f>T_p121351975546168151[[#This Row],[ICM]]+bounty*T_p121351975546168151[[#This Row],[KO]]</f>
        <v>0</v>
      </c>
      <c r="M19" s="33">
        <f>COUNTIF(T_p222362576556269152[stack],"&gt;0")</f>
        <v>3</v>
      </c>
      <c r="N19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O19" s="30"/>
      <c r="P19" s="31">
        <f>T_p222362576556269152[[#This Row],[EQ]]*prize</f>
        <v>0</v>
      </c>
      <c r="Q19" s="32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19" s="32">
        <f>T_p222362576556269152[[#This Row],[ICM]]+bounty*T_p222362576556269152[[#This Row],[KO]]</f>
        <v>0</v>
      </c>
      <c r="S19" s="32"/>
      <c r="T19" s="33">
        <f>COUNTIF(T_p22236257655626974157[stack],"&gt;0")</f>
        <v>4</v>
      </c>
      <c r="U19" s="30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119</v>
      </c>
      <c r="V19" s="30">
        <v>5.9499999999999997E-2</v>
      </c>
      <c r="W19" s="31">
        <f>T_p22236257655626974157[[#This Row],[EQ]]*prize</f>
        <v>6.41648</v>
      </c>
      <c r="X19" s="32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0.23799999999999999</v>
      </c>
      <c r="Y19" s="32">
        <f>T_p22236257655626974157[[#This Row],[ICM]]+bounty*T_p22236257655626974157[[#This Row],[KO]]</f>
        <v>6.41648</v>
      </c>
      <c r="Z19" s="32"/>
      <c r="AA19" s="33">
        <f>COUNTIF(T_p22236257655626974157159[stack],"&gt;0")</f>
        <v>3</v>
      </c>
      <c r="AB19" s="30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C19" s="30">
        <v>5.9499999999999997E-2</v>
      </c>
      <c r="AD19" s="31">
        <f>T_p22236257655626974157159[[#This Row],[EQ]]*prize</f>
        <v>6.41648</v>
      </c>
      <c r="AE19" s="32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19" s="32">
        <f>T_p22236257655626974157159[[#This Row],[ICM]]+bounty*T_p22236257655626974157159[[#This Row],[KO]]</f>
        <v>6.41648</v>
      </c>
      <c r="AG19" s="32"/>
      <c r="AH19" s="33">
        <f>COUNTIF(T_p22236257655626974157159160[stack],"&gt;0")</f>
        <v>3</v>
      </c>
      <c r="AI19" s="30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178</v>
      </c>
      <c r="AJ19" s="30">
        <v>5.9499999999999997E-2</v>
      </c>
      <c r="AK19" s="31">
        <f>T_p22236257655626974157159160[[#This Row],[EQ]]*prize</f>
        <v>6.41648</v>
      </c>
      <c r="AL19" s="32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0.26700000000000002</v>
      </c>
      <c r="AM19" s="32">
        <f>T_p22236257655626974157159160[[#This Row],[ICM]]+bounty*T_p22236257655626974157159160[[#This Row],[KO]]</f>
        <v>6.41648</v>
      </c>
      <c r="AO19" s="33">
        <f>COUNTIF(T_p22236257655626974157159160161[stack],"&gt;0")</f>
        <v>4</v>
      </c>
      <c r="AP19" s="30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178</v>
      </c>
      <c r="AQ19" s="30">
        <v>5.9499999999999997E-2</v>
      </c>
      <c r="AR19" s="31">
        <f>T_p22236257655626974157159160161[[#This Row],[EQ]]*prize</f>
        <v>6.41648</v>
      </c>
      <c r="AS19" s="32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0.35599999999999998</v>
      </c>
      <c r="AT19" s="32">
        <f>T_p22236257655626974157159160161[[#This Row],[ICM]]+bounty*T_p22236257655626974157159160161[[#This Row],[KO]]</f>
        <v>6.41648</v>
      </c>
      <c r="AV19" s="30">
        <f>COUNTIF(T_p3p123372677566370153[stack],"&gt;0")</f>
        <v>3</v>
      </c>
      <c r="AW19" s="30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355</v>
      </c>
      <c r="AX19" s="30">
        <v>0.17749999999999999</v>
      </c>
      <c r="AY19" s="31">
        <f>T_p3p123372677566370153[[#This Row],[EQ]]*prize</f>
        <v>19.1416</v>
      </c>
      <c r="AZ19" s="32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0.53249999999999997</v>
      </c>
      <c r="BA19" s="32">
        <f>T_p3p123372677566370153[[#This Row],[ICM]]+bounty*T_p3p123372677566370153[[#This Row],[KO]]</f>
        <v>19.1416</v>
      </c>
      <c r="BC19" s="30">
        <f>COUNTIF(T_p3p224382778576471154[stack],"&gt;0")</f>
        <v>4</v>
      </c>
      <c r="BD19" s="30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355</v>
      </c>
      <c r="BE19" s="30">
        <v>0.17749999999999999</v>
      </c>
      <c r="BF19" s="31">
        <f>T_p3p224382778576471154[[#This Row],[EQ]]*prize</f>
        <v>19.1416</v>
      </c>
      <c r="BG19" s="32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0.71</v>
      </c>
      <c r="BH19" s="32">
        <f>T_p3p224382778576471154[[#This Row],[ICM]]+bounty*T_p3p224382778576471154[[#This Row],[KO]]</f>
        <v>19.1416</v>
      </c>
      <c r="BJ19" s="30">
        <f>COUNTIF(T_p3p22438277857647175158[stack],"&gt;0")</f>
        <v>4</v>
      </c>
      <c r="BK19" s="30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355</v>
      </c>
      <c r="BL19" s="30">
        <v>0.17749999999999999</v>
      </c>
      <c r="BM19" s="31">
        <f>T_p3p22438277857647175158[[#This Row],[EQ]]*prize</f>
        <v>19.1416</v>
      </c>
      <c r="BN19" s="32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0.71</v>
      </c>
      <c r="BO19" s="32">
        <f>T_p3p22438277857647175158[[#This Row],[ICM]]+bounty*T_p3p22438277857647175158[[#This Row],[KO]]</f>
        <v>19.1416</v>
      </c>
      <c r="BQ19" s="30">
        <v>3</v>
      </c>
      <c r="BR19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S19" s="30"/>
      <c r="BT19" s="31">
        <f>T_fact29392879586572155[[#This Row],[EQ]]*prize</f>
        <v>0</v>
      </c>
      <c r="BU19" s="32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19" s="32">
        <f>T_fact29392879586572155[[#This Row],[ICM]]+bounty*T_fact29392879586572155[[#This Row],[KO]]</f>
        <v>0</v>
      </c>
      <c r="BY19" s="31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19" s="34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19" s="31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19" s="34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19" s="31">
        <f>T_fact29392879586572155[[#This Row],[stack]]- T_init2034474536067150[[#This Row],[stack]]</f>
        <v>-115</v>
      </c>
      <c r="CD19" s="31" t="e">
        <f>T_EV33403080596673156[[#This Row],[netwon]]+T_EV33403080596673156[[#This Row],[cEVdiff]]</f>
        <v>#REF!</v>
      </c>
      <c r="CE19" s="35" t="e">
        <f>T_EV33403080596673156[[#This Row],[chipEV]]-T_fact29392879586572155[[#This Row],[stack]]</f>
        <v>#REF!</v>
      </c>
      <c r="CF19" s="35" t="e">
        <f>T_EV33403080596673156[[#This Row],[EV]]-(T_fact29392879586572155[[#This Row],[ICM]])</f>
        <v>#REF!</v>
      </c>
    </row>
    <row r="20" spans="1:84" x14ac:dyDescent="0.25">
      <c r="B20">
        <v>580</v>
      </c>
      <c r="D20">
        <v>10</v>
      </c>
      <c r="F20">
        <f>COUNTIF(T_p121351975546168151[stack],"&gt;0")</f>
        <v>2</v>
      </c>
      <c r="G20">
        <f>IF(T_init2034474536067150[[#This Row],[p]]=1,mainpot+sidepot1+sidepot2+uncalled,IF(T_init2034474536067150[[#This Row],[p]]&gt;1,0,T_init2034474536067150[[#This Row],[stack]]-T_init2034474536067150[[#This Row],[anteblinds]]))</f>
        <v>570</v>
      </c>
      <c r="H20">
        <v>0.28499999999999998</v>
      </c>
      <c r="I20" s="35">
        <f>T_p121351975546168151[[#This Row],[EQ]]*prize</f>
        <v>30.734399999999997</v>
      </c>
      <c r="J20" s="3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0.56999999999999995</v>
      </c>
      <c r="K20" s="36">
        <f>T_p121351975546168151[[#This Row],[ICM]]+bounty*T_p121351975546168151[[#This Row],[KO]]</f>
        <v>30.734399999999997</v>
      </c>
      <c r="M20" s="37">
        <f>COUNTIF(T_p222362576556269152[stack],"&gt;0")</f>
        <v>3</v>
      </c>
      <c r="N20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570</v>
      </c>
      <c r="O20">
        <v>0.28499999999999998</v>
      </c>
      <c r="P20" s="35">
        <f>T_p222362576556269152[[#This Row],[EQ]]*prize</f>
        <v>30.734399999999997</v>
      </c>
      <c r="Q20" s="3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0.85499999999999998</v>
      </c>
      <c r="R20" s="36">
        <f>T_p222362576556269152[[#This Row],[ICM]]+bounty*T_p222362576556269152[[#This Row],[KO]]</f>
        <v>30.734399999999997</v>
      </c>
      <c r="S20" s="36"/>
      <c r="T20" s="37">
        <f>COUNTIF(T_p22236257655626974157[stack],"&gt;0")</f>
        <v>4</v>
      </c>
      <c r="U20" s="30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570</v>
      </c>
      <c r="V20">
        <v>0.28499999999999998</v>
      </c>
      <c r="W20" s="35">
        <f>T_p22236257655626974157[[#This Row],[EQ]]*prize</f>
        <v>30.734399999999997</v>
      </c>
      <c r="X20" s="3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1.1399999999999999</v>
      </c>
      <c r="Y20" s="36">
        <f>T_p22236257655626974157[[#This Row],[ICM]]+bounty*T_p22236257655626974157[[#This Row],[KO]]</f>
        <v>30.734399999999997</v>
      </c>
      <c r="Z20" s="36"/>
      <c r="AA20" s="37">
        <f>COUNTIF(T_p22236257655626974157159[stack],"&gt;0")</f>
        <v>3</v>
      </c>
      <c r="AB20" s="30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570</v>
      </c>
      <c r="AC20">
        <v>0.28499999999999998</v>
      </c>
      <c r="AD20" s="35">
        <f>T_p22236257655626974157159[[#This Row],[EQ]]*prize</f>
        <v>30.734399999999997</v>
      </c>
      <c r="AE20" s="3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0.85499999999999998</v>
      </c>
      <c r="AF20" s="36">
        <f>T_p22236257655626974157159[[#This Row],[ICM]]+bounty*T_p22236257655626974157159[[#This Row],[KO]]</f>
        <v>30.734399999999997</v>
      </c>
      <c r="AG20" s="36"/>
      <c r="AH20" s="37">
        <f>COUNTIF(T_p22236257655626974157159160[stack],"&gt;0")</f>
        <v>3</v>
      </c>
      <c r="AI20" s="30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570</v>
      </c>
      <c r="AJ20">
        <v>0.28499999999999998</v>
      </c>
      <c r="AK20" s="35">
        <f>T_p22236257655626974157159160[[#This Row],[EQ]]*prize</f>
        <v>30.734399999999997</v>
      </c>
      <c r="AL20" s="3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0.85499999999999998</v>
      </c>
      <c r="AM20" s="36">
        <f>T_p22236257655626974157159160[[#This Row],[ICM]]+bounty*T_p22236257655626974157159160[[#This Row],[KO]]</f>
        <v>30.734399999999997</v>
      </c>
      <c r="AO20" s="37">
        <f>COUNTIF(T_p22236257655626974157159160161[stack],"&gt;0")</f>
        <v>4</v>
      </c>
      <c r="AP20" s="30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570</v>
      </c>
      <c r="AQ20">
        <v>0.28499999999999998</v>
      </c>
      <c r="AR20" s="35">
        <f>T_p22236257655626974157159160161[[#This Row],[EQ]]*prize</f>
        <v>30.734399999999997</v>
      </c>
      <c r="AS20" s="3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1.1399999999999999</v>
      </c>
      <c r="AT20" s="36">
        <f>T_p22236257655626974157159160161[[#This Row],[ICM]]+bounty*T_p22236257655626974157159160161[[#This Row],[KO]]</f>
        <v>30.734399999999997</v>
      </c>
      <c r="AV20">
        <f>COUNTIF(T_p3p123372677566370153[stack],"&gt;0")</f>
        <v>3</v>
      </c>
      <c r="AW20" s="30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570</v>
      </c>
      <c r="AX20">
        <v>0.28499999999999998</v>
      </c>
      <c r="AY20" s="35">
        <f>T_p3p123372677566370153[[#This Row],[EQ]]*prize</f>
        <v>30.734399999999997</v>
      </c>
      <c r="AZ20" s="3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0.85499999999999998</v>
      </c>
      <c r="BA20" s="36">
        <f>T_p3p123372677566370153[[#This Row],[ICM]]+bounty*T_p3p123372677566370153[[#This Row],[KO]]</f>
        <v>30.734399999999997</v>
      </c>
      <c r="BC20">
        <f>COUNTIF(T_p3p224382778576471154[stack],"&gt;0")</f>
        <v>4</v>
      </c>
      <c r="BD20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570</v>
      </c>
      <c r="BE20">
        <v>0.28499999999999998</v>
      </c>
      <c r="BF20" s="35">
        <f>T_p3p224382778576471154[[#This Row],[EQ]]*prize</f>
        <v>30.734399999999997</v>
      </c>
      <c r="BG20" s="3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1.1399999999999999</v>
      </c>
      <c r="BH20" s="36">
        <f>T_p3p224382778576471154[[#This Row],[ICM]]+bounty*T_p3p224382778576471154[[#This Row],[KO]]</f>
        <v>30.734399999999997</v>
      </c>
      <c r="BJ20">
        <f>COUNTIF(T_p3p22438277857647175158[stack],"&gt;0")</f>
        <v>4</v>
      </c>
      <c r="BK20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570</v>
      </c>
      <c r="BL20">
        <v>0.28499999999999998</v>
      </c>
      <c r="BM20" s="35">
        <f>T_p3p22438277857647175158[[#This Row],[EQ]]*prize</f>
        <v>30.734399999999997</v>
      </c>
      <c r="BN20" s="3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1.1399999999999999</v>
      </c>
      <c r="BO20" s="36">
        <f>T_p3p22438277857647175158[[#This Row],[ICM]]+bounty*T_p3p22438277857647175158[[#This Row],[KO]]</f>
        <v>30.734399999999997</v>
      </c>
      <c r="BQ20" s="30">
        <v>3</v>
      </c>
      <c r="BR20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570</v>
      </c>
      <c r="BS20">
        <v>0.28499999999999998</v>
      </c>
      <c r="BT20" s="35">
        <f>T_fact29392879586572155[[#This Row],[EQ]]*prize</f>
        <v>30.734399999999997</v>
      </c>
      <c r="BU20" s="3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0.85499999999999998</v>
      </c>
      <c r="BV20" s="36">
        <f>T_fact29392879586572155[[#This Row],[ICM]]+bounty*T_fact29392879586572155[[#This Row],[KO]]</f>
        <v>30.734399999999997</v>
      </c>
      <c r="BY20" s="35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20" s="35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20" s="35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20" s="35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20" s="35">
        <f>T_fact29392879586572155[[#This Row],[stack]]- T_init2034474536067150[[#This Row],[stack]]</f>
        <v>-10</v>
      </c>
      <c r="CD20" s="35" t="e">
        <f>T_EV33403080596673156[[#This Row],[netwon]]+T_EV33403080596673156[[#This Row],[cEVdiff]]</f>
        <v>#REF!</v>
      </c>
      <c r="CE20" s="35" t="e">
        <f>T_EV33403080596673156[[#This Row],[chipEV]]-T_fact29392879586572155[[#This Row],[stack]]</f>
        <v>#REF!</v>
      </c>
      <c r="CF20" s="35" t="e">
        <f>T_EV33403080596673156[[#This Row],[EV]]-(T_fact29392879586572155[[#This Row],[ICM]])</f>
        <v>#REF!</v>
      </c>
    </row>
    <row r="21" spans="1:84" s="38" customFormat="1" x14ac:dyDescent="0.25">
      <c r="A21" s="38">
        <v>1</v>
      </c>
      <c r="B21" s="38">
        <v>815</v>
      </c>
      <c r="C21" s="38" t="s">
        <v>47</v>
      </c>
      <c r="D21" s="38">
        <v>35</v>
      </c>
      <c r="F21" s="38">
        <f>COUNTIF(T_p121351975546168151[stack],"&gt;0")</f>
        <v>2</v>
      </c>
      <c r="G21" s="38">
        <f>IF(T_init2034474536067150[[#This Row],[p]]=1,mainpot+sidepot1+sidepot2+uncalled,IF(T_init2034474536067150[[#This Row],[p]]&gt;1,0,T_init2034474536067150[[#This Row],[stack]]-T_init2034474536067150[[#This Row],[anteblinds]]))</f>
        <v>1430</v>
      </c>
      <c r="H21" s="38">
        <v>0.71499999999999997</v>
      </c>
      <c r="I21" s="39">
        <f>T_p121351975546168151[[#This Row],[EQ]]*prize</f>
        <v>77.105599999999995</v>
      </c>
      <c r="J21" s="40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5.43</v>
      </c>
      <c r="K21" s="40">
        <f>T_p121351975546168151[[#This Row],[ICM]]+bounty*T_p121351975546168151[[#This Row],[KO]]</f>
        <v>77.105599999999995</v>
      </c>
      <c r="M21" s="41">
        <f>COUNTIF(T_p222362576556269152[stack],"&gt;0")</f>
        <v>3</v>
      </c>
      <c r="N21" s="38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325</v>
      </c>
      <c r="O21" s="38">
        <v>0.16250000000000001</v>
      </c>
      <c r="P21" s="39">
        <f>T_p222362576556269152[[#This Row],[EQ]]*prize</f>
        <v>17.524000000000001</v>
      </c>
      <c r="Q21" s="40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0.48749999999999999</v>
      </c>
      <c r="R21" s="40">
        <f>T_p222362576556269152[[#This Row],[ICM]]+bounty*T_p222362576556269152[[#This Row],[KO]]</f>
        <v>17.524000000000001</v>
      </c>
      <c r="S21" s="40"/>
      <c r="T21" s="41">
        <f>COUNTIF(T_p22236257655626974157[stack],"&gt;0")</f>
        <v>4</v>
      </c>
      <c r="U21" s="38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818</v>
      </c>
      <c r="V21" s="38">
        <v>0.40899999999999997</v>
      </c>
      <c r="W21" s="39">
        <f>T_p22236257655626974157[[#This Row],[EQ]]*prize</f>
        <v>44.106560000000002</v>
      </c>
      <c r="X21" s="40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1.6359999999999999</v>
      </c>
      <c r="Y21" s="40">
        <f>T_p22236257655626974157[[#This Row],[ICM]]+bounty*T_p22236257655626974157[[#This Row],[KO]]</f>
        <v>44.106560000000002</v>
      </c>
      <c r="Z21" s="40"/>
      <c r="AA21" s="41">
        <f>COUNTIF(T_p22236257655626974157159[stack],"&gt;0")</f>
        <v>3</v>
      </c>
      <c r="AB21" s="38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877</v>
      </c>
      <c r="AC21" s="38">
        <v>0.40899999999999997</v>
      </c>
      <c r="AD21" s="39">
        <f>T_p22236257655626974157159[[#This Row],[EQ]]*prize</f>
        <v>44.106560000000002</v>
      </c>
      <c r="AE21" s="40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1.3154999999999999</v>
      </c>
      <c r="AF21" s="40">
        <f>T_p22236257655626974157159[[#This Row],[ICM]]+bounty*T_p22236257655626974157159[[#This Row],[KO]]</f>
        <v>44.106560000000002</v>
      </c>
      <c r="AG21" s="40"/>
      <c r="AH21" s="41">
        <f>COUNTIF(T_p22236257655626974157159160[stack],"&gt;0")</f>
        <v>3</v>
      </c>
      <c r="AI21" s="38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1252</v>
      </c>
      <c r="AJ21" s="38">
        <v>0.40899999999999997</v>
      </c>
      <c r="AK21" s="39">
        <f>T_p22236257655626974157159160[[#This Row],[EQ]]*prize</f>
        <v>44.106560000000002</v>
      </c>
      <c r="AL21" s="40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1.8779999999999999</v>
      </c>
      <c r="AM21" s="40">
        <f>T_p22236257655626974157159160[[#This Row],[ICM]]+bounty*T_p22236257655626974157159160[[#This Row],[KO]]</f>
        <v>44.106560000000002</v>
      </c>
      <c r="AO21" s="41">
        <f>COUNTIF(T_p22236257655626974157159160161[stack],"&gt;0")</f>
        <v>4</v>
      </c>
      <c r="AP21" s="38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325</v>
      </c>
      <c r="AQ21" s="38">
        <v>0.40899999999999997</v>
      </c>
      <c r="AR21" s="39">
        <f>T_p22236257655626974157159160161[[#This Row],[EQ]]*prize</f>
        <v>44.106560000000002</v>
      </c>
      <c r="AS21" s="40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0.65</v>
      </c>
      <c r="AT21" s="40">
        <f>T_p22236257655626974157159160161[[#This Row],[ICM]]+bounty*T_p22236257655626974157159160161[[#This Row],[KO]]</f>
        <v>44.106560000000002</v>
      </c>
      <c r="AV21" s="38">
        <f>COUNTIF(T_p3p123372677566370153[stack],"&gt;0")</f>
        <v>3</v>
      </c>
      <c r="AW21" s="38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1075</v>
      </c>
      <c r="AX21" s="38">
        <v>0.53749999999999998</v>
      </c>
      <c r="AY21" s="39">
        <f>T_p3p123372677566370153[[#This Row],[EQ]]*prize</f>
        <v>57.963999999999999</v>
      </c>
      <c r="AZ21" s="40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4.6124999999999998</v>
      </c>
      <c r="BA21" s="40">
        <f>T_p3p123372677566370153[[#This Row],[ICM]]+bounty*T_p3p123372677566370153[[#This Row],[KO]]</f>
        <v>57.963999999999999</v>
      </c>
      <c r="BC21" s="38">
        <f>COUNTIF(T_p3p224382778576471154[stack],"&gt;0")</f>
        <v>4</v>
      </c>
      <c r="BD21" s="38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325</v>
      </c>
      <c r="BE21" s="38">
        <v>0.16250000000000001</v>
      </c>
      <c r="BF21" s="39">
        <f>T_p3p224382778576471154[[#This Row],[EQ]]*prize</f>
        <v>17.524000000000001</v>
      </c>
      <c r="BG21" s="40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0.65</v>
      </c>
      <c r="BH21" s="40">
        <f>T_p3p224382778576471154[[#This Row],[ICM]]+bounty*T_p3p224382778576471154[[#This Row],[KO]]</f>
        <v>17.524000000000001</v>
      </c>
      <c r="BJ21" s="38">
        <f>COUNTIF(T_p3p22438277857647175158[stack],"&gt;0")</f>
        <v>4</v>
      </c>
      <c r="BK21" s="38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700</v>
      </c>
      <c r="BL21" s="38">
        <v>0.35</v>
      </c>
      <c r="BM21" s="39">
        <f>T_p3p22438277857647175158[[#This Row],[EQ]]*prize</f>
        <v>37.744</v>
      </c>
      <c r="BN21" s="40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1.4</v>
      </c>
      <c r="BO21" s="40">
        <f>T_p3p22438277857647175158[[#This Row],[ICM]]+bounty*T_p3p22438277857647175158[[#This Row],[KO]]</f>
        <v>37.744</v>
      </c>
      <c r="BQ21" s="38">
        <v>3</v>
      </c>
      <c r="BR21" s="38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325</v>
      </c>
      <c r="BS21" s="38">
        <v>0.16250000000000001</v>
      </c>
      <c r="BT21" s="39">
        <f>T_fact29392879586572155[[#This Row],[EQ]]*prize</f>
        <v>17.524000000000001</v>
      </c>
      <c r="BU21" s="40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3.4874999999999998</v>
      </c>
      <c r="BV21" s="40">
        <f>T_fact29392879586572155[[#This Row],[ICM]]+bounty*T_fact29392879586572155[[#This Row],[KO]]</f>
        <v>17.524000000000001</v>
      </c>
      <c r="BY21" s="39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21" s="39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21" s="39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21" s="39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21" s="39">
        <f>T_fact29392879586572155[[#This Row],[stack]]- T_init2034474536067150[[#This Row],[stack]]</f>
        <v>-490</v>
      </c>
      <c r="CD21" s="39" t="e">
        <f>T_EV33403080596673156[[#This Row],[netwon]]+T_EV33403080596673156[[#This Row],[cEVdiff]]</f>
        <v>#REF!</v>
      </c>
      <c r="CE21" s="39" t="e">
        <f>T_EV33403080596673156[[#This Row],[chipEV]]-T_fact29392879586572155[[#This Row],[stack]]</f>
        <v>#REF!</v>
      </c>
      <c r="CF21" s="39" t="e">
        <f>T_EV33403080596673156[[#This Row],[EV]]-(T_fact29392879586572155[[#This Row],[ICM]])</f>
        <v>#REF!</v>
      </c>
    </row>
    <row r="22" spans="1:84" x14ac:dyDescent="0.25">
      <c r="A22" s="30">
        <v>2</v>
      </c>
      <c r="B22" s="30">
        <v>490</v>
      </c>
      <c r="C22" t="s">
        <v>48</v>
      </c>
      <c r="D22" s="30">
        <v>60</v>
      </c>
      <c r="F22" s="30">
        <f>COUNTIF(T_p121351975546168151[stack],"&gt;0")</f>
        <v>2</v>
      </c>
      <c r="G22" s="30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H22" s="30"/>
      <c r="I22" s="31">
        <f>T_p121351975546168151[[#This Row],[EQ]]*prize</f>
        <v>0</v>
      </c>
      <c r="J22" s="32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2" s="32">
        <f>T_p121351975546168151[[#This Row],[ICM]]+bounty*T_p121351975546168151[[#This Row],[KO]]</f>
        <v>0</v>
      </c>
      <c r="M22" s="33">
        <f>COUNTIF(T_p222362576556269152[stack],"&gt;0")</f>
        <v>3</v>
      </c>
      <c r="N22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1105</v>
      </c>
      <c r="O22" s="30">
        <v>0.55249999999999999</v>
      </c>
      <c r="P22" s="31">
        <f>T_p222362576556269152[[#This Row],[EQ]]*prize</f>
        <v>59.581600000000002</v>
      </c>
      <c r="Q22" s="32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4.6574999999999998</v>
      </c>
      <c r="R22" s="32">
        <f>T_p222362576556269152[[#This Row],[ICM]]+bounty*T_p222362576556269152[[#This Row],[KO]]</f>
        <v>59.581600000000002</v>
      </c>
      <c r="S22" s="32"/>
      <c r="T22" s="33">
        <f>COUNTIF(T_p22236257655626974157[stack],"&gt;0")</f>
        <v>4</v>
      </c>
      <c r="U22" s="30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493</v>
      </c>
      <c r="V22" s="30">
        <v>0.2465</v>
      </c>
      <c r="W22" s="31">
        <f>T_p22236257655626974157[[#This Row],[EQ]]*prize</f>
        <v>26.582560000000001</v>
      </c>
      <c r="X22" s="32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2.9859999999999998</v>
      </c>
      <c r="Y22" s="32">
        <f>T_p22236257655626974157[[#This Row],[ICM]]+bounty*T_p22236257655626974157[[#This Row],[KO]]</f>
        <v>26.582560000000001</v>
      </c>
      <c r="Z22" s="32"/>
      <c r="AA22" s="33">
        <f>COUNTIF(T_p22236257655626974157159[stack],"&gt;0")</f>
        <v>3</v>
      </c>
      <c r="AB22" s="30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553</v>
      </c>
      <c r="AC22" s="30">
        <v>0.2465</v>
      </c>
      <c r="AD22" s="31">
        <f>T_p22236257655626974157159[[#This Row],[EQ]]*prize</f>
        <v>26.582560000000001</v>
      </c>
      <c r="AE22" s="32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3.8294999999999999</v>
      </c>
      <c r="AF22" s="32">
        <f>T_p22236257655626974157159[[#This Row],[ICM]]+bounty*T_p22236257655626974157159[[#This Row],[KO]]</f>
        <v>26.582560000000001</v>
      </c>
      <c r="AG22" s="32"/>
      <c r="AH22" s="33">
        <f>COUNTIF(T_p22236257655626974157159160[stack],"&gt;0")</f>
        <v>3</v>
      </c>
      <c r="AI22" s="30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J22" s="30">
        <v>0.2465</v>
      </c>
      <c r="AK22" s="31">
        <f>T_p22236257655626974157159160[[#This Row],[EQ]]*prize</f>
        <v>26.582560000000001</v>
      </c>
      <c r="AL22" s="32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3</v>
      </c>
      <c r="AM22" s="32">
        <f>T_p22236257655626974157159160[[#This Row],[ICM]]+bounty*T_p22236257655626974157159160[[#This Row],[KO]]</f>
        <v>26.582560000000001</v>
      </c>
      <c r="AO22" s="33">
        <f>COUNTIF(T_p22236257655626974157159160161[stack],"&gt;0")</f>
        <v>4</v>
      </c>
      <c r="AP22" s="30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927</v>
      </c>
      <c r="AQ22" s="30">
        <v>0.2465</v>
      </c>
      <c r="AR22" s="31">
        <f>T_p22236257655626974157159160161[[#This Row],[EQ]]*prize</f>
        <v>26.582560000000001</v>
      </c>
      <c r="AS22" s="32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3.8540000000000001</v>
      </c>
      <c r="AT22" s="32">
        <f>T_p22236257655626974157159160161[[#This Row],[ICM]]+bounty*T_p22236257655626974157159160161[[#This Row],[KO]]</f>
        <v>26.582560000000001</v>
      </c>
      <c r="AV22" s="30">
        <f>COUNTIF(T_p3p123372677566370153[stack],"&gt;0")</f>
        <v>3</v>
      </c>
      <c r="AW22" s="30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2" s="30">
        <v>0</v>
      </c>
      <c r="AY22" s="31">
        <f>T_p3p123372677566370153[[#This Row],[EQ]]*prize</f>
        <v>0</v>
      </c>
      <c r="AZ22" s="32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2" s="32">
        <f>T_p3p123372677566370153[[#This Row],[ICM]]+bounty*T_p3p123372677566370153[[#This Row],[KO]]</f>
        <v>0</v>
      </c>
      <c r="BC22" s="30">
        <f>COUNTIF(T_p3p224382778576471154[stack],"&gt;0")</f>
        <v>4</v>
      </c>
      <c r="BD22" s="30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750</v>
      </c>
      <c r="BE22" s="30">
        <v>0.375</v>
      </c>
      <c r="BF22" s="31">
        <f>T_p3p224382778576471154[[#This Row],[EQ]]*prize</f>
        <v>40.44</v>
      </c>
      <c r="BG22" s="32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3.5</v>
      </c>
      <c r="BH22" s="36">
        <f>T_p3p224382778576471154[[#This Row],[ICM]]+bounty*T_p3p224382778576471154[[#This Row],[KO]]</f>
        <v>40.44</v>
      </c>
      <c r="BJ22" s="30">
        <f>COUNTIF(T_p3p22438277857647175158[stack],"&gt;0")</f>
        <v>4</v>
      </c>
      <c r="BK22" s="30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375</v>
      </c>
      <c r="BL22" s="30">
        <v>0.1875</v>
      </c>
      <c r="BM22" s="31">
        <f>T_p3p22438277857647175158[[#This Row],[EQ]]*prize</f>
        <v>20.22</v>
      </c>
      <c r="BN22" s="32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2.75</v>
      </c>
      <c r="BO22" s="36">
        <f>T_p3p22438277857647175158[[#This Row],[ICM]]+bounty*T_p3p22438277857647175158[[#This Row],[KO]]</f>
        <v>20.22</v>
      </c>
      <c r="BQ22" s="30">
        <v>3</v>
      </c>
      <c r="BR22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1105</v>
      </c>
      <c r="BS22" s="30">
        <v>0.55249999999999999</v>
      </c>
      <c r="BT22" s="31">
        <f>T_fact29392879586572155[[#This Row],[EQ]]*prize</f>
        <v>59.581600000000002</v>
      </c>
      <c r="BU22" s="32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1.6575</v>
      </c>
      <c r="BV22" s="36">
        <f>T_fact29392879586572155[[#This Row],[ICM]]+bounty*T_fact29392879586572155[[#This Row],[KO]]</f>
        <v>59.581600000000002</v>
      </c>
      <c r="BY22" s="35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22" s="31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22" s="31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22" s="31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22" s="31">
        <f>T_fact29392879586572155[[#This Row],[stack]]- T_init2034474536067150[[#This Row],[stack]]</f>
        <v>615</v>
      </c>
      <c r="CD22" s="31" t="e">
        <f>T_EV33403080596673156[[#This Row],[netwon]]+T_EV33403080596673156[[#This Row],[cEVdiff]]</f>
        <v>#REF!</v>
      </c>
      <c r="CE22" s="35" t="e">
        <f>T_EV33403080596673156[[#This Row],[chipEV]]-T_fact29392879586572155[[#This Row],[stack]]</f>
        <v>#REF!</v>
      </c>
      <c r="CF22" s="35" t="e">
        <f>T_EV33403080596673156[[#This Row],[EV]]-(T_fact29392879586572155[[#This Row],[ICM]])</f>
        <v>#REF!</v>
      </c>
    </row>
    <row r="23" spans="1:84" x14ac:dyDescent="0.25">
      <c r="B23">
        <v>0</v>
      </c>
      <c r="F23">
        <f>COUNTIF(T_p121351975546168151[stack],"&gt;0")</f>
        <v>2</v>
      </c>
      <c r="G23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I23" s="35">
        <f>T_p121351975546168151[[#This Row],[EQ]]*prize</f>
        <v>0</v>
      </c>
      <c r="J23" s="3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3" s="36">
        <f>T_p121351975546168151[[#This Row],[ICM]]+bounty*T_p121351975546168151[[#This Row],[KO]]</f>
        <v>0</v>
      </c>
      <c r="M23" s="37">
        <f>COUNTIF(T_p222362576556269152[stack],"&gt;0")</f>
        <v>3</v>
      </c>
      <c r="N23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O23">
        <v>0</v>
      </c>
      <c r="P23" s="35">
        <f>T_p222362576556269152[[#This Row],[EQ]]*prize</f>
        <v>0</v>
      </c>
      <c r="Q23" s="3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23" s="36">
        <f>T_p222362576556269152[[#This Row],[ICM]]+bounty*T_p222362576556269152[[#This Row],[KO]]</f>
        <v>0</v>
      </c>
      <c r="S23" s="36"/>
      <c r="T23" s="37">
        <f>COUNTIF(T_p22236257655626974157[stack],"&gt;0")</f>
        <v>4</v>
      </c>
      <c r="U23" s="30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0</v>
      </c>
      <c r="V23">
        <v>0</v>
      </c>
      <c r="W23" s="35">
        <f>T_p22236257655626974157[[#This Row],[EQ]]*prize</f>
        <v>0</v>
      </c>
      <c r="X23" s="3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</v>
      </c>
      <c r="Y23" s="36">
        <f>T_p22236257655626974157[[#This Row],[ICM]]+bounty*T_p22236257655626974157[[#This Row],[KO]]</f>
        <v>0</v>
      </c>
      <c r="Z23" s="36"/>
      <c r="AA23" s="37">
        <f>COUNTIF(T_p22236257655626974157159[stack],"&gt;0")</f>
        <v>3</v>
      </c>
      <c r="AB23" s="30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C23">
        <v>0</v>
      </c>
      <c r="AD23" s="35">
        <f>T_p22236257655626974157159[[#This Row],[EQ]]*prize</f>
        <v>0</v>
      </c>
      <c r="AE23" s="3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23" s="36">
        <f>T_p22236257655626974157159[[#This Row],[ICM]]+bounty*T_p22236257655626974157159[[#This Row],[KO]]</f>
        <v>0</v>
      </c>
      <c r="AG23" s="36"/>
      <c r="AH23" s="37">
        <f>COUNTIF(T_p22236257655626974157159160[stack],"&gt;0")</f>
        <v>3</v>
      </c>
      <c r="AI23" s="30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J23">
        <v>0</v>
      </c>
      <c r="AK23" s="35">
        <f>T_p22236257655626974157159160[[#This Row],[EQ]]*prize</f>
        <v>0</v>
      </c>
      <c r="AL23" s="3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</v>
      </c>
      <c r="AM23" s="36">
        <f>T_p22236257655626974157159160[[#This Row],[ICM]]+bounty*T_p22236257655626974157159160[[#This Row],[KO]]</f>
        <v>0</v>
      </c>
      <c r="AO23" s="37">
        <f>COUNTIF(T_p22236257655626974157159160161[stack],"&gt;0")</f>
        <v>4</v>
      </c>
      <c r="AP23" s="30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0</v>
      </c>
      <c r="AQ23">
        <v>0</v>
      </c>
      <c r="AR23" s="35">
        <f>T_p22236257655626974157159160161[[#This Row],[EQ]]*prize</f>
        <v>0</v>
      </c>
      <c r="AS23" s="3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</v>
      </c>
      <c r="AT23" s="36">
        <f>T_p22236257655626974157159160161[[#This Row],[ICM]]+bounty*T_p22236257655626974157159160161[[#This Row],[KO]]</f>
        <v>0</v>
      </c>
      <c r="AV23">
        <f>COUNTIF(T_p3p123372677566370153[stack],"&gt;0")</f>
        <v>3</v>
      </c>
      <c r="AW23" s="30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3">
        <v>0</v>
      </c>
      <c r="AY23" s="35">
        <f>T_p3p123372677566370153[[#This Row],[EQ]]*prize</f>
        <v>0</v>
      </c>
      <c r="AZ23" s="3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3" s="36">
        <f>T_p3p123372677566370153[[#This Row],[ICM]]+bounty*T_p3p123372677566370153[[#This Row],[KO]]</f>
        <v>0</v>
      </c>
      <c r="BC23">
        <f>COUNTIF(T_p3p224382778576471154[stack],"&gt;0")</f>
        <v>4</v>
      </c>
      <c r="BD23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0</v>
      </c>
      <c r="BE23">
        <v>0</v>
      </c>
      <c r="BF23" s="35">
        <f>T_p3p224382778576471154[[#This Row],[EQ]]*prize</f>
        <v>0</v>
      </c>
      <c r="BG23" s="3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</v>
      </c>
      <c r="BH23" s="36">
        <f>T_p3p224382778576471154[[#This Row],[ICM]]+bounty*T_p3p224382778576471154[[#This Row],[KO]]</f>
        <v>0</v>
      </c>
      <c r="BJ23">
        <f>COUNTIF(T_p3p22438277857647175158[stack],"&gt;0")</f>
        <v>4</v>
      </c>
      <c r="BK23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0</v>
      </c>
      <c r="BL23">
        <v>0</v>
      </c>
      <c r="BM23" s="35">
        <f>T_p3p22438277857647175158[[#This Row],[EQ]]*prize</f>
        <v>0</v>
      </c>
      <c r="BN23" s="3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</v>
      </c>
      <c r="BO23" s="36">
        <f>T_p3p22438277857647175158[[#This Row],[ICM]]+bounty*T_p3p22438277857647175158[[#This Row],[KO]]</f>
        <v>0</v>
      </c>
      <c r="BQ23" s="30">
        <v>3</v>
      </c>
      <c r="BR23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S23">
        <v>0</v>
      </c>
      <c r="BT23" s="35">
        <f>T_fact29392879586572155[[#This Row],[EQ]]*prize</f>
        <v>0</v>
      </c>
      <c r="BU23" s="3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23" s="36">
        <f>T_fact29392879586572155[[#This Row],[ICM]]+bounty*T_fact29392879586572155[[#This Row],[KO]]</f>
        <v>0</v>
      </c>
      <c r="BY23" s="35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23" s="35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23" s="35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23" s="35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23" s="35">
        <f>T_fact29392879586572155[[#This Row],[stack]]- T_init2034474536067150[[#This Row],[stack]]</f>
        <v>0</v>
      </c>
      <c r="CD23" s="35" t="e">
        <f>T_EV33403080596673156[[#This Row],[netwon]]+T_EV33403080596673156[[#This Row],[cEVdiff]]</f>
        <v>#REF!</v>
      </c>
      <c r="CE23" s="35" t="e">
        <f>T_EV33403080596673156[[#This Row],[chipEV]]-T_fact29392879586572155[[#This Row],[stack]]</f>
        <v>#REF!</v>
      </c>
      <c r="CF23" s="35" t="e">
        <f>T_EV33403080596673156[[#This Row],[EV]]-(T_fact29392879586572155[[#This Row],[ICM]])</f>
        <v>#REF!</v>
      </c>
    </row>
    <row r="24" spans="1:84" x14ac:dyDescent="0.25">
      <c r="B24">
        <v>0</v>
      </c>
      <c r="F24">
        <f>COUNTIF(T_p121351975546168151[stack],"&gt;0")</f>
        <v>2</v>
      </c>
      <c r="G24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I24" s="35">
        <f>T_p121351975546168151[[#This Row],[EQ]]*prize</f>
        <v>0</v>
      </c>
      <c r="J24" s="3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4" s="36">
        <f>T_p121351975546168151[[#This Row],[ICM]]+bounty*T_p121351975546168151[[#This Row],[KO]]</f>
        <v>0</v>
      </c>
      <c r="M24" s="37">
        <f>COUNTIF(T_p222362576556269152[stack],"&gt;0")</f>
        <v>3</v>
      </c>
      <c r="N24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P24" s="35">
        <f>T_p222362576556269152[[#This Row],[EQ]]*prize</f>
        <v>0</v>
      </c>
      <c r="Q24" s="3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24" s="36">
        <f>T_p222362576556269152[[#This Row],[ICM]]+bounty*T_p222362576556269152[[#This Row],[KO]]</f>
        <v>0</v>
      </c>
      <c r="S24" s="36"/>
      <c r="T24" s="37">
        <f>COUNTIF(T_p22236257655626974157[stack],"&gt;0")</f>
        <v>4</v>
      </c>
      <c r="U24" s="30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0</v>
      </c>
      <c r="W24" s="35">
        <f>T_p22236257655626974157[[#This Row],[EQ]]*prize</f>
        <v>0</v>
      </c>
      <c r="X24" s="3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</v>
      </c>
      <c r="Y24" s="36">
        <f>T_p22236257655626974157[[#This Row],[ICM]]+bounty*T_p22236257655626974157[[#This Row],[KO]]</f>
        <v>0</v>
      </c>
      <c r="Z24" s="36"/>
      <c r="AA24" s="37">
        <f>COUNTIF(T_p22236257655626974157159[stack],"&gt;0")</f>
        <v>3</v>
      </c>
      <c r="AB24" s="30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D24" s="35">
        <f>T_p22236257655626974157159[[#This Row],[EQ]]*prize</f>
        <v>0</v>
      </c>
      <c r="AE24" s="3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24" s="36">
        <f>T_p22236257655626974157159[[#This Row],[ICM]]+bounty*T_p22236257655626974157159[[#This Row],[KO]]</f>
        <v>0</v>
      </c>
      <c r="AG24" s="36"/>
      <c r="AH24" s="37">
        <f>COUNTIF(T_p22236257655626974157159160[stack],"&gt;0")</f>
        <v>3</v>
      </c>
      <c r="AI24" s="30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K24" s="35">
        <f>T_p22236257655626974157159160[[#This Row],[EQ]]*prize</f>
        <v>0</v>
      </c>
      <c r="AL24" s="3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</v>
      </c>
      <c r="AM24" s="36">
        <f>T_p22236257655626974157159160[[#This Row],[ICM]]+bounty*T_p22236257655626974157159160[[#This Row],[KO]]</f>
        <v>0</v>
      </c>
      <c r="AO24" s="37">
        <f>COUNTIF(T_p22236257655626974157159160161[stack],"&gt;0")</f>
        <v>4</v>
      </c>
      <c r="AP24" s="30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0</v>
      </c>
      <c r="AR24" s="35">
        <f>T_p22236257655626974157159160161[[#This Row],[EQ]]*prize</f>
        <v>0</v>
      </c>
      <c r="AS24" s="3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</v>
      </c>
      <c r="AT24" s="36">
        <f>T_p22236257655626974157159160161[[#This Row],[ICM]]+bounty*T_p22236257655626974157159160161[[#This Row],[KO]]</f>
        <v>0</v>
      </c>
      <c r="AV24">
        <f>COUNTIF(T_p3p123372677566370153[stack],"&gt;0")</f>
        <v>3</v>
      </c>
      <c r="AW24" s="30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4">
        <v>0</v>
      </c>
      <c r="AY24" s="35">
        <f>T_p3p123372677566370153[[#This Row],[EQ]]*prize</f>
        <v>0</v>
      </c>
      <c r="AZ24" s="3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4" s="36">
        <f>T_p3p123372677566370153[[#This Row],[ICM]]+bounty*T_p3p123372677566370153[[#This Row],[KO]]</f>
        <v>0</v>
      </c>
      <c r="BC24">
        <f>COUNTIF(T_p3p224382778576471154[stack],"&gt;0")</f>
        <v>4</v>
      </c>
      <c r="BD24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0</v>
      </c>
      <c r="BE24">
        <v>0</v>
      </c>
      <c r="BF24" s="35">
        <f>T_p3p224382778576471154[[#This Row],[EQ]]*prize</f>
        <v>0</v>
      </c>
      <c r="BG24" s="3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</v>
      </c>
      <c r="BH24" s="36">
        <f>T_p3p224382778576471154[[#This Row],[ICM]]+bounty*T_p3p224382778576471154[[#This Row],[KO]]</f>
        <v>0</v>
      </c>
      <c r="BJ24">
        <f>COUNTIF(T_p3p22438277857647175158[stack],"&gt;0")</f>
        <v>4</v>
      </c>
      <c r="BK24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0</v>
      </c>
      <c r="BL24">
        <v>0</v>
      </c>
      <c r="BM24" s="35">
        <f>T_p3p22438277857647175158[[#This Row],[EQ]]*prize</f>
        <v>0</v>
      </c>
      <c r="BN24" s="3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</v>
      </c>
      <c r="BO24" s="36">
        <f>T_p3p22438277857647175158[[#This Row],[ICM]]+bounty*T_p3p22438277857647175158[[#This Row],[KO]]</f>
        <v>0</v>
      </c>
      <c r="BQ24" s="30">
        <v>3</v>
      </c>
      <c r="BR24" s="30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T24" s="35">
        <f>T_fact29392879586572155[[#This Row],[EQ]]*prize</f>
        <v>0</v>
      </c>
      <c r="BU24" s="3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24" s="36">
        <f>T_fact29392879586572155[[#This Row],[ICM]]+bounty*T_fact29392879586572155[[#This Row],[KO]]</f>
        <v>0</v>
      </c>
      <c r="BY24" s="35" t="e">
        <f>'3way template'!p3win* ('3way template'!p1sp1win*T_p3p123372677566370153[[#This Row],[ICM]] + '3way template'!p2sp1win*T_p3p224382778576471154[[#This Row],[ICM]] + tiesp1*T_p3p22438277857647175158[[#This Row],[ICM]])
+'3way template'!p2win*T_p222362576556269152[[#This Row],[ICM]]
+'3way template'!p1win*T_p121351975546168151[[#This Row],[ICM]]
+'3way template'!tie*T_p22236257655626974157[[#This Row],[ICM]]</f>
        <v>#REF!</v>
      </c>
      <c r="BZ24" s="35" t="e">
        <f>('3way template'!p3win* ('3way template'!p1sp1win*T_p3p123372677566370153[[#This Row],[KO]] + '3way template'!p2sp1win*T_p3p224382778576471154[[#This Row],[KO]])
+'3way template'!p2win*T_p222362576556269152[[#This Row],[KO]]
+'3way template'!p1win*T_p121351975546168151[[#This Row],[KO]])*bounty</f>
        <v>#REF!</v>
      </c>
      <c r="CA24" s="35" t="e">
        <f>'3way template'!p3win* ('3way template'!p1sp1win*T_p3p123372677566370153[[#This Row],[$stack]] + '3way template'!p2sp1win*T_p3p224382778576471154[[#This Row],[$stack]])
+'3way template'!p2win*T_p222362576556269152[[#This Row],[$stack]]
+'3way template'!p1win*T_p121351975546168151[[#This Row],[$stack]]</f>
        <v>#REF!</v>
      </c>
      <c r="CB24" s="35" t="e">
        <f>'3way template'!p3win* ('3way template'!p1sp1win*T_p3p123372677566370153[[#This Row],[stack]] + '3way template'!p2sp1win*T_p3p224382778576471154[[#This Row],[stack]] + tiesp1*T_p3p22438277857647175158[[#This Row],[stack]])
+'3way template'!p2win*T_p222362576556269152[[#This Row],[stack]]
+'3way template'!p1win*T_p121351975546168151[[#This Row],[stack]]
+tie*T_p22236257655626974157[[#This Row],[stack]]</f>
        <v>#REF!</v>
      </c>
      <c r="CC24" s="35">
        <f>T_fact29392879586572155[[#This Row],[stack]]- T_init2034474536067150[[#This Row],[stack]]</f>
        <v>0</v>
      </c>
      <c r="CD24" s="35" t="e">
        <f>T_EV33403080596673156[[#This Row],[netwon]]+T_EV33403080596673156[[#This Row],[cEVdiff]]</f>
        <v>#REF!</v>
      </c>
      <c r="CE24" s="35" t="e">
        <f>T_EV33403080596673156[[#This Row],[chipEV]]-T_fact29392879586572155[[#This Row],[stack]]</f>
        <v>#REF!</v>
      </c>
      <c r="CF24" s="35" t="e">
        <f>T_EV33403080596673156[[#This Row],[EV]]-(T_fact29392879586572155[[#This Row],[ICM]])</f>
        <v>#REF!</v>
      </c>
    </row>
    <row r="25" spans="1:84" x14ac:dyDescent="0.25">
      <c r="A25" t="s">
        <v>24</v>
      </c>
      <c r="D25">
        <f>SUBTOTAL(109,T_init2034474536067150[anteblinds])</f>
        <v>115</v>
      </c>
      <c r="F25" s="42"/>
      <c r="G25" s="43">
        <f>SUM(T_p121351975546168151[stack])</f>
        <v>2000</v>
      </c>
      <c r="H25" s="43">
        <f>SUM(T_p121351975546168151[EQ])</f>
        <v>1</v>
      </c>
      <c r="I25" s="43">
        <f>SUM(T_p121351975546168151[ICM])</f>
        <v>107.83999999999999</v>
      </c>
      <c r="J25" s="43">
        <f>SUM(T_p121351975546168151[KO])</f>
        <v>6</v>
      </c>
      <c r="K25" s="43">
        <f>SUM(T_p121351975546168151[$stack])</f>
        <v>107.83999999999999</v>
      </c>
      <c r="M25" s="42"/>
      <c r="N25" s="43">
        <f>SUM(T_p222362576556269152[stack])</f>
        <v>2000</v>
      </c>
      <c r="O25" s="43">
        <f>SUM(T_p222362576556269152[EQ])</f>
        <v>1</v>
      </c>
      <c r="P25" s="44">
        <f>SUM(T_p222362576556269152[ICM])</f>
        <v>107.84</v>
      </c>
      <c r="Q25" s="45">
        <f>SUM(T_p222362576556269152[KO])</f>
        <v>6</v>
      </c>
      <c r="R25" s="43">
        <f>SUM(T_p222362576556269152[$stack])</f>
        <v>107.84</v>
      </c>
      <c r="T25" s="42"/>
      <c r="U25" s="43">
        <f>SUM(T_p22236257655626974157[stack])</f>
        <v>2000</v>
      </c>
      <c r="V25" s="43">
        <f>SUM(T_p22236257655626974157[EQ])</f>
        <v>1</v>
      </c>
      <c r="W25" s="44">
        <f>SUM(T_p22236257655626974157[ICM])</f>
        <v>107.84</v>
      </c>
      <c r="X25" s="45">
        <f>SUM(T_p22236257655626974157[KO])</f>
        <v>6</v>
      </c>
      <c r="Y25" s="43">
        <f>SUM(T_p22236257655626974157[$stack])</f>
        <v>107.84</v>
      </c>
      <c r="AA25" s="42"/>
      <c r="AB25" s="43">
        <f>SUM(T_p22236257655626974157159[stack])</f>
        <v>2000</v>
      </c>
      <c r="AC25" s="43">
        <f>SUM(T_p22236257655626974157159[EQ])</f>
        <v>1</v>
      </c>
      <c r="AD25" s="44">
        <f>SUM(T_p22236257655626974157159[ICM])</f>
        <v>107.84</v>
      </c>
      <c r="AE25" s="45">
        <f>SUM(T_p22236257655626974157159[KO])</f>
        <v>6</v>
      </c>
      <c r="AF25" s="43">
        <f>SUM(T_p22236257655626974157159[$stack])</f>
        <v>107.84</v>
      </c>
      <c r="AH25" s="42"/>
      <c r="AI25" s="43">
        <f>SUM(T_p22236257655626974157159160[stack])</f>
        <v>2000</v>
      </c>
      <c r="AJ25" s="43">
        <f>SUM(T_p22236257655626974157159160[EQ])</f>
        <v>1</v>
      </c>
      <c r="AK25" s="44">
        <f>SUM(T_p22236257655626974157159160[ICM])</f>
        <v>107.84</v>
      </c>
      <c r="AL25" s="45">
        <f>SUM(T_p22236257655626974157159160[KO])</f>
        <v>6</v>
      </c>
      <c r="AM25" s="43">
        <f>SUM(T_p22236257655626974157159160[$stack])</f>
        <v>107.84</v>
      </c>
      <c r="AO25" s="42"/>
      <c r="AP25" s="43">
        <f>SUM(T_p22236257655626974157159160161[stack])</f>
        <v>2000</v>
      </c>
      <c r="AQ25" s="43">
        <f>SUM(T_p22236257655626974157159160161[EQ])</f>
        <v>1</v>
      </c>
      <c r="AR25" s="44">
        <f>SUM(T_p22236257655626974157159160161[ICM])</f>
        <v>107.84</v>
      </c>
      <c r="AS25" s="45">
        <f>SUM(T_p22236257655626974157159160161[KO])</f>
        <v>6</v>
      </c>
      <c r="AT25" s="43">
        <f>SUM(T_p22236257655626974157159160161[$stack])</f>
        <v>107.84</v>
      </c>
      <c r="AV25" s="42"/>
      <c r="AW25" s="43">
        <f>SUM(T_p3p123372677566370153[stack])</f>
        <v>2000</v>
      </c>
      <c r="AX25" s="43">
        <f>SUM(T_p3p123372677566370153[EQ])</f>
        <v>1</v>
      </c>
      <c r="AY25" s="44">
        <f>SUM(T_p3p123372677566370153[ICM])</f>
        <v>107.84</v>
      </c>
      <c r="AZ25" s="45">
        <f>SUM(T_p3p123372677566370153[KO])</f>
        <v>6</v>
      </c>
      <c r="BA25" s="43">
        <f>SUM(T_p3p123372677566370153[$stack])</f>
        <v>107.84</v>
      </c>
      <c r="BC25" s="42"/>
      <c r="BD25" s="43">
        <f>SUM(T_p3p224382778576471154[stack])</f>
        <v>2000</v>
      </c>
      <c r="BE25" s="43">
        <f>SUM(T_p3p224382778576471154[EQ])</f>
        <v>1</v>
      </c>
      <c r="BF25" s="44">
        <f>SUM(T_p3p224382778576471154[ICM])</f>
        <v>107.84</v>
      </c>
      <c r="BG25" s="45">
        <f>SUM(T_p3p224382778576471154[KO])</f>
        <v>6</v>
      </c>
      <c r="BH25" s="43">
        <f>SUM(T_p3p123372677566370153[$stack])</f>
        <v>107.84</v>
      </c>
      <c r="BJ25" s="42"/>
      <c r="BK25" s="43">
        <f>SUM(T_p3p22438277857647175158[stack])</f>
        <v>2000</v>
      </c>
      <c r="BL25" s="43">
        <f>SUM(T_p3p22438277857647175158[EQ])</f>
        <v>1</v>
      </c>
      <c r="BM25" s="44">
        <f>SUM(T_p3p22438277857647175158[ICM])</f>
        <v>107.84</v>
      </c>
      <c r="BN25" s="45">
        <f>SUM(T_p3p22438277857647175158[KO])</f>
        <v>6</v>
      </c>
      <c r="BO25" s="43">
        <f>SUM(T_p3p123372677566370153[$stack])</f>
        <v>107.84</v>
      </c>
      <c r="BQ25" s="42"/>
      <c r="BR25" s="43">
        <f>SUM(T_fact29392879586572155[stack])</f>
        <v>2000</v>
      </c>
      <c r="BS25" s="43">
        <f>SUM(T_fact29392879586572155[EQ])</f>
        <v>1</v>
      </c>
      <c r="BT25" s="44">
        <f>SUM(T_fact29392879586572155[ICM])</f>
        <v>107.84</v>
      </c>
      <c r="BU25" s="45">
        <f>SUM(T_fact29392879586572155[KO])</f>
        <v>5.9999999999999991</v>
      </c>
      <c r="BV25" s="44">
        <f>SUM(T_fact29392879586572155[$stack])</f>
        <v>107.84</v>
      </c>
      <c r="BY25" s="45" t="e">
        <f>SUM(T_EV33403080596673156[ICM])</f>
        <v>#REF!</v>
      </c>
      <c r="BZ25" s="45" t="e">
        <f>SUM(T_EV33403080596673156[KO])</f>
        <v>#REF!</v>
      </c>
      <c r="CA25" s="45" t="e">
        <f>SUM(T_EV33403080596673156[EV])</f>
        <v>#REF!</v>
      </c>
      <c r="CB25" s="43" t="e">
        <f>SUM(T_EV33403080596673156[chipEV])</f>
        <v>#REF!</v>
      </c>
      <c r="CC25" s="43"/>
      <c r="CD25" s="43"/>
    </row>
    <row r="27" spans="1:84" ht="18.75" x14ac:dyDescent="0.3">
      <c r="M27" s="11" t="s">
        <v>49</v>
      </c>
    </row>
    <row r="28" spans="1:84" x14ac:dyDescent="0.25">
      <c r="C28" t="s">
        <v>50</v>
      </c>
      <c r="M28" t="s">
        <v>51</v>
      </c>
    </row>
    <row r="29" spans="1:84" x14ac:dyDescent="0.25">
      <c r="C29" t="s">
        <v>52</v>
      </c>
      <c r="M29" t="s">
        <v>53</v>
      </c>
    </row>
    <row r="30" spans="1:84" x14ac:dyDescent="0.25">
      <c r="C30" t="s">
        <v>54</v>
      </c>
      <c r="M30" t="s">
        <v>55</v>
      </c>
    </row>
    <row r="31" spans="1:84" x14ac:dyDescent="0.25">
      <c r="M31" t="s">
        <v>56</v>
      </c>
    </row>
    <row r="32" spans="1:84" x14ac:dyDescent="0.25">
      <c r="M32" t="s">
        <v>57</v>
      </c>
    </row>
    <row r="33" spans="2:13" x14ac:dyDescent="0.25">
      <c r="C33" t="s">
        <v>58</v>
      </c>
      <c r="M33" t="s">
        <v>59</v>
      </c>
    </row>
    <row r="34" spans="2:13" x14ac:dyDescent="0.25">
      <c r="M34" t="s">
        <v>60</v>
      </c>
    </row>
    <row r="35" spans="2:13" x14ac:dyDescent="0.25">
      <c r="B35" t="s">
        <v>61</v>
      </c>
      <c r="M35" t="s">
        <v>62</v>
      </c>
    </row>
    <row r="36" spans="2:13" x14ac:dyDescent="0.25">
      <c r="B36" t="s">
        <v>63</v>
      </c>
      <c r="M36" t="s">
        <v>64</v>
      </c>
    </row>
    <row r="37" spans="2:13" x14ac:dyDescent="0.25">
      <c r="C37" t="s">
        <v>65</v>
      </c>
      <c r="M37" t="s">
        <v>66</v>
      </c>
    </row>
    <row r="38" spans="2:13" x14ac:dyDescent="0.25">
      <c r="D38" t="s">
        <v>67</v>
      </c>
      <c r="M38" t="s">
        <v>68</v>
      </c>
    </row>
    <row r="39" spans="2:13" x14ac:dyDescent="0.25">
      <c r="C39" t="s">
        <v>69</v>
      </c>
      <c r="M39" t="s">
        <v>70</v>
      </c>
    </row>
    <row r="40" spans="2:13" x14ac:dyDescent="0.25">
      <c r="D40" t="s">
        <v>67</v>
      </c>
      <c r="M40" t="s">
        <v>71</v>
      </c>
    </row>
    <row r="41" spans="2:13" x14ac:dyDescent="0.25">
      <c r="C41" t="s">
        <v>72</v>
      </c>
      <c r="M41" t="s">
        <v>73</v>
      </c>
    </row>
    <row r="42" spans="2:13" x14ac:dyDescent="0.25">
      <c r="D42" t="s">
        <v>74</v>
      </c>
      <c r="M42" t="s">
        <v>75</v>
      </c>
    </row>
    <row r="43" spans="2:13" x14ac:dyDescent="0.25">
      <c r="D43" t="s">
        <v>76</v>
      </c>
      <c r="E43" t="s">
        <v>77</v>
      </c>
      <c r="M43" t="s">
        <v>78</v>
      </c>
    </row>
    <row r="44" spans="2:13" x14ac:dyDescent="0.25">
      <c r="F44" t="s">
        <v>79</v>
      </c>
      <c r="M44" t="s">
        <v>80</v>
      </c>
    </row>
    <row r="45" spans="2:13" x14ac:dyDescent="0.25">
      <c r="E45" t="s">
        <v>81</v>
      </c>
      <c r="M45" t="s">
        <v>82</v>
      </c>
    </row>
    <row r="46" spans="2:13" x14ac:dyDescent="0.25">
      <c r="F46" t="s">
        <v>83</v>
      </c>
      <c r="M46" t="s">
        <v>84</v>
      </c>
    </row>
    <row r="47" spans="2:13" x14ac:dyDescent="0.25">
      <c r="M47" t="s">
        <v>85</v>
      </c>
    </row>
    <row r="48" spans="2:13" x14ac:dyDescent="0.25">
      <c r="C48" t="s">
        <v>86</v>
      </c>
      <c r="M48" t="s">
        <v>87</v>
      </c>
    </row>
    <row r="49" spans="4:13" x14ac:dyDescent="0.25">
      <c r="D49" t="s">
        <v>88</v>
      </c>
      <c r="M49" t="s">
        <v>89</v>
      </c>
    </row>
    <row r="50" spans="4:13" x14ac:dyDescent="0.25">
      <c r="D50" t="s">
        <v>90</v>
      </c>
      <c r="E50" t="s">
        <v>77</v>
      </c>
      <c r="M50" t="s">
        <v>91</v>
      </c>
    </row>
    <row r="51" spans="4:13" x14ac:dyDescent="0.25">
      <c r="F51" t="s">
        <v>92</v>
      </c>
      <c r="M51" t="s">
        <v>93</v>
      </c>
    </row>
    <row r="52" spans="4:13" x14ac:dyDescent="0.25">
      <c r="E52" t="s">
        <v>81</v>
      </c>
      <c r="M52" t="s">
        <v>94</v>
      </c>
    </row>
    <row r="53" spans="4:13" x14ac:dyDescent="0.25">
      <c r="F53" t="s">
        <v>95</v>
      </c>
      <c r="M53" t="s">
        <v>96</v>
      </c>
    </row>
    <row r="54" spans="4:13" x14ac:dyDescent="0.25">
      <c r="E54" t="s">
        <v>97</v>
      </c>
      <c r="M54" t="s">
        <v>98</v>
      </c>
    </row>
    <row r="55" spans="4:13" x14ac:dyDescent="0.25">
      <c r="F55" t="s">
        <v>99</v>
      </c>
      <c r="M55" t="s">
        <v>100</v>
      </c>
    </row>
    <row r="56" spans="4:13" x14ac:dyDescent="0.25">
      <c r="F56" t="s">
        <v>76</v>
      </c>
      <c r="M56" t="s">
        <v>101</v>
      </c>
    </row>
    <row r="57" spans="4:13" x14ac:dyDescent="0.25">
      <c r="G57" t="s">
        <v>77</v>
      </c>
      <c r="M57" t="s">
        <v>102</v>
      </c>
    </row>
    <row r="58" spans="4:13" x14ac:dyDescent="0.25">
      <c r="H58" t="s">
        <v>79</v>
      </c>
      <c r="M58" t="s">
        <v>103</v>
      </c>
    </row>
    <row r="59" spans="4:13" x14ac:dyDescent="0.25">
      <c r="G59" t="s">
        <v>81</v>
      </c>
      <c r="M59" t="s">
        <v>104</v>
      </c>
    </row>
    <row r="60" spans="4:13" x14ac:dyDescent="0.25">
      <c r="H60" t="s">
        <v>83</v>
      </c>
      <c r="M60" t="s">
        <v>105</v>
      </c>
    </row>
    <row r="61" spans="4:13" x14ac:dyDescent="0.25">
      <c r="M61" t="s">
        <v>106</v>
      </c>
    </row>
    <row r="62" spans="4:13" x14ac:dyDescent="0.25">
      <c r="M62" t="s">
        <v>107</v>
      </c>
    </row>
    <row r="63" spans="4:13" x14ac:dyDescent="0.25">
      <c r="M63" t="s">
        <v>108</v>
      </c>
    </row>
    <row r="65" spans="13:13" x14ac:dyDescent="0.25">
      <c r="M65" t="s">
        <v>109</v>
      </c>
    </row>
    <row r="66" spans="13:13" x14ac:dyDescent="0.25">
      <c r="M66" t="s">
        <v>110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J17:BN17"/>
    <mergeCell ref="BQ17:BU17"/>
    <mergeCell ref="BY17:CB17"/>
    <mergeCell ref="AV15:BO15"/>
    <mergeCell ref="BY16:CB16"/>
    <mergeCell ref="F17:J17"/>
    <mergeCell ref="M17:Q17"/>
    <mergeCell ref="T17:X17"/>
    <mergeCell ref="AA17:AE17"/>
    <mergeCell ref="AH17:AL17"/>
    <mergeCell ref="AO17:AS17"/>
    <mergeCell ref="AV17:AZ17"/>
    <mergeCell ref="BC17:BG17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3way template</vt:lpstr>
      <vt:lpstr>'3way template'!chips</vt:lpstr>
      <vt:lpstr>'3way template'!mainpot</vt:lpstr>
      <vt:lpstr>'3way template'!p4win</vt:lpstr>
      <vt:lpstr>'3way template'!prize</vt:lpstr>
      <vt:lpstr>'3way template'!sidepot1</vt:lpstr>
      <vt:lpstr>'3way template'!sidepot2</vt:lpstr>
      <vt:lpstr>'3way template'!tie</vt:lpstr>
      <vt:lpstr>'3way template'!uncalled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Andryukhov</cp:lastModifiedBy>
  <dcterms:created xsi:type="dcterms:W3CDTF">2021-03-11T12:28:11Z</dcterms:created>
  <dcterms:modified xsi:type="dcterms:W3CDTF">2021-03-11T16:40:50Z</dcterms:modified>
</cp:coreProperties>
</file>