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omments6.xml" ContentType="application/vnd.openxmlformats-officedocument.spreadsheetml.comments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comments8.xml" ContentType="application/vnd.openxmlformats-officedocument.spreadsheetml.comments+xml"/>
  <Override PartName="/xl/tables/table83.xml" ContentType="application/vnd.openxmlformats-officedocument.spreadsheetml.table+xml"/>
  <Override PartName="/xl/comments9.xml" ContentType="application/vnd.openxmlformats-officedocument.spreadsheetml.comments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omments10.xml" ContentType="application/vnd.openxmlformats-officedocument.spreadsheetml.comments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comments11.xml" ContentType="application/vnd.openxmlformats-officedocument.spreadsheetml.comments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comments12.xml" ContentType="application/vnd.openxmlformats-officedocument.spreadsheetml.comments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comments13.xml" ContentType="application/vnd.openxmlformats-officedocument.spreadsheetml.comments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comments14.xml" ContentType="application/vnd.openxmlformats-officedocument.spreadsheetml.comments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comments15.xml" ContentType="application/vnd.openxmlformats-officedocument.spreadsheetml.comments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comments16.xml" ContentType="application/vnd.openxmlformats-officedocument.spreadsheetml.comments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comments17.xml" ContentType="application/vnd.openxmlformats-officedocument.spreadsheetml.comments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comments18.xml" ContentType="application/vnd.openxmlformats-officedocument.spreadsheetml.comments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comments19.xml" ContentType="application/vnd.openxmlformats-officedocument.spreadsheetml.comments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comments20.xml" ContentType="application/vnd.openxmlformats-officedocument.spreadsheetml.comments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comments21.xml" ContentType="application/vnd.openxmlformats-officedocument.spreadsheetml.comments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comments22.xml" ContentType="application/vnd.openxmlformats-officedocument.spreadsheetml.comments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comments23.xml" ContentType="application/vnd.openxmlformats-officedocument.spreadsheetml.comments+xml"/>
  <Override PartName="/xl/tables/table182.xml" ContentType="application/vnd.openxmlformats-officedocument.spreadsheetml.table+xml"/>
  <Override PartName="/xl/comments24.xml" ContentType="application/vnd.openxmlformats-officedocument.spreadsheetml.comments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comments2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89796590138a2f1/python-projects/pypokertools/test/"/>
    </mc:Choice>
  </mc:AlternateContent>
  <xr:revisionPtr revIDLastSave="1691" documentId="8_{EE9AF03F-5CA0-4879-86AE-4AA64A52EA03}" xr6:coauthVersionLast="46" xr6:coauthVersionMax="46" xr10:uidLastSave="{6CE7F3FC-66F1-49C8-803A-92E83D1C3580}"/>
  <bookViews>
    <workbookView xWindow="-27660" yWindow="75" windowWidth="27360" windowHeight="14955" tabRatio="730" activeTab="2" xr2:uid="{00000000-000D-0000-FFFF-FFFF00000000}"/>
  </bookViews>
  <sheets>
    <sheet name="7d Jd разбивка" sheetId="33" r:id="rId1"/>
    <sheet name="3way-bu-call-sb-call разбивка" sheetId="32" r:id="rId2"/>
    <sheet name="3way-ai-preflo разбивка" sheetId="31" r:id="rId3"/>
    <sheet name="3way шаблон разбивка" sheetId="30" r:id="rId4"/>
    <sheet name="разбивка" sheetId="2" r:id="rId5"/>
    <sheet name="3way шаблон ничьи" sheetId="27" r:id="rId6"/>
    <sheet name="3way шаблон" sheetId="26" r:id="rId7"/>
    <sheet name="3way 8c Kh ничьи" sheetId="29" r:id="rId8"/>
    <sheet name="3way 7d Jd ничьи" sheetId="28" r:id="rId9"/>
    <sheet name="2way" sheetId="1" r:id="rId10"/>
    <sheet name="3wKs7h" sheetId="25" r:id="rId11"/>
    <sheet name="3wAsQc" sheetId="24" r:id="rId12"/>
    <sheet name="3w9h9s" sheetId="9" r:id="rId13"/>
    <sheet name="3wKs2s Ден v2" sheetId="16" r:id="rId14"/>
    <sheet name="3w Ac5c Ден" sheetId="22" r:id="rId15"/>
    <sheet name="3w 98s v2" sheetId="15" r:id="rId16"/>
    <sheet name="3w KsJs Ден v2 " sheetId="17" r:id="rId17"/>
    <sheet name="3w 8h8c Ден" sheetId="20" r:id="rId18"/>
    <sheet name="3w 5h5c Ден" sheetId="21" r:id="rId19"/>
    <sheet name="3w Kc5c Ден" sheetId="23" r:id="rId20"/>
    <sheet name="3w postflop 9c7s Ден v2" sheetId="18" r:id="rId21"/>
    <sheet name="3wKhQs" sheetId="7" r:id="rId22"/>
    <sheet name="3wAdKd" sheetId="6" r:id="rId23"/>
    <sheet name="3wAh9s" sheetId="8" r:id="rId24"/>
    <sheet name="3way" sheetId="3" r:id="rId25"/>
    <sheet name="4way" sheetId="4" r:id="rId26"/>
  </sheets>
  <definedNames>
    <definedName name="asdasd">'4way'!$T$2</definedName>
    <definedName name="bounty">'2way'!$E$2</definedName>
    <definedName name="chips" localSheetId="18">'3w 5h5c Ден'!$D$3</definedName>
    <definedName name="chips" localSheetId="17">'3w 8h8c Ден'!$D$3</definedName>
    <definedName name="chips" localSheetId="15">'3w 98s v2'!$D$3</definedName>
    <definedName name="chips" localSheetId="14">'3w Ac5c Ден'!$D$3</definedName>
    <definedName name="chips" localSheetId="19">'3w Kc5c Ден'!$D$3</definedName>
    <definedName name="chips" localSheetId="16">'3w KsJs Ден v2 '!$D$3</definedName>
    <definedName name="chips" localSheetId="20">'3w postflop 9c7s Ден v2'!$D$3</definedName>
    <definedName name="chips" localSheetId="12">'3w9h9s'!$D$3</definedName>
    <definedName name="chips" localSheetId="22">'3wAdKd'!$D$3</definedName>
    <definedName name="chips" localSheetId="23">'3wAh9s'!$D$3</definedName>
    <definedName name="chips" localSheetId="11">'3wAsQc'!$D$3</definedName>
    <definedName name="chips" localSheetId="8">'3way 7d Jd ничьи'!$D$3</definedName>
    <definedName name="chips" localSheetId="7">'3way 8c Kh ничьи'!$D$3</definedName>
    <definedName name="chips" localSheetId="6">'3way шаблон'!$D$3</definedName>
    <definedName name="chips" localSheetId="5">'3way шаблон ничьи'!$D$3</definedName>
    <definedName name="chips" localSheetId="3">'3way шаблон разбивка'!$D$3</definedName>
    <definedName name="chips" localSheetId="2">'3way-ai-preflo разбивка'!$D$3</definedName>
    <definedName name="chips" localSheetId="1">'3way-bu-call-sb-call разбивка'!$E$3</definedName>
    <definedName name="chips" localSheetId="21">'3wKhQs'!$D$3</definedName>
    <definedName name="chips" localSheetId="13">'3wKs2s Ден v2'!$D$3</definedName>
    <definedName name="chips" localSheetId="10">'3wKs7h'!$D$3</definedName>
    <definedName name="chips" localSheetId="25">'4way'!$D$3</definedName>
    <definedName name="chips" localSheetId="0">'7d Jd разбивка'!$D$3</definedName>
    <definedName name="chips">'3way'!$D$3</definedName>
    <definedName name="KO">'2way'!$E$2</definedName>
    <definedName name="mainpot" localSheetId="18">'3w 5h5c Ден'!$N$1</definedName>
    <definedName name="mainpot" localSheetId="17">'3w 8h8c Ден'!$N$1</definedName>
    <definedName name="mainpot" localSheetId="15">'3w 98s v2'!$N$1</definedName>
    <definedName name="mainpot" localSheetId="14">'3w Ac5c Ден'!$N$1</definedName>
    <definedName name="mainpot" localSheetId="19">'3w Kc5c Ден'!$N$1</definedName>
    <definedName name="mainpot" localSheetId="16">'3w KsJs Ден v2 '!$N$1</definedName>
    <definedName name="mainpot" localSheetId="20">'3w postflop 9c7s Ден v2'!$N$1</definedName>
    <definedName name="mainpot" localSheetId="12">'3w9h9s'!$N$1</definedName>
    <definedName name="mainpot" localSheetId="22">'3wAdKd'!$T$1</definedName>
    <definedName name="mainpot" localSheetId="23">'3wAh9s'!$T$1</definedName>
    <definedName name="mainpot" localSheetId="11">'3wAsQc'!$N$1</definedName>
    <definedName name="mainpot" localSheetId="8">'3way 7d Jd ничьи'!$N$1</definedName>
    <definedName name="mainpot" localSheetId="7">'3way 8c Kh ничьи'!$N$1</definedName>
    <definedName name="mainpot" localSheetId="6">'3way шаблон'!$N$1</definedName>
    <definedName name="mainpot" localSheetId="5">'3way шаблон ничьи'!$N$1</definedName>
    <definedName name="mainpot" localSheetId="3">'3way шаблон разбивка'!$J$1</definedName>
    <definedName name="mainpot" localSheetId="2">'3way-ai-preflo разбивка'!$N$1</definedName>
    <definedName name="mainpot" localSheetId="1">'3way-bu-call-sb-call разбивка'!$O$1</definedName>
    <definedName name="mainpot" localSheetId="21">'3wKhQs'!$T$1</definedName>
    <definedName name="mainpot" localSheetId="13">'3wKs2s Ден v2'!$N$1</definedName>
    <definedName name="mainpot" localSheetId="10">'3wKs7h'!$N$1</definedName>
    <definedName name="mainpot" localSheetId="0">'7d Jd разбивка'!$N$1</definedName>
    <definedName name="mainpot">'4way'!$T$1</definedName>
    <definedName name="p1sp1win" localSheetId="18">'3w 5h5c Ден'!$J$1</definedName>
    <definedName name="p1sp1win" localSheetId="17">'3w 8h8c Ден'!$J$1</definedName>
    <definedName name="p1sp1win" localSheetId="15">'3w 98s v2'!$J$1</definedName>
    <definedName name="p1sp1win" localSheetId="14">'3w Ac5c Ден'!$J$1</definedName>
    <definedName name="p1sp1win" localSheetId="19">'3w Kc5c Ден'!$J$1</definedName>
    <definedName name="p1sp1win" localSheetId="16">'3w KsJs Ден v2 '!$J$1</definedName>
    <definedName name="p1sp1win" localSheetId="20">'3w postflop 9c7s Ден v2'!$J$1</definedName>
    <definedName name="p1sp1win" localSheetId="12">'3w9h9s'!$J$1</definedName>
    <definedName name="p1sp1win" localSheetId="22">'3wAdKd'!$J$1</definedName>
    <definedName name="p1sp1win" localSheetId="23">'3wAh9s'!$J$1</definedName>
    <definedName name="p1sp1win" localSheetId="11">'3wAsQc'!$J$1</definedName>
    <definedName name="p1sp1win" localSheetId="8">'3way 7d Jd ничьи'!$J$1</definedName>
    <definedName name="p1sp1win" localSheetId="7">'3way 8c Kh ничьи'!$J$1</definedName>
    <definedName name="p1sp1win" localSheetId="6">'3way шаблон'!$J$1</definedName>
    <definedName name="p1sp1win" localSheetId="5">'3way шаблон ничьи'!$J$1</definedName>
    <definedName name="p1sp1win" localSheetId="3">'3way шаблон разбивка'!#REF!</definedName>
    <definedName name="p1sp1win" localSheetId="2">'3way-ai-preflo разбивка'!$J$1</definedName>
    <definedName name="p1sp1win" localSheetId="1">'3way-bu-call-sb-call разбивка'!$K$1</definedName>
    <definedName name="p1sp1win" localSheetId="21">'3wKhQs'!$J$1</definedName>
    <definedName name="p1sp1win" localSheetId="13">'3wKs2s Ден v2'!$J$1</definedName>
    <definedName name="p1sp1win" localSheetId="10">'3wKs7h'!$J$1</definedName>
    <definedName name="p1sp1win" localSheetId="0">'7d Jd разбивка'!$J$1</definedName>
    <definedName name="p1sp1win">'4way'!$J$1</definedName>
    <definedName name="p1sp2win" localSheetId="18">'3w 5h5c Ден'!#REF!</definedName>
    <definedName name="p1sp2win" localSheetId="17">'3w 8h8c Ден'!#REF!</definedName>
    <definedName name="p1sp2win" localSheetId="15">'3w 98s v2'!#REF!</definedName>
    <definedName name="p1sp2win" localSheetId="14">'3w Ac5c Ден'!#REF!</definedName>
    <definedName name="p1sp2win" localSheetId="19">'3w Kc5c Ден'!#REF!</definedName>
    <definedName name="p1sp2win" localSheetId="16">'3w KsJs Ден v2 '!#REF!</definedName>
    <definedName name="p1sp2win" localSheetId="20">'3w postflop 9c7s Ден v2'!#REF!</definedName>
    <definedName name="p1sp2win" localSheetId="12">'3w9h9s'!#REF!</definedName>
    <definedName name="p1sp2win" localSheetId="22">'3wAdKd'!$O$1</definedName>
    <definedName name="p1sp2win" localSheetId="23">'3wAh9s'!$O$1</definedName>
    <definedName name="p1sp2win" localSheetId="11">'3wAsQc'!#REF!</definedName>
    <definedName name="p1sp2win" localSheetId="8">'3way 7d Jd ничьи'!#REF!</definedName>
    <definedName name="p1sp2win" localSheetId="7">'3way 8c Kh ничьи'!#REF!</definedName>
    <definedName name="p1sp2win" localSheetId="6">'3way шаблон'!#REF!</definedName>
    <definedName name="p1sp2win" localSheetId="5">'3way шаблон ничьи'!#REF!</definedName>
    <definedName name="p1sp2win" localSheetId="3">'3way шаблон разбивка'!#REF!</definedName>
    <definedName name="p1sp2win" localSheetId="2">'3way-ai-preflo разбивка'!#REF!</definedName>
    <definedName name="p1sp2win" localSheetId="1">'3way-bu-call-sb-call разбивка'!#REF!</definedName>
    <definedName name="p1sp2win" localSheetId="21">'3wKhQs'!$O$1</definedName>
    <definedName name="p1sp2win" localSheetId="13">'3wKs2s Ден v2'!#REF!</definedName>
    <definedName name="p1sp2win" localSheetId="10">'3wKs7h'!#REF!</definedName>
    <definedName name="p1sp2win" localSheetId="0">'7d Jd разбивка'!#REF!</definedName>
    <definedName name="p1sp2win">'4way'!$O$1</definedName>
    <definedName name="p1spwin" localSheetId="18">'3w 5h5c Ден'!$J$1</definedName>
    <definedName name="p1spwin" localSheetId="17">'3w 8h8c Ден'!$J$1</definedName>
    <definedName name="p1spwin" localSheetId="15">'3w 98s v2'!$J$1</definedName>
    <definedName name="p1spwin" localSheetId="14">'3w Ac5c Ден'!$J$1</definedName>
    <definedName name="p1spwin" localSheetId="19">'3w Kc5c Ден'!$J$1</definedName>
    <definedName name="p1spwin" localSheetId="16">'3w KsJs Ден v2 '!$J$1</definedName>
    <definedName name="p1spwin" localSheetId="20">'3w postflop 9c7s Ден v2'!$J$1</definedName>
    <definedName name="p1spwin" localSheetId="12">'3w9h9s'!$J$1</definedName>
    <definedName name="p1spwin" localSheetId="22">'3wAdKd'!$J$1</definedName>
    <definedName name="p1spwin" localSheetId="23">'3wAh9s'!$J$1</definedName>
    <definedName name="p1spwin" localSheetId="11">'3wAsQc'!$J$1</definedName>
    <definedName name="p1spwin" localSheetId="8">'3way 7d Jd ничьи'!$J$1</definedName>
    <definedName name="p1spwin" localSheetId="7">'3way 8c Kh ничьи'!$J$1</definedName>
    <definedName name="p1spwin" localSheetId="6">'3way шаблон'!$J$1</definedName>
    <definedName name="p1spwin" localSheetId="5">'3way шаблон ничьи'!$J$1</definedName>
    <definedName name="p1spwin" localSheetId="3">'3way шаблон разбивка'!#REF!</definedName>
    <definedName name="p1spwin" localSheetId="2">'3way-ai-preflo разбивка'!$J$1</definedName>
    <definedName name="p1spwin" localSheetId="1">'3way-bu-call-sb-call разбивка'!$K$1</definedName>
    <definedName name="p1spwin" localSheetId="21">'3wKhQs'!$J$1</definedName>
    <definedName name="p1spwin" localSheetId="13">'3wKs2s Ден v2'!$J$1</definedName>
    <definedName name="p1spwin" localSheetId="10">'3wKs7h'!$J$1</definedName>
    <definedName name="p1spwin" localSheetId="25">'4way'!$J$1</definedName>
    <definedName name="p1spwin" localSheetId="0">'7d Jd разбивка'!$J$1</definedName>
    <definedName name="p1spwin">'3way'!$J$1</definedName>
    <definedName name="p1win" localSheetId="18">'3w 5h5c Ден'!$G$1</definedName>
    <definedName name="p1win" localSheetId="17">'3w 8h8c Ден'!$G$1</definedName>
    <definedName name="p1win" localSheetId="15">'3w 98s v2'!$G$1</definedName>
    <definedName name="p1win" localSheetId="14">'3w Ac5c Ден'!$G$1</definedName>
    <definedName name="p1win" localSheetId="19">'3w Kc5c Ден'!$G$1</definedName>
    <definedName name="p1win" localSheetId="16">'3w KsJs Ден v2 '!$G$1</definedName>
    <definedName name="p1win" localSheetId="20">'3w postflop 9c7s Ден v2'!$G$1</definedName>
    <definedName name="p1win" localSheetId="12">'3w9h9s'!$G$1</definedName>
    <definedName name="p1win" localSheetId="22">'3wAdKd'!$G$1</definedName>
    <definedName name="p1win" localSheetId="23">'3wAh9s'!$G$1</definedName>
    <definedName name="p1win" localSheetId="11">'3wAsQc'!$G$1</definedName>
    <definedName name="p1win" localSheetId="8">'3way 7d Jd ничьи'!$G$1</definedName>
    <definedName name="p1win" localSheetId="7">'3way 8c Kh ничьи'!$G$1</definedName>
    <definedName name="p1win" localSheetId="6">'3way шаблон'!$G$1</definedName>
    <definedName name="p1win" localSheetId="5">'3way шаблон ничьи'!$G$1</definedName>
    <definedName name="p1win" localSheetId="3">'3way шаблон разбивка'!#REF!</definedName>
    <definedName name="p1win" localSheetId="2">'3way-ai-preflo разбивка'!$G$1</definedName>
    <definedName name="p1win" localSheetId="1">'3way-bu-call-sb-call разбивка'!$H$1</definedName>
    <definedName name="p1win" localSheetId="21">'3wKhQs'!$G$1</definedName>
    <definedName name="p1win" localSheetId="13">'3wKs2s Ден v2'!$G$1</definedName>
    <definedName name="p1win" localSheetId="10">'3wKs7h'!$G$1</definedName>
    <definedName name="p1win" localSheetId="25">'4way'!$G$1</definedName>
    <definedName name="p1win" localSheetId="0">'7d Jd разбивка'!$G$1</definedName>
    <definedName name="p1win">'3way'!$G$1</definedName>
    <definedName name="p2sp1win" localSheetId="18">'3w 5h5c Ден'!$J$2</definedName>
    <definedName name="p2sp1win" localSheetId="17">'3w 8h8c Ден'!$J$2</definedName>
    <definedName name="p2sp1win" localSheetId="15">'3w 98s v2'!$J$2</definedName>
    <definedName name="p2sp1win" localSheetId="14">'3w Ac5c Ден'!$J$2</definedName>
    <definedName name="p2sp1win" localSheetId="19">'3w Kc5c Ден'!$J$2</definedName>
    <definedName name="p2sp1win" localSheetId="16">'3w KsJs Ден v2 '!$J$2</definedName>
    <definedName name="p2sp1win" localSheetId="20">'3w postflop 9c7s Ден v2'!$J$2</definedName>
    <definedName name="p2sp1win" localSheetId="12">'3w9h9s'!$J$2</definedName>
    <definedName name="p2sp1win" localSheetId="22">'3wAdKd'!$J$2</definedName>
    <definedName name="p2sp1win" localSheetId="23">'3wAh9s'!$J$2</definedName>
    <definedName name="p2sp1win" localSheetId="11">'3wAsQc'!$J$2</definedName>
    <definedName name="p2sp1win" localSheetId="8">'3way 7d Jd ничьи'!$J$2</definedName>
    <definedName name="p2sp1win" localSheetId="7">'3way 8c Kh ничьи'!$J$2</definedName>
    <definedName name="p2sp1win" localSheetId="6">'3way шаблон'!$J$2</definedName>
    <definedName name="p2sp1win" localSheetId="5">'3way шаблон ничьи'!$J$2</definedName>
    <definedName name="p2sp1win" localSheetId="3">'3way шаблон разбивка'!#REF!</definedName>
    <definedName name="p2sp1win" localSheetId="2">'3way-ai-preflo разбивка'!$J$2</definedName>
    <definedName name="p2sp1win" localSheetId="1">'3way-bu-call-sb-call разбивка'!$K$2</definedName>
    <definedName name="p2sp1win" localSheetId="21">'3wKhQs'!$J$2</definedName>
    <definedName name="p2sp1win" localSheetId="13">'3wKs2s Ден v2'!$J$2</definedName>
    <definedName name="p2sp1win" localSheetId="10">'3wKs7h'!$J$2</definedName>
    <definedName name="p2sp1win" localSheetId="0">'7d Jd разбивка'!$J$2</definedName>
    <definedName name="p2sp1win">'4way'!$J$2</definedName>
    <definedName name="p2sp2win" localSheetId="18">'3w 5h5c Ден'!#REF!</definedName>
    <definedName name="p2sp2win" localSheetId="17">'3w 8h8c Ден'!#REF!</definedName>
    <definedName name="p2sp2win" localSheetId="15">'3w 98s v2'!#REF!</definedName>
    <definedName name="p2sp2win" localSheetId="14">'3w Ac5c Ден'!#REF!</definedName>
    <definedName name="p2sp2win" localSheetId="19">'3w Kc5c Ден'!#REF!</definedName>
    <definedName name="p2sp2win" localSheetId="16">'3w KsJs Ден v2 '!#REF!</definedName>
    <definedName name="p2sp2win" localSheetId="20">'3w postflop 9c7s Ден v2'!#REF!</definedName>
    <definedName name="p2sp2win" localSheetId="12">'3w9h9s'!#REF!</definedName>
    <definedName name="p2sp2win" localSheetId="22">'3wAdKd'!$O$2</definedName>
    <definedName name="p2sp2win" localSheetId="23">'3wAh9s'!$O$2</definedName>
    <definedName name="p2sp2win" localSheetId="11">'3wAsQc'!#REF!</definedName>
    <definedName name="p2sp2win" localSheetId="8">'3way 7d Jd ничьи'!#REF!</definedName>
    <definedName name="p2sp2win" localSheetId="7">'3way 8c Kh ничьи'!#REF!</definedName>
    <definedName name="p2sp2win" localSheetId="6">'3way шаблон'!#REF!</definedName>
    <definedName name="p2sp2win" localSheetId="5">'3way шаблон ничьи'!#REF!</definedName>
    <definedName name="p2sp2win" localSheetId="3">'3way шаблон разбивка'!#REF!</definedName>
    <definedName name="p2sp2win" localSheetId="2">'3way-ai-preflo разбивка'!#REF!</definedName>
    <definedName name="p2sp2win" localSheetId="1">'3way-bu-call-sb-call разбивка'!#REF!</definedName>
    <definedName name="p2sp2win" localSheetId="21">'3wKhQs'!$O$2</definedName>
    <definedName name="p2sp2win" localSheetId="13">'3wKs2s Ден v2'!#REF!</definedName>
    <definedName name="p2sp2win" localSheetId="10">'3wKs7h'!#REF!</definedName>
    <definedName name="p2sp2win" localSheetId="0">'7d Jd разбивка'!#REF!</definedName>
    <definedName name="p2sp2win">'4way'!$O$2</definedName>
    <definedName name="p2spwin" localSheetId="18">'3w 5h5c Ден'!$J$2</definedName>
    <definedName name="p2spwin" localSheetId="17">'3w 8h8c Ден'!$J$2</definedName>
    <definedName name="p2spwin" localSheetId="15">'3w 98s v2'!$J$2</definedName>
    <definedName name="p2spwin" localSheetId="14">'3w Ac5c Ден'!$J$2</definedName>
    <definedName name="p2spwin" localSheetId="19">'3w Kc5c Ден'!$J$2</definedName>
    <definedName name="p2spwin" localSheetId="16">'3w KsJs Ден v2 '!$J$2</definedName>
    <definedName name="p2spwin" localSheetId="20">'3w postflop 9c7s Ден v2'!$J$2</definedName>
    <definedName name="p2spwin" localSheetId="12">'3w9h9s'!$J$2</definedName>
    <definedName name="p2spwin" localSheetId="22">'3wAdKd'!$J$2</definedName>
    <definedName name="p2spwin" localSheetId="23">'3wAh9s'!$J$2</definedName>
    <definedName name="p2spwin" localSheetId="11">'3wAsQc'!$J$2</definedName>
    <definedName name="p2spwin" localSheetId="8">'3way 7d Jd ничьи'!$J$2</definedName>
    <definedName name="p2spwin" localSheetId="7">'3way 8c Kh ничьи'!$J$2</definedName>
    <definedName name="p2spwin" localSheetId="6">'3way шаблон'!$J$2</definedName>
    <definedName name="p2spwin" localSheetId="5">'3way шаблон ничьи'!$J$2</definedName>
    <definedName name="p2spwin" localSheetId="3">'3way шаблон разбивка'!#REF!</definedName>
    <definedName name="p2spwin" localSheetId="2">'3way-ai-preflo разбивка'!$J$2</definedName>
    <definedName name="p2spwin" localSheetId="1">'3way-bu-call-sb-call разбивка'!$K$2</definedName>
    <definedName name="p2spwin" localSheetId="21">'3wKhQs'!$J$2</definedName>
    <definedName name="p2spwin" localSheetId="13">'3wKs2s Ден v2'!$J$2</definedName>
    <definedName name="p2spwin" localSheetId="10">'3wKs7h'!$J$2</definedName>
    <definedName name="p2spwin" localSheetId="25">'4way'!$J$2</definedName>
    <definedName name="p2spwin" localSheetId="0">'7d Jd разбивка'!$J$2</definedName>
    <definedName name="p2spwin">'3way'!$J$2</definedName>
    <definedName name="p2win" localSheetId="18">'3w 5h5c Ден'!$G$2</definedName>
    <definedName name="p2win" localSheetId="17">'3w 8h8c Ден'!$G$2</definedName>
    <definedName name="p2win" localSheetId="15">'3w 98s v2'!$G$2</definedName>
    <definedName name="p2win" localSheetId="14">'3w Ac5c Ден'!$G$2</definedName>
    <definedName name="p2win" localSheetId="19">'3w Kc5c Ден'!$G$2</definedName>
    <definedName name="p2win" localSheetId="16">'3w KsJs Ден v2 '!$G$2</definedName>
    <definedName name="p2win" localSheetId="20">'3w postflop 9c7s Ден v2'!$G$2</definedName>
    <definedName name="p2win" localSheetId="12">'3w9h9s'!$G$2</definedName>
    <definedName name="p2win" localSheetId="22">'3wAdKd'!$G$2</definedName>
    <definedName name="p2win" localSheetId="23">'3wAh9s'!$G$2</definedName>
    <definedName name="p2win" localSheetId="11">'3wAsQc'!$G$2</definedName>
    <definedName name="p2win" localSheetId="8">'3way 7d Jd ничьи'!$G$2</definedName>
    <definedName name="p2win" localSheetId="7">'3way 8c Kh ничьи'!$G$2</definedName>
    <definedName name="p2win" localSheetId="6">'3way шаблон'!$G$2</definedName>
    <definedName name="p2win" localSheetId="5">'3way шаблон ничьи'!$G$2</definedName>
    <definedName name="p2win" localSheetId="3">'3way шаблон разбивка'!#REF!</definedName>
    <definedName name="p2win" localSheetId="2">'3way-ai-preflo разбивка'!$G$2</definedName>
    <definedName name="p2win" localSheetId="1">'3way-bu-call-sb-call разбивка'!$H$2</definedName>
    <definedName name="p2win" localSheetId="21">'3wKhQs'!$G$2</definedName>
    <definedName name="p2win" localSheetId="13">'3wKs2s Ден v2'!$G$2</definedName>
    <definedName name="p2win" localSheetId="10">'3wKs7h'!$G$2</definedName>
    <definedName name="p2win" localSheetId="25">'4way'!$G$2</definedName>
    <definedName name="p2win" localSheetId="0">'7d Jd разбивка'!$G$2</definedName>
    <definedName name="p2win">'3way'!$G$2</definedName>
    <definedName name="p3sp1win" localSheetId="18">'3w 5h5c Ден'!$J$3</definedName>
    <definedName name="p3sp1win" localSheetId="17">'3w 8h8c Ден'!$J$3</definedName>
    <definedName name="p3sp1win" localSheetId="15">'3w 98s v2'!$J$3</definedName>
    <definedName name="p3sp1win" localSheetId="14">'3w Ac5c Ден'!$J$3</definedName>
    <definedName name="p3sp1win" localSheetId="19">'3w Kc5c Ден'!$J$3</definedName>
    <definedName name="p3sp1win" localSheetId="16">'3w KsJs Ден v2 '!$J$3</definedName>
    <definedName name="p3sp1win" localSheetId="20">'3w postflop 9c7s Ден v2'!$J$3</definedName>
    <definedName name="p3sp1win" localSheetId="12">'3w9h9s'!$J$3</definedName>
    <definedName name="p3sp1win" localSheetId="22">'3wAdKd'!$J$3</definedName>
    <definedName name="p3sp1win" localSheetId="23">'3wAh9s'!$J$3</definedName>
    <definedName name="p3sp1win" localSheetId="11">'3wAsQc'!$J$3</definedName>
    <definedName name="p3sp1win" localSheetId="8">'3way 7d Jd ничьи'!$J$3</definedName>
    <definedName name="p3sp1win" localSheetId="7">'3way 8c Kh ничьи'!$J$3</definedName>
    <definedName name="p3sp1win" localSheetId="6">'3way шаблон'!$J$3</definedName>
    <definedName name="p3sp1win" localSheetId="5">'3way шаблон ничьи'!$J$3</definedName>
    <definedName name="p3sp1win" localSheetId="3">'3way шаблон разбивка'!#REF!</definedName>
    <definedName name="p3sp1win" localSheetId="2">'3way-ai-preflo разбивка'!$J$3</definedName>
    <definedName name="p3sp1win" localSheetId="1">'3way-bu-call-sb-call разбивка'!$K$3</definedName>
    <definedName name="p3sp1win" localSheetId="21">'3wKhQs'!$J$3</definedName>
    <definedName name="p3sp1win" localSheetId="13">'3wKs2s Ден v2'!$J$3</definedName>
    <definedName name="p3sp1win" localSheetId="10">'3wKs7h'!$J$3</definedName>
    <definedName name="p3sp1win" localSheetId="0">'7d Jd разбивка'!$J$3</definedName>
    <definedName name="p3sp1win">'4way'!$J$3</definedName>
    <definedName name="p3win" localSheetId="18">'3w 5h5c Ден'!$G$3</definedName>
    <definedName name="p3win" localSheetId="17">'3w 8h8c Ден'!$G$3</definedName>
    <definedName name="p3win" localSheetId="15">'3w 98s v2'!$G$3</definedName>
    <definedName name="p3win" localSheetId="14">'3w Ac5c Ден'!$G$3</definedName>
    <definedName name="p3win" localSheetId="19">'3w Kc5c Ден'!$G$3</definedName>
    <definedName name="p3win" localSheetId="16">'3w KsJs Ден v2 '!$G$3</definedName>
    <definedName name="p3win" localSheetId="20">'3w postflop 9c7s Ден v2'!$G$3</definedName>
    <definedName name="p3win" localSheetId="12">'3w9h9s'!$G$3</definedName>
    <definedName name="p3win" localSheetId="22">'3wAdKd'!$G$3</definedName>
    <definedName name="p3win" localSheetId="23">'3wAh9s'!$G$3</definedName>
    <definedName name="p3win" localSheetId="11">'3wAsQc'!$G$3</definedName>
    <definedName name="p3win" localSheetId="8">'3way 7d Jd ничьи'!$G$3</definedName>
    <definedName name="p3win" localSheetId="7">'3way 8c Kh ничьи'!$G$3</definedName>
    <definedName name="p3win" localSheetId="6">'3way шаблон'!$G$3</definedName>
    <definedName name="p3win" localSheetId="5">'3way шаблон ничьи'!$G$3</definedName>
    <definedName name="p3win" localSheetId="3">'3way шаблон разбивка'!#REF!</definedName>
    <definedName name="p3win" localSheetId="2">'3way-ai-preflo разбивка'!$G$3</definedName>
    <definedName name="p3win" localSheetId="1">'3way-bu-call-sb-call разбивка'!$H$3</definedName>
    <definedName name="p3win" localSheetId="21">'3wKhQs'!$G$3</definedName>
    <definedName name="p3win" localSheetId="13">'3wKs2s Ден v2'!$G$3</definedName>
    <definedName name="p3win" localSheetId="10">'3wKs7h'!$G$3</definedName>
    <definedName name="p3win" localSheetId="25">'4way'!$G$3</definedName>
    <definedName name="p3win" localSheetId="0">'7d Jd разбивка'!$G$3</definedName>
    <definedName name="p3win">'3way'!$G$3</definedName>
    <definedName name="p4win" localSheetId="18">'3w 5h5c Ден'!$G$4</definedName>
    <definedName name="p4win" localSheetId="17">'3w 8h8c Ден'!$G$4</definedName>
    <definedName name="p4win" localSheetId="15">'3w 98s v2'!$G$4</definedName>
    <definedName name="p4win" localSheetId="14">'3w Ac5c Ден'!$G$4</definedName>
    <definedName name="p4win" localSheetId="19">'3w Kc5c Ден'!$G$4</definedName>
    <definedName name="p4win" localSheetId="16">'3w KsJs Ден v2 '!$G$4</definedName>
    <definedName name="p4win" localSheetId="20">'3w postflop 9c7s Ден v2'!$G$4</definedName>
    <definedName name="p4win" localSheetId="12">'3w9h9s'!$G$4</definedName>
    <definedName name="p4win" localSheetId="22">'3wAdKd'!$G$4</definedName>
    <definedName name="p4win" localSheetId="23">'3wAh9s'!$G$4</definedName>
    <definedName name="p4win" localSheetId="11">'3wAsQc'!$G$4</definedName>
    <definedName name="p4win" localSheetId="8">'3way 7d Jd ничьи'!$G$4</definedName>
    <definedName name="p4win" localSheetId="7">'3way 8c Kh ничьи'!$G$4</definedName>
    <definedName name="p4win" localSheetId="6">'3way шаблон'!$G$4</definedName>
    <definedName name="p4win" localSheetId="5">'3way шаблон ничьи'!$G$4</definedName>
    <definedName name="p4win" localSheetId="3">'3way шаблон разбивка'!$G$4</definedName>
    <definedName name="p4win" localSheetId="2">'3way-ai-preflo разбивка'!$G$4</definedName>
    <definedName name="p4win" localSheetId="1">'3way-bu-call-sb-call разбивка'!$H$4</definedName>
    <definedName name="p4win" localSheetId="21">'3wKhQs'!$G$4</definedName>
    <definedName name="p4win" localSheetId="13">'3wKs2s Ден v2'!$G$4</definedName>
    <definedName name="p4win" localSheetId="10">'3wKs7h'!$G$4</definedName>
    <definedName name="p4win" localSheetId="0">'7d Jd разбивка'!$G$4</definedName>
    <definedName name="p4win">'4way'!$G$4</definedName>
    <definedName name="prize" localSheetId="18">'3w 5h5c Ден'!$D$1</definedName>
    <definedName name="prize" localSheetId="17">'3w 8h8c Ден'!$D$1</definedName>
    <definedName name="prize" localSheetId="15">'3w 98s v2'!$D$1</definedName>
    <definedName name="prize" localSheetId="14">'3w Ac5c Ден'!$D$1</definedName>
    <definedName name="prize" localSheetId="19">'3w Kc5c Ден'!$D$1</definedName>
    <definedName name="prize" localSheetId="16">'3w KsJs Ден v2 '!$D$1</definedName>
    <definedName name="prize" localSheetId="20">'3w postflop 9c7s Ден v2'!$D$1</definedName>
    <definedName name="prize" localSheetId="12">'3w9h9s'!$D$1</definedName>
    <definedName name="prize" localSheetId="22">'3wAdKd'!$D$1</definedName>
    <definedName name="prize" localSheetId="23">'3wAh9s'!$D$1</definedName>
    <definedName name="prize" localSheetId="11">'3wAsQc'!$D$1</definedName>
    <definedName name="prize" localSheetId="8">'3way 7d Jd ничьи'!$D$1</definedName>
    <definedName name="prize" localSheetId="7">'3way 8c Kh ничьи'!$D$1</definedName>
    <definedName name="prize" localSheetId="6">'3way шаблон'!$D$1</definedName>
    <definedName name="prize" localSheetId="5">'3way шаблон ничьи'!$D$1</definedName>
    <definedName name="prize" localSheetId="3">'3way шаблон разбивка'!$D$1</definedName>
    <definedName name="prize" localSheetId="2">'3way-ai-preflo разбивка'!$D$1</definedName>
    <definedName name="prize" localSheetId="1">'3way-bu-call-sb-call разбивка'!$E$1</definedName>
    <definedName name="prize" localSheetId="21">'3wKhQs'!$D$1</definedName>
    <definedName name="prize" localSheetId="13">'3wKs2s Ден v2'!$D$1</definedName>
    <definedName name="prize" localSheetId="10">'3wKs7h'!$D$1</definedName>
    <definedName name="prize" localSheetId="25">'4way'!$D$1</definedName>
    <definedName name="prize" localSheetId="0">'7d Jd разбивка'!$D$1</definedName>
    <definedName name="prize">'3way'!$D$1</definedName>
    <definedName name="qweqwe">'4way'!$T$1</definedName>
    <definedName name="sidepot1" localSheetId="18">'3w 5h5c Ден'!$N$2</definedName>
    <definedName name="sidepot1" localSheetId="17">'3w 8h8c Ден'!$N$2</definedName>
    <definedName name="sidepot1" localSheetId="15">'3w 98s v2'!$N$2</definedName>
    <definedName name="sidepot1" localSheetId="14">'3w Ac5c Ден'!$N$2</definedName>
    <definedName name="sidepot1" localSheetId="19">'3w Kc5c Ден'!$N$2</definedName>
    <definedName name="sidepot1" localSheetId="16">'3w KsJs Ден v2 '!$N$2</definedName>
    <definedName name="sidepot1" localSheetId="20">'3w postflop 9c7s Ден v2'!$N$2</definedName>
    <definedName name="sidepot1" localSheetId="12">'3w9h9s'!$N$2</definedName>
    <definedName name="sidepot1" localSheetId="22">'3wAdKd'!$T$2</definedName>
    <definedName name="sidepot1" localSheetId="23">'3wAh9s'!$T$2</definedName>
    <definedName name="sidepot1" localSheetId="11">'3wAsQc'!$N$2</definedName>
    <definedName name="sidepot1" localSheetId="8">'3way 7d Jd ничьи'!$N$2</definedName>
    <definedName name="sidepot1" localSheetId="7">'3way 8c Kh ничьи'!$N$2</definedName>
    <definedName name="sidepot1" localSheetId="6">'3way шаблон'!$N$2</definedName>
    <definedName name="sidepot1" localSheetId="5">'3way шаблон ничьи'!$N$2</definedName>
    <definedName name="sidepot1" localSheetId="3">'3way шаблон разбивка'!$J$2</definedName>
    <definedName name="sidepot1" localSheetId="2">'3way-ai-preflo разбивка'!$N$2</definedName>
    <definedName name="sidepot1" localSheetId="1">'3way-bu-call-sb-call разбивка'!$O$2</definedName>
    <definedName name="sidepot1" localSheetId="21">'3wKhQs'!$T$2</definedName>
    <definedName name="sidepot1" localSheetId="13">'3wKs2s Ден v2'!$N$2</definedName>
    <definedName name="sidepot1" localSheetId="10">'3wKs7h'!$N$2</definedName>
    <definedName name="sidepot1" localSheetId="0">'7d Jd разбивка'!$N$2</definedName>
    <definedName name="sidepot1">'4way'!$T$2</definedName>
    <definedName name="sidepot2" localSheetId="18">'3w 5h5c Ден'!$N$3</definedName>
    <definedName name="sidepot2" localSheetId="17">'3w 8h8c Ден'!$N$3</definedName>
    <definedName name="sidepot2" localSheetId="15">'3w 98s v2'!$N$3</definedName>
    <definedName name="sidepot2" localSheetId="14">'3w Ac5c Ден'!$N$3</definedName>
    <definedName name="sidepot2" localSheetId="19">'3w Kc5c Ден'!$N$3</definedName>
    <definedName name="sidepot2" localSheetId="16">'3w KsJs Ден v2 '!$N$3</definedName>
    <definedName name="sidepot2" localSheetId="20">'3w postflop 9c7s Ден v2'!$N$3</definedName>
    <definedName name="sidepot2" localSheetId="12">'3w9h9s'!$N$3</definedName>
    <definedName name="sidepot2" localSheetId="22">'3wAdKd'!$T$3</definedName>
    <definedName name="sidepot2" localSheetId="23">'3wAh9s'!$T$3</definedName>
    <definedName name="sidepot2" localSheetId="11">'3wAsQc'!$N$3</definedName>
    <definedName name="sidepot2" localSheetId="8">'3way 7d Jd ничьи'!$N$3</definedName>
    <definedName name="sidepot2" localSheetId="7">'3way 8c Kh ничьи'!$N$3</definedName>
    <definedName name="sidepot2" localSheetId="6">'3way шаблон'!$N$3</definedName>
    <definedName name="sidepot2" localSheetId="5">'3way шаблон ничьи'!$N$3</definedName>
    <definedName name="sidepot2" localSheetId="3">'3way шаблон разбивка'!$J$3</definedName>
    <definedName name="sidepot2" localSheetId="2">'3way-ai-preflo разбивка'!$N$3</definedName>
    <definedName name="sidepot2" localSheetId="1">'3way-bu-call-sb-call разбивка'!$O$3</definedName>
    <definedName name="sidepot2" localSheetId="21">'3wKhQs'!$T$3</definedName>
    <definedName name="sidepot2" localSheetId="13">'3wKs2s Ден v2'!$N$3</definedName>
    <definedName name="sidepot2" localSheetId="10">'3wKs7h'!$N$3</definedName>
    <definedName name="sidepot2" localSheetId="0">'7d Jd разбивка'!$N$3</definedName>
    <definedName name="sidepot2">'4way'!$T$3</definedName>
    <definedName name="sss">'4way'!$T$2</definedName>
    <definedName name="T4pwinsp1" localSheetId="18">'3w 5h5c Ден'!#REF!</definedName>
    <definedName name="T4pwinsp1" localSheetId="17">'3w 8h8c Ден'!#REF!</definedName>
    <definedName name="T4pwinsp1" localSheetId="15">'3w 98s v2'!#REF!</definedName>
    <definedName name="T4pwinsp1" localSheetId="14">'3w Ac5c Ден'!#REF!</definedName>
    <definedName name="T4pwinsp1" localSheetId="19">'3w Kc5c Ден'!#REF!</definedName>
    <definedName name="T4pwinsp1" localSheetId="16">'3w KsJs Ден v2 '!#REF!</definedName>
    <definedName name="T4pwinsp1" localSheetId="20">'3w postflop 9c7s Ден v2'!#REF!</definedName>
    <definedName name="T4pwinsp1" localSheetId="12">'3w9h9s'!#REF!</definedName>
    <definedName name="T4pwinsp1" localSheetId="22">'3wAdKd'!#REF!</definedName>
    <definedName name="T4pwinsp1" localSheetId="23">'3wAh9s'!#REF!</definedName>
    <definedName name="T4pwinsp1" localSheetId="11">'3wAsQc'!#REF!</definedName>
    <definedName name="T4pwinsp1" localSheetId="8">'3way 7d Jd ничьи'!#REF!</definedName>
    <definedName name="T4pwinsp1" localSheetId="7">'3way 8c Kh ничьи'!#REF!</definedName>
    <definedName name="T4pwinsp1" localSheetId="6">'3way шаблон'!#REF!</definedName>
    <definedName name="T4pwinsp1" localSheetId="5">'3way шаблон ничьи'!#REF!</definedName>
    <definedName name="T4pwinsp1" localSheetId="3">'3way шаблон разбивка'!#REF!</definedName>
    <definedName name="T4pwinsp1" localSheetId="2">'3way-ai-preflo разбивка'!#REF!</definedName>
    <definedName name="T4pwinsp1" localSheetId="1">'3way-bu-call-sb-call разбивка'!#REF!</definedName>
    <definedName name="T4pwinsp1" localSheetId="21">'3wKhQs'!#REF!</definedName>
    <definedName name="T4pwinsp1" localSheetId="13">'3wKs2s Ден v2'!#REF!</definedName>
    <definedName name="T4pwinsp1" localSheetId="10">'3wKs7h'!#REF!</definedName>
    <definedName name="T4pwinsp1" localSheetId="0">'7d Jd разбивка'!#REF!</definedName>
    <definedName name="T4pwinsp1">'4way'!$AJ$18</definedName>
    <definedName name="tie" localSheetId="8">'3way 7d Jd ничьи'!$G$5</definedName>
    <definedName name="tie" localSheetId="7">'3way 8c Kh ничьи'!$G$5</definedName>
    <definedName name="tie" localSheetId="3">'3way шаблон разбивка'!$G$5</definedName>
    <definedName name="tie" localSheetId="2">'3way-ai-preflo разбивка'!$G$5</definedName>
    <definedName name="tie" localSheetId="1">'3way-bu-call-sb-call разбивка'!$H$5</definedName>
    <definedName name="tie" localSheetId="0">'7d Jd разбивка'!$G$5</definedName>
    <definedName name="tie">'3way шаблон ничьи'!$G$5</definedName>
    <definedName name="tiesp1" localSheetId="8">'3way 7d Jd ничьи'!$J$4</definedName>
    <definedName name="tiesp1" localSheetId="7">'3way 8c Kh ничьи'!$J$4</definedName>
    <definedName name="tiesp1" localSheetId="3">'3way шаблон разбивка'!#REF!</definedName>
    <definedName name="tiesp1" localSheetId="2">'3way-ai-preflo разбивка'!$J$4</definedName>
    <definedName name="tiesp1" localSheetId="1">'3way-bu-call-sb-call разбивка'!$K$4</definedName>
    <definedName name="tiesp1" localSheetId="0">'7d Jd разбивка'!$J$4</definedName>
    <definedName name="tiesp1">'3way шаблон ничьи'!$J$4</definedName>
    <definedName name="uncalled" localSheetId="18">'3w 5h5c Ден'!$N$4</definedName>
    <definedName name="uncalled" localSheetId="17">'3w 8h8c Ден'!$N$4</definedName>
    <definedName name="uncalled" localSheetId="15">'3w 98s v2'!$N$4</definedName>
    <definedName name="uncalled" localSheetId="14">'3w Ac5c Ден'!$N$4</definedName>
    <definedName name="uncalled" localSheetId="19">'3w Kc5c Ден'!$N$4</definedName>
    <definedName name="uncalled" localSheetId="16">'3w KsJs Ден v2 '!$N$4</definedName>
    <definedName name="uncalled" localSheetId="20">'3w postflop 9c7s Ден v2'!$N$4</definedName>
    <definedName name="uncalled" localSheetId="12">'3w9h9s'!$N$4</definedName>
    <definedName name="uncalled" localSheetId="22">'3wAdKd'!$T$4</definedName>
    <definedName name="uncalled" localSheetId="23">'3wAh9s'!$T$4</definedName>
    <definedName name="uncalled" localSheetId="11">'3wAsQc'!$N$4</definedName>
    <definedName name="uncalled" localSheetId="8">'3way 7d Jd ничьи'!$N$4</definedName>
    <definedName name="uncalled" localSheetId="7">'3way 8c Kh ничьи'!$N$4</definedName>
    <definedName name="uncalled" localSheetId="6">'3way шаблон'!$N$4</definedName>
    <definedName name="uncalled" localSheetId="5">'3way шаблон ничьи'!$N$4</definedName>
    <definedName name="uncalled" localSheetId="3">'3way шаблон разбивка'!$J$4</definedName>
    <definedName name="uncalled" localSheetId="2">'3way-ai-preflo разбивка'!$N$4</definedName>
    <definedName name="uncalled" localSheetId="1">'3way-bu-call-sb-call разбивка'!$O$4</definedName>
    <definedName name="uncalled" localSheetId="21">'3wKhQs'!$T$4</definedName>
    <definedName name="uncalled" localSheetId="13">'3wKs2s Ден v2'!$N$4</definedName>
    <definedName name="uncalled" localSheetId="10">'3wKs7h'!$N$4</definedName>
    <definedName name="uncalled" localSheetId="0">'7d Jd разбивка'!$N$4</definedName>
    <definedName name="uncalled">'4way'!$T$4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0" l="1"/>
  <c r="G2" i="30"/>
  <c r="G1" i="30"/>
  <c r="BS23" i="33"/>
  <c r="BL23" i="33"/>
  <c r="BE23" i="33"/>
  <c r="AX23" i="33"/>
  <c r="AQ23" i="33"/>
  <c r="AJ23" i="33"/>
  <c r="AC23" i="33"/>
  <c r="V23" i="33"/>
  <c r="O23" i="33"/>
  <c r="H23" i="33"/>
  <c r="D23" i="33"/>
  <c r="BU22" i="33"/>
  <c r="BR22" i="33"/>
  <c r="CC22" i="33" s="1"/>
  <c r="BK22" i="33"/>
  <c r="BD22" i="33"/>
  <c r="AW22" i="33"/>
  <c r="AP22" i="33"/>
  <c r="AK22" i="33"/>
  <c r="AI22" i="33"/>
  <c r="AB22" i="33"/>
  <c r="U22" i="33"/>
  <c r="N22" i="33"/>
  <c r="G22" i="33"/>
  <c r="BT21" i="33"/>
  <c r="BR21" i="33"/>
  <c r="CC21" i="33" s="1"/>
  <c r="BK21" i="33"/>
  <c r="BD21" i="33"/>
  <c r="AW21" i="33"/>
  <c r="AP21" i="33"/>
  <c r="AI21" i="33"/>
  <c r="AB21" i="33"/>
  <c r="W21" i="33"/>
  <c r="U21" i="33"/>
  <c r="P21" i="33"/>
  <c r="N21" i="33"/>
  <c r="G21" i="33"/>
  <c r="BR20" i="33"/>
  <c r="BU20" i="33" s="1"/>
  <c r="BK20" i="33"/>
  <c r="BF20" i="33"/>
  <c r="BD20" i="33"/>
  <c r="AY20" i="33"/>
  <c r="AW20" i="33"/>
  <c r="AP20" i="33"/>
  <c r="AK20" i="33"/>
  <c r="AI20" i="33"/>
  <c r="AB20" i="33"/>
  <c r="U20" i="33"/>
  <c r="P20" i="33"/>
  <c r="N20" i="33"/>
  <c r="I20" i="33"/>
  <c r="G20" i="33"/>
  <c r="BT19" i="33"/>
  <c r="BR19" i="33"/>
  <c r="BK19" i="33"/>
  <c r="BD19" i="33"/>
  <c r="AY19" i="33"/>
  <c r="AW19" i="33"/>
  <c r="AR19" i="33"/>
  <c r="AP19" i="33"/>
  <c r="AI19" i="33"/>
  <c r="AD19" i="33"/>
  <c r="AB19" i="33"/>
  <c r="W19" i="33"/>
  <c r="U19" i="33"/>
  <c r="N19" i="33"/>
  <c r="I19" i="33"/>
  <c r="G19" i="33"/>
  <c r="CC18" i="33"/>
  <c r="BR18" i="33"/>
  <c r="BU18" i="33" s="1"/>
  <c r="BM18" i="33"/>
  <c r="BK18" i="33"/>
  <c r="BF18" i="33"/>
  <c r="BD18" i="33"/>
  <c r="AW18" i="33"/>
  <c r="AR18" i="33"/>
  <c r="AP18" i="33"/>
  <c r="AK18" i="33"/>
  <c r="AI18" i="33"/>
  <c r="AH17" i="33" s="1"/>
  <c r="AL17" i="33" s="1"/>
  <c r="AB18" i="33"/>
  <c r="U18" i="33"/>
  <c r="P18" i="33"/>
  <c r="N18" i="33"/>
  <c r="M18" i="33"/>
  <c r="Q18" i="33" s="1"/>
  <c r="I18" i="33"/>
  <c r="G18" i="33"/>
  <c r="F17" i="33" s="1"/>
  <c r="J17" i="33" s="1"/>
  <c r="BT17" i="33"/>
  <c r="BR17" i="33"/>
  <c r="CC17" i="33" s="1"/>
  <c r="BK17" i="33"/>
  <c r="BD17" i="33"/>
  <c r="AY17" i="33"/>
  <c r="AW17" i="33"/>
  <c r="AV20" i="33" s="1"/>
  <c r="AZ20" i="33" s="1"/>
  <c r="AR17" i="33"/>
  <c r="AP17" i="33"/>
  <c r="AP23" i="33" s="1"/>
  <c r="AK17" i="33"/>
  <c r="AI17" i="33"/>
  <c r="AI23" i="33" s="1"/>
  <c r="AD17" i="33"/>
  <c r="AB17" i="33"/>
  <c r="AA22" i="33" s="1"/>
  <c r="AE22" i="33" s="1"/>
  <c r="AA17" i="33"/>
  <c r="AE17" i="33" s="1"/>
  <c r="U17" i="33"/>
  <c r="T19" i="33" s="1"/>
  <c r="X19" i="33" s="1"/>
  <c r="N17" i="33"/>
  <c r="N23" i="33" s="1"/>
  <c r="I17" i="33"/>
  <c r="G17" i="33"/>
  <c r="F21" i="33" s="1"/>
  <c r="J21" i="33" s="1"/>
  <c r="G5" i="33"/>
  <c r="K4" i="33"/>
  <c r="D2" i="33"/>
  <c r="D1" i="33"/>
  <c r="AD20" i="33" s="1"/>
  <c r="O4" i="32"/>
  <c r="BT23" i="32"/>
  <c r="BM23" i="32"/>
  <c r="BF23" i="32"/>
  <c r="AY23" i="32"/>
  <c r="AR23" i="32"/>
  <c r="AK23" i="32"/>
  <c r="AD23" i="32"/>
  <c r="W23" i="32"/>
  <c r="P23" i="32"/>
  <c r="I23" i="32"/>
  <c r="E23" i="32"/>
  <c r="BS22" i="32"/>
  <c r="CD22" i="32" s="1"/>
  <c r="BL22" i="32"/>
  <c r="BE22" i="32"/>
  <c r="AX22" i="32"/>
  <c r="AQ22" i="32"/>
  <c r="AJ22" i="32"/>
  <c r="AC22" i="32"/>
  <c r="V22" i="32"/>
  <c r="O22" i="32"/>
  <c r="H22" i="32"/>
  <c r="BS21" i="32"/>
  <c r="CD21" i="32" s="1"/>
  <c r="BL21" i="32"/>
  <c r="BE21" i="32"/>
  <c r="AX21" i="32"/>
  <c r="AQ21" i="32"/>
  <c r="AJ21" i="32"/>
  <c r="AC21" i="32"/>
  <c r="V21" i="32"/>
  <c r="O21" i="32"/>
  <c r="H21" i="32"/>
  <c r="BS20" i="32"/>
  <c r="BV20" i="32" s="1"/>
  <c r="BL20" i="32"/>
  <c r="BE20" i="32"/>
  <c r="AX20" i="32"/>
  <c r="AQ20" i="32"/>
  <c r="AJ20" i="32"/>
  <c r="AC20" i="32"/>
  <c r="V20" i="32"/>
  <c r="O20" i="32"/>
  <c r="H20" i="32"/>
  <c r="BS19" i="32"/>
  <c r="CD19" i="32" s="1"/>
  <c r="BL19" i="32"/>
  <c r="BE19" i="32"/>
  <c r="AX19" i="32"/>
  <c r="AQ19" i="32"/>
  <c r="AJ19" i="32"/>
  <c r="AC19" i="32"/>
  <c r="V19" i="32"/>
  <c r="O19" i="32"/>
  <c r="H19" i="32"/>
  <c r="BS18" i="32"/>
  <c r="BL18" i="32"/>
  <c r="BE18" i="32"/>
  <c r="AX18" i="32"/>
  <c r="AQ18" i="32"/>
  <c r="AJ18" i="32"/>
  <c r="AC18" i="32"/>
  <c r="V18" i="32"/>
  <c r="O18" i="32"/>
  <c r="H18" i="32"/>
  <c r="BS17" i="32"/>
  <c r="BL17" i="32"/>
  <c r="BE17" i="32"/>
  <c r="AX17" i="32"/>
  <c r="AS17" i="32"/>
  <c r="AQ17" i="32"/>
  <c r="AL17" i="32"/>
  <c r="AJ17" i="32"/>
  <c r="AC17" i="32"/>
  <c r="V17" i="32"/>
  <c r="O17" i="32"/>
  <c r="H17" i="32"/>
  <c r="H5" i="32"/>
  <c r="L4" i="32"/>
  <c r="E2" i="32"/>
  <c r="E1" i="32"/>
  <c r="AE20" i="32" s="1"/>
  <c r="BS23" i="31"/>
  <c r="BL23" i="31"/>
  <c r="BE23" i="31"/>
  <c r="AX23" i="31"/>
  <c r="AQ23" i="31"/>
  <c r="AJ23" i="31"/>
  <c r="AC23" i="31"/>
  <c r="V23" i="31"/>
  <c r="O23" i="31"/>
  <c r="H23" i="31"/>
  <c r="D23" i="31"/>
  <c r="BR22" i="31"/>
  <c r="BU22" i="31" s="1"/>
  <c r="BK22" i="31"/>
  <c r="BD22" i="31"/>
  <c r="AW22" i="31"/>
  <c r="AP22" i="31"/>
  <c r="AI22" i="31"/>
  <c r="AB22" i="31"/>
  <c r="U22" i="31"/>
  <c r="N22" i="31"/>
  <c r="G22" i="31"/>
  <c r="BR21" i="31"/>
  <c r="CC21" i="31" s="1"/>
  <c r="BK21" i="31"/>
  <c r="BD21" i="31"/>
  <c r="AW21" i="31"/>
  <c r="AP21" i="31"/>
  <c r="AI21" i="31"/>
  <c r="AB21" i="31"/>
  <c r="U21" i="31"/>
  <c r="N21" i="31"/>
  <c r="G21" i="31"/>
  <c r="BR20" i="31"/>
  <c r="BU20" i="31" s="1"/>
  <c r="BK20" i="31"/>
  <c r="BD20" i="31"/>
  <c r="AW20" i="31"/>
  <c r="AP20" i="31"/>
  <c r="AI20" i="31"/>
  <c r="AB20" i="31"/>
  <c r="U20" i="31"/>
  <c r="N20" i="31"/>
  <c r="G20" i="31"/>
  <c r="BR19" i="31"/>
  <c r="CC19" i="31" s="1"/>
  <c r="BK19" i="31"/>
  <c r="BD19" i="31"/>
  <c r="AW19" i="31"/>
  <c r="AP19" i="31"/>
  <c r="AI19" i="31"/>
  <c r="AB19" i="31"/>
  <c r="U19" i="31"/>
  <c r="N19" i="31"/>
  <c r="I19" i="31"/>
  <c r="G19" i="31"/>
  <c r="BT18" i="31"/>
  <c r="BR18" i="31"/>
  <c r="BU18" i="31" s="1"/>
  <c r="BK18" i="31"/>
  <c r="BD18" i="31"/>
  <c r="AW18" i="31"/>
  <c r="AR18" i="31"/>
  <c r="AP18" i="31"/>
  <c r="AI18" i="31"/>
  <c r="AB18" i="31"/>
  <c r="W18" i="31"/>
  <c r="U18" i="31"/>
  <c r="P18" i="31"/>
  <c r="N18" i="31"/>
  <c r="I18" i="31"/>
  <c r="G18" i="31"/>
  <c r="BR17" i="31"/>
  <c r="BK17" i="31"/>
  <c r="BF17" i="31"/>
  <c r="BD17" i="31"/>
  <c r="AY17" i="31"/>
  <c r="AW17" i="31"/>
  <c r="AR17" i="31"/>
  <c r="AP17" i="31"/>
  <c r="AK17" i="31"/>
  <c r="AI17" i="31"/>
  <c r="AD17" i="31"/>
  <c r="AB17" i="31"/>
  <c r="U17" i="31"/>
  <c r="P17" i="31"/>
  <c r="N17" i="31"/>
  <c r="I17" i="31"/>
  <c r="G17" i="31"/>
  <c r="G5" i="31"/>
  <c r="K4" i="31"/>
  <c r="D2" i="31"/>
  <c r="D1" i="31"/>
  <c r="AD20" i="31" s="1"/>
  <c r="AP19" i="30"/>
  <c r="AP20" i="30"/>
  <c r="AP21" i="30"/>
  <c r="AP22" i="30"/>
  <c r="AP23" i="30"/>
  <c r="AP24" i="30"/>
  <c r="AB19" i="30"/>
  <c r="AB20" i="30"/>
  <c r="AB21" i="30"/>
  <c r="AB22" i="30"/>
  <c r="AB23" i="30"/>
  <c r="AB24" i="30"/>
  <c r="AI19" i="30"/>
  <c r="AI20" i="30"/>
  <c r="AI21" i="30"/>
  <c r="AI22" i="30"/>
  <c r="AI23" i="30"/>
  <c r="AI24" i="30"/>
  <c r="AQ25" i="30"/>
  <c r="AJ25" i="30"/>
  <c r="AC25" i="30"/>
  <c r="BR19" i="30"/>
  <c r="BU19" i="30" s="1"/>
  <c r="BR20" i="30"/>
  <c r="BU20" i="30" s="1"/>
  <c r="BR21" i="30"/>
  <c r="CC21" i="30" s="1"/>
  <c r="BR22" i="30"/>
  <c r="BU22" i="30" s="1"/>
  <c r="BR23" i="30"/>
  <c r="BU23" i="30" s="1"/>
  <c r="BR24" i="30"/>
  <c r="BU24" i="30" s="1"/>
  <c r="BS25" i="30"/>
  <c r="BL25" i="30"/>
  <c r="BE25" i="30"/>
  <c r="AX25" i="30"/>
  <c r="V25" i="30"/>
  <c r="O25" i="30"/>
  <c r="H25" i="30"/>
  <c r="D25" i="30"/>
  <c r="BK24" i="30"/>
  <c r="BD24" i="30"/>
  <c r="AW24" i="30"/>
  <c r="U24" i="30"/>
  <c r="N24" i="30"/>
  <c r="G24" i="30"/>
  <c r="BK23" i="30"/>
  <c r="BD23" i="30"/>
  <c r="AW23" i="30"/>
  <c r="U23" i="30"/>
  <c r="N23" i="30"/>
  <c r="G23" i="30"/>
  <c r="BK22" i="30"/>
  <c r="BD22" i="30"/>
  <c r="AW22" i="30"/>
  <c r="U22" i="30"/>
  <c r="N22" i="30"/>
  <c r="G22" i="30"/>
  <c r="BK21" i="30"/>
  <c r="BD21" i="30"/>
  <c r="AW21" i="30"/>
  <c r="U21" i="30"/>
  <c r="N21" i="30"/>
  <c r="G21" i="30"/>
  <c r="BK20" i="30"/>
  <c r="BD20" i="30"/>
  <c r="AW20" i="30"/>
  <c r="U20" i="30"/>
  <c r="N20" i="30"/>
  <c r="G20" i="30"/>
  <c r="BK19" i="30"/>
  <c r="BD19" i="30"/>
  <c r="AW19" i="30"/>
  <c r="U19" i="30"/>
  <c r="N19" i="30"/>
  <c r="G19" i="30"/>
  <c r="D2" i="30"/>
  <c r="D1" i="30"/>
  <c r="AY24" i="30" s="1"/>
  <c r="J5" i="2"/>
  <c r="J4" i="2"/>
  <c r="J3" i="2"/>
  <c r="N4" i="29"/>
  <c r="AX23" i="29"/>
  <c r="AQ23" i="29"/>
  <c r="AJ23" i="29"/>
  <c r="AC23" i="29"/>
  <c r="V23" i="29"/>
  <c r="O23" i="29"/>
  <c r="H23" i="29"/>
  <c r="D23" i="29"/>
  <c r="AW22" i="29"/>
  <c r="AZ22" i="29" s="1"/>
  <c r="AP22" i="29"/>
  <c r="AI22" i="29"/>
  <c r="AB22" i="29"/>
  <c r="U22" i="29"/>
  <c r="N22" i="29"/>
  <c r="G22" i="29"/>
  <c r="AW21" i="29"/>
  <c r="BH21" i="29" s="1"/>
  <c r="AP21" i="29"/>
  <c r="AI21" i="29"/>
  <c r="AB21" i="29"/>
  <c r="U21" i="29"/>
  <c r="N21" i="29"/>
  <c r="G21" i="29"/>
  <c r="AW20" i="29"/>
  <c r="AP20" i="29"/>
  <c r="AI20" i="29"/>
  <c r="AB20" i="29"/>
  <c r="U20" i="29"/>
  <c r="N20" i="29"/>
  <c r="G20" i="29"/>
  <c r="AW19" i="29"/>
  <c r="BH19" i="29" s="1"/>
  <c r="AP19" i="29"/>
  <c r="AI19" i="29"/>
  <c r="AB19" i="29"/>
  <c r="U19" i="29"/>
  <c r="N19" i="29"/>
  <c r="G19" i="29"/>
  <c r="AW18" i="29"/>
  <c r="BH18" i="29" s="1"/>
  <c r="AP18" i="29"/>
  <c r="AI18" i="29"/>
  <c r="AB18" i="29"/>
  <c r="U18" i="29"/>
  <c r="N18" i="29"/>
  <c r="G18" i="29"/>
  <c r="AW17" i="29"/>
  <c r="AZ17" i="29" s="1"/>
  <c r="AP17" i="29"/>
  <c r="AI17" i="29"/>
  <c r="AB17" i="29"/>
  <c r="U17" i="29"/>
  <c r="N17" i="29"/>
  <c r="G17" i="29"/>
  <c r="G5" i="29"/>
  <c r="K4" i="29"/>
  <c r="D2" i="29"/>
  <c r="D1" i="29"/>
  <c r="AD22" i="29" s="1"/>
  <c r="G5" i="28"/>
  <c r="AV17" i="28"/>
  <c r="AZ17" i="28" s="1"/>
  <c r="AV18" i="28"/>
  <c r="AV19" i="28"/>
  <c r="AV20" i="28"/>
  <c r="AZ20" i="28" s="1"/>
  <c r="AV21" i="28"/>
  <c r="AV22" i="28"/>
  <c r="AX23" i="28"/>
  <c r="AQ23" i="28"/>
  <c r="AJ23" i="28"/>
  <c r="AC23" i="28"/>
  <c r="V23" i="28"/>
  <c r="O23" i="28"/>
  <c r="H23" i="28"/>
  <c r="D23" i="28"/>
  <c r="BH22" i="28"/>
  <c r="AP22" i="28"/>
  <c r="AI22" i="28"/>
  <c r="AB22" i="28"/>
  <c r="U22" i="28"/>
  <c r="N22" i="28"/>
  <c r="G22" i="28"/>
  <c r="BH21" i="28"/>
  <c r="AP21" i="28"/>
  <c r="AI21" i="28"/>
  <c r="AB21" i="28"/>
  <c r="U21" i="28"/>
  <c r="N21" i="28"/>
  <c r="G21" i="28"/>
  <c r="AP20" i="28"/>
  <c r="AI20" i="28"/>
  <c r="AB20" i="28"/>
  <c r="U20" i="28"/>
  <c r="N20" i="28"/>
  <c r="G20" i="28"/>
  <c r="BH19" i="28"/>
  <c r="AP19" i="28"/>
  <c r="AI19" i="28"/>
  <c r="AB19" i="28"/>
  <c r="U19" i="28"/>
  <c r="N19" i="28"/>
  <c r="G19" i="28"/>
  <c r="BH18" i="28"/>
  <c r="AP18" i="28"/>
  <c r="AI18" i="28"/>
  <c r="AB18" i="28"/>
  <c r="U18" i="28"/>
  <c r="N18" i="28"/>
  <c r="G18" i="28"/>
  <c r="AP17" i="28"/>
  <c r="AI17" i="28"/>
  <c r="AB17" i="28"/>
  <c r="U17" i="28"/>
  <c r="N17" i="28"/>
  <c r="G17" i="28"/>
  <c r="D2" i="28"/>
  <c r="D1" i="28"/>
  <c r="AD22" i="28" s="1"/>
  <c r="G5" i="27"/>
  <c r="K4" i="27"/>
  <c r="AW22" i="27"/>
  <c r="AW21" i="27"/>
  <c r="AW20" i="27"/>
  <c r="AW19" i="27"/>
  <c r="AW18" i="27"/>
  <c r="AW17" i="27"/>
  <c r="D1" i="27"/>
  <c r="AP25" i="30" l="1"/>
  <c r="BU19" i="33"/>
  <c r="BV19" i="33" s="1"/>
  <c r="BJ20" i="33"/>
  <c r="BN20" i="33" s="1"/>
  <c r="M20" i="33"/>
  <c r="Q20" i="33" s="1"/>
  <c r="R20" i="33" s="1"/>
  <c r="CC20" i="33"/>
  <c r="AM17" i="33"/>
  <c r="T18" i="33"/>
  <c r="X18" i="33" s="1"/>
  <c r="T21" i="33"/>
  <c r="X21" i="33" s="1"/>
  <c r="AV17" i="33"/>
  <c r="AZ17" i="33" s="1"/>
  <c r="AO19" i="33"/>
  <c r="AS19" i="33" s="1"/>
  <c r="AT19" i="33" s="1"/>
  <c r="AO22" i="33"/>
  <c r="AS22" i="33" s="1"/>
  <c r="CB22" i="33"/>
  <c r="CE22" i="33" s="1"/>
  <c r="CD22" i="33" s="1"/>
  <c r="BC18" i="33"/>
  <c r="BG18" i="33" s="1"/>
  <c r="BH18" i="33" s="1"/>
  <c r="BC17" i="33"/>
  <c r="BG17" i="33" s="1"/>
  <c r="BJ21" i="33"/>
  <c r="BN21" i="33" s="1"/>
  <c r="AO21" i="33"/>
  <c r="AS21" i="33" s="1"/>
  <c r="AV22" i="33"/>
  <c r="AZ22" i="33" s="1"/>
  <c r="F20" i="33"/>
  <c r="J20" i="33" s="1"/>
  <c r="K20" i="33" s="1"/>
  <c r="BJ18" i="33"/>
  <c r="BN18" i="33" s="1"/>
  <c r="BO18" i="33" s="1"/>
  <c r="BC20" i="33"/>
  <c r="BG20" i="33" s="1"/>
  <c r="BH20" i="33" s="1"/>
  <c r="R18" i="33"/>
  <c r="Y19" i="33"/>
  <c r="BZ20" i="33"/>
  <c r="BA20" i="33"/>
  <c r="Y21" i="33"/>
  <c r="AH18" i="33"/>
  <c r="AL18" i="33" s="1"/>
  <c r="AM18" i="33" s="1"/>
  <c r="CB18" i="33"/>
  <c r="CE18" i="33" s="1"/>
  <c r="CD18" i="33" s="1"/>
  <c r="F22" i="33"/>
  <c r="J22" i="33" s="1"/>
  <c r="AY22" i="33"/>
  <c r="BM21" i="33"/>
  <c r="BO21" i="33" s="1"/>
  <c r="AD22" i="33"/>
  <c r="AF22" i="33" s="1"/>
  <c r="AH20" i="33"/>
  <c r="AL20" i="33" s="1"/>
  <c r="AM20" i="33" s="1"/>
  <c r="CB20" i="33"/>
  <c r="CE20" i="33" s="1"/>
  <c r="CD20" i="33" s="1"/>
  <c r="AR21" i="33"/>
  <c r="AT21" i="33" s="1"/>
  <c r="I22" i="33"/>
  <c r="K22" i="33" s="1"/>
  <c r="BK23" i="33"/>
  <c r="AV19" i="33"/>
  <c r="AZ19" i="33" s="1"/>
  <c r="BC22" i="33"/>
  <c r="BG22" i="33" s="1"/>
  <c r="BZ22" i="33" s="1"/>
  <c r="BU17" i="33"/>
  <c r="U23" i="33"/>
  <c r="BA17" i="33"/>
  <c r="AO18" i="33"/>
  <c r="AS18" i="33" s="1"/>
  <c r="AT18" i="33" s="1"/>
  <c r="F19" i="33"/>
  <c r="J19" i="33" s="1"/>
  <c r="K19" i="33" s="1"/>
  <c r="AV21" i="33"/>
  <c r="AZ21" i="33" s="1"/>
  <c r="M22" i="33"/>
  <c r="Q22" i="33" s="1"/>
  <c r="BF22" i="33"/>
  <c r="AF17" i="33"/>
  <c r="BU21" i="33"/>
  <c r="BV21" i="33" s="1"/>
  <c r="AY21" i="33"/>
  <c r="P22" i="33"/>
  <c r="R22" i="33" s="1"/>
  <c r="BR23" i="33"/>
  <c r="AH22" i="33"/>
  <c r="AL22" i="33" s="1"/>
  <c r="AM22" i="33" s="1"/>
  <c r="M17" i="33"/>
  <c r="Q17" i="33" s="1"/>
  <c r="BF17" i="33"/>
  <c r="W18" i="33"/>
  <c r="Y18" i="33" s="1"/>
  <c r="BC19" i="33"/>
  <c r="BG19" i="33" s="1"/>
  <c r="T20" i="33"/>
  <c r="X20" i="33" s="1"/>
  <c r="BM20" i="33"/>
  <c r="BO20" i="33" s="1"/>
  <c r="AD21" i="33"/>
  <c r="BJ22" i="33"/>
  <c r="BN22" i="33" s="1"/>
  <c r="AW23" i="33"/>
  <c r="AB23" i="33"/>
  <c r="AH19" i="33"/>
  <c r="AL19" i="33" s="1"/>
  <c r="CB19" i="33"/>
  <c r="CE19" i="33" s="1"/>
  <c r="AR20" i="33"/>
  <c r="I21" i="33"/>
  <c r="K21" i="33" s="1"/>
  <c r="P17" i="33"/>
  <c r="AV18" i="33"/>
  <c r="AZ18" i="33" s="1"/>
  <c r="BZ18" i="33" s="1"/>
  <c r="BT18" i="33"/>
  <c r="BV18" i="33" s="1"/>
  <c r="M19" i="33"/>
  <c r="Q19" i="33" s="1"/>
  <c r="BF19" i="33"/>
  <c r="CC19" i="33"/>
  <c r="W20" i="33"/>
  <c r="Y20" i="33" s="1"/>
  <c r="BC21" i="33"/>
  <c r="BG21" i="33" s="1"/>
  <c r="T22" i="33"/>
  <c r="X22" i="33" s="1"/>
  <c r="BM22" i="33"/>
  <c r="BO22" i="33" s="1"/>
  <c r="G23" i="33"/>
  <c r="AA21" i="33"/>
  <c r="AE21" i="33" s="1"/>
  <c r="K17" i="33"/>
  <c r="CB17" i="33"/>
  <c r="AO20" i="33"/>
  <c r="AS20" i="33" s="1"/>
  <c r="BJ17" i="33"/>
  <c r="BN17" i="33" s="1"/>
  <c r="AA18" i="33"/>
  <c r="AE18" i="33" s="1"/>
  <c r="AK19" i="33"/>
  <c r="AM19" i="33" s="1"/>
  <c r="AH21" i="33"/>
  <c r="AL21" i="33" s="1"/>
  <c r="CB21" i="33"/>
  <c r="CE21" i="33" s="1"/>
  <c r="CD21" i="33" s="1"/>
  <c r="AR22" i="33"/>
  <c r="AT22" i="33" s="1"/>
  <c r="M21" i="33"/>
  <c r="Q21" i="33" s="1"/>
  <c r="R21" i="33" s="1"/>
  <c r="BF21" i="33"/>
  <c r="BH21" i="33" s="1"/>
  <c r="W22" i="33"/>
  <c r="AA19" i="33"/>
  <c r="AE19" i="33" s="1"/>
  <c r="AF19" i="33" s="1"/>
  <c r="AO17" i="33"/>
  <c r="AS17" i="33" s="1"/>
  <c r="F18" i="33"/>
  <c r="J18" i="33" s="1"/>
  <c r="K18" i="33" s="1"/>
  <c r="AY18" i="33"/>
  <c r="P19" i="33"/>
  <c r="BT20" i="33"/>
  <c r="BV20" i="33" s="1"/>
  <c r="T17" i="33"/>
  <c r="X17" i="33" s="1"/>
  <c r="BM17" i="33"/>
  <c r="AD18" i="33"/>
  <c r="AF18" i="33" s="1"/>
  <c r="BJ19" i="33"/>
  <c r="BN19" i="33" s="1"/>
  <c r="AA20" i="33"/>
  <c r="AE20" i="33" s="1"/>
  <c r="AF20" i="33" s="1"/>
  <c r="AK21" i="33"/>
  <c r="AM21" i="33" s="1"/>
  <c r="BD23" i="33"/>
  <c r="BT22" i="33"/>
  <c r="BV22" i="33" s="1"/>
  <c r="W17" i="33"/>
  <c r="BM19" i="33"/>
  <c r="BS23" i="32"/>
  <c r="AB21" i="32"/>
  <c r="AF21" i="32" s="1"/>
  <c r="BD17" i="32"/>
  <c r="BH17" i="32" s="1"/>
  <c r="BV18" i="32"/>
  <c r="BK18" i="32"/>
  <c r="BO18" i="32" s="1"/>
  <c r="N17" i="32"/>
  <c r="R17" i="32" s="1"/>
  <c r="S17" i="32" s="1"/>
  <c r="BK17" i="32"/>
  <c r="BO17" i="32" s="1"/>
  <c r="BK20" i="32"/>
  <c r="BO20" i="32" s="1"/>
  <c r="AJ23" i="32"/>
  <c r="U19" i="32"/>
  <c r="Y19" i="32" s="1"/>
  <c r="AB22" i="32"/>
  <c r="AF22" i="32" s="1"/>
  <c r="AW18" i="32"/>
  <c r="BA18" i="32" s="1"/>
  <c r="AP17" i="32"/>
  <c r="AT17" i="32" s="1"/>
  <c r="AU17" i="32" s="1"/>
  <c r="AS18" i="32"/>
  <c r="AW17" i="32"/>
  <c r="BA17" i="32" s="1"/>
  <c r="BD18" i="32"/>
  <c r="BH18" i="32" s="1"/>
  <c r="BG17" i="32"/>
  <c r="BN18" i="32"/>
  <c r="BU18" i="32"/>
  <c r="J17" i="32"/>
  <c r="J18" i="32"/>
  <c r="J19" i="32"/>
  <c r="Q17" i="32"/>
  <c r="X18" i="32"/>
  <c r="AE17" i="32"/>
  <c r="AE19" i="32"/>
  <c r="CD17" i="32"/>
  <c r="CC18" i="32"/>
  <c r="CF18" i="32" s="1"/>
  <c r="AI17" i="32"/>
  <c r="AM17" i="32" s="1"/>
  <c r="AN17" i="32" s="1"/>
  <c r="BV22" i="32"/>
  <c r="U18" i="32"/>
  <c r="Y18" i="32" s="1"/>
  <c r="Z18" i="32" s="1"/>
  <c r="AP20" i="32"/>
  <c r="AT20" i="32" s="1"/>
  <c r="CC20" i="31"/>
  <c r="AW22" i="32"/>
  <c r="BA22" i="32" s="1"/>
  <c r="AP18" i="32"/>
  <c r="AT18" i="32" s="1"/>
  <c r="CB21" i="31"/>
  <c r="CE21" i="31" s="1"/>
  <c r="CD21" i="31" s="1"/>
  <c r="CC21" i="32"/>
  <c r="CF21" i="32" s="1"/>
  <c r="CE21" i="32" s="1"/>
  <c r="G20" i="32"/>
  <c r="K20" i="32" s="1"/>
  <c r="AO23" i="30"/>
  <c r="AS23" i="30" s="1"/>
  <c r="CC19" i="32"/>
  <c r="CF19" i="32" s="1"/>
  <c r="CE19" i="32" s="1"/>
  <c r="CD20" i="32"/>
  <c r="O23" i="32"/>
  <c r="BK21" i="32"/>
  <c r="BO21" i="32" s="1"/>
  <c r="BP18" i="32"/>
  <c r="AS19" i="32"/>
  <c r="J20" i="32"/>
  <c r="AP21" i="32"/>
  <c r="AT21" i="32" s="1"/>
  <c r="G22" i="32"/>
  <c r="K22" i="32" s="1"/>
  <c r="AZ22" i="32"/>
  <c r="BU17" i="32"/>
  <c r="N18" i="32"/>
  <c r="R18" i="32" s="1"/>
  <c r="BG18" i="32"/>
  <c r="CD18" i="32"/>
  <c r="X19" i="32"/>
  <c r="BD20" i="32"/>
  <c r="BH20" i="32" s="1"/>
  <c r="U21" i="32"/>
  <c r="Y21" i="32" s="1"/>
  <c r="BN21" i="32"/>
  <c r="AE22" i="32"/>
  <c r="AP19" i="32"/>
  <c r="AT19" i="32" s="1"/>
  <c r="AB17" i="32"/>
  <c r="AF17" i="32" s="1"/>
  <c r="BV17" i="32"/>
  <c r="AL18" i="32"/>
  <c r="AI20" i="32"/>
  <c r="AM20" i="32" s="1"/>
  <c r="CC20" i="32"/>
  <c r="CF20" i="32" s="1"/>
  <c r="CE20" i="32" s="1"/>
  <c r="AS21" i="32"/>
  <c r="J22" i="32"/>
  <c r="BL23" i="32"/>
  <c r="BD19" i="32"/>
  <c r="BH19" i="32" s="1"/>
  <c r="U20" i="32"/>
  <c r="Y20" i="32" s="1"/>
  <c r="AI19" i="32"/>
  <c r="AM19" i="32" s="1"/>
  <c r="U17" i="32"/>
  <c r="Y17" i="32" s="1"/>
  <c r="AI18" i="32"/>
  <c r="AM18" i="32" s="1"/>
  <c r="G17" i="32"/>
  <c r="K17" i="32" s="1"/>
  <c r="AZ17" i="32"/>
  <c r="Q18" i="32"/>
  <c r="AW19" i="32"/>
  <c r="BA19" i="32" s="1"/>
  <c r="BU19" i="32"/>
  <c r="N20" i="32"/>
  <c r="R20" i="32" s="1"/>
  <c r="BG20" i="32"/>
  <c r="X21" i="32"/>
  <c r="BD22" i="32"/>
  <c r="BH22" i="32" s="1"/>
  <c r="AQ23" i="32"/>
  <c r="AB19" i="32"/>
  <c r="AF19" i="32" s="1"/>
  <c r="BV19" i="32"/>
  <c r="AL20" i="32"/>
  <c r="AI22" i="32"/>
  <c r="AM22" i="32" s="1"/>
  <c r="CC22" i="32"/>
  <c r="CF22" i="32" s="1"/>
  <c r="CE22" i="32" s="1"/>
  <c r="V23" i="32"/>
  <c r="G19" i="32"/>
  <c r="K19" i="32" s="1"/>
  <c r="L19" i="32" s="1"/>
  <c r="AZ19" i="32"/>
  <c r="Q20" i="32"/>
  <c r="AW21" i="32"/>
  <c r="BA21" i="32" s="1"/>
  <c r="BU21" i="32"/>
  <c r="N22" i="32"/>
  <c r="R22" i="32" s="1"/>
  <c r="BG22" i="32"/>
  <c r="BV21" i="32"/>
  <c r="AL22" i="32"/>
  <c r="G21" i="32"/>
  <c r="K21" i="32" s="1"/>
  <c r="AZ21" i="32"/>
  <c r="Q22" i="32"/>
  <c r="BN20" i="32"/>
  <c r="BP20" i="32" s="1"/>
  <c r="AE21" i="32"/>
  <c r="AG21" i="32" s="1"/>
  <c r="BK22" i="32"/>
  <c r="BO22" i="32" s="1"/>
  <c r="AX23" i="32"/>
  <c r="AS20" i="32"/>
  <c r="J21" i="32"/>
  <c r="AP22" i="32"/>
  <c r="AT22" i="32" s="1"/>
  <c r="AC23" i="32"/>
  <c r="CC17" i="32"/>
  <c r="BG19" i="32"/>
  <c r="X20" i="32"/>
  <c r="BD21" i="32"/>
  <c r="BH21" i="32" s="1"/>
  <c r="U22" i="32"/>
  <c r="Y22" i="32" s="1"/>
  <c r="BN22" i="32"/>
  <c r="H23" i="32"/>
  <c r="AB18" i="32"/>
  <c r="AF18" i="32" s="1"/>
  <c r="AL19" i="32"/>
  <c r="AI21" i="32"/>
  <c r="AM21" i="32" s="1"/>
  <c r="AS22" i="32"/>
  <c r="N19" i="32"/>
  <c r="R19" i="32" s="1"/>
  <c r="G18" i="32"/>
  <c r="K18" i="32" s="1"/>
  <c r="L18" i="32" s="1"/>
  <c r="AZ18" i="32"/>
  <c r="Q19" i="32"/>
  <c r="AW20" i="32"/>
  <c r="BA20" i="32" s="1"/>
  <c r="BU20" i="32"/>
  <c r="BW20" i="32" s="1"/>
  <c r="N21" i="32"/>
  <c r="R21" i="32" s="1"/>
  <c r="BG21" i="32"/>
  <c r="X22" i="32"/>
  <c r="BN17" i="32"/>
  <c r="AE18" i="32"/>
  <c r="BK19" i="32"/>
  <c r="BO19" i="32" s="1"/>
  <c r="AB20" i="32"/>
  <c r="AF20" i="32" s="1"/>
  <c r="AG20" i="32" s="1"/>
  <c r="AL21" i="32"/>
  <c r="BE23" i="32"/>
  <c r="AZ20" i="32"/>
  <c r="Q21" i="32"/>
  <c r="BU22" i="32"/>
  <c r="X17" i="32"/>
  <c r="BN19" i="32"/>
  <c r="BJ21" i="31"/>
  <c r="BN21" i="31" s="1"/>
  <c r="F17" i="31"/>
  <c r="J17" i="31" s="1"/>
  <c r="K17" i="31" s="1"/>
  <c r="T19" i="31"/>
  <c r="X19" i="31" s="1"/>
  <c r="AO20" i="31"/>
  <c r="AS20" i="31" s="1"/>
  <c r="BC18" i="31"/>
  <c r="BG18" i="31" s="1"/>
  <c r="F20" i="31"/>
  <c r="J20" i="31" s="1"/>
  <c r="AA22" i="31"/>
  <c r="AE22" i="31" s="1"/>
  <c r="CB18" i="31"/>
  <c r="CE18" i="31" s="1"/>
  <c r="BR23" i="31"/>
  <c r="N23" i="31"/>
  <c r="AH17" i="31"/>
  <c r="AL17" i="31" s="1"/>
  <c r="AM17" i="31" s="1"/>
  <c r="AV17" i="31"/>
  <c r="AZ17" i="31" s="1"/>
  <c r="BA17" i="31" s="1"/>
  <c r="AV19" i="31"/>
  <c r="AZ19" i="31" s="1"/>
  <c r="AV18" i="31"/>
  <c r="AZ18" i="31" s="1"/>
  <c r="CB19" i="31"/>
  <c r="CE19" i="31" s="1"/>
  <c r="CD19" i="31" s="1"/>
  <c r="BJ17" i="31"/>
  <c r="BN17" i="31" s="1"/>
  <c r="BJ18" i="31"/>
  <c r="BN18" i="31" s="1"/>
  <c r="CB17" i="31"/>
  <c r="CC17" i="31"/>
  <c r="AO19" i="30"/>
  <c r="AS19" i="30" s="1"/>
  <c r="AI23" i="31"/>
  <c r="AO17" i="31"/>
  <c r="AS17" i="31" s="1"/>
  <c r="AT17" i="31" s="1"/>
  <c r="AV22" i="31"/>
  <c r="AZ22" i="31" s="1"/>
  <c r="BV18" i="31"/>
  <c r="AR19" i="31"/>
  <c r="I20" i="31"/>
  <c r="AO21" i="31"/>
  <c r="AS21" i="31" s="1"/>
  <c r="F22" i="31"/>
  <c r="J22" i="31" s="1"/>
  <c r="AY22" i="31"/>
  <c r="BT17" i="31"/>
  <c r="M18" i="31"/>
  <c r="Q18" i="31" s="1"/>
  <c r="R18" i="31" s="1"/>
  <c r="BF18" i="31"/>
  <c r="CC18" i="31"/>
  <c r="CD18" i="31" s="1"/>
  <c r="W19" i="31"/>
  <c r="Y19" i="31" s="1"/>
  <c r="BC20" i="31"/>
  <c r="BG20" i="31" s="1"/>
  <c r="T21" i="31"/>
  <c r="X21" i="31" s="1"/>
  <c r="BM21" i="31"/>
  <c r="AD22" i="31"/>
  <c r="AO19" i="31"/>
  <c r="AS19" i="31" s="1"/>
  <c r="AH18" i="31"/>
  <c r="AL18" i="31" s="1"/>
  <c r="AA17" i="31"/>
  <c r="AE17" i="31" s="1"/>
  <c r="AF17" i="31" s="1"/>
  <c r="BU17" i="31"/>
  <c r="AK18" i="31"/>
  <c r="AH20" i="31"/>
  <c r="AL20" i="31" s="1"/>
  <c r="CB20" i="31"/>
  <c r="CE20" i="31" s="1"/>
  <c r="CD20" i="31" s="1"/>
  <c r="AR21" i="31"/>
  <c r="I22" i="31"/>
  <c r="BK23" i="31"/>
  <c r="BT19" i="31"/>
  <c r="M20" i="31"/>
  <c r="Q20" i="31" s="1"/>
  <c r="BF20" i="31"/>
  <c r="W21" i="31"/>
  <c r="BC22" i="31"/>
  <c r="BG22" i="31" s="1"/>
  <c r="AP23" i="31"/>
  <c r="AA19" i="31"/>
  <c r="AE19" i="31" s="1"/>
  <c r="BU19" i="31"/>
  <c r="AK20" i="31"/>
  <c r="AH22" i="31"/>
  <c r="AL22" i="31" s="1"/>
  <c r="CB22" i="31"/>
  <c r="CE22" i="31" s="1"/>
  <c r="U23" i="31"/>
  <c r="AY19" i="31"/>
  <c r="P20" i="31"/>
  <c r="AV21" i="31"/>
  <c r="AZ21" i="31" s="1"/>
  <c r="BT21" i="31"/>
  <c r="M22" i="31"/>
  <c r="Q22" i="31" s="1"/>
  <c r="BF22" i="31"/>
  <c r="CC22" i="31"/>
  <c r="AO18" i="31"/>
  <c r="AS18" i="31" s="1"/>
  <c r="AT18" i="31" s="1"/>
  <c r="F19" i="31"/>
  <c r="J19" i="31" s="1"/>
  <c r="K19" i="31" s="1"/>
  <c r="BC17" i="31"/>
  <c r="BG17" i="31" s="1"/>
  <c r="T18" i="31"/>
  <c r="X18" i="31" s="1"/>
  <c r="Y18" i="31" s="1"/>
  <c r="BM18" i="31"/>
  <c r="AD19" i="31"/>
  <c r="BJ20" i="31"/>
  <c r="BN20" i="31" s="1"/>
  <c r="AA21" i="31"/>
  <c r="AE21" i="31" s="1"/>
  <c r="BU21" i="31"/>
  <c r="AK22" i="31"/>
  <c r="F21" i="31"/>
  <c r="J21" i="31" s="1"/>
  <c r="AY21" i="31"/>
  <c r="P22" i="31"/>
  <c r="M17" i="31"/>
  <c r="Q17" i="31" s="1"/>
  <c r="BC19" i="31"/>
  <c r="BG19" i="31" s="1"/>
  <c r="T20" i="31"/>
  <c r="X20" i="31" s="1"/>
  <c r="BM20" i="31"/>
  <c r="AD21" i="31"/>
  <c r="BJ22" i="31"/>
  <c r="BN22" i="31" s="1"/>
  <c r="AW23" i="31"/>
  <c r="AH19" i="31"/>
  <c r="AL19" i="31" s="1"/>
  <c r="AR20" i="31"/>
  <c r="I21" i="31"/>
  <c r="AO22" i="31"/>
  <c r="AS22" i="31" s="1"/>
  <c r="AB23" i="31"/>
  <c r="BF19" i="31"/>
  <c r="W20" i="31"/>
  <c r="BC21" i="31"/>
  <c r="BG21" i="31" s="1"/>
  <c r="T22" i="31"/>
  <c r="X22" i="31" s="1"/>
  <c r="BM22" i="31"/>
  <c r="G23" i="31"/>
  <c r="AA18" i="31"/>
  <c r="AE18" i="31" s="1"/>
  <c r="AK19" i="31"/>
  <c r="AH21" i="31"/>
  <c r="AL21" i="31" s="1"/>
  <c r="AR22" i="31"/>
  <c r="M19" i="31"/>
  <c r="Q19" i="31" s="1"/>
  <c r="F18" i="31"/>
  <c r="J18" i="31" s="1"/>
  <c r="AY18" i="31"/>
  <c r="P19" i="31"/>
  <c r="AV20" i="31"/>
  <c r="AZ20" i="31" s="1"/>
  <c r="BT20" i="31"/>
  <c r="BV20" i="31" s="1"/>
  <c r="M21" i="31"/>
  <c r="Q21" i="31" s="1"/>
  <c r="BF21" i="31"/>
  <c r="W22" i="31"/>
  <c r="CE17" i="31"/>
  <c r="T17" i="31"/>
  <c r="X17" i="31" s="1"/>
  <c r="BM17" i="31"/>
  <c r="AD18" i="31"/>
  <c r="BJ19" i="31"/>
  <c r="BN19" i="31" s="1"/>
  <c r="AA20" i="31"/>
  <c r="AE20" i="31" s="1"/>
  <c r="AF20" i="31" s="1"/>
  <c r="AK21" i="31"/>
  <c r="BD23" i="31"/>
  <c r="AY20" i="31"/>
  <c r="P21" i="31"/>
  <c r="BT22" i="31"/>
  <c r="BV22" i="31" s="1"/>
  <c r="W17" i="31"/>
  <c r="BM19" i="31"/>
  <c r="AR23" i="30"/>
  <c r="AO20" i="30"/>
  <c r="AS20" i="30" s="1"/>
  <c r="AR20" i="30"/>
  <c r="AO24" i="30"/>
  <c r="AS24" i="30" s="1"/>
  <c r="AO21" i="30"/>
  <c r="AS21" i="30" s="1"/>
  <c r="AR24" i="30"/>
  <c r="AR21" i="30"/>
  <c r="AO22" i="30"/>
  <c r="AS22" i="30" s="1"/>
  <c r="AR22" i="30"/>
  <c r="AR19" i="30"/>
  <c r="AI25" i="30"/>
  <c r="AA20" i="30"/>
  <c r="AE20" i="30" s="1"/>
  <c r="AH20" i="30"/>
  <c r="AL20" i="30" s="1"/>
  <c r="AH23" i="30"/>
  <c r="AL23" i="30" s="1"/>
  <c r="AH19" i="30"/>
  <c r="AL19" i="30" s="1"/>
  <c r="AA19" i="30"/>
  <c r="AE19" i="30" s="1"/>
  <c r="AK23" i="30"/>
  <c r="M22" i="30"/>
  <c r="Q22" i="30" s="1"/>
  <c r="AB25" i="30"/>
  <c r="AK20" i="30"/>
  <c r="AH24" i="30"/>
  <c r="AL24" i="30" s="1"/>
  <c r="AH21" i="30"/>
  <c r="AL21" i="30" s="1"/>
  <c r="AK24" i="30"/>
  <c r="AA23" i="30"/>
  <c r="AE23" i="30" s="1"/>
  <c r="AK21" i="30"/>
  <c r="AH22" i="30"/>
  <c r="AL22" i="30" s="1"/>
  <c r="AK22" i="30"/>
  <c r="AK19" i="30"/>
  <c r="AA21" i="30"/>
  <c r="AE21" i="30" s="1"/>
  <c r="AA22" i="30"/>
  <c r="AE22" i="30" s="1"/>
  <c r="AA24" i="30"/>
  <c r="AE24" i="30" s="1"/>
  <c r="AD23" i="30"/>
  <c r="AD20" i="30"/>
  <c r="AD24" i="30"/>
  <c r="AD21" i="30"/>
  <c r="AD22" i="30"/>
  <c r="AD19" i="30"/>
  <c r="CC20" i="30"/>
  <c r="CC23" i="30"/>
  <c r="BU21" i="30"/>
  <c r="BU25" i="30" s="1"/>
  <c r="BT23" i="30"/>
  <c r="CC24" i="30"/>
  <c r="BT22" i="30"/>
  <c r="BV22" i="30" s="1"/>
  <c r="BT21" i="30"/>
  <c r="BT20" i="30"/>
  <c r="BR25" i="30"/>
  <c r="BT19" i="30"/>
  <c r="BT24" i="30"/>
  <c r="CB22" i="30"/>
  <c r="CE22" i="30" s="1"/>
  <c r="AV21" i="30"/>
  <c r="AZ21" i="30" s="1"/>
  <c r="BJ20" i="30"/>
  <c r="BN20" i="30" s="1"/>
  <c r="AV20" i="30"/>
  <c r="AZ20" i="30" s="1"/>
  <c r="BD25" i="30"/>
  <c r="BJ19" i="30"/>
  <c r="BN19" i="30" s="1"/>
  <c r="AV19" i="30"/>
  <c r="AZ19" i="30" s="1"/>
  <c r="BJ23" i="30"/>
  <c r="BN23" i="30" s="1"/>
  <c r="BJ22" i="30"/>
  <c r="BN22" i="30" s="1"/>
  <c r="T23" i="30"/>
  <c r="X23" i="30" s="1"/>
  <c r="AV23" i="30"/>
  <c r="AZ23" i="30" s="1"/>
  <c r="CC19" i="30"/>
  <c r="AV24" i="30"/>
  <c r="AZ24" i="30" s="1"/>
  <c r="BA24" i="30" s="1"/>
  <c r="BC24" i="30"/>
  <c r="BG24" i="30" s="1"/>
  <c r="F24" i="30"/>
  <c r="J24" i="30" s="1"/>
  <c r="BC21" i="30"/>
  <c r="BG21" i="30" s="1"/>
  <c r="T21" i="30"/>
  <c r="X21" i="30" s="1"/>
  <c r="BJ21" i="30"/>
  <c r="BN21" i="30" s="1"/>
  <c r="AW25" i="30"/>
  <c r="BC20" i="30"/>
  <c r="BG20" i="30" s="1"/>
  <c r="BC23" i="30"/>
  <c r="BG23" i="30" s="1"/>
  <c r="BC19" i="30"/>
  <c r="BG19" i="30" s="1"/>
  <c r="AV22" i="30"/>
  <c r="AZ22" i="30" s="1"/>
  <c r="BJ24" i="30"/>
  <c r="BN24" i="30" s="1"/>
  <c r="BC22" i="30"/>
  <c r="BG22" i="30" s="1"/>
  <c r="T20" i="30"/>
  <c r="X20" i="30" s="1"/>
  <c r="F21" i="30"/>
  <c r="J21" i="30" s="1"/>
  <c r="BF22" i="30"/>
  <c r="CC22" i="30"/>
  <c r="W23" i="30"/>
  <c r="I24" i="30"/>
  <c r="M19" i="30"/>
  <c r="Q19" i="30" s="1"/>
  <c r="CB19" i="30"/>
  <c r="BM20" i="30"/>
  <c r="AY21" i="30"/>
  <c r="P22" i="30"/>
  <c r="W20" i="30"/>
  <c r="I21" i="30"/>
  <c r="BK25" i="30"/>
  <c r="BF19" i="30"/>
  <c r="P19" i="30"/>
  <c r="M24" i="30"/>
  <c r="Q24" i="30" s="1"/>
  <c r="CB24" i="30"/>
  <c r="CE24" i="30" s="1"/>
  <c r="U25" i="30"/>
  <c r="T22" i="30"/>
  <c r="X22" i="30" s="1"/>
  <c r="F23" i="30"/>
  <c r="J23" i="30" s="1"/>
  <c r="BF24" i="30"/>
  <c r="M21" i="30"/>
  <c r="Q21" i="30" s="1"/>
  <c r="CB21" i="30"/>
  <c r="CE21" i="30" s="1"/>
  <c r="CD21" i="30" s="1"/>
  <c r="BM22" i="30"/>
  <c r="AY23" i="30"/>
  <c r="P24" i="30"/>
  <c r="I19" i="30"/>
  <c r="T19" i="30"/>
  <c r="X19" i="30" s="1"/>
  <c r="F20" i="30"/>
  <c r="J20" i="30" s="1"/>
  <c r="BF21" i="30"/>
  <c r="W22" i="30"/>
  <c r="I23" i="30"/>
  <c r="BM19" i="30"/>
  <c r="AY20" i="30"/>
  <c r="P21" i="30"/>
  <c r="T24" i="30"/>
  <c r="X24" i="30" s="1"/>
  <c r="AY19" i="30"/>
  <c r="M23" i="30"/>
  <c r="Q23" i="30" s="1"/>
  <c r="CB23" i="30"/>
  <c r="CE23" i="30" s="1"/>
  <c r="BM24" i="30"/>
  <c r="G25" i="30"/>
  <c r="F22" i="30"/>
  <c r="J22" i="30" s="1"/>
  <c r="BF23" i="30"/>
  <c r="W24" i="30"/>
  <c r="M20" i="30"/>
  <c r="Q20" i="30" s="1"/>
  <c r="CB20" i="30"/>
  <c r="CE20" i="30" s="1"/>
  <c r="BM21" i="30"/>
  <c r="AY22" i="30"/>
  <c r="P23" i="30"/>
  <c r="W19" i="30"/>
  <c r="I20" i="30"/>
  <c r="F19" i="30"/>
  <c r="J19" i="30" s="1"/>
  <c r="BF20" i="30"/>
  <c r="W21" i="30"/>
  <c r="I22" i="30"/>
  <c r="P20" i="30"/>
  <c r="N25" i="30"/>
  <c r="BM23" i="30"/>
  <c r="AZ20" i="29"/>
  <c r="AA19" i="29"/>
  <c r="AE19" i="29" s="1"/>
  <c r="AA22" i="29"/>
  <c r="AE22" i="29" s="1"/>
  <c r="AF22" i="29" s="1"/>
  <c r="AO17" i="29"/>
  <c r="AS17" i="29" s="1"/>
  <c r="AO20" i="29"/>
  <c r="AS20" i="29" s="1"/>
  <c r="AH17" i="29"/>
  <c r="AL17" i="29" s="1"/>
  <c r="AA18" i="29"/>
  <c r="AE18" i="29" s="1"/>
  <c r="AA17" i="29"/>
  <c r="AE17" i="29" s="1"/>
  <c r="AH21" i="29"/>
  <c r="AL21" i="29" s="1"/>
  <c r="BH17" i="29"/>
  <c r="F22" i="29"/>
  <c r="J22" i="29" s="1"/>
  <c r="AH22" i="29"/>
  <c r="AL22" i="29" s="1"/>
  <c r="M20" i="29"/>
  <c r="Q20" i="29" s="1"/>
  <c r="AH19" i="29"/>
  <c r="AL19" i="29" s="1"/>
  <c r="T21" i="29"/>
  <c r="X21" i="29" s="1"/>
  <c r="AO22" i="29"/>
  <c r="AS22" i="29" s="1"/>
  <c r="AB23" i="29"/>
  <c r="AH18" i="29"/>
  <c r="AL18" i="29" s="1"/>
  <c r="AO19" i="29"/>
  <c r="AS19" i="29" s="1"/>
  <c r="AA21" i="29"/>
  <c r="AE21" i="29" s="1"/>
  <c r="BG20" i="29"/>
  <c r="BJ20" i="29" s="1"/>
  <c r="AI23" i="29"/>
  <c r="AO18" i="29"/>
  <c r="AS18" i="29" s="1"/>
  <c r="AO21" i="29"/>
  <c r="AS21" i="29" s="1"/>
  <c r="AP23" i="29"/>
  <c r="AA20" i="29"/>
  <c r="AE20" i="29" s="1"/>
  <c r="AO17" i="28"/>
  <c r="AS17" i="28" s="1"/>
  <c r="AH20" i="29"/>
  <c r="AL20" i="29" s="1"/>
  <c r="P18" i="29"/>
  <c r="T18" i="29"/>
  <c r="X18" i="29" s="1"/>
  <c r="F19" i="29"/>
  <c r="J19" i="29" s="1"/>
  <c r="AZ19" i="29"/>
  <c r="AK20" i="29"/>
  <c r="BH20" i="29"/>
  <c r="W21" i="29"/>
  <c r="I22" i="29"/>
  <c r="M17" i="29"/>
  <c r="Q17" i="29" s="1"/>
  <c r="BG17" i="29"/>
  <c r="AR18" i="29"/>
  <c r="AD19" i="29"/>
  <c r="P20" i="29"/>
  <c r="W18" i="29"/>
  <c r="P17" i="29"/>
  <c r="AY21" i="29"/>
  <c r="M22" i="29"/>
  <c r="Q22" i="29" s="1"/>
  <c r="BG22" i="29"/>
  <c r="BJ22" i="29" s="1"/>
  <c r="U23" i="29"/>
  <c r="T20" i="29"/>
  <c r="X20" i="29" s="1"/>
  <c r="F21" i="29"/>
  <c r="J21" i="29" s="1"/>
  <c r="AZ21" i="29"/>
  <c r="AK22" i="29"/>
  <c r="BH22" i="29"/>
  <c r="I19" i="29"/>
  <c r="AY18" i="29"/>
  <c r="M19" i="29"/>
  <c r="Q19" i="29" s="1"/>
  <c r="BG19" i="29"/>
  <c r="BJ19" i="29" s="1"/>
  <c r="BI19" i="29" s="1"/>
  <c r="AR20" i="29"/>
  <c r="AD21" i="29"/>
  <c r="P22" i="29"/>
  <c r="T17" i="29"/>
  <c r="X17" i="29" s="1"/>
  <c r="F18" i="29"/>
  <c r="J18" i="29" s="1"/>
  <c r="AZ18" i="29"/>
  <c r="AK19" i="29"/>
  <c r="W20" i="29"/>
  <c r="I21" i="29"/>
  <c r="AR17" i="29"/>
  <c r="AW23" i="29"/>
  <c r="T22" i="29"/>
  <c r="X22" i="29" s="1"/>
  <c r="AK17" i="29"/>
  <c r="AD18" i="29"/>
  <c r="AY20" i="29"/>
  <c r="BA20" i="29" s="1"/>
  <c r="M21" i="29"/>
  <c r="Q21" i="29" s="1"/>
  <c r="BG21" i="29"/>
  <c r="BJ21" i="29" s="1"/>
  <c r="BI21" i="29" s="1"/>
  <c r="AR22" i="29"/>
  <c r="G23" i="29"/>
  <c r="I18" i="29"/>
  <c r="T19" i="29"/>
  <c r="X19" i="29" s="1"/>
  <c r="F20" i="29"/>
  <c r="J20" i="29" s="1"/>
  <c r="AK21" i="29"/>
  <c r="W22" i="29"/>
  <c r="AY17" i="29"/>
  <c r="M18" i="29"/>
  <c r="Q18" i="29" s="1"/>
  <c r="BG18" i="29"/>
  <c r="BJ18" i="29" s="1"/>
  <c r="BI18" i="29" s="1"/>
  <c r="AR19" i="29"/>
  <c r="AD20" i="29"/>
  <c r="P21" i="29"/>
  <c r="P19" i="29"/>
  <c r="W17" i="29"/>
  <c r="F17" i="29"/>
  <c r="J17" i="29" s="1"/>
  <c r="AK18" i="29"/>
  <c r="W19" i="29"/>
  <c r="I20" i="29"/>
  <c r="AY22" i="29"/>
  <c r="BA22" i="29" s="1"/>
  <c r="N23" i="29"/>
  <c r="AD17" i="29"/>
  <c r="I17" i="29"/>
  <c r="AY19" i="29"/>
  <c r="AR21" i="29"/>
  <c r="AA21" i="28"/>
  <c r="AE21" i="28" s="1"/>
  <c r="F22" i="28"/>
  <c r="J22" i="28" s="1"/>
  <c r="AH17" i="28"/>
  <c r="AL17" i="28" s="1"/>
  <c r="T21" i="28"/>
  <c r="X21" i="28" s="1"/>
  <c r="AH20" i="28"/>
  <c r="AL20" i="28" s="1"/>
  <c r="AO19" i="28"/>
  <c r="AS19" i="28" s="1"/>
  <c r="AA17" i="28"/>
  <c r="AE17" i="28" s="1"/>
  <c r="BG20" i="28"/>
  <c r="BJ20" i="28" s="1"/>
  <c r="AH22" i="28"/>
  <c r="AL22" i="28" s="1"/>
  <c r="M20" i="28"/>
  <c r="Q20" i="28" s="1"/>
  <c r="AO22" i="28"/>
  <c r="AS22" i="28" s="1"/>
  <c r="AB23" i="28"/>
  <c r="AZ22" i="28"/>
  <c r="AH19" i="28"/>
  <c r="AL19" i="28" s="1"/>
  <c r="AH21" i="28"/>
  <c r="AL21" i="28" s="1"/>
  <c r="AA18" i="28"/>
  <c r="AE18" i="28" s="1"/>
  <c r="AO18" i="28"/>
  <c r="AS18" i="28" s="1"/>
  <c r="AI23" i="28"/>
  <c r="AO21" i="28"/>
  <c r="AS21" i="28" s="1"/>
  <c r="AH18" i="28"/>
  <c r="AL18" i="28" s="1"/>
  <c r="AA20" i="28"/>
  <c r="AE20" i="28" s="1"/>
  <c r="AP23" i="28"/>
  <c r="BH17" i="28"/>
  <c r="AA19" i="28"/>
  <c r="AE19" i="28" s="1"/>
  <c r="AO20" i="28"/>
  <c r="AS20" i="28" s="1"/>
  <c r="AA22" i="28"/>
  <c r="AE22" i="28" s="1"/>
  <c r="AF22" i="28" s="1"/>
  <c r="AD17" i="28"/>
  <c r="I17" i="28"/>
  <c r="F19" i="28"/>
  <c r="J19" i="28" s="1"/>
  <c r="AZ19" i="28"/>
  <c r="AK20" i="28"/>
  <c r="BH20" i="28"/>
  <c r="W21" i="28"/>
  <c r="I22" i="28"/>
  <c r="T18" i="28"/>
  <c r="X18" i="28" s="1"/>
  <c r="M17" i="28"/>
  <c r="Q17" i="28" s="1"/>
  <c r="BG17" i="28"/>
  <c r="AR18" i="28"/>
  <c r="AD19" i="28"/>
  <c r="P20" i="28"/>
  <c r="P17" i="28"/>
  <c r="AY21" i="28"/>
  <c r="M22" i="28"/>
  <c r="Q22" i="28" s="1"/>
  <c r="BG22" i="28"/>
  <c r="BJ22" i="28" s="1"/>
  <c r="BI22" i="28" s="1"/>
  <c r="U23" i="28"/>
  <c r="T20" i="28"/>
  <c r="X20" i="28" s="1"/>
  <c r="F21" i="28"/>
  <c r="J21" i="28" s="1"/>
  <c r="AZ21" i="28"/>
  <c r="AK22" i="28"/>
  <c r="AY18" i="28"/>
  <c r="M19" i="28"/>
  <c r="Q19" i="28" s="1"/>
  <c r="BG19" i="28"/>
  <c r="BJ19" i="28" s="1"/>
  <c r="BI19" i="28" s="1"/>
  <c r="AR20" i="28"/>
  <c r="AD21" i="28"/>
  <c r="P22" i="28"/>
  <c r="I19" i="28"/>
  <c r="T17" i="28"/>
  <c r="X17" i="28" s="1"/>
  <c r="F18" i="28"/>
  <c r="J18" i="28" s="1"/>
  <c r="AZ18" i="28"/>
  <c r="AK19" i="28"/>
  <c r="W20" i="28"/>
  <c r="I21" i="28"/>
  <c r="AD18" i="28"/>
  <c r="AW23" i="28"/>
  <c r="T22" i="28"/>
  <c r="X22" i="28" s="1"/>
  <c r="P19" i="28"/>
  <c r="W17" i="28"/>
  <c r="I18" i="28"/>
  <c r="AY20" i="28"/>
  <c r="BA20" i="28" s="1"/>
  <c r="M21" i="28"/>
  <c r="Q21" i="28" s="1"/>
  <c r="BG21" i="28"/>
  <c r="BJ21" i="28" s="1"/>
  <c r="BI21" i="28" s="1"/>
  <c r="AR22" i="28"/>
  <c r="G23" i="28"/>
  <c r="T19" i="28"/>
  <c r="X19" i="28" s="1"/>
  <c r="F20" i="28"/>
  <c r="J20" i="28" s="1"/>
  <c r="AK21" i="28"/>
  <c r="W22" i="28"/>
  <c r="AK17" i="28"/>
  <c r="AY17" i="28"/>
  <c r="M18" i="28"/>
  <c r="Q18" i="28" s="1"/>
  <c r="BG18" i="28"/>
  <c r="BJ18" i="28" s="1"/>
  <c r="BI18" i="28" s="1"/>
  <c r="AR19" i="28"/>
  <c r="AD20" i="28"/>
  <c r="P21" i="28"/>
  <c r="AR17" i="28"/>
  <c r="F17" i="28"/>
  <c r="J17" i="28" s="1"/>
  <c r="AK18" i="28"/>
  <c r="W19" i="28"/>
  <c r="I20" i="28"/>
  <c r="W18" i="28"/>
  <c r="AY22" i="28"/>
  <c r="N23" i="28"/>
  <c r="P18" i="28"/>
  <c r="AY19" i="28"/>
  <c r="AR21" i="28"/>
  <c r="AP17" i="27"/>
  <c r="AP18" i="27"/>
  <c r="AP19" i="27"/>
  <c r="AP20" i="27"/>
  <c r="AP21" i="27"/>
  <c r="AP22" i="27"/>
  <c r="AQ23" i="27"/>
  <c r="U19" i="27"/>
  <c r="U17" i="27"/>
  <c r="U18" i="27"/>
  <c r="U20" i="27"/>
  <c r="U21" i="27"/>
  <c r="U22" i="27"/>
  <c r="V23" i="27"/>
  <c r="AB17" i="27"/>
  <c r="AI17" i="27"/>
  <c r="AB18" i="27"/>
  <c r="AI18" i="27"/>
  <c r="AB19" i="27"/>
  <c r="AI19" i="27"/>
  <c r="AB20" i="27"/>
  <c r="AI20" i="27"/>
  <c r="AB21" i="27"/>
  <c r="AI21" i="27"/>
  <c r="AB22" i="27"/>
  <c r="AI22" i="27"/>
  <c r="AC23" i="27"/>
  <c r="AJ23" i="27"/>
  <c r="AX23" i="27"/>
  <c r="AW23" i="27"/>
  <c r="O23" i="27"/>
  <c r="H23" i="27"/>
  <c r="D23" i="27"/>
  <c r="BH22" i="27"/>
  <c r="AZ22" i="27"/>
  <c r="N22" i="27"/>
  <c r="G22" i="27"/>
  <c r="BH21" i="27"/>
  <c r="AZ21" i="27"/>
  <c r="N21" i="27"/>
  <c r="G21" i="27"/>
  <c r="BH20" i="27"/>
  <c r="AZ20" i="27"/>
  <c r="N20" i="27"/>
  <c r="G20" i="27"/>
  <c r="BH19" i="27"/>
  <c r="AZ19" i="27"/>
  <c r="N19" i="27"/>
  <c r="G19" i="27"/>
  <c r="BH18" i="27"/>
  <c r="AZ18" i="27"/>
  <c r="N18" i="27"/>
  <c r="G18" i="27"/>
  <c r="BH17" i="27"/>
  <c r="AZ17" i="27"/>
  <c r="N17" i="27"/>
  <c r="G17" i="27"/>
  <c r="D2" i="27"/>
  <c r="W17" i="27"/>
  <c r="AK23" i="26"/>
  <c r="AJ23" i="26"/>
  <c r="AC23" i="26"/>
  <c r="V23" i="26"/>
  <c r="O23" i="26"/>
  <c r="H23" i="26"/>
  <c r="D23" i="26"/>
  <c r="AU22" i="26"/>
  <c r="AM22" i="26"/>
  <c r="AB22" i="26"/>
  <c r="U22" i="26"/>
  <c r="N22" i="26"/>
  <c r="G22" i="26"/>
  <c r="AU21" i="26"/>
  <c r="AM21" i="26"/>
  <c r="AL21" i="26"/>
  <c r="AB21" i="26"/>
  <c r="W21" i="26"/>
  <c r="U21" i="26"/>
  <c r="N21" i="26"/>
  <c r="G21" i="26"/>
  <c r="AU20" i="26"/>
  <c r="AM20" i="26"/>
  <c r="AB20" i="26"/>
  <c r="U20" i="26"/>
  <c r="N20" i="26"/>
  <c r="G20" i="26"/>
  <c r="AU19" i="26"/>
  <c r="AM19" i="26"/>
  <c r="AB19" i="26"/>
  <c r="W19" i="26"/>
  <c r="U19" i="26"/>
  <c r="P19" i="26"/>
  <c r="N19" i="26"/>
  <c r="I19" i="26"/>
  <c r="G19" i="26"/>
  <c r="AU18" i="26"/>
  <c r="AM18" i="26"/>
  <c r="AL18" i="26"/>
  <c r="AD18" i="26"/>
  <c r="AB18" i="26"/>
  <c r="W18" i="26"/>
  <c r="U18" i="26"/>
  <c r="P18" i="26"/>
  <c r="N18" i="26"/>
  <c r="I18" i="26"/>
  <c r="G18" i="26"/>
  <c r="AU17" i="26"/>
  <c r="AM17" i="26"/>
  <c r="AL17" i="26"/>
  <c r="AD17" i="26"/>
  <c r="AB17" i="26"/>
  <c r="W17" i="26"/>
  <c r="U17" i="26"/>
  <c r="P17" i="26"/>
  <c r="N17" i="26"/>
  <c r="I17" i="26"/>
  <c r="G17" i="26"/>
  <c r="D2" i="26"/>
  <c r="D1" i="26"/>
  <c r="W22" i="26" s="1"/>
  <c r="AU17" i="25"/>
  <c r="AU18" i="25"/>
  <c r="AU19" i="25"/>
  <c r="AU20" i="25"/>
  <c r="AU21" i="25"/>
  <c r="AU22" i="25"/>
  <c r="AK23" i="25"/>
  <c r="AJ23" i="25"/>
  <c r="AC23" i="25"/>
  <c r="V23" i="25"/>
  <c r="O23" i="25"/>
  <c r="H23" i="25"/>
  <c r="D23" i="25"/>
  <c r="AM22" i="25"/>
  <c r="AB22" i="25"/>
  <c r="U22" i="25"/>
  <c r="N22" i="25"/>
  <c r="G22" i="25"/>
  <c r="AM21" i="25"/>
  <c r="AB21" i="25"/>
  <c r="U21" i="25"/>
  <c r="N21" i="25"/>
  <c r="G21" i="25"/>
  <c r="AM20" i="25"/>
  <c r="AB20" i="25"/>
  <c r="U20" i="25"/>
  <c r="N20" i="25"/>
  <c r="G20" i="25"/>
  <c r="AM19" i="25"/>
  <c r="AB19" i="25"/>
  <c r="U19" i="25"/>
  <c r="N19" i="25"/>
  <c r="G19" i="25"/>
  <c r="AM18" i="25"/>
  <c r="AB18" i="25"/>
  <c r="U18" i="25"/>
  <c r="N18" i="25"/>
  <c r="G18" i="25"/>
  <c r="AM17" i="25"/>
  <c r="AB17" i="25"/>
  <c r="U17" i="25"/>
  <c r="N17" i="25"/>
  <c r="G17" i="25"/>
  <c r="D2" i="25"/>
  <c r="D1" i="25"/>
  <c r="P21" i="25" s="1"/>
  <c r="D1" i="24"/>
  <c r="AK23" i="24"/>
  <c r="AJ23" i="24"/>
  <c r="AC23" i="24"/>
  <c r="V23" i="24"/>
  <c r="O23" i="24"/>
  <c r="H23" i="24"/>
  <c r="D23" i="24"/>
  <c r="AM22" i="24"/>
  <c r="AB22" i="24"/>
  <c r="U22" i="24"/>
  <c r="N22" i="24"/>
  <c r="G22" i="24"/>
  <c r="AM21" i="24"/>
  <c r="AB21" i="24"/>
  <c r="U21" i="24"/>
  <c r="P21" i="24"/>
  <c r="N21" i="24"/>
  <c r="G21" i="24"/>
  <c r="AM20" i="24"/>
  <c r="AL20" i="24"/>
  <c r="AB20" i="24"/>
  <c r="U20" i="24"/>
  <c r="N20" i="24"/>
  <c r="I20" i="24"/>
  <c r="G20" i="24"/>
  <c r="AM19" i="24"/>
  <c r="AD19" i="24"/>
  <c r="AB19" i="24"/>
  <c r="U19" i="24"/>
  <c r="P19" i="24"/>
  <c r="N19" i="24"/>
  <c r="I19" i="24"/>
  <c r="G19" i="24"/>
  <c r="AM18" i="24"/>
  <c r="AL18" i="24"/>
  <c r="AB18" i="24"/>
  <c r="W18" i="24"/>
  <c r="U18" i="24"/>
  <c r="P18" i="24"/>
  <c r="N18" i="24"/>
  <c r="I18" i="24"/>
  <c r="G18" i="24"/>
  <c r="AM17" i="24"/>
  <c r="AL17" i="24"/>
  <c r="AD17" i="24"/>
  <c r="AB17" i="24"/>
  <c r="W17" i="24"/>
  <c r="U17" i="24"/>
  <c r="N17" i="24"/>
  <c r="G17" i="24"/>
  <c r="D2" i="24"/>
  <c r="P22" i="24"/>
  <c r="D1" i="18"/>
  <c r="D1" i="17"/>
  <c r="D1" i="21"/>
  <c r="D1" i="20"/>
  <c r="D1" i="16"/>
  <c r="Y22" i="33" l="1"/>
  <c r="BG23" i="33"/>
  <c r="BY20" i="33"/>
  <c r="BU23" i="33"/>
  <c r="CA20" i="33"/>
  <c r="CF20" i="33" s="1"/>
  <c r="AE23" i="33"/>
  <c r="BN23" i="33"/>
  <c r="X23" i="33"/>
  <c r="AR23" i="33"/>
  <c r="AL23" i="33"/>
  <c r="K22" i="28"/>
  <c r="AG19" i="32"/>
  <c r="AU18" i="32"/>
  <c r="BW18" i="32"/>
  <c r="BI17" i="32"/>
  <c r="AM23" i="33"/>
  <c r="BF23" i="33"/>
  <c r="BH17" i="33"/>
  <c r="Q23" i="33"/>
  <c r="BZ19" i="33"/>
  <c r="BA19" i="33"/>
  <c r="R17" i="33"/>
  <c r="P23" i="33"/>
  <c r="BV17" i="33"/>
  <c r="BV23" i="33" s="1"/>
  <c r="J23" i="33"/>
  <c r="BH19" i="33"/>
  <c r="BY19" i="33"/>
  <c r="CB23" i="33"/>
  <c r="CE17" i="33"/>
  <c r="CD17" i="33" s="1"/>
  <c r="AT20" i="33"/>
  <c r="BT23" i="33"/>
  <c r="R19" i="33"/>
  <c r="K23" i="33"/>
  <c r="BA21" i="33"/>
  <c r="CA21" i="33" s="1"/>
  <c r="CF21" i="33" s="1"/>
  <c r="BY21" i="33"/>
  <c r="BO17" i="33"/>
  <c r="BM23" i="33"/>
  <c r="BA18" i="33"/>
  <c r="CA18" i="33" s="1"/>
  <c r="CF18" i="33" s="1"/>
  <c r="BY18" i="33"/>
  <c r="I23" i="33"/>
  <c r="AY23" i="33"/>
  <c r="AF23" i="33"/>
  <c r="BY17" i="33"/>
  <c r="BY23" i="33" s="1"/>
  <c r="AS23" i="33"/>
  <c r="AT17" i="33"/>
  <c r="AT23" i="33" s="1"/>
  <c r="BH22" i="33"/>
  <c r="BZ17" i="33"/>
  <c r="BZ23" i="33" s="1"/>
  <c r="AK23" i="33"/>
  <c r="AZ23" i="33"/>
  <c r="BO19" i="33"/>
  <c r="AF21" i="33"/>
  <c r="BZ21" i="33"/>
  <c r="BA22" i="33"/>
  <c r="BY22" i="33"/>
  <c r="Y17" i="33"/>
  <c r="Y23" i="33" s="1"/>
  <c r="W23" i="33"/>
  <c r="AD23" i="33"/>
  <c r="CD19" i="33"/>
  <c r="BA23" i="33"/>
  <c r="CA17" i="33"/>
  <c r="BO23" i="33"/>
  <c r="BH23" i="33"/>
  <c r="BW22" i="32"/>
  <c r="AU20" i="32"/>
  <c r="CA17" i="32"/>
  <c r="CE18" i="32"/>
  <c r="BO23" i="32"/>
  <c r="BI18" i="32"/>
  <c r="AN19" i="32"/>
  <c r="AG22" i="32"/>
  <c r="Z19" i="32"/>
  <c r="Z20" i="32"/>
  <c r="BI20" i="32"/>
  <c r="BW19" i="32"/>
  <c r="AN18" i="32"/>
  <c r="CA20" i="32"/>
  <c r="L20" i="32"/>
  <c r="BP19" i="32"/>
  <c r="S19" i="32"/>
  <c r="S18" i="32"/>
  <c r="L21" i="32"/>
  <c r="BP21" i="32"/>
  <c r="BI21" i="32"/>
  <c r="BG23" i="32"/>
  <c r="BW21" i="32"/>
  <c r="CA21" i="32"/>
  <c r="BV23" i="32"/>
  <c r="S20" i="32"/>
  <c r="AT23" i="30"/>
  <c r="AT23" i="32"/>
  <c r="S21" i="32"/>
  <c r="R23" i="32"/>
  <c r="AM23" i="32"/>
  <c r="AT20" i="31"/>
  <c r="AN21" i="32"/>
  <c r="AN20" i="32"/>
  <c r="S22" i="32"/>
  <c r="BH23" i="32"/>
  <c r="BO21" i="31"/>
  <c r="CA22" i="32"/>
  <c r="AL23" i="32"/>
  <c r="CA19" i="32"/>
  <c r="BB22" i="32"/>
  <c r="BZ22" i="32"/>
  <c r="BA23" i="32"/>
  <c r="X23" i="32"/>
  <c r="Z17" i="32"/>
  <c r="AF23" i="32"/>
  <c r="AS23" i="32"/>
  <c r="BZ18" i="32"/>
  <c r="BB18" i="32"/>
  <c r="BB19" i="32"/>
  <c r="BZ19" i="32"/>
  <c r="AZ23" i="32"/>
  <c r="BB17" i="32"/>
  <c r="BZ17" i="32"/>
  <c r="K23" i="32"/>
  <c r="BZ20" i="32"/>
  <c r="BB20" i="32"/>
  <c r="AG17" i="32"/>
  <c r="AU19" i="32"/>
  <c r="CC23" i="32"/>
  <c r="CF17" i="32"/>
  <c r="CE17" i="32" s="1"/>
  <c r="AU22" i="32"/>
  <c r="Y23" i="32"/>
  <c r="Q23" i="32"/>
  <c r="CA18" i="32"/>
  <c r="AG18" i="32"/>
  <c r="BB21" i="32"/>
  <c r="BZ21" i="32"/>
  <c r="L17" i="32"/>
  <c r="BP17" i="32"/>
  <c r="BN23" i="32"/>
  <c r="BP22" i="32"/>
  <c r="J23" i="32"/>
  <c r="AN22" i="32"/>
  <c r="L22" i="32"/>
  <c r="Z22" i="32"/>
  <c r="Z21" i="32"/>
  <c r="AU21" i="32"/>
  <c r="AE23" i="32"/>
  <c r="BI22" i="32"/>
  <c r="BI19" i="32"/>
  <c r="BU23" i="32"/>
  <c r="BW17" i="32"/>
  <c r="CD17" i="31"/>
  <c r="BH18" i="31"/>
  <c r="BZ22" i="31"/>
  <c r="BN23" i="31"/>
  <c r="AM19" i="31"/>
  <c r="K20" i="31"/>
  <c r="AM20" i="31"/>
  <c r="BO18" i="31"/>
  <c r="AF22" i="31"/>
  <c r="BO20" i="31"/>
  <c r="BZ20" i="31"/>
  <c r="BZ18" i="31"/>
  <c r="BZ19" i="31"/>
  <c r="BH21" i="31"/>
  <c r="AM22" i="31"/>
  <c r="AN18" i="26"/>
  <c r="BE22" i="29"/>
  <c r="BH19" i="31"/>
  <c r="P23" i="31"/>
  <c r="AY23" i="31"/>
  <c r="AF18" i="31"/>
  <c r="J23" i="31"/>
  <c r="AT22" i="31"/>
  <c r="BG23" i="31"/>
  <c r="AL23" i="31"/>
  <c r="BG19" i="27"/>
  <c r="AF21" i="31"/>
  <c r="AM18" i="31"/>
  <c r="AK23" i="31"/>
  <c r="AS23" i="31"/>
  <c r="AM21" i="31"/>
  <c r="BU23" i="31"/>
  <c r="BA22" i="31"/>
  <c r="BY22" i="31"/>
  <c r="AE23" i="31"/>
  <c r="K18" i="31"/>
  <c r="BO17" i="31"/>
  <c r="BM23" i="31"/>
  <c r="AT19" i="31"/>
  <c r="X23" i="31"/>
  <c r="BO22" i="31"/>
  <c r="Q23" i="31"/>
  <c r="BY17" i="31"/>
  <c r="R17" i="31"/>
  <c r="R22" i="31"/>
  <c r="CD22" i="31"/>
  <c r="Y21" i="31"/>
  <c r="Y22" i="31"/>
  <c r="BA21" i="31"/>
  <c r="BY21" i="31"/>
  <c r="BH22" i="31"/>
  <c r="BH20" i="31"/>
  <c r="AD23" i="31"/>
  <c r="Y20" i="31"/>
  <c r="BF23" i="31"/>
  <c r="BV21" i="31"/>
  <c r="BV19" i="31"/>
  <c r="BO19" i="31"/>
  <c r="BZ21" i="31"/>
  <c r="CB23" i="31"/>
  <c r="R20" i="31"/>
  <c r="K22" i="31"/>
  <c r="BZ17" i="31"/>
  <c r="W23" i="31"/>
  <c r="Y17" i="31"/>
  <c r="R19" i="31"/>
  <c r="K21" i="31"/>
  <c r="BY19" i="31"/>
  <c r="BA19" i="31"/>
  <c r="AT21" i="31"/>
  <c r="AZ23" i="31"/>
  <c r="I23" i="31"/>
  <c r="R21" i="31"/>
  <c r="BY18" i="31"/>
  <c r="BA18" i="31"/>
  <c r="AF19" i="31"/>
  <c r="BH17" i="31"/>
  <c r="CA17" i="31" s="1"/>
  <c r="AR23" i="31"/>
  <c r="BY20" i="31"/>
  <c r="BA20" i="31"/>
  <c r="BT23" i="31"/>
  <c r="BV17" i="31"/>
  <c r="AS25" i="30"/>
  <c r="AR25" i="30"/>
  <c r="AT19" i="30"/>
  <c r="AT22" i="30"/>
  <c r="AT21" i="30"/>
  <c r="AT24" i="30"/>
  <c r="AT20" i="30"/>
  <c r="CD23" i="30"/>
  <c r="R22" i="30"/>
  <c r="CD24" i="30"/>
  <c r="AM20" i="30"/>
  <c r="AF20" i="30"/>
  <c r="AM24" i="30"/>
  <c r="AL25" i="30"/>
  <c r="AM23" i="30"/>
  <c r="AE25" i="30"/>
  <c r="AK25" i="30"/>
  <c r="AM19" i="30"/>
  <c r="AM22" i="30"/>
  <c r="AM21" i="30"/>
  <c r="AF21" i="30"/>
  <c r="AF24" i="30"/>
  <c r="AF23" i="30"/>
  <c r="AF22" i="30"/>
  <c r="CD20" i="30"/>
  <c r="AD25" i="30"/>
  <c r="AF19" i="30"/>
  <c r="BZ20" i="30"/>
  <c r="BO21" i="30"/>
  <c r="BO22" i="30"/>
  <c r="BO23" i="30"/>
  <c r="BT25" i="30"/>
  <c r="K20" i="30"/>
  <c r="K23" i="30"/>
  <c r="BV21" i="30"/>
  <c r="CD22" i="30"/>
  <c r="K24" i="30"/>
  <c r="BZ24" i="30"/>
  <c r="Y20" i="30"/>
  <c r="BZ21" i="30"/>
  <c r="BO20" i="30"/>
  <c r="BH24" i="30"/>
  <c r="Y23" i="30"/>
  <c r="BH23" i="30"/>
  <c r="BV24" i="30"/>
  <c r="AZ25" i="30"/>
  <c r="R21" i="30"/>
  <c r="BN25" i="30"/>
  <c r="BH21" i="30"/>
  <c r="BZ22" i="30"/>
  <c r="Y21" i="30"/>
  <c r="J25" i="30"/>
  <c r="BZ23" i="30"/>
  <c r="K21" i="30"/>
  <c r="BG25" i="30"/>
  <c r="BV20" i="30"/>
  <c r="Y24" i="30"/>
  <c r="BH22" i="30"/>
  <c r="BO24" i="30"/>
  <c r="BH20" i="30"/>
  <c r="R24" i="30"/>
  <c r="I25" i="30"/>
  <c r="K19" i="30"/>
  <c r="BF25" i="30"/>
  <c r="BH19" i="30"/>
  <c r="BZ19" i="30"/>
  <c r="BA23" i="30"/>
  <c r="BY23" i="30"/>
  <c r="Y19" i="30"/>
  <c r="W25" i="30"/>
  <c r="AY25" i="30"/>
  <c r="BY19" i="30"/>
  <c r="BA19" i="30"/>
  <c r="BA21" i="30"/>
  <c r="BY21" i="30"/>
  <c r="R23" i="30"/>
  <c r="BY22" i="30"/>
  <c r="BA22" i="30"/>
  <c r="CB25" i="30"/>
  <c r="CE19" i="30"/>
  <c r="CD19" i="30" s="1"/>
  <c r="BY24" i="30"/>
  <c r="BA20" i="30"/>
  <c r="BY20" i="30"/>
  <c r="Q25" i="30"/>
  <c r="BO19" i="30"/>
  <c r="BM25" i="30"/>
  <c r="BV19" i="30"/>
  <c r="Y22" i="30"/>
  <c r="R20" i="30"/>
  <c r="BV23" i="30"/>
  <c r="K22" i="30"/>
  <c r="X25" i="30"/>
  <c r="R19" i="30"/>
  <c r="P25" i="30"/>
  <c r="BI20" i="29"/>
  <c r="AT20" i="29"/>
  <c r="AM22" i="29"/>
  <c r="BA19" i="29"/>
  <c r="AM21" i="29"/>
  <c r="Y20" i="29"/>
  <c r="BE19" i="29"/>
  <c r="Y21" i="29"/>
  <c r="K20" i="29"/>
  <c r="K21" i="29"/>
  <c r="AM18" i="29"/>
  <c r="AT22" i="29"/>
  <c r="AT19" i="29"/>
  <c r="K22" i="29"/>
  <c r="AZ23" i="29"/>
  <c r="K19" i="29"/>
  <c r="AS23" i="29"/>
  <c r="BE18" i="29"/>
  <c r="R19" i="29"/>
  <c r="AM20" i="29"/>
  <c r="AL23" i="29"/>
  <c r="AM19" i="29"/>
  <c r="R20" i="29"/>
  <c r="AE23" i="29"/>
  <c r="BG17" i="27"/>
  <c r="BE20" i="29"/>
  <c r="R18" i="29"/>
  <c r="Y19" i="29"/>
  <c r="K18" i="29"/>
  <c r="X23" i="29"/>
  <c r="BA21" i="29"/>
  <c r="R22" i="29"/>
  <c r="BD22" i="29"/>
  <c r="AT21" i="29"/>
  <c r="J23" i="29"/>
  <c r="Y18" i="29"/>
  <c r="F19" i="24"/>
  <c r="J19" i="24" s="1"/>
  <c r="BG21" i="27"/>
  <c r="BJ21" i="27" s="1"/>
  <c r="BI21" i="27" s="1"/>
  <c r="BE21" i="29"/>
  <c r="AT18" i="29"/>
  <c r="AF21" i="29"/>
  <c r="BD21" i="29"/>
  <c r="Y17" i="29"/>
  <c r="W23" i="29"/>
  <c r="AF19" i="29"/>
  <c r="BD19" i="29"/>
  <c r="R21" i="29"/>
  <c r="AF18" i="29"/>
  <c r="BD18" i="29"/>
  <c r="BA18" i="29"/>
  <c r="BG23" i="29"/>
  <c r="BJ17" i="29"/>
  <c r="BI17" i="29" s="1"/>
  <c r="AF20" i="29"/>
  <c r="BD20" i="29"/>
  <c r="AK23" i="29"/>
  <c r="AM17" i="29"/>
  <c r="Q23" i="29"/>
  <c r="BI22" i="29"/>
  <c r="AT17" i="29"/>
  <c r="AR23" i="29"/>
  <c r="R17" i="29"/>
  <c r="P23" i="29"/>
  <c r="I23" i="29"/>
  <c r="K17" i="29"/>
  <c r="BA17" i="29"/>
  <c r="AY23" i="29"/>
  <c r="AD23" i="29"/>
  <c r="AF17" i="29"/>
  <c r="BD17" i="29"/>
  <c r="Y22" i="29"/>
  <c r="BE17" i="29"/>
  <c r="BA22" i="28"/>
  <c r="Y21" i="28"/>
  <c r="BA19" i="28"/>
  <c r="AT22" i="28"/>
  <c r="AM20" i="28"/>
  <c r="K19" i="28"/>
  <c r="AT19" i="28"/>
  <c r="AS23" i="28"/>
  <c r="BI20" i="28"/>
  <c r="AT21" i="28"/>
  <c r="R21" i="28"/>
  <c r="AE23" i="28"/>
  <c r="AM18" i="28"/>
  <c r="AL23" i="28"/>
  <c r="BE19" i="28"/>
  <c r="BE18" i="28"/>
  <c r="AM22" i="28"/>
  <c r="AM21" i="28"/>
  <c r="AM19" i="28"/>
  <c r="BE20" i="28"/>
  <c r="BE22" i="28"/>
  <c r="R20" i="28"/>
  <c r="J23" i="28"/>
  <c r="AT20" i="28"/>
  <c r="BG18" i="27"/>
  <c r="Y20" i="28"/>
  <c r="Y18" i="28"/>
  <c r="AZ23" i="28"/>
  <c r="BG22" i="27"/>
  <c r="BJ22" i="27" s="1"/>
  <c r="BI22" i="27" s="1"/>
  <c r="K20" i="28"/>
  <c r="BA21" i="28"/>
  <c r="AT22" i="26"/>
  <c r="AW22" i="26" s="1"/>
  <c r="AV22" i="26" s="1"/>
  <c r="BG20" i="27"/>
  <c r="BJ20" i="27" s="1"/>
  <c r="BI20" i="27" s="1"/>
  <c r="BE21" i="28"/>
  <c r="AT18" i="28"/>
  <c r="BD17" i="28"/>
  <c r="AD23" i="28"/>
  <c r="AF17" i="28"/>
  <c r="X23" i="28"/>
  <c r="R17" i="28"/>
  <c r="P23" i="28"/>
  <c r="R22" i="28"/>
  <c r="AF19" i="28"/>
  <c r="BD19" i="28"/>
  <c r="Y19" i="28"/>
  <c r="AT17" i="28"/>
  <c r="AR23" i="28"/>
  <c r="AF21" i="28"/>
  <c r="BD21" i="28"/>
  <c r="BD22" i="28"/>
  <c r="BG23" i="28"/>
  <c r="BJ17" i="28"/>
  <c r="BI17" i="28" s="1"/>
  <c r="K18" i="28"/>
  <c r="Q23" i="28"/>
  <c r="AF20" i="28"/>
  <c r="BD20" i="28"/>
  <c r="Y17" i="28"/>
  <c r="W23" i="28"/>
  <c r="R19" i="28"/>
  <c r="BA18" i="28"/>
  <c r="BE17" i="28"/>
  <c r="AY23" i="28"/>
  <c r="BA17" i="28"/>
  <c r="AF18" i="28"/>
  <c r="BD18" i="28"/>
  <c r="R18" i="28"/>
  <c r="AK23" i="28"/>
  <c r="AM17" i="28"/>
  <c r="K21" i="28"/>
  <c r="Y22" i="28"/>
  <c r="I23" i="28"/>
  <c r="K17" i="28"/>
  <c r="AO18" i="27"/>
  <c r="AS18" i="27" s="1"/>
  <c r="AP23" i="27"/>
  <c r="AO17" i="27"/>
  <c r="AS17" i="27" s="1"/>
  <c r="AO19" i="27"/>
  <c r="AS19" i="27" s="1"/>
  <c r="AO22" i="27"/>
  <c r="AS22" i="27" s="1"/>
  <c r="AO21" i="27"/>
  <c r="AS21" i="27" s="1"/>
  <c r="AO20" i="27"/>
  <c r="AS20" i="27" s="1"/>
  <c r="AR21" i="27"/>
  <c r="P19" i="27"/>
  <c r="AR18" i="27"/>
  <c r="AR22" i="27"/>
  <c r="AR19" i="27"/>
  <c r="AR20" i="27"/>
  <c r="AR17" i="27"/>
  <c r="T17" i="27"/>
  <c r="X17" i="27" s="1"/>
  <c r="Y17" i="27" s="1"/>
  <c r="T22" i="27"/>
  <c r="X22" i="27" s="1"/>
  <c r="AH18" i="27"/>
  <c r="AL18" i="27" s="1"/>
  <c r="AA20" i="27"/>
  <c r="AE20" i="27" s="1"/>
  <c r="AA21" i="27"/>
  <c r="AE21" i="27" s="1"/>
  <c r="AH17" i="27"/>
  <c r="AL17" i="27" s="1"/>
  <c r="AK22" i="27"/>
  <c r="U23" i="27"/>
  <c r="AK21" i="27"/>
  <c r="T18" i="27"/>
  <c r="X18" i="27" s="1"/>
  <c r="AY18" i="27"/>
  <c r="BA18" i="27" s="1"/>
  <c r="T19" i="27"/>
  <c r="X19" i="27" s="1"/>
  <c r="AI23" i="27"/>
  <c r="T20" i="27"/>
  <c r="X20" i="27" s="1"/>
  <c r="T21" i="27"/>
  <c r="X21" i="27" s="1"/>
  <c r="AD18" i="27"/>
  <c r="AA22" i="27"/>
  <c r="AE22" i="27" s="1"/>
  <c r="F18" i="27"/>
  <c r="J18" i="27" s="1"/>
  <c r="AK18" i="27"/>
  <c r="P17" i="27"/>
  <c r="AH21" i="27"/>
  <c r="AL21" i="27" s="1"/>
  <c r="AK19" i="27"/>
  <c r="W21" i="27"/>
  <c r="AA18" i="27"/>
  <c r="AE18" i="27" s="1"/>
  <c r="W18" i="27"/>
  <c r="AH19" i="27"/>
  <c r="AL19" i="27" s="1"/>
  <c r="AK17" i="27"/>
  <c r="AB23" i="27"/>
  <c r="AD21" i="27"/>
  <c r="AD19" i="27"/>
  <c r="W22" i="27"/>
  <c r="W19" i="27"/>
  <c r="AA19" i="27"/>
  <c r="AE19" i="27" s="1"/>
  <c r="AD17" i="27"/>
  <c r="AH22" i="27"/>
  <c r="AL22" i="27" s="1"/>
  <c r="AK20" i="27"/>
  <c r="AH20" i="27"/>
  <c r="AL20" i="27" s="1"/>
  <c r="AA17" i="27"/>
  <c r="AE17" i="27" s="1"/>
  <c r="M18" i="27"/>
  <c r="Q18" i="27" s="1"/>
  <c r="AD22" i="27"/>
  <c r="W20" i="27"/>
  <c r="AD20" i="27"/>
  <c r="M18" i="26"/>
  <c r="Q18" i="26" s="1"/>
  <c r="R18" i="26" s="1"/>
  <c r="AQ18" i="26"/>
  <c r="BJ19" i="27"/>
  <c r="BI19" i="27" s="1"/>
  <c r="T20" i="26"/>
  <c r="X20" i="26" s="1"/>
  <c r="AZ23" i="27"/>
  <c r="AT21" i="26"/>
  <c r="AW21" i="26" s="1"/>
  <c r="AV21" i="26" s="1"/>
  <c r="BJ18" i="27"/>
  <c r="BI18" i="27" s="1"/>
  <c r="AN17" i="26"/>
  <c r="AA18" i="25"/>
  <c r="AE18" i="25" s="1"/>
  <c r="AT19" i="26"/>
  <c r="AW19" i="26" s="1"/>
  <c r="AV19" i="26" s="1"/>
  <c r="AN21" i="26"/>
  <c r="F17" i="25"/>
  <c r="J17" i="25" s="1"/>
  <c r="F17" i="27"/>
  <c r="J17" i="27" s="1"/>
  <c r="M18" i="25"/>
  <c r="Q18" i="25" s="1"/>
  <c r="M22" i="26"/>
  <c r="Q22" i="26" s="1"/>
  <c r="F17" i="26"/>
  <c r="J17" i="26" s="1"/>
  <c r="K17" i="26" s="1"/>
  <c r="M17" i="27"/>
  <c r="Q17" i="27" s="1"/>
  <c r="M19" i="27"/>
  <c r="Q19" i="27" s="1"/>
  <c r="F22" i="27"/>
  <c r="J22" i="27" s="1"/>
  <c r="G23" i="27"/>
  <c r="F21" i="27"/>
  <c r="J21" i="27" s="1"/>
  <c r="F20" i="27"/>
  <c r="J20" i="27" s="1"/>
  <c r="I22" i="27"/>
  <c r="F19" i="27"/>
  <c r="J19" i="27" s="1"/>
  <c r="I21" i="27"/>
  <c r="I20" i="27"/>
  <c r="AY22" i="27"/>
  <c r="BA22" i="27" s="1"/>
  <c r="I19" i="27"/>
  <c r="AY21" i="27"/>
  <c r="BA21" i="27" s="1"/>
  <c r="M22" i="27"/>
  <c r="Q22" i="27" s="1"/>
  <c r="N23" i="27"/>
  <c r="I18" i="27"/>
  <c r="AY20" i="27"/>
  <c r="BA20" i="27" s="1"/>
  <c r="M21" i="27"/>
  <c r="Q21" i="27" s="1"/>
  <c r="I17" i="27"/>
  <c r="AY19" i="27"/>
  <c r="BA19" i="27" s="1"/>
  <c r="M20" i="27"/>
  <c r="Q20" i="27" s="1"/>
  <c r="P22" i="27"/>
  <c r="P21" i="27"/>
  <c r="AY17" i="27"/>
  <c r="P20" i="27"/>
  <c r="P18" i="27"/>
  <c r="AT20" i="26"/>
  <c r="AW20" i="26" s="1"/>
  <c r="AV20" i="26" s="1"/>
  <c r="AT22" i="25"/>
  <c r="AW22" i="25" s="1"/>
  <c r="AV22" i="25" s="1"/>
  <c r="AA17" i="26"/>
  <c r="AE17" i="26" s="1"/>
  <c r="AF17" i="26" s="1"/>
  <c r="AT21" i="24"/>
  <c r="AU21" i="24" s="1"/>
  <c r="T19" i="26"/>
  <c r="X19" i="26" s="1"/>
  <c r="Y19" i="26" s="1"/>
  <c r="N23" i="26"/>
  <c r="F18" i="26"/>
  <c r="J18" i="26" s="1"/>
  <c r="K18" i="26" s="1"/>
  <c r="AT18" i="24"/>
  <c r="AU18" i="24" s="1"/>
  <c r="AT18" i="26"/>
  <c r="AW18" i="26" s="1"/>
  <c r="AV18" i="26" s="1"/>
  <c r="M17" i="26"/>
  <c r="Q17" i="26" s="1"/>
  <c r="R17" i="26" s="1"/>
  <c r="T18" i="26"/>
  <c r="X18" i="26" s="1"/>
  <c r="W20" i="26"/>
  <c r="AA22" i="26"/>
  <c r="AE22" i="26" s="1"/>
  <c r="AB23" i="26"/>
  <c r="AT17" i="26"/>
  <c r="AA21" i="26"/>
  <c r="AE21" i="26" s="1"/>
  <c r="F22" i="26"/>
  <c r="J22" i="26" s="1"/>
  <c r="G23" i="26"/>
  <c r="AA20" i="26"/>
  <c r="AE20" i="26" s="1"/>
  <c r="F21" i="26"/>
  <c r="J21" i="26" s="1"/>
  <c r="AD22" i="26"/>
  <c r="AA19" i="26"/>
  <c r="AE19" i="26" s="1"/>
  <c r="F20" i="26"/>
  <c r="J20" i="26" s="1"/>
  <c r="AD21" i="26"/>
  <c r="I22" i="26"/>
  <c r="AA18" i="26"/>
  <c r="AE18" i="26" s="1"/>
  <c r="AF18" i="26" s="1"/>
  <c r="F19" i="26"/>
  <c r="J19" i="26" s="1"/>
  <c r="AD20" i="26"/>
  <c r="I21" i="26"/>
  <c r="T17" i="26"/>
  <c r="X17" i="26" s="1"/>
  <c r="Y17" i="26" s="1"/>
  <c r="AD19" i="26"/>
  <c r="I20" i="26"/>
  <c r="AL22" i="26"/>
  <c r="AN22" i="26" s="1"/>
  <c r="AL20" i="26"/>
  <c r="AN20" i="26" s="1"/>
  <c r="M21" i="26"/>
  <c r="Q21" i="26" s="1"/>
  <c r="AL19" i="26"/>
  <c r="AN19" i="26" s="1"/>
  <c r="M20" i="26"/>
  <c r="Q20" i="26" s="1"/>
  <c r="P22" i="26"/>
  <c r="AM23" i="26"/>
  <c r="M19" i="26"/>
  <c r="Q19" i="26" s="1"/>
  <c r="P21" i="26"/>
  <c r="P20" i="26"/>
  <c r="T22" i="26"/>
  <c r="X22" i="26" s="1"/>
  <c r="U23" i="26"/>
  <c r="T21" i="26"/>
  <c r="X21" i="26" s="1"/>
  <c r="AQ17" i="26"/>
  <c r="I19" i="25"/>
  <c r="W17" i="25"/>
  <c r="M21" i="25"/>
  <c r="Q21" i="25" s="1"/>
  <c r="R21" i="25" s="1"/>
  <c r="AM23" i="25"/>
  <c r="F19" i="25"/>
  <c r="J19" i="25" s="1"/>
  <c r="T19" i="25"/>
  <c r="X19" i="25" s="1"/>
  <c r="AT21" i="25"/>
  <c r="AW21" i="25" s="1"/>
  <c r="AV21" i="25" s="1"/>
  <c r="T22" i="25"/>
  <c r="X22" i="25" s="1"/>
  <c r="AA19" i="25"/>
  <c r="AE19" i="25" s="1"/>
  <c r="M20" i="25"/>
  <c r="Q20" i="25" s="1"/>
  <c r="AT20" i="25"/>
  <c r="AW20" i="25" s="1"/>
  <c r="AV20" i="25" s="1"/>
  <c r="F18" i="25"/>
  <c r="J18" i="25" s="1"/>
  <c r="T20" i="25"/>
  <c r="X20" i="25" s="1"/>
  <c r="AT18" i="25"/>
  <c r="AW18" i="25" s="1"/>
  <c r="AV18" i="25" s="1"/>
  <c r="T21" i="25"/>
  <c r="X21" i="25" s="1"/>
  <c r="W22" i="25"/>
  <c r="AB23" i="25"/>
  <c r="AA17" i="25"/>
  <c r="AE17" i="25" s="1"/>
  <c r="G23" i="25"/>
  <c r="AL19" i="25"/>
  <c r="AN19" i="25" s="1"/>
  <c r="AA22" i="25"/>
  <c r="AE22" i="25" s="1"/>
  <c r="M19" i="25"/>
  <c r="Q19" i="25" s="1"/>
  <c r="F22" i="25"/>
  <c r="J22" i="25" s="1"/>
  <c r="I17" i="25"/>
  <c r="AD22" i="25"/>
  <c r="W20" i="25"/>
  <c r="AA21" i="25"/>
  <c r="AE21" i="25" s="1"/>
  <c r="I22" i="25"/>
  <c r="P20" i="25"/>
  <c r="I21" i="25"/>
  <c r="M22" i="25"/>
  <c r="Q22" i="25" s="1"/>
  <c r="I18" i="25"/>
  <c r="P19" i="25"/>
  <c r="AL17" i="25"/>
  <c r="F21" i="25"/>
  <c r="J21" i="25" s="1"/>
  <c r="AD21" i="25"/>
  <c r="AA20" i="25"/>
  <c r="AE20" i="25" s="1"/>
  <c r="P17" i="25"/>
  <c r="T18" i="25"/>
  <c r="X18" i="25" s="1"/>
  <c r="F20" i="25"/>
  <c r="J20" i="25" s="1"/>
  <c r="AL18" i="25"/>
  <c r="AN18" i="25" s="1"/>
  <c r="P18" i="25"/>
  <c r="AL22" i="25"/>
  <c r="AN22" i="25" s="1"/>
  <c r="W19" i="25"/>
  <c r="AD20" i="25"/>
  <c r="AL21" i="25"/>
  <c r="AN21" i="25" s="1"/>
  <c r="P22" i="25"/>
  <c r="N23" i="25"/>
  <c r="W18" i="25"/>
  <c r="I20" i="25"/>
  <c r="U23" i="25"/>
  <c r="AD18" i="25"/>
  <c r="AT19" i="25"/>
  <c r="AW19" i="25" s="1"/>
  <c r="AV19" i="25" s="1"/>
  <c r="M17" i="25"/>
  <c r="Q17" i="25" s="1"/>
  <c r="T17" i="25"/>
  <c r="X17" i="25" s="1"/>
  <c r="AT17" i="25"/>
  <c r="AW17" i="25" s="1"/>
  <c r="AV17" i="25" s="1"/>
  <c r="W21" i="25"/>
  <c r="AD17" i="25"/>
  <c r="AD19" i="25"/>
  <c r="AL20" i="25"/>
  <c r="AN20" i="25" s="1"/>
  <c r="AM23" i="24"/>
  <c r="AT20" i="24"/>
  <c r="AU20" i="24" s="1"/>
  <c r="AA19" i="24"/>
  <c r="AE19" i="24" s="1"/>
  <c r="AF19" i="24" s="1"/>
  <c r="M20" i="24"/>
  <c r="Q20" i="24" s="1"/>
  <c r="M17" i="24"/>
  <c r="Q17" i="24" s="1"/>
  <c r="M21" i="24"/>
  <c r="Q21" i="24" s="1"/>
  <c r="R21" i="24" s="1"/>
  <c r="T22" i="24"/>
  <c r="X22" i="24" s="1"/>
  <c r="AA17" i="24"/>
  <c r="AE17" i="24" s="1"/>
  <c r="AF17" i="24" s="1"/>
  <c r="AT22" i="24"/>
  <c r="AU22" i="24" s="1"/>
  <c r="AA18" i="24"/>
  <c r="AE18" i="24" s="1"/>
  <c r="AN18" i="24"/>
  <c r="AN20" i="24"/>
  <c r="AT19" i="24"/>
  <c r="AU19" i="24" s="1"/>
  <c r="F21" i="24"/>
  <c r="J21" i="24" s="1"/>
  <c r="AA20" i="24"/>
  <c r="AE20" i="24" s="1"/>
  <c r="AN17" i="24"/>
  <c r="K19" i="24"/>
  <c r="F18" i="24"/>
  <c r="J18" i="24" s="1"/>
  <c r="K18" i="24" s="1"/>
  <c r="W22" i="24"/>
  <c r="AD18" i="24"/>
  <c r="AL19" i="24"/>
  <c r="AN19" i="24" s="1"/>
  <c r="P20" i="24"/>
  <c r="T21" i="24"/>
  <c r="X21" i="24" s="1"/>
  <c r="AB23" i="24"/>
  <c r="M19" i="24"/>
  <c r="Q19" i="24" s="1"/>
  <c r="R19" i="24" s="1"/>
  <c r="G23" i="24"/>
  <c r="F17" i="24"/>
  <c r="J17" i="24" s="1"/>
  <c r="W21" i="24"/>
  <c r="AA22" i="24"/>
  <c r="AE22" i="24" s="1"/>
  <c r="F22" i="24"/>
  <c r="J22" i="24" s="1"/>
  <c r="I17" i="24"/>
  <c r="M18" i="24"/>
  <c r="Q18" i="24" s="1"/>
  <c r="AD22" i="24"/>
  <c r="T20" i="24"/>
  <c r="X20" i="24" s="1"/>
  <c r="W20" i="24"/>
  <c r="AA21" i="24"/>
  <c r="AE21" i="24" s="1"/>
  <c r="I22" i="24"/>
  <c r="N23" i="24"/>
  <c r="AD21" i="24"/>
  <c r="AL22" i="24"/>
  <c r="AN22" i="24" s="1"/>
  <c r="W19" i="24"/>
  <c r="I21" i="24"/>
  <c r="M22" i="24"/>
  <c r="Q22" i="24" s="1"/>
  <c r="R22" i="24" s="1"/>
  <c r="F20" i="24"/>
  <c r="J20" i="24" s="1"/>
  <c r="K20" i="24" s="1"/>
  <c r="T19" i="24"/>
  <c r="X19" i="24" s="1"/>
  <c r="P17" i="24"/>
  <c r="T18" i="24"/>
  <c r="X18" i="24" s="1"/>
  <c r="Y18" i="24" s="1"/>
  <c r="AD20" i="24"/>
  <c r="AL21" i="24"/>
  <c r="AN21" i="24" s="1"/>
  <c r="U23" i="24"/>
  <c r="T17" i="24"/>
  <c r="X17" i="24" s="1"/>
  <c r="AT17" i="24"/>
  <c r="AJ20" i="23"/>
  <c r="AJ19" i="23"/>
  <c r="AJ18" i="23"/>
  <c r="AJ17" i="23"/>
  <c r="AM17" i="23" s="1"/>
  <c r="AK23" i="23"/>
  <c r="AC23" i="23"/>
  <c r="V23" i="23"/>
  <c r="O23" i="23"/>
  <c r="H23" i="23"/>
  <c r="D23" i="23"/>
  <c r="AM22" i="23"/>
  <c r="AB22" i="23"/>
  <c r="U22" i="23"/>
  <c r="N22" i="23"/>
  <c r="G22" i="23"/>
  <c r="AM21" i="23"/>
  <c r="AB21" i="23"/>
  <c r="U21" i="23"/>
  <c r="N21" i="23"/>
  <c r="G21" i="23"/>
  <c r="AB20" i="23"/>
  <c r="U20" i="23"/>
  <c r="N20" i="23"/>
  <c r="G20" i="23"/>
  <c r="AL19" i="23"/>
  <c r="AB19" i="23"/>
  <c r="U19" i="23"/>
  <c r="N19" i="23"/>
  <c r="G19" i="23"/>
  <c r="AD18" i="23"/>
  <c r="AB18" i="23"/>
  <c r="U18" i="23"/>
  <c r="N18" i="23"/>
  <c r="G18" i="23"/>
  <c r="AD17" i="23"/>
  <c r="AB17" i="23"/>
  <c r="U17" i="23"/>
  <c r="N17" i="23"/>
  <c r="I17" i="23"/>
  <c r="G17" i="23"/>
  <c r="D2" i="23"/>
  <c r="D1" i="23"/>
  <c r="AL20" i="23" s="1"/>
  <c r="AJ19" i="22"/>
  <c r="AJ18" i="22"/>
  <c r="AK23" i="22"/>
  <c r="AC23" i="22"/>
  <c r="V23" i="22"/>
  <c r="O23" i="22"/>
  <c r="H23" i="22"/>
  <c r="D23" i="22"/>
  <c r="AM22" i="22"/>
  <c r="AB22" i="22"/>
  <c r="U22" i="22"/>
  <c r="N22" i="22"/>
  <c r="G22" i="22"/>
  <c r="AM21" i="22"/>
  <c r="AB21" i="22"/>
  <c r="W21" i="22"/>
  <c r="U21" i="22"/>
  <c r="N21" i="22"/>
  <c r="G21" i="22"/>
  <c r="AM20" i="22"/>
  <c r="AB20" i="22"/>
  <c r="U20" i="22"/>
  <c r="N20" i="22"/>
  <c r="G20" i="22"/>
  <c r="AL19" i="22"/>
  <c r="AB19" i="22"/>
  <c r="U19" i="22"/>
  <c r="N19" i="22"/>
  <c r="G19" i="22"/>
  <c r="AL18" i="22"/>
  <c r="AB18" i="22"/>
  <c r="U18" i="22"/>
  <c r="N18" i="22"/>
  <c r="I18" i="22"/>
  <c r="G18" i="22"/>
  <c r="AM17" i="22"/>
  <c r="AL17" i="22"/>
  <c r="AD17" i="22"/>
  <c r="AB17" i="22"/>
  <c r="U17" i="22"/>
  <c r="N17" i="22"/>
  <c r="I17" i="22"/>
  <c r="G17" i="22"/>
  <c r="D2" i="22"/>
  <c r="D1" i="22"/>
  <c r="AL20" i="22" s="1"/>
  <c r="AJ20" i="21"/>
  <c r="AM20" i="21" s="1"/>
  <c r="AJ19" i="21"/>
  <c r="AM19" i="21" s="1"/>
  <c r="AJ18" i="21"/>
  <c r="AK23" i="21"/>
  <c r="AC23" i="21"/>
  <c r="V23" i="21"/>
  <c r="O23" i="21"/>
  <c r="H23" i="21"/>
  <c r="D23" i="21"/>
  <c r="AM22" i="21"/>
  <c r="AB22" i="21"/>
  <c r="U22" i="21"/>
  <c r="N22" i="21"/>
  <c r="G22" i="21"/>
  <c r="AM21" i="21"/>
  <c r="AB21" i="21"/>
  <c r="W21" i="21"/>
  <c r="U21" i="21"/>
  <c r="N21" i="21"/>
  <c r="G21" i="21"/>
  <c r="AB20" i="21"/>
  <c r="U20" i="21"/>
  <c r="N20" i="21"/>
  <c r="G20" i="21"/>
  <c r="AL19" i="21"/>
  <c r="AB19" i="21"/>
  <c r="U19" i="21"/>
  <c r="P19" i="21"/>
  <c r="N19" i="21"/>
  <c r="G19" i="21"/>
  <c r="AL18" i="21"/>
  <c r="AB18" i="21"/>
  <c r="U18" i="21"/>
  <c r="P18" i="21"/>
  <c r="N18" i="21"/>
  <c r="I18" i="21"/>
  <c r="G18" i="21"/>
  <c r="AL17" i="21"/>
  <c r="AD17" i="21"/>
  <c r="AB17" i="21"/>
  <c r="U17" i="21"/>
  <c r="P17" i="21"/>
  <c r="N17" i="21"/>
  <c r="I17" i="21"/>
  <c r="G17" i="21"/>
  <c r="D2" i="21"/>
  <c r="AL20" i="21"/>
  <c r="AJ20" i="20"/>
  <c r="AM20" i="20" s="1"/>
  <c r="AJ19" i="20"/>
  <c r="AM19" i="20" s="1"/>
  <c r="AJ18" i="20"/>
  <c r="AJ17" i="20"/>
  <c r="AK23" i="20"/>
  <c r="AC23" i="20"/>
  <c r="V23" i="20"/>
  <c r="O23" i="20"/>
  <c r="H23" i="20"/>
  <c r="D23" i="20"/>
  <c r="AM22" i="20"/>
  <c r="AL22" i="20"/>
  <c r="AB22" i="20"/>
  <c r="W22" i="20"/>
  <c r="U22" i="20"/>
  <c r="P22" i="20"/>
  <c r="N22" i="20"/>
  <c r="G22" i="20"/>
  <c r="AM21" i="20"/>
  <c r="AD21" i="20"/>
  <c r="AB21" i="20"/>
  <c r="U21" i="20"/>
  <c r="P21" i="20"/>
  <c r="N21" i="20"/>
  <c r="G21" i="20"/>
  <c r="AL20" i="20"/>
  <c r="AB20" i="20"/>
  <c r="U20" i="20"/>
  <c r="N20" i="20"/>
  <c r="I20" i="20"/>
  <c r="G20" i="20"/>
  <c r="AD19" i="20"/>
  <c r="AB19" i="20"/>
  <c r="U19" i="20"/>
  <c r="N19" i="20"/>
  <c r="I19" i="20"/>
  <c r="G19" i="20"/>
  <c r="AL18" i="20"/>
  <c r="AB18" i="20"/>
  <c r="W18" i="20"/>
  <c r="U18" i="20"/>
  <c r="N18" i="20"/>
  <c r="G18" i="20"/>
  <c r="AD17" i="20"/>
  <c r="AB17" i="20"/>
  <c r="W17" i="20"/>
  <c r="U17" i="20"/>
  <c r="N17" i="20"/>
  <c r="G17" i="20"/>
  <c r="D2" i="20"/>
  <c r="AL21" i="20"/>
  <c r="AJ20" i="18"/>
  <c r="AJ19" i="18"/>
  <c r="AJ18" i="18"/>
  <c r="AM18" i="18" s="1"/>
  <c r="AJ17" i="18"/>
  <c r="AK23" i="18"/>
  <c r="AC23" i="18"/>
  <c r="V23" i="18"/>
  <c r="O23" i="18"/>
  <c r="H23" i="18"/>
  <c r="D23" i="18"/>
  <c r="AM22" i="18"/>
  <c r="AB22" i="18"/>
  <c r="U22" i="18"/>
  <c r="N22" i="18"/>
  <c r="G22" i="18"/>
  <c r="AM21" i="18"/>
  <c r="AB21" i="18"/>
  <c r="W21" i="18"/>
  <c r="U21" i="18"/>
  <c r="N21" i="18"/>
  <c r="G21" i="18"/>
  <c r="AB20" i="18"/>
  <c r="U20" i="18"/>
  <c r="N20" i="18"/>
  <c r="G20" i="18"/>
  <c r="AL19" i="18"/>
  <c r="AB19" i="18"/>
  <c r="U19" i="18"/>
  <c r="P19" i="18"/>
  <c r="N19" i="18"/>
  <c r="I19" i="18"/>
  <c r="G19" i="18"/>
  <c r="AL18" i="18"/>
  <c r="AD18" i="18"/>
  <c r="AB18" i="18"/>
  <c r="U18" i="18"/>
  <c r="N18" i="18"/>
  <c r="I18" i="18"/>
  <c r="G18" i="18"/>
  <c r="AL17" i="18"/>
  <c r="AD17" i="18"/>
  <c r="AB17" i="18"/>
  <c r="W17" i="18"/>
  <c r="U17" i="18"/>
  <c r="N17" i="18"/>
  <c r="I17" i="18"/>
  <c r="G17" i="18"/>
  <c r="D2" i="18"/>
  <c r="AL20" i="18"/>
  <c r="AK23" i="17"/>
  <c r="AC23" i="17"/>
  <c r="V23" i="17"/>
  <c r="O23" i="17"/>
  <c r="H23" i="17"/>
  <c r="D23" i="17"/>
  <c r="AM22" i="17"/>
  <c r="AB22" i="17"/>
  <c r="U22" i="17"/>
  <c r="N22" i="17"/>
  <c r="G22" i="17"/>
  <c r="AM21" i="17"/>
  <c r="AB21" i="17"/>
  <c r="U21" i="17"/>
  <c r="N21" i="17"/>
  <c r="G21" i="17"/>
  <c r="AM20" i="17"/>
  <c r="AB20" i="17"/>
  <c r="U20" i="17"/>
  <c r="N20" i="17"/>
  <c r="G20" i="17"/>
  <c r="AM19" i="17"/>
  <c r="AL19" i="17"/>
  <c r="AB19" i="17"/>
  <c r="U19" i="17"/>
  <c r="N19" i="17"/>
  <c r="G19" i="17"/>
  <c r="AL18" i="17"/>
  <c r="AM18" i="17"/>
  <c r="AD18" i="17"/>
  <c r="AB18" i="17"/>
  <c r="U18" i="17"/>
  <c r="N18" i="17"/>
  <c r="G18" i="17"/>
  <c r="AD17" i="17"/>
  <c r="AB17" i="17"/>
  <c r="U17" i="17"/>
  <c r="N17" i="17"/>
  <c r="G17" i="17"/>
  <c r="D2" i="17"/>
  <c r="AL20" i="17"/>
  <c r="AJ18" i="16"/>
  <c r="AM18" i="16" s="1"/>
  <c r="AJ17" i="16"/>
  <c r="AK23" i="16"/>
  <c r="AC23" i="16"/>
  <c r="V23" i="16"/>
  <c r="O23" i="16"/>
  <c r="H23" i="16"/>
  <c r="D23" i="16"/>
  <c r="AM22" i="16"/>
  <c r="AB22" i="16"/>
  <c r="U22" i="16"/>
  <c r="N22" i="16"/>
  <c r="G22" i="16"/>
  <c r="AM21" i="16"/>
  <c r="AB21" i="16"/>
  <c r="U21" i="16"/>
  <c r="N21" i="16"/>
  <c r="G21" i="16"/>
  <c r="AM20" i="16"/>
  <c r="AB20" i="16"/>
  <c r="U20" i="16"/>
  <c r="N20" i="16"/>
  <c r="G20" i="16"/>
  <c r="AM19" i="16"/>
  <c r="AL19" i="16"/>
  <c r="AB19" i="16"/>
  <c r="U19" i="16"/>
  <c r="N19" i="16"/>
  <c r="I19" i="16"/>
  <c r="G19" i="16"/>
  <c r="AL18" i="16"/>
  <c r="AD18" i="16"/>
  <c r="AB18" i="16"/>
  <c r="U18" i="16"/>
  <c r="N18" i="16"/>
  <c r="G18" i="16"/>
  <c r="AL17" i="16"/>
  <c r="AD17" i="16"/>
  <c r="AB17" i="16"/>
  <c r="W17" i="16"/>
  <c r="U17" i="16"/>
  <c r="N17" i="16"/>
  <c r="G17" i="16"/>
  <c r="D2" i="16"/>
  <c r="AL20" i="16"/>
  <c r="AM18" i="15"/>
  <c r="AK23" i="15"/>
  <c r="AC23" i="15"/>
  <c r="V23" i="15"/>
  <c r="O23" i="15"/>
  <c r="H23" i="15"/>
  <c r="D23" i="15"/>
  <c r="AM22" i="15"/>
  <c r="AB22" i="15"/>
  <c r="U22" i="15"/>
  <c r="P22" i="15"/>
  <c r="N22" i="15"/>
  <c r="G22" i="15"/>
  <c r="AM21" i="15"/>
  <c r="AB21" i="15"/>
  <c r="U21" i="15"/>
  <c r="P21" i="15"/>
  <c r="N21" i="15"/>
  <c r="I21" i="15"/>
  <c r="G21" i="15"/>
  <c r="AM20" i="15"/>
  <c r="AB20" i="15"/>
  <c r="U20" i="15"/>
  <c r="N20" i="15"/>
  <c r="I20" i="15"/>
  <c r="G20" i="15"/>
  <c r="AM19" i="15"/>
  <c r="AB19" i="15"/>
  <c r="U19" i="15"/>
  <c r="N19" i="15"/>
  <c r="I19" i="15"/>
  <c r="G19" i="15"/>
  <c r="AL18" i="15"/>
  <c r="AB18" i="15"/>
  <c r="U18" i="15"/>
  <c r="N18" i="15"/>
  <c r="G18" i="15"/>
  <c r="AM17" i="15"/>
  <c r="AL17" i="15"/>
  <c r="AD17" i="15"/>
  <c r="AB17" i="15"/>
  <c r="U17" i="15"/>
  <c r="N17" i="15"/>
  <c r="G17" i="15"/>
  <c r="D2" i="15"/>
  <c r="D1" i="15"/>
  <c r="W18" i="15" s="1"/>
  <c r="AQ17" i="24" l="1"/>
  <c r="R23" i="33"/>
  <c r="CF17" i="33"/>
  <c r="CA22" i="33"/>
  <c r="CF22" i="33" s="1"/>
  <c r="CA19" i="33"/>
  <c r="CF19" i="33" s="1"/>
  <c r="AN23" i="32"/>
  <c r="CB18" i="32"/>
  <c r="CG18" i="32" s="1"/>
  <c r="BW23" i="32"/>
  <c r="CB20" i="32"/>
  <c r="CG20" i="32" s="1"/>
  <c r="CA23" i="32"/>
  <c r="S23" i="32"/>
  <c r="AU23" i="32"/>
  <c r="CB21" i="32"/>
  <c r="CG21" i="32" s="1"/>
  <c r="BB23" i="32"/>
  <c r="CB17" i="32"/>
  <c r="BP23" i="32"/>
  <c r="BI23" i="32"/>
  <c r="CB19" i="32"/>
  <c r="CG19" i="32" s="1"/>
  <c r="Z23" i="32"/>
  <c r="AG23" i="32"/>
  <c r="CB22" i="32"/>
  <c r="CG22" i="32" s="1"/>
  <c r="L23" i="32"/>
  <c r="BZ23" i="32"/>
  <c r="CA18" i="31"/>
  <c r="CF18" i="31" s="1"/>
  <c r="AT23" i="31"/>
  <c r="AF23" i="31"/>
  <c r="K23" i="31"/>
  <c r="BV23" i="31"/>
  <c r="Y23" i="31"/>
  <c r="CA20" i="31"/>
  <c r="CF20" i="31" s="1"/>
  <c r="CF17" i="31"/>
  <c r="BO23" i="31"/>
  <c r="BA23" i="31"/>
  <c r="CA21" i="31"/>
  <c r="CF21" i="31" s="1"/>
  <c r="BZ23" i="31"/>
  <c r="R23" i="31"/>
  <c r="BY23" i="31"/>
  <c r="CA22" i="31"/>
  <c r="CF22" i="31" s="1"/>
  <c r="CA19" i="31"/>
  <c r="CF19" i="31" s="1"/>
  <c r="BH23" i="31"/>
  <c r="AM23" i="31"/>
  <c r="AT25" i="30"/>
  <c r="AF25" i="30"/>
  <c r="AM25" i="30"/>
  <c r="CA24" i="30"/>
  <c r="CF24" i="30" s="1"/>
  <c r="CA21" i="30"/>
  <c r="CF21" i="30" s="1"/>
  <c r="BZ25" i="30"/>
  <c r="BF22" i="29"/>
  <c r="BK22" i="29" s="1"/>
  <c r="R19" i="27"/>
  <c r="R22" i="26"/>
  <c r="BV25" i="30"/>
  <c r="BA25" i="30"/>
  <c r="BO25" i="30"/>
  <c r="BH25" i="30"/>
  <c r="CA19" i="30"/>
  <c r="BY25" i="30"/>
  <c r="Y25" i="30"/>
  <c r="CA23" i="30"/>
  <c r="CF23" i="30" s="1"/>
  <c r="CA20" i="30"/>
  <c r="CF20" i="30" s="1"/>
  <c r="R25" i="30"/>
  <c r="K25" i="30"/>
  <c r="CA22" i="30"/>
  <c r="CF22" i="30" s="1"/>
  <c r="BF20" i="29"/>
  <c r="BK20" i="29" s="1"/>
  <c r="BE23" i="29"/>
  <c r="BF19" i="29"/>
  <c r="BK19" i="29" s="1"/>
  <c r="K23" i="29"/>
  <c r="BF18" i="29"/>
  <c r="BK18" i="29" s="1"/>
  <c r="R23" i="29"/>
  <c r="BA23" i="29"/>
  <c r="K19" i="25"/>
  <c r="AF18" i="25"/>
  <c r="AF23" i="29"/>
  <c r="AT23" i="29"/>
  <c r="AM23" i="29"/>
  <c r="BF17" i="29"/>
  <c r="BD23" i="29"/>
  <c r="Y23" i="29"/>
  <c r="BF21" i="29"/>
  <c r="BK21" i="29" s="1"/>
  <c r="BF20" i="28"/>
  <c r="BK20" i="28" s="1"/>
  <c r="BF18" i="28"/>
  <c r="BK18" i="28" s="1"/>
  <c r="BF21" i="28"/>
  <c r="BK21" i="28" s="1"/>
  <c r="K23" i="28"/>
  <c r="BF22" i="28"/>
  <c r="BK22" i="28" s="1"/>
  <c r="BE23" i="28"/>
  <c r="BD21" i="27"/>
  <c r="AN23" i="26"/>
  <c r="BA23" i="28"/>
  <c r="AR22" i="26"/>
  <c r="BF19" i="28"/>
  <c r="BK19" i="28" s="1"/>
  <c r="Y23" i="28"/>
  <c r="R23" i="28"/>
  <c r="AF23" i="28"/>
  <c r="AT23" i="28"/>
  <c r="AM23" i="28"/>
  <c r="BF17" i="28"/>
  <c r="BD23" i="28"/>
  <c r="BD17" i="27"/>
  <c r="BD20" i="27"/>
  <c r="BD18" i="27"/>
  <c r="BD22" i="27"/>
  <c r="BD19" i="27"/>
  <c r="AM21" i="27"/>
  <c r="Y22" i="27"/>
  <c r="AT19" i="27"/>
  <c r="AT18" i="27"/>
  <c r="AS23" i="27"/>
  <c r="AT20" i="27"/>
  <c r="AT22" i="27"/>
  <c r="AT21" i="27"/>
  <c r="AR23" i="27"/>
  <c r="AT17" i="27"/>
  <c r="Y18" i="27"/>
  <c r="AF20" i="27"/>
  <c r="R17" i="27"/>
  <c r="Y20" i="27"/>
  <c r="AF21" i="27"/>
  <c r="AK23" i="27"/>
  <c r="AF18" i="27"/>
  <c r="X23" i="27"/>
  <c r="Y19" i="27"/>
  <c r="K18" i="27"/>
  <c r="AL23" i="27"/>
  <c r="AF22" i="27"/>
  <c r="J23" i="27"/>
  <c r="Y21" i="27"/>
  <c r="R21" i="27"/>
  <c r="R18" i="27"/>
  <c r="AE23" i="27"/>
  <c r="Q23" i="27"/>
  <c r="AF17" i="27"/>
  <c r="AD23" i="27"/>
  <c r="AF19" i="27"/>
  <c r="W23" i="27"/>
  <c r="BE18" i="27"/>
  <c r="AM22" i="27"/>
  <c r="BE21" i="27"/>
  <c r="BE20" i="27"/>
  <c r="R18" i="25"/>
  <c r="AQ22" i="26"/>
  <c r="K19" i="27"/>
  <c r="AR19" i="24"/>
  <c r="AM18" i="27"/>
  <c r="AR19" i="26"/>
  <c r="Y17" i="25"/>
  <c r="AM17" i="27"/>
  <c r="BE19" i="27"/>
  <c r="BE22" i="27"/>
  <c r="R20" i="27"/>
  <c r="BA17" i="27"/>
  <c r="BA23" i="27" s="1"/>
  <c r="AY23" i="27"/>
  <c r="K20" i="27"/>
  <c r="AM19" i="27"/>
  <c r="R22" i="27"/>
  <c r="K21" i="27"/>
  <c r="AM20" i="27"/>
  <c r="K17" i="27"/>
  <c r="I23" i="27"/>
  <c r="BG23" i="27"/>
  <c r="BJ17" i="27"/>
  <c r="BI17" i="27" s="1"/>
  <c r="K22" i="27"/>
  <c r="BE17" i="27"/>
  <c r="P23" i="27"/>
  <c r="AR20" i="26"/>
  <c r="AM20" i="23"/>
  <c r="AN20" i="23" s="1"/>
  <c r="K20" i="26"/>
  <c r="AF19" i="26"/>
  <c r="AR21" i="26"/>
  <c r="K21" i="26"/>
  <c r="AF20" i="26"/>
  <c r="J23" i="26"/>
  <c r="R20" i="26"/>
  <c r="AR18" i="26"/>
  <c r="R21" i="26"/>
  <c r="Q23" i="26"/>
  <c r="AS17" i="26"/>
  <c r="AQ19" i="26"/>
  <c r="Y22" i="26"/>
  <c r="AT23" i="26"/>
  <c r="AW17" i="26"/>
  <c r="AV17" i="26" s="1"/>
  <c r="AQ21" i="26"/>
  <c r="R19" i="26"/>
  <c r="Y21" i="26"/>
  <c r="AQ20" i="26"/>
  <c r="Y20" i="26"/>
  <c r="AL23" i="26"/>
  <c r="K22" i="26"/>
  <c r="AD23" i="26"/>
  <c r="AR17" i="26"/>
  <c r="X23" i="26"/>
  <c r="AF21" i="26"/>
  <c r="K19" i="26"/>
  <c r="Y18" i="26"/>
  <c r="AS18" i="26" s="1"/>
  <c r="AX18" i="26" s="1"/>
  <c r="I23" i="26"/>
  <c r="AE23" i="26"/>
  <c r="AF22" i="26"/>
  <c r="W23" i="26"/>
  <c r="P23" i="26"/>
  <c r="AR18" i="25"/>
  <c r="K18" i="25"/>
  <c r="AR21" i="25"/>
  <c r="AF19" i="25"/>
  <c r="AF21" i="25"/>
  <c r="K20" i="25"/>
  <c r="R20" i="25"/>
  <c r="AR19" i="25"/>
  <c r="AR20" i="25"/>
  <c r="J23" i="25"/>
  <c r="Q23" i="25"/>
  <c r="AR22" i="25"/>
  <c r="R17" i="25"/>
  <c r="P23" i="25"/>
  <c r="Y18" i="25"/>
  <c r="AQ18" i="25"/>
  <c r="AL23" i="25"/>
  <c r="AN17" i="25"/>
  <c r="AN23" i="25" s="1"/>
  <c r="AE23" i="25"/>
  <c r="R19" i="25"/>
  <c r="R22" i="25"/>
  <c r="AQ22" i="25"/>
  <c r="Y22" i="25"/>
  <c r="AF20" i="25"/>
  <c r="K21" i="25"/>
  <c r="W23" i="25"/>
  <c r="AQ17" i="25"/>
  <c r="AF17" i="25"/>
  <c r="AD23" i="25"/>
  <c r="Y19" i="25"/>
  <c r="AQ19" i="25"/>
  <c r="K22" i="25"/>
  <c r="AQ21" i="25"/>
  <c r="Y21" i="25"/>
  <c r="Y20" i="25"/>
  <c r="AQ20" i="25"/>
  <c r="AT23" i="25"/>
  <c r="AF22" i="25"/>
  <c r="AR17" i="25"/>
  <c r="X23" i="25"/>
  <c r="K17" i="25"/>
  <c r="I23" i="25"/>
  <c r="AN23" i="24"/>
  <c r="R20" i="24"/>
  <c r="AF18" i="24"/>
  <c r="K21" i="24"/>
  <c r="AF20" i="24"/>
  <c r="AF22" i="24"/>
  <c r="Q23" i="24"/>
  <c r="T19" i="22"/>
  <c r="X19" i="22" s="1"/>
  <c r="AR22" i="24"/>
  <c r="AQ18" i="24"/>
  <c r="T19" i="23"/>
  <c r="X19" i="23" s="1"/>
  <c r="AR21" i="24"/>
  <c r="AT20" i="21"/>
  <c r="AU20" i="21" s="1"/>
  <c r="AQ22" i="24"/>
  <c r="Y22" i="24"/>
  <c r="R17" i="24"/>
  <c r="P23" i="24"/>
  <c r="K17" i="24"/>
  <c r="I23" i="24"/>
  <c r="AD23" i="24"/>
  <c r="AE23" i="24"/>
  <c r="AQ21" i="24"/>
  <c r="Y21" i="24"/>
  <c r="Y19" i="24"/>
  <c r="AS19" i="24" s="1"/>
  <c r="AV19" i="24" s="1"/>
  <c r="AQ19" i="24"/>
  <c r="J23" i="24"/>
  <c r="AL23" i="24"/>
  <c r="R18" i="24"/>
  <c r="AT23" i="24"/>
  <c r="AU17" i="24"/>
  <c r="AF21" i="24"/>
  <c r="W23" i="24"/>
  <c r="AR17" i="24"/>
  <c r="X23" i="24"/>
  <c r="K22" i="24"/>
  <c r="Y20" i="24"/>
  <c r="AQ20" i="24"/>
  <c r="AR18" i="24"/>
  <c r="AR20" i="24"/>
  <c r="Y17" i="24"/>
  <c r="AM18" i="20"/>
  <c r="AT20" i="23"/>
  <c r="AU20" i="23" s="1"/>
  <c r="AT21" i="23"/>
  <c r="AU21" i="23" s="1"/>
  <c r="AT22" i="23"/>
  <c r="AU22" i="23" s="1"/>
  <c r="F17" i="23"/>
  <c r="J17" i="23" s="1"/>
  <c r="K17" i="23" s="1"/>
  <c r="T20" i="23"/>
  <c r="X20" i="23" s="1"/>
  <c r="AA17" i="23"/>
  <c r="AE17" i="23" s="1"/>
  <c r="AF17" i="23" s="1"/>
  <c r="AM19" i="23"/>
  <c r="AN19" i="23" s="1"/>
  <c r="AT19" i="23"/>
  <c r="AU19" i="23" s="1"/>
  <c r="T18" i="23"/>
  <c r="X18" i="23" s="1"/>
  <c r="AJ23" i="20"/>
  <c r="AT20" i="20"/>
  <c r="AU20" i="20" s="1"/>
  <c r="AA21" i="23"/>
  <c r="AE21" i="23" s="1"/>
  <c r="M19" i="23"/>
  <c r="Q19" i="23" s="1"/>
  <c r="T18" i="22"/>
  <c r="X18" i="22" s="1"/>
  <c r="T17" i="23"/>
  <c r="X17" i="23" s="1"/>
  <c r="AT22" i="21"/>
  <c r="AU22" i="21" s="1"/>
  <c r="AA18" i="23"/>
  <c r="AE18" i="23" s="1"/>
  <c r="AF18" i="23" s="1"/>
  <c r="M17" i="23"/>
  <c r="Q17" i="23" s="1"/>
  <c r="AN21" i="20"/>
  <c r="AJ23" i="23"/>
  <c r="AM18" i="23"/>
  <c r="AM17" i="16"/>
  <c r="G23" i="23"/>
  <c r="AL18" i="23"/>
  <c r="F22" i="23"/>
  <c r="J22" i="23" s="1"/>
  <c r="AL17" i="23"/>
  <c r="I22" i="23"/>
  <c r="F21" i="23"/>
  <c r="J21" i="23" s="1"/>
  <c r="N23" i="23"/>
  <c r="AT18" i="23"/>
  <c r="AU18" i="23" s="1"/>
  <c r="I21" i="23"/>
  <c r="M22" i="23"/>
  <c r="Q22" i="23" s="1"/>
  <c r="F20" i="23"/>
  <c r="J20" i="23" s="1"/>
  <c r="AT17" i="23"/>
  <c r="P22" i="23"/>
  <c r="F19" i="23"/>
  <c r="J19" i="23" s="1"/>
  <c r="I20" i="23"/>
  <c r="M21" i="23"/>
  <c r="Q21" i="23" s="1"/>
  <c r="U23" i="23"/>
  <c r="F18" i="23"/>
  <c r="J18" i="23" s="1"/>
  <c r="I19" i="23"/>
  <c r="P21" i="23"/>
  <c r="T22" i="23"/>
  <c r="X22" i="23" s="1"/>
  <c r="M20" i="23"/>
  <c r="Q20" i="23" s="1"/>
  <c r="I18" i="23"/>
  <c r="W22" i="23"/>
  <c r="P20" i="23"/>
  <c r="T21" i="23"/>
  <c r="X21" i="23" s="1"/>
  <c r="AB23" i="23"/>
  <c r="M18" i="23"/>
  <c r="Q18" i="23" s="1"/>
  <c r="P19" i="23"/>
  <c r="W21" i="23"/>
  <c r="AA22" i="23"/>
  <c r="AE22" i="23" s="1"/>
  <c r="P18" i="23"/>
  <c r="AD22" i="23"/>
  <c r="P17" i="23"/>
  <c r="W19" i="23"/>
  <c r="AD21" i="23"/>
  <c r="AL22" i="23"/>
  <c r="AN22" i="23" s="1"/>
  <c r="AA20" i="23"/>
  <c r="AE20" i="23" s="1"/>
  <c r="W18" i="23"/>
  <c r="AA19" i="23"/>
  <c r="AE19" i="23" s="1"/>
  <c r="AD20" i="23"/>
  <c r="AL21" i="23"/>
  <c r="AN21" i="23" s="1"/>
  <c r="W20" i="23"/>
  <c r="W17" i="23"/>
  <c r="AD19" i="23"/>
  <c r="AT21" i="22"/>
  <c r="AU21" i="22" s="1"/>
  <c r="AT22" i="22"/>
  <c r="AU22" i="22" s="1"/>
  <c r="AM19" i="22"/>
  <c r="AN19" i="22" s="1"/>
  <c r="AA17" i="22"/>
  <c r="AE17" i="22" s="1"/>
  <c r="AF17" i="22" s="1"/>
  <c r="F18" i="22"/>
  <c r="J18" i="22" s="1"/>
  <c r="K18" i="22" s="1"/>
  <c r="AT19" i="22"/>
  <c r="AU19" i="22" s="1"/>
  <c r="T20" i="22"/>
  <c r="X20" i="22" s="1"/>
  <c r="T17" i="22"/>
  <c r="X17" i="22" s="1"/>
  <c r="AN20" i="22"/>
  <c r="AT20" i="18"/>
  <c r="AU20" i="18" s="1"/>
  <c r="M17" i="21"/>
  <c r="Q17" i="21" s="1"/>
  <c r="R17" i="21" s="1"/>
  <c r="F17" i="22"/>
  <c r="J17" i="22" s="1"/>
  <c r="K17" i="22" s="1"/>
  <c r="T18" i="21"/>
  <c r="X18" i="21" s="1"/>
  <c r="M20" i="22"/>
  <c r="Q20" i="22" s="1"/>
  <c r="U23" i="22"/>
  <c r="F17" i="21"/>
  <c r="J17" i="21" s="1"/>
  <c r="K17" i="21" s="1"/>
  <c r="AA18" i="22"/>
  <c r="AE18" i="22" s="1"/>
  <c r="AA18" i="20"/>
  <c r="AE18" i="20" s="1"/>
  <c r="M17" i="22"/>
  <c r="Q17" i="22" s="1"/>
  <c r="AJ23" i="22"/>
  <c r="G23" i="22"/>
  <c r="AT20" i="22"/>
  <c r="AU20" i="22" s="1"/>
  <c r="F22" i="22"/>
  <c r="J22" i="22" s="1"/>
  <c r="I22" i="22"/>
  <c r="F21" i="22"/>
  <c r="J21" i="22" s="1"/>
  <c r="N23" i="22"/>
  <c r="AN17" i="22"/>
  <c r="AT18" i="22"/>
  <c r="AU18" i="22" s="1"/>
  <c r="F20" i="22"/>
  <c r="J20" i="22" s="1"/>
  <c r="I21" i="22"/>
  <c r="M22" i="22"/>
  <c r="Q22" i="22" s="1"/>
  <c r="AT17" i="22"/>
  <c r="F19" i="22"/>
  <c r="J19" i="22" s="1"/>
  <c r="I20" i="22"/>
  <c r="P22" i="22"/>
  <c r="M21" i="22"/>
  <c r="Q21" i="22" s="1"/>
  <c r="AM18" i="22"/>
  <c r="I19" i="22"/>
  <c r="P21" i="22"/>
  <c r="T22" i="22"/>
  <c r="X22" i="22" s="1"/>
  <c r="M19" i="22"/>
  <c r="Q19" i="22" s="1"/>
  <c r="P20" i="22"/>
  <c r="W22" i="22"/>
  <c r="T21" i="22"/>
  <c r="X21" i="22" s="1"/>
  <c r="Y21" i="22" s="1"/>
  <c r="AB23" i="22"/>
  <c r="M18" i="22"/>
  <c r="Q18" i="22" s="1"/>
  <c r="P19" i="22"/>
  <c r="AA22" i="22"/>
  <c r="AE22" i="22" s="1"/>
  <c r="W20" i="22"/>
  <c r="AD22" i="22"/>
  <c r="AA21" i="22"/>
  <c r="AE21" i="22" s="1"/>
  <c r="W19" i="22"/>
  <c r="AA20" i="22"/>
  <c r="AE20" i="22" s="1"/>
  <c r="AD21" i="22"/>
  <c r="AL22" i="22"/>
  <c r="AN22" i="22" s="1"/>
  <c r="P17" i="22"/>
  <c r="W18" i="22"/>
  <c r="AA19" i="22"/>
  <c r="AE19" i="22" s="1"/>
  <c r="AD20" i="22"/>
  <c r="AL21" i="22"/>
  <c r="AN21" i="22" s="1"/>
  <c r="P18" i="22"/>
  <c r="W17" i="22"/>
  <c r="AD19" i="22"/>
  <c r="AD18" i="22"/>
  <c r="AT21" i="21"/>
  <c r="AU21" i="21" s="1"/>
  <c r="F18" i="21"/>
  <c r="J18" i="21" s="1"/>
  <c r="K18" i="21" s="1"/>
  <c r="M19" i="21"/>
  <c r="Q19" i="21" s="1"/>
  <c r="R19" i="21" s="1"/>
  <c r="AT18" i="21"/>
  <c r="AU18" i="21" s="1"/>
  <c r="AT19" i="21"/>
  <c r="AU19" i="21" s="1"/>
  <c r="AN20" i="21"/>
  <c r="T20" i="21"/>
  <c r="X20" i="21" s="1"/>
  <c r="M20" i="18"/>
  <c r="Q20" i="18" s="1"/>
  <c r="T17" i="21"/>
  <c r="X17" i="21" s="1"/>
  <c r="AM20" i="18"/>
  <c r="AN20" i="18" s="1"/>
  <c r="AA17" i="21"/>
  <c r="AE17" i="21" s="1"/>
  <c r="AJ23" i="21"/>
  <c r="F22" i="21"/>
  <c r="J22" i="21" s="1"/>
  <c r="M18" i="21"/>
  <c r="Q18" i="21" s="1"/>
  <c r="R18" i="21" s="1"/>
  <c r="AM18" i="21"/>
  <c r="AN18" i="21" s="1"/>
  <c r="AT21" i="18"/>
  <c r="AU21" i="18" s="1"/>
  <c r="T19" i="21"/>
  <c r="X19" i="21" s="1"/>
  <c r="AN19" i="21"/>
  <c r="G23" i="21"/>
  <c r="I22" i="21"/>
  <c r="F21" i="21"/>
  <c r="J21" i="21" s="1"/>
  <c r="N23" i="21"/>
  <c r="F20" i="21"/>
  <c r="J20" i="21" s="1"/>
  <c r="I21" i="21"/>
  <c r="M22" i="21"/>
  <c r="Q22" i="21" s="1"/>
  <c r="AT17" i="21"/>
  <c r="AM17" i="21"/>
  <c r="F19" i="21"/>
  <c r="J19" i="21" s="1"/>
  <c r="I20" i="21"/>
  <c r="P22" i="21"/>
  <c r="M21" i="21"/>
  <c r="Q21" i="21" s="1"/>
  <c r="U23" i="21"/>
  <c r="I19" i="21"/>
  <c r="M20" i="21"/>
  <c r="Q20" i="21" s="1"/>
  <c r="P21" i="21"/>
  <c r="T22" i="21"/>
  <c r="X22" i="21" s="1"/>
  <c r="P20" i="21"/>
  <c r="W22" i="21"/>
  <c r="T21" i="21"/>
  <c r="X21" i="21" s="1"/>
  <c r="Y21" i="21" s="1"/>
  <c r="AB23" i="21"/>
  <c r="AA22" i="21"/>
  <c r="AE22" i="21" s="1"/>
  <c r="W20" i="21"/>
  <c r="AD22" i="21"/>
  <c r="AA21" i="21"/>
  <c r="AE21" i="21" s="1"/>
  <c r="W19" i="21"/>
  <c r="AA20" i="21"/>
  <c r="AE20" i="21" s="1"/>
  <c r="AD21" i="21"/>
  <c r="AL22" i="21"/>
  <c r="AN22" i="21" s="1"/>
  <c r="W18" i="21"/>
  <c r="AA19" i="21"/>
  <c r="AE19" i="21" s="1"/>
  <c r="AD20" i="21"/>
  <c r="W17" i="21"/>
  <c r="AL21" i="21"/>
  <c r="AN21" i="21" s="1"/>
  <c r="AA18" i="21"/>
  <c r="AE18" i="21" s="1"/>
  <c r="AD19" i="21"/>
  <c r="AD18" i="21"/>
  <c r="AN22" i="20"/>
  <c r="AN20" i="20"/>
  <c r="AM17" i="20"/>
  <c r="AM23" i="20" s="1"/>
  <c r="M18" i="20"/>
  <c r="Q18" i="20" s="1"/>
  <c r="AT18" i="20"/>
  <c r="AU18" i="20" s="1"/>
  <c r="AN18" i="20"/>
  <c r="T22" i="20"/>
  <c r="X22" i="20" s="1"/>
  <c r="Y22" i="20" s="1"/>
  <c r="M17" i="20"/>
  <c r="Q17" i="20" s="1"/>
  <c r="T17" i="20"/>
  <c r="X17" i="20" s="1"/>
  <c r="Y17" i="20" s="1"/>
  <c r="AA21" i="20"/>
  <c r="AE21" i="20" s="1"/>
  <c r="AF21" i="20" s="1"/>
  <c r="AT19" i="20"/>
  <c r="AU19" i="20" s="1"/>
  <c r="F17" i="20"/>
  <c r="J17" i="20" s="1"/>
  <c r="AA19" i="20"/>
  <c r="AE19" i="20" s="1"/>
  <c r="AF19" i="20" s="1"/>
  <c r="F20" i="20"/>
  <c r="J20" i="20" s="1"/>
  <c r="K20" i="20" s="1"/>
  <c r="AA21" i="16"/>
  <c r="AE21" i="16" s="1"/>
  <c r="AJ23" i="16"/>
  <c r="F21" i="20"/>
  <c r="J21" i="20" s="1"/>
  <c r="AT21" i="20"/>
  <c r="AU21" i="20" s="1"/>
  <c r="M20" i="16"/>
  <c r="Q20" i="16" s="1"/>
  <c r="M18" i="18"/>
  <c r="Q18" i="18" s="1"/>
  <c r="T20" i="16"/>
  <c r="X20" i="16" s="1"/>
  <c r="AA20" i="20"/>
  <c r="AE20" i="20" s="1"/>
  <c r="F18" i="20"/>
  <c r="J18" i="20" s="1"/>
  <c r="F17" i="16"/>
  <c r="J17" i="16" s="1"/>
  <c r="AD18" i="20"/>
  <c r="AF18" i="20" s="1"/>
  <c r="AL19" i="20"/>
  <c r="AN19" i="20" s="1"/>
  <c r="AA17" i="20"/>
  <c r="AE17" i="20" s="1"/>
  <c r="G23" i="20"/>
  <c r="AT22" i="20"/>
  <c r="AU22" i="20" s="1"/>
  <c r="I22" i="20"/>
  <c r="F22" i="20"/>
  <c r="J22" i="20" s="1"/>
  <c r="AL17" i="20"/>
  <c r="N23" i="20"/>
  <c r="I21" i="20"/>
  <c r="M22" i="20"/>
  <c r="Q22" i="20" s="1"/>
  <c r="R22" i="20" s="1"/>
  <c r="U23" i="20"/>
  <c r="AT17" i="20"/>
  <c r="F19" i="20"/>
  <c r="J19" i="20" s="1"/>
  <c r="K19" i="20" s="1"/>
  <c r="P20" i="20"/>
  <c r="I18" i="20"/>
  <c r="M19" i="20"/>
  <c r="Q19" i="20" s="1"/>
  <c r="M20" i="20"/>
  <c r="Q20" i="20" s="1"/>
  <c r="W21" i="20"/>
  <c r="AA22" i="20"/>
  <c r="AE22" i="20" s="1"/>
  <c r="M21" i="20"/>
  <c r="Q21" i="20" s="1"/>
  <c r="R21" i="20" s="1"/>
  <c r="P19" i="20"/>
  <c r="T20" i="20"/>
  <c r="X20" i="20" s="1"/>
  <c r="AD22" i="20"/>
  <c r="W20" i="20"/>
  <c r="T21" i="20"/>
  <c r="X21" i="20" s="1"/>
  <c r="AB23" i="20"/>
  <c r="I17" i="20"/>
  <c r="P18" i="20"/>
  <c r="T19" i="20"/>
  <c r="X19" i="20" s="1"/>
  <c r="T18" i="20"/>
  <c r="X18" i="20" s="1"/>
  <c r="W19" i="20"/>
  <c r="P17" i="20"/>
  <c r="AD20" i="20"/>
  <c r="AJ23" i="18"/>
  <c r="AT22" i="17"/>
  <c r="AU22" i="17" s="1"/>
  <c r="AA18" i="18"/>
  <c r="AE18" i="18" s="1"/>
  <c r="AF18" i="18" s="1"/>
  <c r="AM19" i="18"/>
  <c r="AN19" i="18" s="1"/>
  <c r="AA18" i="17"/>
  <c r="AE18" i="17" s="1"/>
  <c r="AF18" i="17" s="1"/>
  <c r="AT22" i="15"/>
  <c r="AU22" i="15" s="1"/>
  <c r="M17" i="18"/>
  <c r="Q17" i="18" s="1"/>
  <c r="M20" i="17"/>
  <c r="Q20" i="17" s="1"/>
  <c r="AT22" i="18"/>
  <c r="AU22" i="18" s="1"/>
  <c r="AM17" i="18"/>
  <c r="AN17" i="18" s="1"/>
  <c r="AN18" i="18"/>
  <c r="F17" i="18"/>
  <c r="J17" i="18" s="1"/>
  <c r="K17" i="18" s="1"/>
  <c r="T20" i="18"/>
  <c r="X20" i="18" s="1"/>
  <c r="M19" i="18"/>
  <c r="Q19" i="18" s="1"/>
  <c r="R19" i="18" s="1"/>
  <c r="AT19" i="18"/>
  <c r="AU19" i="18" s="1"/>
  <c r="F19" i="18"/>
  <c r="J19" i="18" s="1"/>
  <c r="K19" i="18" s="1"/>
  <c r="T17" i="18"/>
  <c r="X17" i="18" s="1"/>
  <c r="Y17" i="18" s="1"/>
  <c r="AT18" i="15"/>
  <c r="AU18" i="15" s="1"/>
  <c r="AA19" i="18"/>
  <c r="AE19" i="18" s="1"/>
  <c r="AT22" i="16"/>
  <c r="AU22" i="16" s="1"/>
  <c r="F18" i="18"/>
  <c r="J18" i="18" s="1"/>
  <c r="K18" i="18" s="1"/>
  <c r="F22" i="18"/>
  <c r="J22" i="18" s="1"/>
  <c r="F18" i="16"/>
  <c r="J18" i="16" s="1"/>
  <c r="AA17" i="18"/>
  <c r="AE17" i="18" s="1"/>
  <c r="T17" i="15"/>
  <c r="X17" i="15" s="1"/>
  <c r="F17" i="17"/>
  <c r="J17" i="17" s="1"/>
  <c r="U23" i="18"/>
  <c r="G23" i="18"/>
  <c r="I22" i="18"/>
  <c r="F21" i="18"/>
  <c r="J21" i="18" s="1"/>
  <c r="N23" i="18"/>
  <c r="I21" i="18"/>
  <c r="M22" i="18"/>
  <c r="Q22" i="18" s="1"/>
  <c r="F20" i="18"/>
  <c r="J20" i="18" s="1"/>
  <c r="AT18" i="18"/>
  <c r="AU18" i="18" s="1"/>
  <c r="P22" i="18"/>
  <c r="I20" i="18"/>
  <c r="M21" i="18"/>
  <c r="Q21" i="18" s="1"/>
  <c r="AT17" i="18"/>
  <c r="P21" i="18"/>
  <c r="T22" i="18"/>
  <c r="X22" i="18" s="1"/>
  <c r="W22" i="18"/>
  <c r="P20" i="18"/>
  <c r="T21" i="18"/>
  <c r="X21" i="18" s="1"/>
  <c r="Y21" i="18" s="1"/>
  <c r="AB23" i="18"/>
  <c r="AA22" i="18"/>
  <c r="AE22" i="18" s="1"/>
  <c r="AD22" i="18"/>
  <c r="W20" i="18"/>
  <c r="AA21" i="18"/>
  <c r="AE21" i="18" s="1"/>
  <c r="T19" i="18"/>
  <c r="X19" i="18" s="1"/>
  <c r="AD21" i="18"/>
  <c r="AL22" i="18"/>
  <c r="AN22" i="18" s="1"/>
  <c r="W19" i="18"/>
  <c r="AA20" i="18"/>
  <c r="AE20" i="18" s="1"/>
  <c r="T18" i="18"/>
  <c r="X18" i="18" s="1"/>
  <c r="P17" i="18"/>
  <c r="AQ17" i="18" s="1"/>
  <c r="AD20" i="18"/>
  <c r="AL21" i="18"/>
  <c r="AN21" i="18" s="1"/>
  <c r="P18" i="18"/>
  <c r="W18" i="18"/>
  <c r="AD19" i="18"/>
  <c r="T20" i="17"/>
  <c r="X20" i="17" s="1"/>
  <c r="AN19" i="17"/>
  <c r="AN20" i="17"/>
  <c r="AT21" i="17"/>
  <c r="AU21" i="17" s="1"/>
  <c r="M21" i="17"/>
  <c r="Q21" i="17" s="1"/>
  <c r="AJ23" i="17"/>
  <c r="AT19" i="17"/>
  <c r="AU19" i="17" s="1"/>
  <c r="T18" i="17"/>
  <c r="X18" i="17" s="1"/>
  <c r="AT20" i="17"/>
  <c r="AU20" i="17" s="1"/>
  <c r="U23" i="17"/>
  <c r="F22" i="17"/>
  <c r="J22" i="17" s="1"/>
  <c r="F18" i="17"/>
  <c r="J18" i="17" s="1"/>
  <c r="M17" i="17"/>
  <c r="Q17" i="17" s="1"/>
  <c r="AA17" i="17"/>
  <c r="AE17" i="17" s="1"/>
  <c r="AF17" i="17" s="1"/>
  <c r="N23" i="17"/>
  <c r="T17" i="16"/>
  <c r="X17" i="16" s="1"/>
  <c r="Y17" i="16" s="1"/>
  <c r="AN18" i="17"/>
  <c r="M19" i="17"/>
  <c r="Q19" i="17" s="1"/>
  <c r="M18" i="17"/>
  <c r="Q18" i="17" s="1"/>
  <c r="G23" i="17"/>
  <c r="I22" i="17"/>
  <c r="AM17" i="17"/>
  <c r="AM23" i="17" s="1"/>
  <c r="I21" i="17"/>
  <c r="M22" i="17"/>
  <c r="Q22" i="17" s="1"/>
  <c r="F20" i="17"/>
  <c r="J20" i="17" s="1"/>
  <c r="AT18" i="17"/>
  <c r="AU18" i="17" s="1"/>
  <c r="P22" i="17"/>
  <c r="F21" i="17"/>
  <c r="J21" i="17" s="1"/>
  <c r="I20" i="17"/>
  <c r="AL17" i="17"/>
  <c r="AT17" i="17"/>
  <c r="F19" i="17"/>
  <c r="J19" i="17" s="1"/>
  <c r="P21" i="17"/>
  <c r="T22" i="17"/>
  <c r="X22" i="17" s="1"/>
  <c r="W22" i="17"/>
  <c r="I18" i="17"/>
  <c r="P20" i="17"/>
  <c r="T21" i="17"/>
  <c r="X21" i="17" s="1"/>
  <c r="AB23" i="17"/>
  <c r="AA22" i="17"/>
  <c r="AE22" i="17" s="1"/>
  <c r="AD22" i="17"/>
  <c r="AA21" i="17"/>
  <c r="AE21" i="17" s="1"/>
  <c r="P17" i="17"/>
  <c r="AD21" i="17"/>
  <c r="AL22" i="17"/>
  <c r="AN22" i="17" s="1"/>
  <c r="P18" i="17"/>
  <c r="AA20" i="17"/>
  <c r="AE20" i="17" s="1"/>
  <c r="I19" i="17"/>
  <c r="I17" i="17"/>
  <c r="P19" i="17"/>
  <c r="T17" i="17"/>
  <c r="X17" i="17" s="1"/>
  <c r="W18" i="17"/>
  <c r="AD20" i="17"/>
  <c r="AL21" i="17"/>
  <c r="AN21" i="17" s="1"/>
  <c r="T19" i="17"/>
  <c r="X19" i="17" s="1"/>
  <c r="AA19" i="17"/>
  <c r="AE19" i="17" s="1"/>
  <c r="W21" i="17"/>
  <c r="W19" i="17"/>
  <c r="W17" i="17"/>
  <c r="W20" i="17"/>
  <c r="AD19" i="17"/>
  <c r="AN20" i="16"/>
  <c r="AT20" i="16"/>
  <c r="AU20" i="16" s="1"/>
  <c r="M19" i="16"/>
  <c r="Q19" i="16" s="1"/>
  <c r="AA18" i="16"/>
  <c r="AE18" i="16" s="1"/>
  <c r="AF18" i="16" s="1"/>
  <c r="AT19" i="16"/>
  <c r="AU19" i="16" s="1"/>
  <c r="AT21" i="16"/>
  <c r="AU21" i="16" s="1"/>
  <c r="F19" i="16"/>
  <c r="J19" i="16" s="1"/>
  <c r="K19" i="16" s="1"/>
  <c r="F21" i="16"/>
  <c r="J21" i="16" s="1"/>
  <c r="U23" i="16"/>
  <c r="F22" i="16"/>
  <c r="J22" i="16" s="1"/>
  <c r="AN18" i="16"/>
  <c r="AM23" i="16"/>
  <c r="G23" i="16"/>
  <c r="N23" i="16"/>
  <c r="M19" i="15"/>
  <c r="Q19" i="15" s="1"/>
  <c r="U23" i="15"/>
  <c r="M17" i="16"/>
  <c r="Q17" i="16" s="1"/>
  <c r="AA20" i="15"/>
  <c r="AE20" i="15" s="1"/>
  <c r="AN19" i="16"/>
  <c r="I22" i="16"/>
  <c r="AA17" i="16"/>
  <c r="AE17" i="16" s="1"/>
  <c r="AN17" i="16"/>
  <c r="I21" i="16"/>
  <c r="M22" i="16"/>
  <c r="Q22" i="16" s="1"/>
  <c r="F20" i="16"/>
  <c r="J20" i="16" s="1"/>
  <c r="AT18" i="16"/>
  <c r="AU18" i="16" s="1"/>
  <c r="P22" i="16"/>
  <c r="I20" i="16"/>
  <c r="M21" i="16"/>
  <c r="Q21" i="16" s="1"/>
  <c r="AT17" i="16"/>
  <c r="P21" i="16"/>
  <c r="T22" i="16"/>
  <c r="X22" i="16" s="1"/>
  <c r="W22" i="16"/>
  <c r="P20" i="16"/>
  <c r="R20" i="16" s="1"/>
  <c r="T21" i="16"/>
  <c r="X21" i="16" s="1"/>
  <c r="AB23" i="16"/>
  <c r="AA22" i="16"/>
  <c r="AE22" i="16" s="1"/>
  <c r="I17" i="16"/>
  <c r="M18" i="16"/>
  <c r="Q18" i="16" s="1"/>
  <c r="AD22" i="16"/>
  <c r="T19" i="16"/>
  <c r="X19" i="16" s="1"/>
  <c r="AD21" i="16"/>
  <c r="AF21" i="16" s="1"/>
  <c r="AL22" i="16"/>
  <c r="AN22" i="16" s="1"/>
  <c r="W21" i="16"/>
  <c r="AA20" i="16"/>
  <c r="AE20" i="16" s="1"/>
  <c r="P19" i="16"/>
  <c r="T18" i="16"/>
  <c r="X18" i="16" s="1"/>
  <c r="W20" i="16"/>
  <c r="AD20" i="16"/>
  <c r="AL21" i="16"/>
  <c r="AN21" i="16" s="1"/>
  <c r="AA19" i="16"/>
  <c r="AE19" i="16" s="1"/>
  <c r="I18" i="16"/>
  <c r="P18" i="16"/>
  <c r="W19" i="16"/>
  <c r="P17" i="16"/>
  <c r="W18" i="16"/>
  <c r="AD19" i="16"/>
  <c r="AM23" i="15"/>
  <c r="AJ23" i="15"/>
  <c r="AT19" i="15"/>
  <c r="AU19" i="15" s="1"/>
  <c r="F20" i="15"/>
  <c r="J20" i="15" s="1"/>
  <c r="K20" i="15" s="1"/>
  <c r="G23" i="15"/>
  <c r="T20" i="15"/>
  <c r="X20" i="15" s="1"/>
  <c r="T21" i="15"/>
  <c r="X21" i="15" s="1"/>
  <c r="T18" i="15"/>
  <c r="X18" i="15" s="1"/>
  <c r="AA18" i="15"/>
  <c r="AE18" i="15" s="1"/>
  <c r="AT21" i="15"/>
  <c r="AU21" i="15" s="1"/>
  <c r="AA21" i="15"/>
  <c r="AE21" i="15" s="1"/>
  <c r="F22" i="15"/>
  <c r="J22" i="15" s="1"/>
  <c r="AN18" i="15"/>
  <c r="M17" i="15"/>
  <c r="Q17" i="15" s="1"/>
  <c r="T22" i="15"/>
  <c r="X22" i="15" s="1"/>
  <c r="F18" i="15"/>
  <c r="J18" i="15" s="1"/>
  <c r="AT20" i="15"/>
  <c r="AU20" i="15" s="1"/>
  <c r="N23" i="15"/>
  <c r="M18" i="15"/>
  <c r="Q18" i="15" s="1"/>
  <c r="F17" i="15"/>
  <c r="J17" i="15" s="1"/>
  <c r="F21" i="15"/>
  <c r="J21" i="15" s="1"/>
  <c r="K21" i="15" s="1"/>
  <c r="T19" i="15"/>
  <c r="X19" i="15" s="1"/>
  <c r="M22" i="15"/>
  <c r="Q22" i="15" s="1"/>
  <c r="M20" i="15"/>
  <c r="Q20" i="15" s="1"/>
  <c r="AD19" i="15"/>
  <c r="AL20" i="15"/>
  <c r="AN20" i="15" s="1"/>
  <c r="W17" i="15"/>
  <c r="AD18" i="15"/>
  <c r="AL19" i="15"/>
  <c r="AN19" i="15" s="1"/>
  <c r="AT17" i="15"/>
  <c r="AA17" i="15"/>
  <c r="AE17" i="15" s="1"/>
  <c r="I22" i="15"/>
  <c r="W22" i="15"/>
  <c r="AB23" i="15"/>
  <c r="AN17" i="15"/>
  <c r="M21" i="15"/>
  <c r="Q21" i="15" s="1"/>
  <c r="F19" i="15"/>
  <c r="J19" i="15" s="1"/>
  <c r="K19" i="15" s="1"/>
  <c r="P20" i="15"/>
  <c r="I18" i="15"/>
  <c r="AA22" i="15"/>
  <c r="AE22" i="15" s="1"/>
  <c r="P19" i="15"/>
  <c r="I17" i="15"/>
  <c r="AD22" i="15"/>
  <c r="W21" i="15"/>
  <c r="AD21" i="15"/>
  <c r="AL22" i="15"/>
  <c r="AN22" i="15" s="1"/>
  <c r="W19" i="15"/>
  <c r="W20" i="15"/>
  <c r="P18" i="15"/>
  <c r="AA19" i="15"/>
  <c r="AE19" i="15" s="1"/>
  <c r="P17" i="15"/>
  <c r="AD20" i="15"/>
  <c r="AL21" i="15"/>
  <c r="AN21" i="15" s="1"/>
  <c r="CA23" i="33" l="1"/>
  <c r="CB23" i="32"/>
  <c r="CG17" i="32"/>
  <c r="AS18" i="25"/>
  <c r="AX18" i="25" s="1"/>
  <c r="CA23" i="31"/>
  <c r="CA25" i="30"/>
  <c r="CF19" i="30"/>
  <c r="BF23" i="29"/>
  <c r="BK17" i="29"/>
  <c r="AR23" i="26"/>
  <c r="K18" i="16"/>
  <c r="AS18" i="24"/>
  <c r="AV18" i="24" s="1"/>
  <c r="BF23" i="28"/>
  <c r="BK17" i="28"/>
  <c r="BF18" i="27"/>
  <c r="BK18" i="27" s="1"/>
  <c r="AT23" i="27"/>
  <c r="BF21" i="27"/>
  <c r="BK21" i="27" s="1"/>
  <c r="Y23" i="27"/>
  <c r="AF23" i="27"/>
  <c r="AQ23" i="26"/>
  <c r="K23" i="26"/>
  <c r="BF22" i="27"/>
  <c r="BK22" i="27" s="1"/>
  <c r="R23" i="27"/>
  <c r="BF19" i="27"/>
  <c r="BK19" i="27" s="1"/>
  <c r="K23" i="27"/>
  <c r="AM23" i="27"/>
  <c r="BF17" i="27"/>
  <c r="BF20" i="27"/>
  <c r="BK20" i="27" s="1"/>
  <c r="BD23" i="27"/>
  <c r="BE23" i="27"/>
  <c r="AS20" i="26"/>
  <c r="AX20" i="26" s="1"/>
  <c r="AS19" i="26"/>
  <c r="AX19" i="26" s="1"/>
  <c r="AS21" i="26"/>
  <c r="AX21" i="26" s="1"/>
  <c r="AS20" i="24"/>
  <c r="AV20" i="24" s="1"/>
  <c r="R23" i="26"/>
  <c r="AN18" i="23"/>
  <c r="AS22" i="26"/>
  <c r="AX22" i="26" s="1"/>
  <c r="AX17" i="26"/>
  <c r="Y23" i="26"/>
  <c r="AF23" i="26"/>
  <c r="AS17" i="25"/>
  <c r="AX17" i="25" s="1"/>
  <c r="AR23" i="25"/>
  <c r="R18" i="18"/>
  <c r="AS22" i="25"/>
  <c r="AX22" i="25" s="1"/>
  <c r="AS20" i="25"/>
  <c r="AX20" i="25" s="1"/>
  <c r="AS21" i="25"/>
  <c r="AX21" i="25" s="1"/>
  <c r="AS19" i="25"/>
  <c r="AX19" i="25" s="1"/>
  <c r="R23" i="25"/>
  <c r="Y23" i="25"/>
  <c r="AQ23" i="25"/>
  <c r="AF23" i="25"/>
  <c r="K23" i="25"/>
  <c r="AS21" i="24"/>
  <c r="AV21" i="24" s="1"/>
  <c r="R20" i="18"/>
  <c r="AQ23" i="24"/>
  <c r="AF19" i="16"/>
  <c r="AR18" i="21"/>
  <c r="AS17" i="24"/>
  <c r="AF23" i="24"/>
  <c r="Y23" i="24"/>
  <c r="K23" i="24"/>
  <c r="AR23" i="24"/>
  <c r="R23" i="24"/>
  <c r="AS22" i="24"/>
  <c r="AV22" i="24" s="1"/>
  <c r="AM23" i="23"/>
  <c r="AR19" i="23"/>
  <c r="AF21" i="23"/>
  <c r="R19" i="23"/>
  <c r="AF20" i="23"/>
  <c r="AR17" i="23"/>
  <c r="K22" i="23"/>
  <c r="AR18" i="23"/>
  <c r="AR20" i="23"/>
  <c r="AF22" i="23"/>
  <c r="R18" i="23"/>
  <c r="J23" i="23"/>
  <c r="AF19" i="23"/>
  <c r="K20" i="23"/>
  <c r="Y17" i="23"/>
  <c r="W23" i="23"/>
  <c r="AQ17" i="23"/>
  <c r="R22" i="23"/>
  <c r="Y20" i="23"/>
  <c r="AQ20" i="23"/>
  <c r="AT23" i="23"/>
  <c r="AU17" i="23"/>
  <c r="K21" i="23"/>
  <c r="Y18" i="23"/>
  <c r="AQ18" i="23"/>
  <c r="Y19" i="23"/>
  <c r="AQ19" i="23"/>
  <c r="AL23" i="23"/>
  <c r="AN17" i="23"/>
  <c r="R17" i="23"/>
  <c r="P23" i="23"/>
  <c r="I23" i="23"/>
  <c r="AQ21" i="23"/>
  <c r="Y21" i="23"/>
  <c r="Q23" i="23"/>
  <c r="AD23" i="23"/>
  <c r="AR21" i="23"/>
  <c r="AE23" i="23"/>
  <c r="R20" i="23"/>
  <c r="AQ22" i="23"/>
  <c r="Y22" i="23"/>
  <c r="K18" i="23"/>
  <c r="X23" i="23"/>
  <c r="AR22" i="23"/>
  <c r="R21" i="23"/>
  <c r="K19" i="23"/>
  <c r="R18" i="22"/>
  <c r="AM23" i="22"/>
  <c r="AE23" i="22"/>
  <c r="R21" i="22"/>
  <c r="AN18" i="22"/>
  <c r="AN23" i="22" s="1"/>
  <c r="AR18" i="22"/>
  <c r="R20" i="22"/>
  <c r="AR17" i="22"/>
  <c r="R19" i="22"/>
  <c r="AF20" i="22"/>
  <c r="AR20" i="22"/>
  <c r="R20" i="17"/>
  <c r="K20" i="22"/>
  <c r="J23" i="22"/>
  <c r="AF18" i="22"/>
  <c r="J23" i="21"/>
  <c r="AF19" i="22"/>
  <c r="K21" i="22"/>
  <c r="Y18" i="22"/>
  <c r="AQ18" i="22"/>
  <c r="Y17" i="22"/>
  <c r="W23" i="22"/>
  <c r="AQ17" i="22"/>
  <c r="K22" i="22"/>
  <c r="AF21" i="22"/>
  <c r="AT23" i="22"/>
  <c r="AU17" i="22"/>
  <c r="I23" i="22"/>
  <c r="AF22" i="22"/>
  <c r="Y20" i="22"/>
  <c r="AQ20" i="22"/>
  <c r="Q23" i="22"/>
  <c r="AL23" i="22"/>
  <c r="AR21" i="22"/>
  <c r="AD23" i="22"/>
  <c r="AQ22" i="22"/>
  <c r="Y22" i="22"/>
  <c r="AR19" i="22"/>
  <c r="R17" i="22"/>
  <c r="P23" i="22"/>
  <c r="AQ21" i="22"/>
  <c r="AR22" i="22"/>
  <c r="Y19" i="22"/>
  <c r="AQ19" i="22"/>
  <c r="K19" i="22"/>
  <c r="X23" i="22"/>
  <c r="R22" i="22"/>
  <c r="AM23" i="21"/>
  <c r="AR17" i="21"/>
  <c r="AF17" i="21"/>
  <c r="K21" i="21"/>
  <c r="K22" i="21"/>
  <c r="AR20" i="21"/>
  <c r="AF20" i="21"/>
  <c r="R21" i="21"/>
  <c r="K20" i="21"/>
  <c r="AR19" i="21"/>
  <c r="R18" i="20"/>
  <c r="AF22" i="21"/>
  <c r="Q23" i="21"/>
  <c r="R22" i="21"/>
  <c r="AT23" i="21"/>
  <c r="AU17" i="21"/>
  <c r="AF18" i="21"/>
  <c r="P23" i="21"/>
  <c r="Y17" i="21"/>
  <c r="W23" i="21"/>
  <c r="AQ17" i="21"/>
  <c r="AN17" i="21"/>
  <c r="AN23" i="21" s="1"/>
  <c r="AF19" i="21"/>
  <c r="AF21" i="21"/>
  <c r="AQ21" i="21"/>
  <c r="AQ20" i="21"/>
  <c r="Y20" i="21"/>
  <c r="AL23" i="21"/>
  <c r="Y18" i="21"/>
  <c r="AQ18" i="21"/>
  <c r="AR21" i="21"/>
  <c r="AE23" i="21"/>
  <c r="AQ22" i="21"/>
  <c r="Y22" i="21"/>
  <c r="R20" i="21"/>
  <c r="AD23" i="21"/>
  <c r="AR22" i="21"/>
  <c r="K19" i="21"/>
  <c r="I23" i="21"/>
  <c r="X23" i="21"/>
  <c r="Y19" i="21"/>
  <c r="AQ19" i="21"/>
  <c r="K21" i="20"/>
  <c r="AR18" i="20"/>
  <c r="K18" i="20"/>
  <c r="AE23" i="20"/>
  <c r="AR20" i="20"/>
  <c r="Y18" i="20"/>
  <c r="AF20" i="20"/>
  <c r="AR21" i="20"/>
  <c r="AF22" i="20"/>
  <c r="R19" i="20"/>
  <c r="R20" i="20"/>
  <c r="AN23" i="18"/>
  <c r="AM23" i="18"/>
  <c r="K22" i="16"/>
  <c r="AR22" i="20"/>
  <c r="Q23" i="20"/>
  <c r="AL23" i="20"/>
  <c r="AN17" i="20"/>
  <c r="AN23" i="20" s="1"/>
  <c r="K22" i="20"/>
  <c r="AF17" i="20"/>
  <c r="AT23" i="20"/>
  <c r="AU17" i="20"/>
  <c r="AQ17" i="20"/>
  <c r="R17" i="20"/>
  <c r="P23" i="20"/>
  <c r="J23" i="20"/>
  <c r="Y19" i="20"/>
  <c r="AQ19" i="20"/>
  <c r="AQ18" i="20"/>
  <c r="K17" i="20"/>
  <c r="I23" i="20"/>
  <c r="AQ22" i="20"/>
  <c r="AR19" i="20"/>
  <c r="AD23" i="20"/>
  <c r="Y20" i="20"/>
  <c r="AQ20" i="20"/>
  <c r="W23" i="20"/>
  <c r="Y21" i="20"/>
  <c r="AQ21" i="20"/>
  <c r="X23" i="20"/>
  <c r="AR17" i="20"/>
  <c r="R19" i="15"/>
  <c r="AR18" i="15"/>
  <c r="W23" i="18"/>
  <c r="AF19" i="18"/>
  <c r="AR17" i="18"/>
  <c r="AR19" i="18"/>
  <c r="AF17" i="18"/>
  <c r="J23" i="18"/>
  <c r="AR18" i="18"/>
  <c r="K21" i="18"/>
  <c r="K22" i="18"/>
  <c r="R22" i="18"/>
  <c r="AR20" i="18"/>
  <c r="K21" i="16"/>
  <c r="AF21" i="18"/>
  <c r="R18" i="16"/>
  <c r="AR22" i="18"/>
  <c r="Q23" i="18"/>
  <c r="R21" i="18"/>
  <c r="AT23" i="18"/>
  <c r="AU17" i="18"/>
  <c r="K20" i="18"/>
  <c r="I23" i="18"/>
  <c r="AE23" i="18"/>
  <c r="AL23" i="18"/>
  <c r="Y18" i="18"/>
  <c r="AS18" i="18" s="1"/>
  <c r="AV18" i="18" s="1"/>
  <c r="AQ18" i="18"/>
  <c r="R17" i="18"/>
  <c r="P23" i="18"/>
  <c r="Y20" i="18"/>
  <c r="AQ20" i="18"/>
  <c r="AQ21" i="18"/>
  <c r="AR21" i="18"/>
  <c r="AD23" i="18"/>
  <c r="Y19" i="18"/>
  <c r="AQ19" i="18"/>
  <c r="AF20" i="18"/>
  <c r="AF22" i="18"/>
  <c r="AQ22" i="18"/>
  <c r="Y22" i="18"/>
  <c r="X23" i="18"/>
  <c r="K22" i="17"/>
  <c r="AF19" i="17"/>
  <c r="R21" i="17"/>
  <c r="J23" i="17"/>
  <c r="R18" i="17"/>
  <c r="Q23" i="17"/>
  <c r="K18" i="17"/>
  <c r="AE23" i="17"/>
  <c r="R19" i="17"/>
  <c r="AF21" i="17"/>
  <c r="J23" i="16"/>
  <c r="AQ18" i="15"/>
  <c r="AR18" i="16"/>
  <c r="AR20" i="17"/>
  <c r="AF20" i="15"/>
  <c r="AR19" i="15"/>
  <c r="R19" i="16"/>
  <c r="AR21" i="17"/>
  <c r="AR18" i="17"/>
  <c r="R17" i="17"/>
  <c r="P23" i="17"/>
  <c r="AF22" i="17"/>
  <c r="K21" i="17"/>
  <c r="AR22" i="17"/>
  <c r="AT23" i="17"/>
  <c r="AU17" i="17"/>
  <c r="W23" i="17"/>
  <c r="AQ17" i="17"/>
  <c r="Y17" i="17"/>
  <c r="R22" i="17"/>
  <c r="Y19" i="17"/>
  <c r="AQ19" i="17"/>
  <c r="K20" i="17"/>
  <c r="Y18" i="17"/>
  <c r="AQ18" i="17"/>
  <c r="K17" i="17"/>
  <c r="I23" i="17"/>
  <c r="AQ22" i="17"/>
  <c r="Y22" i="17"/>
  <c r="AQ21" i="17"/>
  <c r="Y21" i="17"/>
  <c r="AF20" i="17"/>
  <c r="K19" i="17"/>
  <c r="AD23" i="17"/>
  <c r="AR19" i="17"/>
  <c r="AL23" i="17"/>
  <c r="AN17" i="17"/>
  <c r="AN23" i="17" s="1"/>
  <c r="Y20" i="17"/>
  <c r="AQ20" i="17"/>
  <c r="X23" i="17"/>
  <c r="AR17" i="17"/>
  <c r="Q23" i="16"/>
  <c r="AR22" i="16"/>
  <c r="K20" i="16"/>
  <c r="AF20" i="16"/>
  <c r="AR17" i="16"/>
  <c r="AR21" i="16"/>
  <c r="R22" i="16"/>
  <c r="AR20" i="16"/>
  <c r="X23" i="15"/>
  <c r="Y18" i="15"/>
  <c r="AR20" i="15"/>
  <c r="AD23" i="16"/>
  <c r="AQ22" i="16"/>
  <c r="Y22" i="16"/>
  <c r="Y19" i="16"/>
  <c r="AQ19" i="16"/>
  <c r="R17" i="16"/>
  <c r="P23" i="16"/>
  <c r="W23" i="16"/>
  <c r="AQ17" i="16"/>
  <c r="AF17" i="16"/>
  <c r="R21" i="16"/>
  <c r="Y18" i="16"/>
  <c r="AQ18" i="16"/>
  <c r="AN23" i="16"/>
  <c r="AQ20" i="16"/>
  <c r="Y20" i="16"/>
  <c r="K17" i="16"/>
  <c r="I23" i="16"/>
  <c r="AE23" i="16"/>
  <c r="X23" i="16"/>
  <c r="AT23" i="16"/>
  <c r="AU17" i="16"/>
  <c r="AR19" i="16"/>
  <c r="AL23" i="16"/>
  <c r="AQ21" i="16"/>
  <c r="Y21" i="16"/>
  <c r="AF22" i="16"/>
  <c r="AE23" i="15"/>
  <c r="R18" i="15"/>
  <c r="AF22" i="15"/>
  <c r="AR22" i="15"/>
  <c r="AF21" i="15"/>
  <c r="K22" i="15"/>
  <c r="AF19" i="15"/>
  <c r="R22" i="15"/>
  <c r="R20" i="15"/>
  <c r="AR21" i="15"/>
  <c r="K18" i="15"/>
  <c r="AN23" i="15"/>
  <c r="R17" i="15"/>
  <c r="P23" i="15"/>
  <c r="AT23" i="15"/>
  <c r="AU17" i="15"/>
  <c r="J23" i="15"/>
  <c r="Y20" i="15"/>
  <c r="AQ20" i="15"/>
  <c r="K17" i="15"/>
  <c r="I23" i="15"/>
  <c r="Q23" i="15"/>
  <c r="AD23" i="15"/>
  <c r="AF18" i="15"/>
  <c r="AR17" i="15"/>
  <c r="AF17" i="15"/>
  <c r="Y21" i="15"/>
  <c r="AQ21" i="15"/>
  <c r="AQ22" i="15"/>
  <c r="Y22" i="15"/>
  <c r="AQ17" i="15"/>
  <c r="W23" i="15"/>
  <c r="Y17" i="15"/>
  <c r="AL23" i="15"/>
  <c r="Y19" i="15"/>
  <c r="AQ19" i="15"/>
  <c r="R21" i="15"/>
  <c r="AN23" i="23" l="1"/>
  <c r="BF23" i="27"/>
  <c r="BK17" i="27"/>
  <c r="AS23" i="26"/>
  <c r="AS21" i="20"/>
  <c r="AV21" i="20" s="1"/>
  <c r="AS18" i="20"/>
  <c r="AV18" i="20" s="1"/>
  <c r="AS23" i="25"/>
  <c r="AS19" i="23"/>
  <c r="AV19" i="23" s="1"/>
  <c r="AS23" i="24"/>
  <c r="AV17" i="24"/>
  <c r="AS21" i="18"/>
  <c r="AV21" i="18" s="1"/>
  <c r="AS21" i="23"/>
  <c r="AV21" i="23" s="1"/>
  <c r="AR23" i="23"/>
  <c r="AS21" i="21"/>
  <c r="AV21" i="21" s="1"/>
  <c r="AS20" i="22"/>
  <c r="AV20" i="22" s="1"/>
  <c r="K23" i="23"/>
  <c r="AS22" i="23"/>
  <c r="AV22" i="23" s="1"/>
  <c r="AS21" i="22"/>
  <c r="AV21" i="22" s="1"/>
  <c r="R23" i="23"/>
  <c r="AS18" i="23"/>
  <c r="AV18" i="23" s="1"/>
  <c r="AS20" i="23"/>
  <c r="AV20" i="23" s="1"/>
  <c r="AQ23" i="23"/>
  <c r="AF23" i="23"/>
  <c r="Y23" i="23"/>
  <c r="AS17" i="23"/>
  <c r="AS18" i="22"/>
  <c r="AV18" i="22" s="1"/>
  <c r="R23" i="22"/>
  <c r="AS22" i="22"/>
  <c r="AV22" i="22" s="1"/>
  <c r="AS19" i="18"/>
  <c r="AV19" i="18" s="1"/>
  <c r="AS19" i="20"/>
  <c r="AV19" i="20" s="1"/>
  <c r="K23" i="18"/>
  <c r="AS22" i="20"/>
  <c r="AV22" i="20" s="1"/>
  <c r="K23" i="22"/>
  <c r="AS18" i="21"/>
  <c r="AV18" i="21" s="1"/>
  <c r="AS19" i="22"/>
  <c r="AV19" i="22" s="1"/>
  <c r="AR23" i="22"/>
  <c r="AQ23" i="22"/>
  <c r="AF23" i="22"/>
  <c r="Y23" i="22"/>
  <c r="AS17" i="22"/>
  <c r="K23" i="21"/>
  <c r="AS22" i="21"/>
  <c r="AV22" i="21" s="1"/>
  <c r="AR23" i="21"/>
  <c r="R23" i="21"/>
  <c r="R23" i="18"/>
  <c r="K23" i="20"/>
  <c r="AS19" i="21"/>
  <c r="AV19" i="21" s="1"/>
  <c r="AS18" i="16"/>
  <c r="AV18" i="16" s="1"/>
  <c r="AS20" i="21"/>
  <c r="AV20" i="21" s="1"/>
  <c r="AQ23" i="21"/>
  <c r="AF23" i="21"/>
  <c r="Y23" i="21"/>
  <c r="AS17" i="21"/>
  <c r="R23" i="20"/>
  <c r="AS20" i="20"/>
  <c r="AV20" i="20" s="1"/>
  <c r="AR23" i="20"/>
  <c r="AR23" i="18"/>
  <c r="AQ23" i="20"/>
  <c r="AF23" i="20"/>
  <c r="AS17" i="20"/>
  <c r="Y23" i="20"/>
  <c r="AS22" i="18"/>
  <c r="AV22" i="18" s="1"/>
  <c r="AQ23" i="18"/>
  <c r="AS19" i="16"/>
  <c r="AV19" i="16" s="1"/>
  <c r="AS20" i="18"/>
  <c r="AV20" i="18" s="1"/>
  <c r="Y23" i="18"/>
  <c r="AS17" i="18"/>
  <c r="AF23" i="18"/>
  <c r="AS18" i="17"/>
  <c r="AV18" i="17" s="1"/>
  <c r="AS22" i="17"/>
  <c r="AV22" i="17" s="1"/>
  <c r="AS21" i="17"/>
  <c r="AV21" i="17" s="1"/>
  <c r="AR23" i="17"/>
  <c r="AR23" i="15"/>
  <c r="AS22" i="15"/>
  <c r="AV22" i="15" s="1"/>
  <c r="AS20" i="17"/>
  <c r="AV20" i="17" s="1"/>
  <c r="K23" i="16"/>
  <c r="AS20" i="16"/>
  <c r="AV20" i="16" s="1"/>
  <c r="AS18" i="15"/>
  <c r="AV18" i="15" s="1"/>
  <c r="AS20" i="15"/>
  <c r="AV20" i="15" s="1"/>
  <c r="K23" i="17"/>
  <c r="AS19" i="17"/>
  <c r="AV19" i="17" s="1"/>
  <c r="AQ23" i="17"/>
  <c r="AF23" i="17"/>
  <c r="Y23" i="17"/>
  <c r="AS17" i="17"/>
  <c r="R23" i="17"/>
  <c r="AR23" i="16"/>
  <c r="AS21" i="16"/>
  <c r="AV21" i="16" s="1"/>
  <c r="AF23" i="16"/>
  <c r="AQ23" i="16"/>
  <c r="AS22" i="16"/>
  <c r="AV22" i="16" s="1"/>
  <c r="AS17" i="16"/>
  <c r="R23" i="16"/>
  <c r="Y23" i="16"/>
  <c r="K23" i="15"/>
  <c r="AS19" i="15"/>
  <c r="AV19" i="15" s="1"/>
  <c r="AF23" i="15"/>
  <c r="AS17" i="15"/>
  <c r="Y23" i="15"/>
  <c r="AS21" i="15"/>
  <c r="AV21" i="15" s="1"/>
  <c r="AQ23" i="15"/>
  <c r="R23" i="15"/>
  <c r="D1" i="9"/>
  <c r="AB17" i="9"/>
  <c r="AB18" i="9"/>
  <c r="AB19" i="9"/>
  <c r="AB20" i="9"/>
  <c r="AB21" i="9"/>
  <c r="AB22" i="9"/>
  <c r="U17" i="9"/>
  <c r="U18" i="9"/>
  <c r="U19" i="9"/>
  <c r="U20" i="9"/>
  <c r="U21" i="9"/>
  <c r="U22" i="9"/>
  <c r="N17" i="9"/>
  <c r="N18" i="9"/>
  <c r="N19" i="9"/>
  <c r="N20" i="9"/>
  <c r="N21" i="9"/>
  <c r="N22" i="9"/>
  <c r="G17" i="9"/>
  <c r="G18" i="9"/>
  <c r="G19" i="9"/>
  <c r="G20" i="9"/>
  <c r="G21" i="9"/>
  <c r="G22" i="9"/>
  <c r="AK23" i="9"/>
  <c r="AJ23" i="9"/>
  <c r="AC23" i="9"/>
  <c r="V23" i="9"/>
  <c r="O23" i="9"/>
  <c r="H23" i="9"/>
  <c r="D23" i="9"/>
  <c r="AM22" i="9"/>
  <c r="AM21" i="9"/>
  <c r="AM20" i="9"/>
  <c r="AM19" i="9"/>
  <c r="AM18" i="9"/>
  <c r="AM17" i="9"/>
  <c r="W17" i="9"/>
  <c r="D2" i="9"/>
  <c r="P20" i="9"/>
  <c r="AS23" i="23" l="1"/>
  <c r="AV17" i="23"/>
  <c r="AS23" i="22"/>
  <c r="AV17" i="22"/>
  <c r="AS23" i="21"/>
  <c r="AV17" i="21"/>
  <c r="AS23" i="20"/>
  <c r="AV17" i="20"/>
  <c r="AS23" i="18"/>
  <c r="AV17" i="18"/>
  <c r="AS23" i="17"/>
  <c r="AV17" i="17"/>
  <c r="AS23" i="16"/>
  <c r="AV17" i="16"/>
  <c r="AS23" i="15"/>
  <c r="AV17" i="15"/>
  <c r="AT22" i="9"/>
  <c r="AU22" i="9" s="1"/>
  <c r="AA17" i="9"/>
  <c r="AE17" i="9" s="1"/>
  <c r="T17" i="9"/>
  <c r="X17" i="9" s="1"/>
  <c r="Y17" i="9" s="1"/>
  <c r="F18" i="9"/>
  <c r="J18" i="9" s="1"/>
  <c r="F21" i="9"/>
  <c r="J21" i="9" s="1"/>
  <c r="F19" i="9"/>
  <c r="J19" i="9" s="1"/>
  <c r="F20" i="9"/>
  <c r="J20" i="9" s="1"/>
  <c r="F17" i="9"/>
  <c r="J17" i="9" s="1"/>
  <c r="T19" i="9"/>
  <c r="X19" i="9" s="1"/>
  <c r="T22" i="9"/>
  <c r="X22" i="9" s="1"/>
  <c r="AA18" i="9"/>
  <c r="AE18" i="9" s="1"/>
  <c r="M19" i="9"/>
  <c r="Q19" i="9" s="1"/>
  <c r="AT19" i="9"/>
  <c r="AU19" i="9" s="1"/>
  <c r="AM23" i="9"/>
  <c r="AT20" i="9"/>
  <c r="AU20" i="9" s="1"/>
  <c r="AT21" i="9"/>
  <c r="AU21" i="9" s="1"/>
  <c r="AT18" i="9"/>
  <c r="AU18" i="9" s="1"/>
  <c r="W18" i="9"/>
  <c r="I21" i="9"/>
  <c r="I19" i="9"/>
  <c r="I17" i="9"/>
  <c r="T21" i="9"/>
  <c r="X21" i="9" s="1"/>
  <c r="W22" i="9"/>
  <c r="M18" i="9"/>
  <c r="Q18" i="9" s="1"/>
  <c r="AL18" i="9"/>
  <c r="AN18" i="9" s="1"/>
  <c r="P19" i="9"/>
  <c r="T20" i="9"/>
  <c r="X20" i="9" s="1"/>
  <c r="W21" i="9"/>
  <c r="AB23" i="9"/>
  <c r="M17" i="9"/>
  <c r="Q17" i="9" s="1"/>
  <c r="AL17" i="9"/>
  <c r="P18" i="9"/>
  <c r="AA22" i="9"/>
  <c r="AE22" i="9" s="1"/>
  <c r="G23" i="9"/>
  <c r="W20" i="9"/>
  <c r="F22" i="9"/>
  <c r="J22" i="9" s="1"/>
  <c r="AA21" i="9"/>
  <c r="AE21" i="9" s="1"/>
  <c r="AD22" i="9"/>
  <c r="P17" i="9"/>
  <c r="I22" i="9"/>
  <c r="T18" i="9"/>
  <c r="X18" i="9" s="1"/>
  <c r="W19" i="9"/>
  <c r="AA20" i="9"/>
  <c r="AE20" i="9" s="1"/>
  <c r="AD21" i="9"/>
  <c r="N23" i="9"/>
  <c r="AT17" i="9"/>
  <c r="AA19" i="9"/>
  <c r="AE19" i="9" s="1"/>
  <c r="AD20" i="9"/>
  <c r="M22" i="9"/>
  <c r="Q22" i="9" s="1"/>
  <c r="AL22" i="9"/>
  <c r="AN22" i="9" s="1"/>
  <c r="I20" i="9"/>
  <c r="AD19" i="9"/>
  <c r="M21" i="9"/>
  <c r="Q21" i="9" s="1"/>
  <c r="AL21" i="9"/>
  <c r="AN21" i="9" s="1"/>
  <c r="P22" i="9"/>
  <c r="AD18" i="9"/>
  <c r="M20" i="9"/>
  <c r="Q20" i="9" s="1"/>
  <c r="R20" i="9" s="1"/>
  <c r="AL20" i="9"/>
  <c r="AN20" i="9" s="1"/>
  <c r="P21" i="9"/>
  <c r="U23" i="9"/>
  <c r="I18" i="9"/>
  <c r="AD17" i="9"/>
  <c r="AL19" i="9"/>
  <c r="AN19" i="9" s="1"/>
  <c r="E1" i="1"/>
  <c r="O74" i="1" s="1"/>
  <c r="D72" i="1"/>
  <c r="V74" i="1"/>
  <c r="T74" i="1"/>
  <c r="S74" i="1"/>
  <c r="Q74" i="1"/>
  <c r="P74" i="1"/>
  <c r="K74" i="1"/>
  <c r="G74" i="1"/>
  <c r="F74" i="1"/>
  <c r="AQ17" i="9" l="1"/>
  <c r="K21" i="9"/>
  <c r="Y18" i="9"/>
  <c r="K18" i="9"/>
  <c r="K20" i="9"/>
  <c r="J23" i="9"/>
  <c r="K19" i="9"/>
  <c r="AE23" i="9"/>
  <c r="AF22" i="9"/>
  <c r="AF18" i="9"/>
  <c r="R19" i="9"/>
  <c r="K22" i="9"/>
  <c r="AF19" i="9"/>
  <c r="AR22" i="9"/>
  <c r="P23" i="9"/>
  <c r="R17" i="9"/>
  <c r="AQ22" i="9"/>
  <c r="Y22" i="9"/>
  <c r="AR21" i="9"/>
  <c r="I23" i="9"/>
  <c r="K17" i="9"/>
  <c r="AF20" i="9"/>
  <c r="Y20" i="9"/>
  <c r="AQ20" i="9"/>
  <c r="AT23" i="9"/>
  <c r="AU17" i="9"/>
  <c r="R18" i="9"/>
  <c r="AR19" i="9"/>
  <c r="AF21" i="9"/>
  <c r="AL23" i="9"/>
  <c r="AN17" i="9"/>
  <c r="AN23" i="9" s="1"/>
  <c r="Q23" i="9"/>
  <c r="AD23" i="9"/>
  <c r="AF17" i="9"/>
  <c r="R21" i="9"/>
  <c r="Y19" i="9"/>
  <c r="AQ19" i="9"/>
  <c r="W23" i="9"/>
  <c r="AR18" i="9"/>
  <c r="AQ21" i="9"/>
  <c r="Y21" i="9"/>
  <c r="AQ18" i="9"/>
  <c r="AR20" i="9"/>
  <c r="X23" i="9"/>
  <c r="R22" i="9"/>
  <c r="AR17" i="9"/>
  <c r="J74" i="1"/>
  <c r="R74" i="1"/>
  <c r="U74" i="1" s="1"/>
  <c r="V69" i="1"/>
  <c r="Q69" i="1"/>
  <c r="P69" i="1"/>
  <c r="O69" i="1"/>
  <c r="K69" i="1"/>
  <c r="J69" i="1"/>
  <c r="G69" i="1"/>
  <c r="S69" i="1" s="1"/>
  <c r="T69" i="1" s="1"/>
  <c r="F69" i="1"/>
  <c r="R69" i="1" s="1"/>
  <c r="AS20" i="9" l="1"/>
  <c r="AV20" i="9" s="1"/>
  <c r="AS17" i="9"/>
  <c r="AV17" i="9" s="1"/>
  <c r="AS22" i="9"/>
  <c r="AV22" i="9" s="1"/>
  <c r="AQ23" i="9"/>
  <c r="AS18" i="9"/>
  <c r="AV18" i="9" s="1"/>
  <c r="AS19" i="9"/>
  <c r="AV19" i="9" s="1"/>
  <c r="K23" i="9"/>
  <c r="AS21" i="9"/>
  <c r="AV21" i="9" s="1"/>
  <c r="AR23" i="9"/>
  <c r="R23" i="9"/>
  <c r="Y23" i="9"/>
  <c r="AF23" i="9"/>
  <c r="U69" i="1"/>
  <c r="N63" i="1"/>
  <c r="N62" i="1"/>
  <c r="O62" i="1" s="1"/>
  <c r="N61" i="1"/>
  <c r="M61" i="1"/>
  <c r="I61" i="1"/>
  <c r="J61" i="1" s="1"/>
  <c r="I63" i="1"/>
  <c r="I62" i="1"/>
  <c r="I60" i="1"/>
  <c r="Q60" i="1" s="1"/>
  <c r="H60" i="1"/>
  <c r="H61" i="1"/>
  <c r="E63" i="1"/>
  <c r="E62" i="1"/>
  <c r="E61" i="1"/>
  <c r="D61" i="1"/>
  <c r="I58" i="1"/>
  <c r="I57" i="1"/>
  <c r="H58" i="1"/>
  <c r="H57" i="1"/>
  <c r="F56" i="1"/>
  <c r="G56" i="1"/>
  <c r="S56" i="1" s="1"/>
  <c r="T56" i="1" s="1"/>
  <c r="J56" i="1"/>
  <c r="K56" i="1"/>
  <c r="O56" i="1"/>
  <c r="P56" i="1"/>
  <c r="Q56" i="1"/>
  <c r="V56" i="1"/>
  <c r="F57" i="1"/>
  <c r="G57" i="1"/>
  <c r="J57" i="1"/>
  <c r="K57" i="1"/>
  <c r="O57" i="1"/>
  <c r="P57" i="1"/>
  <c r="Q57" i="1"/>
  <c r="V57" i="1"/>
  <c r="F58" i="1"/>
  <c r="G58" i="1"/>
  <c r="J58" i="1"/>
  <c r="K58" i="1"/>
  <c r="O58" i="1"/>
  <c r="P58" i="1"/>
  <c r="Q58" i="1"/>
  <c r="V58" i="1"/>
  <c r="F59" i="1"/>
  <c r="G59" i="1"/>
  <c r="J59" i="1"/>
  <c r="K59" i="1"/>
  <c r="O59" i="1"/>
  <c r="P59" i="1"/>
  <c r="Q59" i="1"/>
  <c r="V59" i="1"/>
  <c r="F60" i="1"/>
  <c r="G60" i="1"/>
  <c r="J60" i="1"/>
  <c r="K60" i="1"/>
  <c r="O60" i="1"/>
  <c r="P60" i="1"/>
  <c r="V60" i="1"/>
  <c r="F61" i="1"/>
  <c r="G61" i="1"/>
  <c r="K61" i="1"/>
  <c r="O61" i="1"/>
  <c r="P61" i="1"/>
  <c r="Q61" i="1"/>
  <c r="V61" i="1"/>
  <c r="F62" i="1"/>
  <c r="G62" i="1"/>
  <c r="J62" i="1"/>
  <c r="K62" i="1"/>
  <c r="P62" i="1"/>
  <c r="V62" i="1"/>
  <c r="F63" i="1"/>
  <c r="G63" i="1"/>
  <c r="J63" i="1"/>
  <c r="K63" i="1"/>
  <c r="O63" i="1"/>
  <c r="P63" i="1"/>
  <c r="Q63" i="1"/>
  <c r="V63" i="1"/>
  <c r="F64" i="1"/>
  <c r="G64" i="1"/>
  <c r="J64" i="1"/>
  <c r="K64" i="1"/>
  <c r="O64" i="1"/>
  <c r="P64" i="1"/>
  <c r="Q64" i="1"/>
  <c r="V64" i="1"/>
  <c r="F65" i="1"/>
  <c r="G65" i="1"/>
  <c r="J65" i="1"/>
  <c r="K65" i="1"/>
  <c r="O65" i="1"/>
  <c r="P65" i="1"/>
  <c r="Q65" i="1"/>
  <c r="V65" i="1"/>
  <c r="F66" i="1"/>
  <c r="R66" i="1" s="1"/>
  <c r="G66" i="1"/>
  <c r="J66" i="1"/>
  <c r="K66" i="1"/>
  <c r="O66" i="1"/>
  <c r="P66" i="1"/>
  <c r="Q66" i="1"/>
  <c r="V66" i="1"/>
  <c r="F67" i="1"/>
  <c r="G67" i="1"/>
  <c r="J67" i="1"/>
  <c r="K67" i="1"/>
  <c r="O67" i="1"/>
  <c r="P67" i="1"/>
  <c r="Q67" i="1"/>
  <c r="V67" i="1"/>
  <c r="F68" i="1"/>
  <c r="G68" i="1"/>
  <c r="J68" i="1"/>
  <c r="K68" i="1"/>
  <c r="O68" i="1"/>
  <c r="P68" i="1"/>
  <c r="Q68" i="1"/>
  <c r="V68" i="1"/>
  <c r="F70" i="1"/>
  <c r="G70" i="1"/>
  <c r="J70" i="1"/>
  <c r="K70" i="1"/>
  <c r="O70" i="1"/>
  <c r="P70" i="1"/>
  <c r="Q70" i="1"/>
  <c r="V70" i="1"/>
  <c r="F71" i="1"/>
  <c r="G71" i="1"/>
  <c r="J71" i="1"/>
  <c r="K71" i="1"/>
  <c r="O71" i="1"/>
  <c r="P71" i="1"/>
  <c r="Q71" i="1"/>
  <c r="V71" i="1"/>
  <c r="F72" i="1"/>
  <c r="G72" i="1"/>
  <c r="J72" i="1"/>
  <c r="K72" i="1"/>
  <c r="O72" i="1"/>
  <c r="P72" i="1"/>
  <c r="Q72" i="1"/>
  <c r="V72" i="1"/>
  <c r="F73" i="1"/>
  <c r="G73" i="1"/>
  <c r="J73" i="1"/>
  <c r="K73" i="1"/>
  <c r="O73" i="1"/>
  <c r="P73" i="1"/>
  <c r="Q73" i="1"/>
  <c r="V73" i="1"/>
  <c r="F75" i="1"/>
  <c r="G75" i="1"/>
  <c r="J75" i="1"/>
  <c r="K75" i="1"/>
  <c r="O75" i="1"/>
  <c r="P75" i="1"/>
  <c r="Q75" i="1"/>
  <c r="V75" i="1"/>
  <c r="F76" i="1"/>
  <c r="R76" i="1" s="1"/>
  <c r="G76" i="1"/>
  <c r="J76" i="1"/>
  <c r="K76" i="1"/>
  <c r="O76" i="1"/>
  <c r="P76" i="1"/>
  <c r="Q76" i="1"/>
  <c r="V76" i="1"/>
  <c r="F77" i="1"/>
  <c r="G77" i="1"/>
  <c r="J77" i="1"/>
  <c r="K77" i="1"/>
  <c r="O77" i="1"/>
  <c r="P77" i="1"/>
  <c r="Q77" i="1"/>
  <c r="V77" i="1"/>
  <c r="F78" i="1"/>
  <c r="G78" i="1"/>
  <c r="J78" i="1"/>
  <c r="K78" i="1"/>
  <c r="O78" i="1"/>
  <c r="P78" i="1"/>
  <c r="Q78" i="1"/>
  <c r="V78" i="1"/>
  <c r="F79" i="1"/>
  <c r="G79" i="1"/>
  <c r="J79" i="1"/>
  <c r="K79" i="1"/>
  <c r="O79" i="1"/>
  <c r="P79" i="1"/>
  <c r="Q79" i="1"/>
  <c r="V79" i="1"/>
  <c r="F80" i="1"/>
  <c r="G80" i="1"/>
  <c r="J80" i="1"/>
  <c r="K80" i="1"/>
  <c r="O80" i="1"/>
  <c r="P80" i="1"/>
  <c r="Q80" i="1"/>
  <c r="V80" i="1"/>
  <c r="F81" i="1"/>
  <c r="G81" i="1"/>
  <c r="J81" i="1"/>
  <c r="K81" i="1"/>
  <c r="O81" i="1"/>
  <c r="P81" i="1"/>
  <c r="Q81" i="1"/>
  <c r="V81" i="1"/>
  <c r="F82" i="1"/>
  <c r="G82" i="1"/>
  <c r="J82" i="1"/>
  <c r="K82" i="1"/>
  <c r="O82" i="1"/>
  <c r="P82" i="1"/>
  <c r="Q82" i="1"/>
  <c r="V82" i="1"/>
  <c r="F83" i="1"/>
  <c r="R83" i="1" s="1"/>
  <c r="G83" i="1"/>
  <c r="J83" i="1"/>
  <c r="K83" i="1"/>
  <c r="O83" i="1"/>
  <c r="P83" i="1"/>
  <c r="Q83" i="1"/>
  <c r="V83" i="1"/>
  <c r="F84" i="1"/>
  <c r="R84" i="1" s="1"/>
  <c r="G84" i="1"/>
  <c r="J84" i="1"/>
  <c r="K84" i="1"/>
  <c r="O84" i="1"/>
  <c r="P84" i="1"/>
  <c r="Q84" i="1"/>
  <c r="V84" i="1"/>
  <c r="F85" i="1"/>
  <c r="G85" i="1"/>
  <c r="J85" i="1"/>
  <c r="K85" i="1"/>
  <c r="O85" i="1"/>
  <c r="P85" i="1"/>
  <c r="Q85" i="1"/>
  <c r="V85" i="1"/>
  <c r="F86" i="1"/>
  <c r="R86" i="1" s="1"/>
  <c r="G86" i="1"/>
  <c r="J86" i="1"/>
  <c r="K86" i="1"/>
  <c r="O86" i="1"/>
  <c r="P86" i="1"/>
  <c r="Q86" i="1"/>
  <c r="V86" i="1"/>
  <c r="AS23" i="9" l="1"/>
  <c r="R59" i="1"/>
  <c r="R72" i="1"/>
  <c r="Q62" i="1"/>
  <c r="R61" i="1"/>
  <c r="R57" i="1"/>
  <c r="S57" i="1"/>
  <c r="T57" i="1" s="1"/>
  <c r="R56" i="1"/>
  <c r="U56" i="1" s="1"/>
  <c r="S58" i="1"/>
  <c r="T58" i="1" s="1"/>
  <c r="S59" i="1"/>
  <c r="T59" i="1" s="1"/>
  <c r="U59" i="1" s="1"/>
  <c r="R62" i="1"/>
  <c r="R58" i="1"/>
  <c r="S60" i="1"/>
  <c r="T60" i="1" s="1"/>
  <c r="S61" i="1"/>
  <c r="T61" i="1" s="1"/>
  <c r="U61" i="1" s="1"/>
  <c r="R60" i="1"/>
  <c r="S62" i="1"/>
  <c r="T62" i="1" s="1"/>
  <c r="U62" i="1" s="1"/>
  <c r="S63" i="1"/>
  <c r="T63" i="1" s="1"/>
  <c r="S64" i="1"/>
  <c r="T64" i="1" s="1"/>
  <c r="R63" i="1"/>
  <c r="S65" i="1"/>
  <c r="T65" i="1" s="1"/>
  <c r="R64" i="1"/>
  <c r="S66" i="1"/>
  <c r="T66" i="1" s="1"/>
  <c r="U66" i="1" s="1"/>
  <c r="R65" i="1"/>
  <c r="S67" i="1"/>
  <c r="T67" i="1" s="1"/>
  <c r="S68" i="1"/>
  <c r="T68" i="1" s="1"/>
  <c r="R67" i="1"/>
  <c r="S73" i="1"/>
  <c r="T73" i="1" s="1"/>
  <c r="R68" i="1"/>
  <c r="S70" i="1"/>
  <c r="T70" i="1" s="1"/>
  <c r="S71" i="1"/>
  <c r="T71" i="1" s="1"/>
  <c r="R70" i="1"/>
  <c r="R71" i="1"/>
  <c r="S72" i="1"/>
  <c r="T72" i="1" s="1"/>
  <c r="R73" i="1"/>
  <c r="S75" i="1"/>
  <c r="T75" i="1" s="1"/>
  <c r="S76" i="1"/>
  <c r="T76" i="1" s="1"/>
  <c r="U76" i="1" s="1"/>
  <c r="R75" i="1"/>
  <c r="S77" i="1"/>
  <c r="T77" i="1" s="1"/>
  <c r="S78" i="1"/>
  <c r="T78" i="1" s="1"/>
  <c r="R77" i="1"/>
  <c r="S79" i="1"/>
  <c r="T79" i="1" s="1"/>
  <c r="R78" i="1"/>
  <c r="S80" i="1"/>
  <c r="T80" i="1" s="1"/>
  <c r="R79" i="1"/>
  <c r="S81" i="1"/>
  <c r="T81" i="1" s="1"/>
  <c r="R80" i="1"/>
  <c r="R82" i="1"/>
  <c r="S82" i="1"/>
  <c r="T82" i="1" s="1"/>
  <c r="R81" i="1"/>
  <c r="S83" i="1"/>
  <c r="T83" i="1" s="1"/>
  <c r="U83" i="1" s="1"/>
  <c r="S84" i="1"/>
  <c r="T84" i="1" s="1"/>
  <c r="U84" i="1" s="1"/>
  <c r="S85" i="1"/>
  <c r="T85" i="1" s="1"/>
  <c r="R85" i="1"/>
  <c r="S86" i="1"/>
  <c r="T86" i="1" s="1"/>
  <c r="U86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F49" i="1"/>
  <c r="G49" i="1"/>
  <c r="J49" i="1"/>
  <c r="K49" i="1"/>
  <c r="O49" i="1"/>
  <c r="P49" i="1"/>
  <c r="Q49" i="1"/>
  <c r="F50" i="1"/>
  <c r="G50" i="1"/>
  <c r="J50" i="1"/>
  <c r="K50" i="1"/>
  <c r="O50" i="1"/>
  <c r="P50" i="1"/>
  <c r="Q50" i="1"/>
  <c r="F51" i="1"/>
  <c r="G51" i="1"/>
  <c r="J51" i="1"/>
  <c r="K51" i="1"/>
  <c r="O51" i="1"/>
  <c r="P51" i="1"/>
  <c r="Q51" i="1"/>
  <c r="H52" i="1"/>
  <c r="K52" i="1" s="1"/>
  <c r="D52" i="1"/>
  <c r="G52" i="1" s="1"/>
  <c r="D53" i="1"/>
  <c r="G53" i="1" s="1"/>
  <c r="F52" i="1"/>
  <c r="J52" i="1"/>
  <c r="O52" i="1"/>
  <c r="P52" i="1"/>
  <c r="Q52" i="1"/>
  <c r="F53" i="1"/>
  <c r="J53" i="1"/>
  <c r="K53" i="1"/>
  <c r="O53" i="1"/>
  <c r="P53" i="1"/>
  <c r="Q53" i="1"/>
  <c r="F54" i="1"/>
  <c r="G54" i="1"/>
  <c r="J54" i="1"/>
  <c r="K54" i="1"/>
  <c r="O54" i="1"/>
  <c r="P54" i="1"/>
  <c r="Q54" i="1"/>
  <c r="U57" i="1" l="1"/>
  <c r="R51" i="1"/>
  <c r="U72" i="1"/>
  <c r="U71" i="1"/>
  <c r="U63" i="1"/>
  <c r="U60" i="1"/>
  <c r="U58" i="1"/>
  <c r="U64" i="1"/>
  <c r="U65" i="1"/>
  <c r="U70" i="1"/>
  <c r="U68" i="1"/>
  <c r="U67" i="1"/>
  <c r="U73" i="1"/>
  <c r="U77" i="1"/>
  <c r="U75" i="1"/>
  <c r="U80" i="1"/>
  <c r="U78" i="1"/>
  <c r="U79" i="1"/>
  <c r="U81" i="1"/>
  <c r="U82" i="1"/>
  <c r="U85" i="1"/>
  <c r="S50" i="1"/>
  <c r="T50" i="1" s="1"/>
  <c r="R50" i="1"/>
  <c r="S49" i="1"/>
  <c r="T49" i="1" s="1"/>
  <c r="R54" i="1"/>
  <c r="R49" i="1"/>
  <c r="S51" i="1"/>
  <c r="T51" i="1" s="1"/>
  <c r="U51" i="1" s="1"/>
  <c r="S54" i="1"/>
  <c r="T54" i="1" s="1"/>
  <c r="R53" i="1"/>
  <c r="R52" i="1"/>
  <c r="S52" i="1"/>
  <c r="T52" i="1" s="1"/>
  <c r="S53" i="1"/>
  <c r="T53" i="1" s="1"/>
  <c r="K47" i="1"/>
  <c r="G43" i="1"/>
  <c r="K43" i="1"/>
  <c r="P43" i="1"/>
  <c r="Q43" i="1"/>
  <c r="G44" i="1"/>
  <c r="K44" i="1"/>
  <c r="P44" i="1"/>
  <c r="Q44" i="1"/>
  <c r="G45" i="1"/>
  <c r="K45" i="1"/>
  <c r="P45" i="1"/>
  <c r="Q45" i="1"/>
  <c r="P38" i="1"/>
  <c r="K38" i="1"/>
  <c r="P42" i="1"/>
  <c r="P41" i="1"/>
  <c r="P40" i="1"/>
  <c r="K40" i="1"/>
  <c r="K41" i="1"/>
  <c r="H42" i="1"/>
  <c r="K42" i="1" s="1"/>
  <c r="G41" i="1"/>
  <c r="D42" i="1"/>
  <c r="D40" i="1"/>
  <c r="A42" i="1"/>
  <c r="A41" i="1"/>
  <c r="A40" i="1"/>
  <c r="P36" i="1"/>
  <c r="M37" i="1"/>
  <c r="H37" i="1"/>
  <c r="K37" i="1" s="1"/>
  <c r="G36" i="1"/>
  <c r="G38" i="1"/>
  <c r="D37" i="1"/>
  <c r="A38" i="1"/>
  <c r="A37" i="1"/>
  <c r="A36" i="1"/>
  <c r="K36" i="1"/>
  <c r="Q36" i="1"/>
  <c r="Q37" i="1"/>
  <c r="Q38" i="1"/>
  <c r="G39" i="1"/>
  <c r="K39" i="1"/>
  <c r="P39" i="1"/>
  <c r="Q39" i="1"/>
  <c r="Q40" i="1"/>
  <c r="Q41" i="1"/>
  <c r="Q42" i="1"/>
  <c r="Q34" i="1"/>
  <c r="P34" i="1"/>
  <c r="H34" i="1"/>
  <c r="G34" i="1"/>
  <c r="G35" i="1"/>
  <c r="K35" i="1"/>
  <c r="P35" i="1"/>
  <c r="Q35" i="1"/>
  <c r="G46" i="1"/>
  <c r="K46" i="1"/>
  <c r="P46" i="1"/>
  <c r="Q46" i="1"/>
  <c r="G31" i="1"/>
  <c r="G32" i="1"/>
  <c r="G33" i="1"/>
  <c r="G47" i="1"/>
  <c r="K32" i="1"/>
  <c r="K31" i="1"/>
  <c r="K33" i="1"/>
  <c r="P47" i="1"/>
  <c r="P33" i="1"/>
  <c r="P32" i="1"/>
  <c r="P31" i="1"/>
  <c r="P28" i="1"/>
  <c r="P29" i="1"/>
  <c r="K29" i="1"/>
  <c r="K28" i="1"/>
  <c r="A29" i="1"/>
  <c r="A28" i="1"/>
  <c r="Q32" i="1"/>
  <c r="Q33" i="1"/>
  <c r="Q47" i="1"/>
  <c r="G48" i="1"/>
  <c r="K48" i="1"/>
  <c r="P48" i="1"/>
  <c r="Q48" i="1"/>
  <c r="AJ16" i="8"/>
  <c r="AJ17" i="8"/>
  <c r="AJ18" i="8"/>
  <c r="B18" i="8"/>
  <c r="B17" i="8"/>
  <c r="B16" i="8"/>
  <c r="AK19" i="8"/>
  <c r="AC19" i="8"/>
  <c r="V19" i="8"/>
  <c r="O19" i="8"/>
  <c r="H19" i="8"/>
  <c r="D19" i="8"/>
  <c r="AB18" i="8"/>
  <c r="U18" i="8"/>
  <c r="N18" i="8"/>
  <c r="G18" i="8"/>
  <c r="AB17" i="8"/>
  <c r="U17" i="8"/>
  <c r="N17" i="8"/>
  <c r="G17" i="8"/>
  <c r="AB16" i="8"/>
  <c r="U16" i="8"/>
  <c r="N16" i="8"/>
  <c r="G16" i="8"/>
  <c r="D2" i="8"/>
  <c r="D1" i="8"/>
  <c r="P26" i="1"/>
  <c r="P25" i="1"/>
  <c r="K26" i="1"/>
  <c r="K25" i="1"/>
  <c r="G25" i="1"/>
  <c r="D26" i="1"/>
  <c r="A26" i="1"/>
  <c r="A25" i="1"/>
  <c r="P23" i="1"/>
  <c r="P22" i="1"/>
  <c r="K22" i="1"/>
  <c r="K23" i="1"/>
  <c r="G22" i="1"/>
  <c r="D23" i="1"/>
  <c r="A23" i="1"/>
  <c r="A22" i="1"/>
  <c r="AK22" i="7"/>
  <c r="AC22" i="7"/>
  <c r="V22" i="7"/>
  <c r="O22" i="7"/>
  <c r="H22" i="7"/>
  <c r="D22" i="7"/>
  <c r="AB21" i="7"/>
  <c r="U21" i="7"/>
  <c r="N21" i="7"/>
  <c r="G21" i="7"/>
  <c r="AB20" i="7"/>
  <c r="U20" i="7"/>
  <c r="N20" i="7"/>
  <c r="G20" i="7"/>
  <c r="AB19" i="7"/>
  <c r="U19" i="7"/>
  <c r="N19" i="7"/>
  <c r="G19" i="7"/>
  <c r="AB18" i="7"/>
  <c r="U18" i="7"/>
  <c r="N18" i="7"/>
  <c r="G18" i="7"/>
  <c r="AB17" i="7"/>
  <c r="U17" i="7"/>
  <c r="N17" i="7"/>
  <c r="G17" i="7"/>
  <c r="AB16" i="7"/>
  <c r="U16" i="7"/>
  <c r="N16" i="7"/>
  <c r="G16" i="7"/>
  <c r="D2" i="7"/>
  <c r="D1" i="7"/>
  <c r="AD21" i="7" s="1"/>
  <c r="AJ16" i="6"/>
  <c r="AJ17" i="6"/>
  <c r="AJ18" i="6"/>
  <c r="AJ19" i="6"/>
  <c r="AJ20" i="6"/>
  <c r="AJ21" i="6"/>
  <c r="AB16" i="6"/>
  <c r="AB17" i="6"/>
  <c r="AB18" i="6"/>
  <c r="AB19" i="6"/>
  <c r="AB20" i="6"/>
  <c r="AB21" i="6"/>
  <c r="U16" i="6"/>
  <c r="U17" i="6"/>
  <c r="U18" i="6"/>
  <c r="U19" i="6"/>
  <c r="U20" i="6"/>
  <c r="U21" i="6"/>
  <c r="N21" i="6"/>
  <c r="N20" i="6"/>
  <c r="N19" i="6"/>
  <c r="N18" i="6"/>
  <c r="N17" i="6"/>
  <c r="N16" i="6"/>
  <c r="G16" i="6"/>
  <c r="G17" i="6"/>
  <c r="G18" i="6"/>
  <c r="G19" i="6"/>
  <c r="G20" i="6"/>
  <c r="G21" i="6"/>
  <c r="G16" i="4"/>
  <c r="G17" i="4"/>
  <c r="G18" i="4"/>
  <c r="G19" i="4"/>
  <c r="G20" i="4"/>
  <c r="G21" i="4"/>
  <c r="AG14" i="6"/>
  <c r="AK22" i="6"/>
  <c r="AC22" i="6"/>
  <c r="V22" i="6"/>
  <c r="O22" i="6"/>
  <c r="H22" i="6"/>
  <c r="D22" i="6"/>
  <c r="D2" i="6"/>
  <c r="D1" i="6"/>
  <c r="AM9" i="3"/>
  <c r="AK9" i="3"/>
  <c r="AK10" i="3"/>
  <c r="AK11" i="3"/>
  <c r="AK12" i="3"/>
  <c r="AK13" i="3"/>
  <c r="AK14" i="3"/>
  <c r="AI16" i="4"/>
  <c r="AI17" i="4"/>
  <c r="AI18" i="4"/>
  <c r="AI19" i="4"/>
  <c r="AI20" i="4"/>
  <c r="AI21" i="4"/>
  <c r="BL22" i="4"/>
  <c r="BE22" i="4"/>
  <c r="BD16" i="4"/>
  <c r="BD17" i="4"/>
  <c r="BD18" i="4"/>
  <c r="BD19" i="4"/>
  <c r="BD20" i="4"/>
  <c r="BD21" i="4"/>
  <c r="AX22" i="4"/>
  <c r="AW16" i="4"/>
  <c r="AW17" i="4"/>
  <c r="AW18" i="4"/>
  <c r="AW19" i="4"/>
  <c r="AW20" i="4"/>
  <c r="AW21" i="4"/>
  <c r="AQ22" i="4"/>
  <c r="AP16" i="4"/>
  <c r="AP17" i="4"/>
  <c r="AP18" i="4"/>
  <c r="AP19" i="4"/>
  <c r="AP20" i="4"/>
  <c r="AP21" i="4"/>
  <c r="AJ22" i="4"/>
  <c r="AC22" i="4"/>
  <c r="AB16" i="4"/>
  <c r="AB17" i="4"/>
  <c r="AB18" i="4"/>
  <c r="AB19" i="4"/>
  <c r="AB20" i="4"/>
  <c r="AB21" i="4"/>
  <c r="O22" i="4"/>
  <c r="N16" i="4"/>
  <c r="N17" i="4"/>
  <c r="N18" i="4"/>
  <c r="N19" i="4"/>
  <c r="N20" i="4"/>
  <c r="N21" i="4"/>
  <c r="V22" i="4"/>
  <c r="H22" i="4"/>
  <c r="BK21" i="4"/>
  <c r="CP21" i="4" s="1"/>
  <c r="BK20" i="4"/>
  <c r="BK19" i="4"/>
  <c r="BK18" i="4"/>
  <c r="BK17" i="4"/>
  <c r="BK16" i="4"/>
  <c r="BZ17" i="4" l="1"/>
  <c r="BZ19" i="4"/>
  <c r="U50" i="1"/>
  <c r="U49" i="1"/>
  <c r="U53" i="1"/>
  <c r="U54" i="1"/>
  <c r="G42" i="1"/>
  <c r="G26" i="1"/>
  <c r="G37" i="1"/>
  <c r="G40" i="1"/>
  <c r="S40" i="1" s="1"/>
  <c r="T40" i="1" s="1"/>
  <c r="P37" i="1"/>
  <c r="U52" i="1"/>
  <c r="AG19" i="6"/>
  <c r="AT18" i="6"/>
  <c r="AU18" i="6" s="1"/>
  <c r="BZ21" i="4"/>
  <c r="S43" i="1"/>
  <c r="T43" i="1" s="1"/>
  <c r="S44" i="1"/>
  <c r="T44" i="1" s="1"/>
  <c r="S45" i="1"/>
  <c r="T45" i="1" s="1"/>
  <c r="S36" i="1"/>
  <c r="T36" i="1" s="1"/>
  <c r="S39" i="1"/>
  <c r="T39" i="1" s="1"/>
  <c r="S38" i="1"/>
  <c r="T38" i="1" s="1"/>
  <c r="S41" i="1"/>
  <c r="T41" i="1" s="1"/>
  <c r="S42" i="1"/>
  <c r="T42" i="1" s="1"/>
  <c r="S35" i="1"/>
  <c r="T35" i="1" s="1"/>
  <c r="K34" i="1"/>
  <c r="S34" i="1" s="1"/>
  <c r="T34" i="1" s="1"/>
  <c r="S46" i="1"/>
  <c r="T46" i="1" s="1"/>
  <c r="G23" i="1"/>
  <c r="S32" i="1"/>
  <c r="T32" i="1" s="1"/>
  <c r="S48" i="1"/>
  <c r="T48" i="1" s="1"/>
  <c r="S33" i="1"/>
  <c r="T33" i="1" s="1"/>
  <c r="S47" i="1"/>
  <c r="T47" i="1" s="1"/>
  <c r="U19" i="8"/>
  <c r="I17" i="8"/>
  <c r="G19" i="8"/>
  <c r="AT18" i="8"/>
  <c r="AU18" i="8" s="1"/>
  <c r="AT19" i="6"/>
  <c r="T16" i="8"/>
  <c r="X16" i="8" s="1"/>
  <c r="I18" i="8"/>
  <c r="AT21" i="6"/>
  <c r="AT17" i="6"/>
  <c r="I16" i="8"/>
  <c r="AB19" i="8"/>
  <c r="AT17" i="8"/>
  <c r="AU17" i="8" s="1"/>
  <c r="T18" i="8"/>
  <c r="X18" i="8" s="1"/>
  <c r="AT20" i="6"/>
  <c r="AT16" i="6"/>
  <c r="AJ19" i="8"/>
  <c r="T17" i="8"/>
  <c r="X17" i="8" s="1"/>
  <c r="N19" i="8"/>
  <c r="P16" i="8"/>
  <c r="AA16" i="8"/>
  <c r="AE16" i="8" s="1"/>
  <c r="AL16" i="8"/>
  <c r="P17" i="8"/>
  <c r="AA17" i="8"/>
  <c r="AE17" i="8" s="1"/>
  <c r="AL17" i="8"/>
  <c r="P18" i="8"/>
  <c r="AA18" i="8"/>
  <c r="AE18" i="8" s="1"/>
  <c r="AL18" i="8"/>
  <c r="F16" i="8"/>
  <c r="J16" i="8" s="1"/>
  <c r="W16" i="8"/>
  <c r="F17" i="8"/>
  <c r="J17" i="8" s="1"/>
  <c r="W17" i="8"/>
  <c r="F18" i="8"/>
  <c r="J18" i="8" s="1"/>
  <c r="W18" i="8"/>
  <c r="M16" i="8"/>
  <c r="Q16" i="8" s="1"/>
  <c r="AD16" i="8"/>
  <c r="AI16" i="8"/>
  <c r="AM16" i="8" s="1"/>
  <c r="AT16" i="8"/>
  <c r="M17" i="8"/>
  <c r="Q17" i="8" s="1"/>
  <c r="AD17" i="8"/>
  <c r="AI17" i="8"/>
  <c r="AM17" i="8" s="1"/>
  <c r="M18" i="8"/>
  <c r="Q18" i="8" s="1"/>
  <c r="AD18" i="8"/>
  <c r="AI18" i="8"/>
  <c r="AM18" i="8" s="1"/>
  <c r="AI16" i="7"/>
  <c r="AM16" i="7" s="1"/>
  <c r="M21" i="7"/>
  <c r="Q21" i="7" s="1"/>
  <c r="AT17" i="7"/>
  <c r="AU17" i="7" s="1"/>
  <c r="AB22" i="7"/>
  <c r="P16" i="7"/>
  <c r="M17" i="7"/>
  <c r="Q17" i="7" s="1"/>
  <c r="AA17" i="7"/>
  <c r="AE17" i="7" s="1"/>
  <c r="AL17" i="7"/>
  <c r="P18" i="7"/>
  <c r="P19" i="7"/>
  <c r="P20" i="7"/>
  <c r="P21" i="7"/>
  <c r="G22" i="7"/>
  <c r="AT16" i="7"/>
  <c r="AU16" i="7" s="1"/>
  <c r="AJ22" i="7"/>
  <c r="AT18" i="7"/>
  <c r="AU18" i="7" s="1"/>
  <c r="AL18" i="7"/>
  <c r="AT19" i="7"/>
  <c r="AU19" i="7" s="1"/>
  <c r="AL19" i="7"/>
  <c r="AT20" i="7"/>
  <c r="AU20" i="7" s="1"/>
  <c r="AL20" i="7"/>
  <c r="AT21" i="7"/>
  <c r="AU21" i="7" s="1"/>
  <c r="AL21" i="7"/>
  <c r="M16" i="7"/>
  <c r="Q16" i="7" s="1"/>
  <c r="AA16" i="7"/>
  <c r="AE16" i="7" s="1"/>
  <c r="AL16" i="7"/>
  <c r="P17" i="7"/>
  <c r="AI17" i="7"/>
  <c r="AM17" i="7" s="1"/>
  <c r="M18" i="7"/>
  <c r="Q18" i="7" s="1"/>
  <c r="AA18" i="7"/>
  <c r="AE18" i="7" s="1"/>
  <c r="AA19" i="7"/>
  <c r="AE19" i="7" s="1"/>
  <c r="AA20" i="7"/>
  <c r="AE20" i="7" s="1"/>
  <c r="AA21" i="7"/>
  <c r="AE21" i="7" s="1"/>
  <c r="AF21" i="7" s="1"/>
  <c r="AD16" i="7"/>
  <c r="I16" i="7"/>
  <c r="T16" i="7"/>
  <c r="X16" i="7" s="1"/>
  <c r="I17" i="7"/>
  <c r="T17" i="7"/>
  <c r="X17" i="7" s="1"/>
  <c r="I18" i="7"/>
  <c r="T18" i="7"/>
  <c r="X18" i="7" s="1"/>
  <c r="I19" i="7"/>
  <c r="T19" i="7"/>
  <c r="X19" i="7" s="1"/>
  <c r="I20" i="7"/>
  <c r="T20" i="7"/>
  <c r="X20" i="7" s="1"/>
  <c r="I21" i="7"/>
  <c r="T21" i="7"/>
  <c r="X21" i="7" s="1"/>
  <c r="N22" i="7"/>
  <c r="U22" i="7"/>
  <c r="F16" i="7"/>
  <c r="J16" i="7" s="1"/>
  <c r="W16" i="7"/>
  <c r="F17" i="7"/>
  <c r="J17" i="7" s="1"/>
  <c r="W17" i="7"/>
  <c r="F18" i="7"/>
  <c r="J18" i="7" s="1"/>
  <c r="W18" i="7"/>
  <c r="F19" i="7"/>
  <c r="J19" i="7" s="1"/>
  <c r="W19" i="7"/>
  <c r="F20" i="7"/>
  <c r="J20" i="7" s="1"/>
  <c r="W20" i="7"/>
  <c r="F21" i="7"/>
  <c r="J21" i="7" s="1"/>
  <c r="W21" i="7"/>
  <c r="AD17" i="7"/>
  <c r="AD18" i="7"/>
  <c r="AI18" i="7"/>
  <c r="AM18" i="7" s="1"/>
  <c r="M19" i="7"/>
  <c r="Q19" i="7" s="1"/>
  <c r="AD19" i="7"/>
  <c r="AI19" i="7"/>
  <c r="AM19" i="7" s="1"/>
  <c r="M20" i="7"/>
  <c r="Q20" i="7" s="1"/>
  <c r="AD20" i="7"/>
  <c r="AI20" i="7"/>
  <c r="AM20" i="7" s="1"/>
  <c r="AI21" i="7"/>
  <c r="AM21" i="7" s="1"/>
  <c r="AG17" i="6"/>
  <c r="AG20" i="6"/>
  <c r="AG18" i="6"/>
  <c r="AG16" i="6"/>
  <c r="AD16" i="6"/>
  <c r="AG21" i="6"/>
  <c r="P16" i="6"/>
  <c r="P17" i="6"/>
  <c r="F16" i="6"/>
  <c r="J16" i="6" s="1"/>
  <c r="AA16" i="6"/>
  <c r="AE16" i="6" s="1"/>
  <c r="AI16" i="6"/>
  <c r="AM16" i="6" s="1"/>
  <c r="M16" i="6"/>
  <c r="Q16" i="6" s="1"/>
  <c r="AU21" i="6"/>
  <c r="AU17" i="6"/>
  <c r="AA17" i="6"/>
  <c r="AE17" i="6" s="1"/>
  <c r="AU20" i="6"/>
  <c r="BZ18" i="4"/>
  <c r="BZ20" i="4"/>
  <c r="BZ16" i="4"/>
  <c r="AU19" i="6"/>
  <c r="T18" i="6"/>
  <c r="X18" i="6" s="1"/>
  <c r="T19" i="6"/>
  <c r="X19" i="6" s="1"/>
  <c r="T21" i="6"/>
  <c r="X21" i="6" s="1"/>
  <c r="T17" i="6"/>
  <c r="X17" i="6" s="1"/>
  <c r="W16" i="6"/>
  <c r="AA19" i="6"/>
  <c r="AE19" i="6" s="1"/>
  <c r="AB22" i="6"/>
  <c r="AA20" i="6"/>
  <c r="AE20" i="6" s="1"/>
  <c r="AA18" i="6"/>
  <c r="AE18" i="6" s="1"/>
  <c r="W18" i="6"/>
  <c r="AD19" i="6"/>
  <c r="I20" i="6"/>
  <c r="AL20" i="6"/>
  <c r="AJ22" i="6"/>
  <c r="AI20" i="6"/>
  <c r="AM20" i="6" s="1"/>
  <c r="AI21" i="6"/>
  <c r="AM21" i="6" s="1"/>
  <c r="AI17" i="6"/>
  <c r="AM17" i="6" s="1"/>
  <c r="AI19" i="6"/>
  <c r="AM19" i="6" s="1"/>
  <c r="P21" i="6"/>
  <c r="U22" i="6"/>
  <c r="G22" i="6"/>
  <c r="F20" i="6"/>
  <c r="J20" i="6" s="1"/>
  <c r="F21" i="6"/>
  <c r="J21" i="6" s="1"/>
  <c r="F17" i="6"/>
  <c r="J17" i="6" s="1"/>
  <c r="F19" i="6"/>
  <c r="J19" i="6" s="1"/>
  <c r="AD21" i="6"/>
  <c r="W20" i="6"/>
  <c r="P19" i="6"/>
  <c r="AL18" i="6"/>
  <c r="I18" i="6"/>
  <c r="AD17" i="6"/>
  <c r="W21" i="6"/>
  <c r="P20" i="6"/>
  <c r="AL19" i="6"/>
  <c r="I19" i="6"/>
  <c r="AD18" i="6"/>
  <c r="W17" i="6"/>
  <c r="AL21" i="6"/>
  <c r="I21" i="6"/>
  <c r="AD20" i="6"/>
  <c r="W19" i="6"/>
  <c r="P18" i="6"/>
  <c r="AL17" i="6"/>
  <c r="I17" i="6"/>
  <c r="I16" i="6"/>
  <c r="M21" i="6"/>
  <c r="Q21" i="6" s="1"/>
  <c r="M17" i="6"/>
  <c r="Q17" i="6" s="1"/>
  <c r="M18" i="6"/>
  <c r="Q18" i="6" s="1"/>
  <c r="N22" i="6"/>
  <c r="M20" i="6"/>
  <c r="Q20" i="6" s="1"/>
  <c r="T16" i="6"/>
  <c r="X16" i="6" s="1"/>
  <c r="AL16" i="6"/>
  <c r="F18" i="6"/>
  <c r="J18" i="6" s="1"/>
  <c r="AI18" i="6"/>
  <c r="AM18" i="6" s="1"/>
  <c r="M19" i="6"/>
  <c r="Q19" i="6" s="1"/>
  <c r="T20" i="6"/>
  <c r="X20" i="6" s="1"/>
  <c r="AA21" i="6"/>
  <c r="AE21" i="6" s="1"/>
  <c r="BD22" i="4"/>
  <c r="BK22" i="4"/>
  <c r="N22" i="4"/>
  <c r="AW22" i="4"/>
  <c r="AP22" i="4"/>
  <c r="AI22" i="4"/>
  <c r="AB22" i="4"/>
  <c r="BJ18" i="4"/>
  <c r="BN18" i="4" s="1"/>
  <c r="BJ20" i="4"/>
  <c r="BN20" i="4" s="1"/>
  <c r="BJ19" i="4"/>
  <c r="BN19" i="4" s="1"/>
  <c r="BJ17" i="4"/>
  <c r="BN17" i="4" s="1"/>
  <c r="BJ21" i="4"/>
  <c r="BN21" i="4" s="1"/>
  <c r="BJ16" i="4"/>
  <c r="BN16" i="4" s="1"/>
  <c r="AV21" i="4"/>
  <c r="AZ21" i="4" s="1"/>
  <c r="U16" i="4"/>
  <c r="U17" i="4"/>
  <c r="U18" i="4"/>
  <c r="CL18" i="4" s="1"/>
  <c r="U19" i="4"/>
  <c r="CL19" i="4" s="1"/>
  <c r="U20" i="4"/>
  <c r="U21" i="4"/>
  <c r="D22" i="4"/>
  <c r="AR20" i="6" l="1"/>
  <c r="S37" i="1"/>
  <c r="T37" i="1" s="1"/>
  <c r="AN17" i="7"/>
  <c r="AN20" i="7"/>
  <c r="R17" i="6"/>
  <c r="R20" i="7"/>
  <c r="AF20" i="7"/>
  <c r="R18" i="7"/>
  <c r="AQ21" i="6"/>
  <c r="AQ16" i="6"/>
  <c r="K17" i="8"/>
  <c r="J19" i="8"/>
  <c r="K18" i="8"/>
  <c r="R17" i="8"/>
  <c r="X19" i="8"/>
  <c r="AR18" i="8"/>
  <c r="R21" i="7"/>
  <c r="AN18" i="8"/>
  <c r="AR17" i="8"/>
  <c r="R16" i="8"/>
  <c r="P19" i="8"/>
  <c r="AM19" i="8"/>
  <c r="AF17" i="8"/>
  <c r="AN16" i="8"/>
  <c r="AL19" i="8"/>
  <c r="AF18" i="8"/>
  <c r="Q19" i="8"/>
  <c r="W19" i="8"/>
  <c r="Y16" i="8"/>
  <c r="AQ16" i="8"/>
  <c r="AN17" i="8"/>
  <c r="AE19" i="8"/>
  <c r="AT19" i="8"/>
  <c r="AU16" i="8"/>
  <c r="AQ17" i="8"/>
  <c r="Y17" i="8"/>
  <c r="AD19" i="8"/>
  <c r="AF16" i="8"/>
  <c r="AQ18" i="8"/>
  <c r="Y18" i="8"/>
  <c r="I19" i="8"/>
  <c r="R18" i="8"/>
  <c r="K16" i="8"/>
  <c r="AR16" i="8"/>
  <c r="AN19" i="7"/>
  <c r="AN16" i="7"/>
  <c r="R16" i="7"/>
  <c r="AN21" i="7"/>
  <c r="AN18" i="7"/>
  <c r="R19" i="7"/>
  <c r="P22" i="7"/>
  <c r="J22" i="7"/>
  <c r="R17" i="7"/>
  <c r="AF19" i="7"/>
  <c r="AF18" i="7"/>
  <c r="AE22" i="7"/>
  <c r="K21" i="7"/>
  <c r="K19" i="7"/>
  <c r="K17" i="7"/>
  <c r="AQ19" i="6"/>
  <c r="AQ17" i="6"/>
  <c r="AQ18" i="6"/>
  <c r="AR19" i="6"/>
  <c r="Q22" i="7"/>
  <c r="AL22" i="7"/>
  <c r="AR16" i="6"/>
  <c r="AQ20" i="6"/>
  <c r="AR17" i="6"/>
  <c r="AR18" i="7"/>
  <c r="AR18" i="6"/>
  <c r="AR21" i="6"/>
  <c r="AF17" i="7"/>
  <c r="AT22" i="7"/>
  <c r="AQ21" i="7"/>
  <c r="Y21" i="7"/>
  <c r="AQ19" i="7"/>
  <c r="Y19" i="7"/>
  <c r="AQ17" i="7"/>
  <c r="Y17" i="7"/>
  <c r="AM22" i="7"/>
  <c r="W22" i="7"/>
  <c r="AQ16" i="7"/>
  <c r="Y16" i="7"/>
  <c r="AR21" i="7"/>
  <c r="AR19" i="7"/>
  <c r="AR17" i="7"/>
  <c r="AD22" i="7"/>
  <c r="AF16" i="7"/>
  <c r="AR20" i="7"/>
  <c r="AR16" i="7"/>
  <c r="X22" i="7"/>
  <c r="AQ20" i="7"/>
  <c r="Y20" i="7"/>
  <c r="AQ18" i="7"/>
  <c r="Y18" i="7"/>
  <c r="K20" i="7"/>
  <c r="K18" i="7"/>
  <c r="K16" i="7"/>
  <c r="I22" i="7"/>
  <c r="R16" i="6"/>
  <c r="AF17" i="6"/>
  <c r="AF16" i="6"/>
  <c r="AF18" i="6"/>
  <c r="AF19" i="6"/>
  <c r="AN21" i="6"/>
  <c r="K21" i="6"/>
  <c r="AN17" i="6"/>
  <c r="R18" i="6"/>
  <c r="AF20" i="6"/>
  <c r="AN19" i="6"/>
  <c r="J22" i="6"/>
  <c r="AE22" i="6"/>
  <c r="P22" i="6"/>
  <c r="K17" i="6"/>
  <c r="AM22" i="6"/>
  <c r="Q22" i="6"/>
  <c r="Y17" i="6"/>
  <c r="K19" i="6"/>
  <c r="R19" i="6"/>
  <c r="AF21" i="6"/>
  <c r="AD22" i="6"/>
  <c r="Y18" i="6"/>
  <c r="AL22" i="6"/>
  <c r="AN16" i="6"/>
  <c r="X22" i="6"/>
  <c r="Y19" i="6"/>
  <c r="Y21" i="6"/>
  <c r="K18" i="6"/>
  <c r="AT22" i="6"/>
  <c r="AU16" i="6"/>
  <c r="AN20" i="6"/>
  <c r="Y20" i="6"/>
  <c r="R21" i="6"/>
  <c r="W22" i="6"/>
  <c r="Y16" i="6"/>
  <c r="I22" i="6"/>
  <c r="K16" i="6"/>
  <c r="R20" i="6"/>
  <c r="AN18" i="6"/>
  <c r="K20" i="6"/>
  <c r="CL21" i="4"/>
  <c r="CL20" i="4"/>
  <c r="CL16" i="4"/>
  <c r="CL17" i="4"/>
  <c r="CF19" i="4"/>
  <c r="BT19" i="4"/>
  <c r="BT18" i="4"/>
  <c r="CF18" i="4"/>
  <c r="CF21" i="4"/>
  <c r="BT21" i="4"/>
  <c r="CF17" i="4"/>
  <c r="BT17" i="4"/>
  <c r="CF20" i="4"/>
  <c r="BT20" i="4"/>
  <c r="BT16" i="4"/>
  <c r="BN22" i="4"/>
  <c r="G22" i="4"/>
  <c r="U22" i="4"/>
  <c r="AO21" i="4"/>
  <c r="AS21" i="4" s="1"/>
  <c r="AH17" i="4"/>
  <c r="AL17" i="4" s="1"/>
  <c r="AA16" i="4"/>
  <c r="AE16" i="4" s="1"/>
  <c r="T16" i="4"/>
  <c r="X16" i="4" s="1"/>
  <c r="AV19" i="4"/>
  <c r="AZ19" i="4" s="1"/>
  <c r="BC21" i="4"/>
  <c r="BG21" i="4" s="1"/>
  <c r="BX21" i="4" s="1"/>
  <c r="AV17" i="4"/>
  <c r="AZ17" i="4" s="1"/>
  <c r="T18" i="4"/>
  <c r="X18" i="4" s="1"/>
  <c r="AA18" i="4"/>
  <c r="AE18" i="4" s="1"/>
  <c r="T19" i="4"/>
  <c r="X19" i="4" s="1"/>
  <c r="AA19" i="4"/>
  <c r="AE19" i="4" s="1"/>
  <c r="AH19" i="4"/>
  <c r="AL19" i="4" s="1"/>
  <c r="AH18" i="4"/>
  <c r="AL18" i="4" s="1"/>
  <c r="AV18" i="4"/>
  <c r="AZ18" i="4" s="1"/>
  <c r="BC16" i="4"/>
  <c r="BG16" i="4" s="1"/>
  <c r="T21" i="4"/>
  <c r="X21" i="4" s="1"/>
  <c r="T17" i="4"/>
  <c r="X17" i="4" s="1"/>
  <c r="AA21" i="4"/>
  <c r="AE21" i="4" s="1"/>
  <c r="AA17" i="4"/>
  <c r="AE17" i="4" s="1"/>
  <c r="AV16" i="4"/>
  <c r="AZ16" i="4" s="1"/>
  <c r="AV20" i="4"/>
  <c r="AZ20" i="4" s="1"/>
  <c r="T20" i="4"/>
  <c r="X20" i="4" s="1"/>
  <c r="AA20" i="4"/>
  <c r="AE20" i="4" s="1"/>
  <c r="BC17" i="4"/>
  <c r="BG17" i="4" s="1"/>
  <c r="BC18" i="4"/>
  <c r="BG18" i="4" s="1"/>
  <c r="BC19" i="4"/>
  <c r="BG19" i="4" s="1"/>
  <c r="BC20" i="4"/>
  <c r="BG20" i="4" s="1"/>
  <c r="AO16" i="4"/>
  <c r="AS16" i="4" s="1"/>
  <c r="AO17" i="4"/>
  <c r="AS17" i="4" s="1"/>
  <c r="AO18" i="4"/>
  <c r="AS18" i="4" s="1"/>
  <c r="AO19" i="4"/>
  <c r="AS19" i="4" s="1"/>
  <c r="AO20" i="4"/>
  <c r="AS20" i="4" s="1"/>
  <c r="AH21" i="4"/>
  <c r="AL21" i="4" s="1"/>
  <c r="AH16" i="4"/>
  <c r="AL16" i="4" s="1"/>
  <c r="AH20" i="4"/>
  <c r="AL20" i="4" s="1"/>
  <c r="F16" i="4"/>
  <c r="J16" i="4" s="1"/>
  <c r="F20" i="4"/>
  <c r="J20" i="4" s="1"/>
  <c r="F19" i="4"/>
  <c r="J19" i="4" s="1"/>
  <c r="F18" i="4"/>
  <c r="J18" i="4" s="1"/>
  <c r="F21" i="4"/>
  <c r="J21" i="4" s="1"/>
  <c r="F17" i="4"/>
  <c r="J17" i="4" s="1"/>
  <c r="D2" i="4"/>
  <c r="D1" i="4"/>
  <c r="AF9" i="3"/>
  <c r="AF10" i="3"/>
  <c r="AF11" i="3"/>
  <c r="AF12" i="3"/>
  <c r="AF13" i="3"/>
  <c r="AF14" i="3"/>
  <c r="T9" i="3"/>
  <c r="T10" i="3"/>
  <c r="T11" i="3"/>
  <c r="T12" i="3"/>
  <c r="T13" i="3"/>
  <c r="T14" i="3"/>
  <c r="Z9" i="3"/>
  <c r="Z10" i="3"/>
  <c r="Z11" i="3"/>
  <c r="Z12" i="3"/>
  <c r="Z13" i="3"/>
  <c r="Z14" i="3"/>
  <c r="AD15" i="3"/>
  <c r="AC15" i="3"/>
  <c r="X15" i="3"/>
  <c r="W15" i="3"/>
  <c r="R15" i="3"/>
  <c r="Q15" i="3"/>
  <c r="L15" i="3"/>
  <c r="K15" i="3"/>
  <c r="G15" i="3"/>
  <c r="N14" i="3"/>
  <c r="N13" i="3"/>
  <c r="N11" i="3"/>
  <c r="N10" i="3"/>
  <c r="N9" i="3"/>
  <c r="N12" i="3"/>
  <c r="I9" i="3"/>
  <c r="I14" i="3"/>
  <c r="I13" i="3"/>
  <c r="I12" i="3"/>
  <c r="I11" i="3"/>
  <c r="I10" i="3"/>
  <c r="D1" i="3"/>
  <c r="D2" i="3"/>
  <c r="AG15" i="3"/>
  <c r="AG14" i="3"/>
  <c r="AG13" i="3"/>
  <c r="AG12" i="3"/>
  <c r="AG11" i="3"/>
  <c r="AG10" i="3"/>
  <c r="AG9" i="3"/>
  <c r="G12" i="1"/>
  <c r="P11" i="1"/>
  <c r="K11" i="1"/>
  <c r="Q26" i="1"/>
  <c r="Q25" i="1"/>
  <c r="Q23" i="1"/>
  <c r="Q22" i="1"/>
  <c r="G24" i="1"/>
  <c r="G27" i="1"/>
  <c r="G28" i="1"/>
  <c r="G29" i="1"/>
  <c r="G30" i="1"/>
  <c r="G55" i="1"/>
  <c r="K24" i="1"/>
  <c r="K27" i="1"/>
  <c r="K30" i="1"/>
  <c r="K55" i="1"/>
  <c r="P24" i="1"/>
  <c r="P27" i="1"/>
  <c r="P30" i="1"/>
  <c r="P55" i="1"/>
  <c r="Q24" i="1"/>
  <c r="Q27" i="1"/>
  <c r="Q28" i="1"/>
  <c r="Q29" i="1"/>
  <c r="Q30" i="1"/>
  <c r="Q31" i="1"/>
  <c r="Q55" i="1"/>
  <c r="P15" i="1"/>
  <c r="K15" i="1"/>
  <c r="G20" i="1"/>
  <c r="G19" i="1"/>
  <c r="G18" i="1"/>
  <c r="G17" i="1"/>
  <c r="G16" i="1"/>
  <c r="G15" i="1"/>
  <c r="P8" i="1"/>
  <c r="P9" i="1"/>
  <c r="P10" i="1"/>
  <c r="P12" i="1"/>
  <c r="P13" i="1"/>
  <c r="P14" i="1"/>
  <c r="P16" i="1"/>
  <c r="P17" i="1"/>
  <c r="P18" i="1"/>
  <c r="P19" i="1"/>
  <c r="P20" i="1"/>
  <c r="P21" i="1"/>
  <c r="G13" i="1"/>
  <c r="G11" i="1"/>
  <c r="G10" i="1"/>
  <c r="G9" i="1"/>
  <c r="G8" i="1"/>
  <c r="K8" i="1"/>
  <c r="K9" i="1"/>
  <c r="K10" i="1"/>
  <c r="K12" i="1"/>
  <c r="K13" i="1"/>
  <c r="K14" i="1"/>
  <c r="K16" i="1"/>
  <c r="K17" i="1"/>
  <c r="K18" i="1"/>
  <c r="K19" i="1"/>
  <c r="K20" i="1"/>
  <c r="K21" i="1"/>
  <c r="G21" i="1"/>
  <c r="Q20" i="1"/>
  <c r="Q21" i="1"/>
  <c r="G14" i="1"/>
  <c r="Q8" i="1"/>
  <c r="Q9" i="1"/>
  <c r="Q10" i="1"/>
  <c r="Q11" i="1"/>
  <c r="Q12" i="1"/>
  <c r="Q13" i="1"/>
  <c r="Q14" i="1"/>
  <c r="Q15" i="1"/>
  <c r="Q16" i="1"/>
  <c r="Q17" i="1"/>
  <c r="Q18" i="1"/>
  <c r="Q19" i="1"/>
  <c r="H12" i="3" l="1"/>
  <c r="K19" i="8"/>
  <c r="AR19" i="8"/>
  <c r="AN19" i="8"/>
  <c r="AS18" i="8"/>
  <c r="AV18" i="8" s="1"/>
  <c r="AS17" i="8"/>
  <c r="AV17" i="8" s="1"/>
  <c r="AQ19" i="8"/>
  <c r="AF19" i="8"/>
  <c r="AS16" i="8"/>
  <c r="Y19" i="8"/>
  <c r="R19" i="8"/>
  <c r="Y13" i="3"/>
  <c r="AS20" i="6"/>
  <c r="R22" i="7"/>
  <c r="S21" i="1"/>
  <c r="T21" i="1" s="1"/>
  <c r="S17" i="1"/>
  <c r="T17" i="1" s="1"/>
  <c r="S22" i="1"/>
  <c r="T22" i="1" s="1"/>
  <c r="S26" i="1"/>
  <c r="T26" i="1" s="1"/>
  <c r="S12" i="1"/>
  <c r="T12" i="1" s="1"/>
  <c r="AN22" i="7"/>
  <c r="AS21" i="7"/>
  <c r="AV21" i="7" s="1"/>
  <c r="AS19" i="7"/>
  <c r="AV19" i="7" s="1"/>
  <c r="AS17" i="6"/>
  <c r="AS20" i="7"/>
  <c r="AV20" i="7" s="1"/>
  <c r="AS17" i="7"/>
  <c r="AV17" i="7" s="1"/>
  <c r="AS16" i="6"/>
  <c r="AS21" i="6"/>
  <c r="AS19" i="6"/>
  <c r="AS18" i="6"/>
  <c r="K22" i="7"/>
  <c r="AR22" i="7"/>
  <c r="AQ22" i="7"/>
  <c r="AS18" i="7"/>
  <c r="AV18" i="7" s="1"/>
  <c r="AF22" i="7"/>
  <c r="AS16" i="7"/>
  <c r="Y22" i="7"/>
  <c r="R22" i="6"/>
  <c r="M11" i="3"/>
  <c r="K22" i="6"/>
  <c r="AN22" i="6"/>
  <c r="AF22" i="6"/>
  <c r="Y22" i="6"/>
  <c r="AI9" i="3"/>
  <c r="BX18" i="4"/>
  <c r="CD18" i="4" s="1"/>
  <c r="BX17" i="4"/>
  <c r="CD17" i="4" s="1"/>
  <c r="BR20" i="4"/>
  <c r="CD21" i="4"/>
  <c r="BR17" i="4"/>
  <c r="BX16" i="4"/>
  <c r="CD16" i="4" s="1"/>
  <c r="BR21" i="4"/>
  <c r="BR18" i="4"/>
  <c r="BR16" i="4"/>
  <c r="BR19" i="4"/>
  <c r="BX20" i="4"/>
  <c r="CD20" i="4" s="1"/>
  <c r="BX19" i="4"/>
  <c r="CD19" i="4" s="1"/>
  <c r="CM17" i="4"/>
  <c r="CM19" i="4"/>
  <c r="BZ22" i="4"/>
  <c r="CF16" i="4"/>
  <c r="CM20" i="4"/>
  <c r="CM21" i="4"/>
  <c r="BT22" i="4"/>
  <c r="CM18" i="4"/>
  <c r="BM18" i="4"/>
  <c r="BO18" i="4" s="1"/>
  <c r="BF17" i="4"/>
  <c r="BH17" i="4" s="1"/>
  <c r="BF21" i="4"/>
  <c r="BH21" i="4" s="1"/>
  <c r="AY16" i="4"/>
  <c r="BA16" i="4" s="1"/>
  <c r="AY20" i="4"/>
  <c r="BA20" i="4" s="1"/>
  <c r="AR19" i="4"/>
  <c r="AT19" i="4" s="1"/>
  <c r="AK16" i="4"/>
  <c r="AM16" i="4" s="1"/>
  <c r="AK20" i="4"/>
  <c r="AM20" i="4" s="1"/>
  <c r="BM19" i="4"/>
  <c r="BO19" i="4" s="1"/>
  <c r="BF18" i="4"/>
  <c r="BH18" i="4" s="1"/>
  <c r="AY17" i="4"/>
  <c r="BA17" i="4" s="1"/>
  <c r="AY21" i="4"/>
  <c r="BA21" i="4" s="1"/>
  <c r="AR16" i="4"/>
  <c r="AT16" i="4" s="1"/>
  <c r="AR20" i="4"/>
  <c r="AT20" i="4" s="1"/>
  <c r="AK17" i="4"/>
  <c r="AM17" i="4" s="1"/>
  <c r="AK21" i="4"/>
  <c r="AM21" i="4" s="1"/>
  <c r="BF16" i="4"/>
  <c r="BH16" i="4" s="1"/>
  <c r="AK19" i="4"/>
  <c r="AM19" i="4" s="1"/>
  <c r="AY19" i="4"/>
  <c r="BA19" i="4" s="1"/>
  <c r="AR18" i="4"/>
  <c r="AT18" i="4" s="1"/>
  <c r="BM16" i="4"/>
  <c r="BO16" i="4" s="1"/>
  <c r="BM20" i="4"/>
  <c r="BO20" i="4" s="1"/>
  <c r="BF19" i="4"/>
  <c r="BH19" i="4" s="1"/>
  <c r="AY18" i="4"/>
  <c r="BA18" i="4" s="1"/>
  <c r="AR17" i="4"/>
  <c r="AT17" i="4" s="1"/>
  <c r="AR21" i="4"/>
  <c r="AT21" i="4" s="1"/>
  <c r="AK18" i="4"/>
  <c r="AM18" i="4" s="1"/>
  <c r="BM17" i="4"/>
  <c r="BO17" i="4" s="1"/>
  <c r="BM21" i="4"/>
  <c r="BO21" i="4" s="1"/>
  <c r="BF20" i="4"/>
  <c r="BH20" i="4" s="1"/>
  <c r="AS22" i="4"/>
  <c r="AZ22" i="4"/>
  <c r="BG22" i="4"/>
  <c r="AL22" i="4"/>
  <c r="AD18" i="4"/>
  <c r="AF18" i="4" s="1"/>
  <c r="P18" i="4"/>
  <c r="AD20" i="4"/>
  <c r="AF20" i="4" s="1"/>
  <c r="AD19" i="4"/>
  <c r="AF19" i="4" s="1"/>
  <c r="P19" i="4"/>
  <c r="AD16" i="4"/>
  <c r="AF16" i="4" s="1"/>
  <c r="P16" i="4"/>
  <c r="AD17" i="4"/>
  <c r="AF17" i="4" s="1"/>
  <c r="AD21" i="4"/>
  <c r="AF21" i="4" s="1"/>
  <c r="P17" i="4"/>
  <c r="P21" i="4"/>
  <c r="P20" i="4"/>
  <c r="AE22" i="4"/>
  <c r="X22" i="4"/>
  <c r="J22" i="4"/>
  <c r="W16" i="4"/>
  <c r="Y16" i="4" s="1"/>
  <c r="W20" i="4"/>
  <c r="Y20" i="4" s="1"/>
  <c r="W17" i="4"/>
  <c r="Y17" i="4" s="1"/>
  <c r="W21" i="4"/>
  <c r="Y21" i="4" s="1"/>
  <c r="W18" i="4"/>
  <c r="Y18" i="4" s="1"/>
  <c r="W19" i="4"/>
  <c r="Y19" i="4" s="1"/>
  <c r="I16" i="4"/>
  <c r="K16" i="4" s="1"/>
  <c r="I20" i="4"/>
  <c r="K20" i="4" s="1"/>
  <c r="I21" i="4"/>
  <c r="K21" i="4" s="1"/>
  <c r="I19" i="4"/>
  <c r="K19" i="4" s="1"/>
  <c r="I17" i="4"/>
  <c r="K17" i="4" s="1"/>
  <c r="I18" i="4"/>
  <c r="K18" i="4" s="1"/>
  <c r="S9" i="1"/>
  <c r="T9" i="1" s="1"/>
  <c r="S23" i="1"/>
  <c r="T23" i="1" s="1"/>
  <c r="S16" i="1"/>
  <c r="T16" i="1" s="1"/>
  <c r="S20" i="1"/>
  <c r="T20" i="1" s="1"/>
  <c r="S29" i="1"/>
  <c r="T29" i="1" s="1"/>
  <c r="S11" i="1"/>
  <c r="T11" i="1" s="1"/>
  <c r="S18" i="1"/>
  <c r="T18" i="1" s="1"/>
  <c r="S55" i="1"/>
  <c r="T55" i="1" s="1"/>
  <c r="S28" i="1"/>
  <c r="T28" i="1" s="1"/>
  <c r="S25" i="1"/>
  <c r="T25" i="1" s="1"/>
  <c r="S14" i="1"/>
  <c r="T14" i="1" s="1"/>
  <c r="S8" i="1"/>
  <c r="T8" i="1" s="1"/>
  <c r="S13" i="1"/>
  <c r="T13" i="1" s="1"/>
  <c r="S15" i="1"/>
  <c r="T15" i="1" s="1"/>
  <c r="S19" i="1"/>
  <c r="T19" i="1" s="1"/>
  <c r="S31" i="1"/>
  <c r="T31" i="1" s="1"/>
  <c r="S27" i="1"/>
  <c r="T27" i="1" s="1"/>
  <c r="S30" i="1"/>
  <c r="T30" i="1" s="1"/>
  <c r="S10" i="1"/>
  <c r="T10" i="1" s="1"/>
  <c r="N15" i="3"/>
  <c r="S12" i="3"/>
  <c r="Y10" i="3"/>
  <c r="AE12" i="3"/>
  <c r="AI12" i="3"/>
  <c r="S11" i="3"/>
  <c r="Y9" i="3"/>
  <c r="AE11" i="3"/>
  <c r="AI11" i="3"/>
  <c r="AI13" i="3"/>
  <c r="M12" i="3"/>
  <c r="Y14" i="3"/>
  <c r="AI14" i="3"/>
  <c r="AI10" i="3"/>
  <c r="M13" i="3"/>
  <c r="M9" i="3"/>
  <c r="S13" i="3"/>
  <c r="S9" i="3"/>
  <c r="Y11" i="3"/>
  <c r="AE13" i="3"/>
  <c r="AE9" i="3"/>
  <c r="M14" i="3"/>
  <c r="M10" i="3"/>
  <c r="S14" i="3"/>
  <c r="S10" i="3"/>
  <c r="Y12" i="3"/>
  <c r="AE14" i="3"/>
  <c r="AE10" i="3"/>
  <c r="Z15" i="3"/>
  <c r="T15" i="3"/>
  <c r="AF15" i="3"/>
  <c r="I15" i="3"/>
  <c r="H11" i="3"/>
  <c r="H14" i="3"/>
  <c r="H10" i="3"/>
  <c r="H13" i="3"/>
  <c r="H9" i="3"/>
  <c r="S24" i="1"/>
  <c r="T24" i="1" s="1"/>
  <c r="AS19" i="8" l="1"/>
  <c r="AV16" i="8"/>
  <c r="Y15" i="3"/>
  <c r="AS22" i="7"/>
  <c r="AV16" i="7"/>
  <c r="AV21" i="6"/>
  <c r="AV19" i="6"/>
  <c r="AV18" i="6"/>
  <c r="AR22" i="6"/>
  <c r="AV20" i="6"/>
  <c r="AV17" i="6"/>
  <c r="BO22" i="4"/>
  <c r="BH22" i="4"/>
  <c r="CM16" i="4"/>
  <c r="BA22" i="4"/>
  <c r="AT22" i="4"/>
  <c r="AM22" i="4"/>
  <c r="AF22" i="4"/>
  <c r="Y22" i="4"/>
  <c r="K22" i="4"/>
  <c r="BQ19" i="4"/>
  <c r="BS19" i="4" s="1"/>
  <c r="BQ20" i="4"/>
  <c r="BS20" i="4" s="1"/>
  <c r="CF22" i="4"/>
  <c r="BQ17" i="4"/>
  <c r="BS17" i="4" s="1"/>
  <c r="BW18" i="4"/>
  <c r="CC18" i="4" s="1"/>
  <c r="BW21" i="4"/>
  <c r="BY21" i="4" s="1"/>
  <c r="BW16" i="4"/>
  <c r="BY16" i="4" s="1"/>
  <c r="BX22" i="4"/>
  <c r="BQ18" i="4"/>
  <c r="BS18" i="4" s="1"/>
  <c r="BR22" i="4"/>
  <c r="BQ16" i="4"/>
  <c r="BQ21" i="4"/>
  <c r="BS21" i="4" s="1"/>
  <c r="BW20" i="4"/>
  <c r="BY20" i="4" s="1"/>
  <c r="CD22" i="4"/>
  <c r="BW19" i="4"/>
  <c r="BY19" i="4" s="1"/>
  <c r="BW17" i="4"/>
  <c r="BY17" i="4" s="1"/>
  <c r="AK22" i="4"/>
  <c r="BM22" i="4"/>
  <c r="BF22" i="4"/>
  <c r="AR22" i="4"/>
  <c r="AY22" i="4"/>
  <c r="AD22" i="4"/>
  <c r="P22" i="4"/>
  <c r="W22" i="4"/>
  <c r="I22" i="4"/>
  <c r="AH12" i="3"/>
  <c r="AJ12" i="3" s="1"/>
  <c r="AH9" i="3"/>
  <c r="AJ9" i="3" s="1"/>
  <c r="AH11" i="3"/>
  <c r="AJ11" i="3" s="1"/>
  <c r="S15" i="3"/>
  <c r="AH10" i="3"/>
  <c r="AJ10" i="3" s="1"/>
  <c r="M15" i="3"/>
  <c r="H15" i="3"/>
  <c r="AH13" i="3"/>
  <c r="AJ13" i="3" s="1"/>
  <c r="AH14" i="3"/>
  <c r="AJ14" i="3" s="1"/>
  <c r="AI15" i="3"/>
  <c r="F43" i="1" l="1"/>
  <c r="O43" i="1"/>
  <c r="J43" i="1"/>
  <c r="F44" i="1"/>
  <c r="O44" i="1"/>
  <c r="J44" i="1"/>
  <c r="F45" i="1"/>
  <c r="O45" i="1"/>
  <c r="J45" i="1"/>
  <c r="F36" i="1"/>
  <c r="O36" i="1"/>
  <c r="J36" i="1"/>
  <c r="F37" i="1"/>
  <c r="O37" i="1"/>
  <c r="J37" i="1"/>
  <c r="F38" i="1"/>
  <c r="O38" i="1"/>
  <c r="J38" i="1"/>
  <c r="F39" i="1"/>
  <c r="O39" i="1"/>
  <c r="J39" i="1"/>
  <c r="F40" i="1"/>
  <c r="O40" i="1"/>
  <c r="J40" i="1"/>
  <c r="F41" i="1"/>
  <c r="O41" i="1"/>
  <c r="J41" i="1"/>
  <c r="F42" i="1"/>
  <c r="O42" i="1"/>
  <c r="J34" i="1"/>
  <c r="J42" i="1"/>
  <c r="O34" i="1"/>
  <c r="F34" i="1"/>
  <c r="J35" i="1"/>
  <c r="F35" i="1"/>
  <c r="O35" i="1"/>
  <c r="F46" i="1"/>
  <c r="O46" i="1"/>
  <c r="J46" i="1"/>
  <c r="F32" i="1"/>
  <c r="O32" i="1"/>
  <c r="J32" i="1"/>
  <c r="F33" i="1"/>
  <c r="O33" i="1"/>
  <c r="J33" i="1"/>
  <c r="F47" i="1"/>
  <c r="O47" i="1"/>
  <c r="J47" i="1"/>
  <c r="F48" i="1"/>
  <c r="O48" i="1"/>
  <c r="J48" i="1"/>
  <c r="AQ22" i="6"/>
  <c r="CL22" i="4"/>
  <c r="CC16" i="4"/>
  <c r="CI16" i="4" s="1"/>
  <c r="BY18" i="4"/>
  <c r="BY22" i="4" s="1"/>
  <c r="CC21" i="4"/>
  <c r="CE21" i="4" s="1"/>
  <c r="CE18" i="4"/>
  <c r="CI18" i="4"/>
  <c r="BS16" i="4"/>
  <c r="BS22" i="4" s="1"/>
  <c r="BQ22" i="4"/>
  <c r="CC20" i="4"/>
  <c r="CC17" i="4"/>
  <c r="CI17" i="4" s="1"/>
  <c r="BW22" i="4"/>
  <c r="CC19" i="4"/>
  <c r="AH15" i="3"/>
  <c r="AJ15" i="3"/>
  <c r="O26" i="1"/>
  <c r="F26" i="1"/>
  <c r="O25" i="1"/>
  <c r="F25" i="1"/>
  <c r="J23" i="1"/>
  <c r="J22" i="1"/>
  <c r="J26" i="1"/>
  <c r="J25" i="1"/>
  <c r="O23" i="1"/>
  <c r="F23" i="1"/>
  <c r="O22" i="1"/>
  <c r="F22" i="1"/>
  <c r="F30" i="1"/>
  <c r="J30" i="1"/>
  <c r="O30" i="1"/>
  <c r="J24" i="1"/>
  <c r="J55" i="1"/>
  <c r="O24" i="1"/>
  <c r="O55" i="1"/>
  <c r="F27" i="1"/>
  <c r="F31" i="1"/>
  <c r="J27" i="1"/>
  <c r="J31" i="1"/>
  <c r="O27" i="1"/>
  <c r="O31" i="1"/>
  <c r="F24" i="1"/>
  <c r="F55" i="1"/>
  <c r="J28" i="1"/>
  <c r="F29" i="1"/>
  <c r="J29" i="1"/>
  <c r="O29" i="1"/>
  <c r="F28" i="1"/>
  <c r="O28" i="1"/>
  <c r="F20" i="1"/>
  <c r="J20" i="1"/>
  <c r="F21" i="1"/>
  <c r="J21" i="1"/>
  <c r="O20" i="1"/>
  <c r="O21" i="1"/>
  <c r="F9" i="1"/>
  <c r="F13" i="1"/>
  <c r="F16" i="1"/>
  <c r="J9" i="1"/>
  <c r="J16" i="1"/>
  <c r="O13" i="1"/>
  <c r="F10" i="1"/>
  <c r="F17" i="1"/>
  <c r="J10" i="1"/>
  <c r="J17" i="1"/>
  <c r="O10" i="1"/>
  <c r="O17" i="1"/>
  <c r="F11" i="1"/>
  <c r="F14" i="1"/>
  <c r="F18" i="1"/>
  <c r="J11" i="1"/>
  <c r="J14" i="1"/>
  <c r="J18" i="1"/>
  <c r="O11" i="1"/>
  <c r="O14" i="1"/>
  <c r="O18" i="1"/>
  <c r="F8" i="1"/>
  <c r="F12" i="1"/>
  <c r="F15" i="1"/>
  <c r="F19" i="1"/>
  <c r="J8" i="1"/>
  <c r="J12" i="1"/>
  <c r="J15" i="1"/>
  <c r="J19" i="1"/>
  <c r="O8" i="1"/>
  <c r="O12" i="1"/>
  <c r="O15" i="1"/>
  <c r="O19" i="1"/>
  <c r="J13" i="1"/>
  <c r="O9" i="1"/>
  <c r="O16" i="1"/>
  <c r="R43" i="1" l="1"/>
  <c r="U43" i="1" s="1"/>
  <c r="R44" i="1"/>
  <c r="U44" i="1" s="1"/>
  <c r="R45" i="1"/>
  <c r="U45" i="1" s="1"/>
  <c r="R36" i="1"/>
  <c r="U36" i="1" s="1"/>
  <c r="R37" i="1"/>
  <c r="U37" i="1" s="1"/>
  <c r="R38" i="1"/>
  <c r="U38" i="1" s="1"/>
  <c r="R39" i="1"/>
  <c r="U39" i="1" s="1"/>
  <c r="R41" i="1"/>
  <c r="U41" i="1" s="1"/>
  <c r="R40" i="1"/>
  <c r="U40" i="1" s="1"/>
  <c r="R34" i="1"/>
  <c r="U34" i="1" s="1"/>
  <c r="R42" i="1"/>
  <c r="U42" i="1" s="1"/>
  <c r="R46" i="1"/>
  <c r="U46" i="1" s="1"/>
  <c r="R35" i="1"/>
  <c r="U35" i="1" s="1"/>
  <c r="R32" i="1"/>
  <c r="U32" i="1" s="1"/>
  <c r="R33" i="1"/>
  <c r="U33" i="1" s="1"/>
  <c r="R47" i="1"/>
  <c r="U47" i="1" s="1"/>
  <c r="R48" i="1"/>
  <c r="U48" i="1" s="1"/>
  <c r="AS22" i="6"/>
  <c r="AV16" i="6"/>
  <c r="CE16" i="4"/>
  <c r="CI21" i="4"/>
  <c r="CE17" i="4"/>
  <c r="CI20" i="4"/>
  <c r="CE20" i="4"/>
  <c r="CE19" i="4"/>
  <c r="CI19" i="4"/>
  <c r="CC22" i="4"/>
  <c r="R8" i="1"/>
  <c r="U8" i="1" s="1"/>
  <c r="R55" i="1"/>
  <c r="U55" i="1" s="1"/>
  <c r="R18" i="1"/>
  <c r="U18" i="1" s="1"/>
  <c r="R10" i="1"/>
  <c r="U10" i="1" s="1"/>
  <c r="R12" i="1"/>
  <c r="U12" i="1" s="1"/>
  <c r="R17" i="1"/>
  <c r="U17" i="1" s="1"/>
  <c r="R9" i="1"/>
  <c r="U9" i="1" s="1"/>
  <c r="R20" i="1"/>
  <c r="U20" i="1" s="1"/>
  <c r="R24" i="1"/>
  <c r="U24" i="1" s="1"/>
  <c r="R30" i="1"/>
  <c r="U30" i="1" s="1"/>
  <c r="R23" i="1"/>
  <c r="U23" i="1" s="1"/>
  <c r="R25" i="1"/>
  <c r="U25" i="1" s="1"/>
  <c r="R19" i="1"/>
  <c r="U19" i="1" s="1"/>
  <c r="R14" i="1"/>
  <c r="U14" i="1" s="1"/>
  <c r="R16" i="1"/>
  <c r="U16" i="1" s="1"/>
  <c r="R29" i="1"/>
  <c r="U29" i="1" s="1"/>
  <c r="R31" i="1"/>
  <c r="U31" i="1" s="1"/>
  <c r="R22" i="1"/>
  <c r="U22" i="1" s="1"/>
  <c r="R15" i="1"/>
  <c r="U15" i="1" s="1"/>
  <c r="R11" i="1"/>
  <c r="U11" i="1" s="1"/>
  <c r="R13" i="1"/>
  <c r="U13" i="1" s="1"/>
  <c r="R21" i="1"/>
  <c r="U21" i="1" s="1"/>
  <c r="R28" i="1"/>
  <c r="U28" i="1" s="1"/>
  <c r="R27" i="1"/>
  <c r="U27" i="1" s="1"/>
  <c r="R26" i="1"/>
  <c r="U26" i="1" s="1"/>
  <c r="CE22" i="4" l="1"/>
  <c r="CI22" i="4"/>
  <c r="Q1048505" i="1"/>
  <c r="F15" i="3"/>
  <c r="M18" i="4"/>
  <c r="Q18" i="4" s="1"/>
  <c r="R18" i="4" s="1"/>
  <c r="M19" i="4"/>
  <c r="Q19" i="4" s="1"/>
  <c r="R19" i="4" s="1"/>
  <c r="M21" i="4"/>
  <c r="Q21" i="4" s="1"/>
  <c r="R21" i="4" s="1"/>
  <c r="M20" i="4"/>
  <c r="Q20" i="4" s="1"/>
  <c r="R20" i="4" s="1"/>
  <c r="M17" i="4"/>
  <c r="Q17" i="4" s="1"/>
  <c r="R17" i="4" s="1"/>
  <c r="M16" i="4"/>
  <c r="Q16" i="4" s="1"/>
  <c r="CJ16" i="4" l="1"/>
  <c r="CK16" i="4" s="1"/>
  <c r="CN16" i="4" s="1"/>
  <c r="R16" i="4"/>
  <c r="R22" i="4" s="1"/>
  <c r="CJ21" i="4"/>
  <c r="CK21" i="4" s="1"/>
  <c r="CN21" i="4" s="1"/>
  <c r="CJ18" i="4"/>
  <c r="CK18" i="4" s="1"/>
  <c r="CN18" i="4" s="1"/>
  <c r="CJ20" i="4"/>
  <c r="CK20" i="4" s="1"/>
  <c r="CN20" i="4" s="1"/>
  <c r="CJ19" i="4"/>
  <c r="CK19" i="4" s="1"/>
  <c r="CN19" i="4" s="1"/>
  <c r="CJ17" i="4"/>
  <c r="CK17" i="4" s="1"/>
  <c r="CN17" i="4" s="1"/>
  <c r="Q22" i="4"/>
  <c r="CJ22" i="4" l="1"/>
  <c r="CK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tc={7B760882-EE0A-4E7E-B3E6-DCD9C1EC36C3}</author>
  </authors>
  <commentList>
    <comment ref="F1" authorId="0" shapeId="0" xr:uid="{178265F3-F1EB-4388-AB8F-75C43F681D1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 без учета ничьих
</t>
        </r>
      </text>
    </comment>
    <comment ref="I1" authorId="0" shapeId="0" xr:uid="{0E706F3C-6CD9-4E50-8CAB-65F8CA603C0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 без учета ничьих</t>
        </r>
      </text>
    </comment>
    <comment ref="M1" authorId="0" shapeId="0" xr:uid="{07FE75FB-B225-4EE0-A50E-499EC0BF1F7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DD94D4D4-1F98-4D2D-9F3B-5648F837E44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A889E131-BA75-440E-9377-949662D1C3E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120463C8-A7AD-4957-BC97-180572589B8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8A24BA03-A21F-43A2-B244-B45B59B2B30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99EB5EF0-ADC5-4198-A566-B734ECE55E9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6795E89F-84A5-4FE7-A2E5-E241F977DF9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4206EC24-EA92-4947-95BB-3D1B45B61A1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22C25624-7358-4B4E-BEA8-8DA046AA356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C1CE4A5A-7E18-453D-A6F1-B5484EEFFE6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H16" authorId="0" shapeId="0" xr:uid="{03D9ECE3-CE4B-40F2-8989-82B960411B6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O16" authorId="0" shapeId="0" xr:uid="{D83A7F2C-2632-4483-BD11-ADF1E036051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V16" authorId="0" shapeId="0" xr:uid="{126AB87F-6DD3-441F-A1A6-EBAD43CF735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C16" authorId="0" shapeId="0" xr:uid="{BCEB060C-A160-49A5-9278-9CF0612D1D2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J16" authorId="0" shapeId="0" xr:uid="{E8D72997-CBF2-459F-AC96-2BBD5168C65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Q16" authorId="1" shapeId="0" xr:uid="{7B760882-EE0A-4E7E-B3E6-DCD9C1EC36C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вручную</t>
      </text>
    </comment>
    <comment ref="BR16" authorId="0" shapeId="0" xr:uid="{C66BBEE8-B2E3-4B16-88DE-8738A8B1F7F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Y16" authorId="0" shapeId="0" xr:uid="{FE3ACABD-31B4-428F-9856-09C28F78151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707223AF-D6BC-4679-AC56-323141BBD2D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63D38E0E-EF2E-4B89-8919-FD38676A554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E012CC35-48AF-44C0-B8DE-A325DBD9AE6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AB7E413E-B693-4226-9C34-C71E7D122A4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65D83688-9F46-4BF8-96BB-DEF3EA2B974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94815432-B9A6-4853-B8E5-31C79255BF9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299C141D-FD58-46E1-A09A-A194E74D10C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8F59DF35-C65F-4E49-A61B-22A70E1D4B6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B830A4EC-7B43-47F6-81C9-66F9537D59F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2499F84B-0DF3-407F-82FA-8DE9C6DE92A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2DF5DC5A-CD58-4FA7-B10F-1431E206FA4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E3922E7A-4A30-4A2D-AC4E-3857F8F2573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E88BAED1-4F44-4B99-B1BE-4A7455B4199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1C13F7B2-CF4A-46E6-B863-2FEE251F361F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547EB2B-D96D-4086-A494-A722918D787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044D239F-1BC2-453A-A3A8-787B19984FB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C25B8AB0-F29A-4A45-BA16-BF7F9E3757D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5DD5E2B7-8A59-41A9-951D-DEBD4286D5C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310673D1-3868-4783-A041-D46B6214B38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D0F0F862-92E0-4A54-B6F6-5A9B9DDE4A0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4762B73E-F386-4681-8A2F-07A2041E242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153D7CA0-2886-4115-BBED-164F57D6971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E37BA518-953C-46D7-BA1B-6B08CD6F81D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0A665633-7738-4614-8082-EE91A8B442A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2C122130-5229-4F16-87BB-88D50079064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145D3537-9ED0-4FAF-9232-3FD41A6A570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2E3EA92D-CC2E-4020-9425-87DF20C1B8B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C3A3BBDC-6A81-4A86-B8DD-E7FB20154BBD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D1C8413F-E4F3-4E03-9C5F-2F651A0D958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0ADE6F3C-5828-4CB6-A0B9-C02E1E8AAC6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366AA88B-ACCD-4452-964A-3C27A0BB435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13C6315E-FDA4-4292-A6B5-F9B6B037DD6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5122D599-DDAA-4ECA-BEA8-A590B3D3425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C0840B3E-4A09-4CA6-AFED-0B00C49EC42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869080A8-8167-4485-8A7D-50432FA9DEC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70E77830-3E36-465A-9C41-26F215B15E9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A16A8944-1538-4E8C-A4A6-DE8231B6A16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BDCF14DE-86F2-4E4D-8744-529D1D57D62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BA932E09-1017-495F-ADAC-F71D258F398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E0C04140-702C-4D8A-B533-9D734BAF0E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2A3414A5-D8F5-4B58-9C8F-30867E2CCF6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EB52DE6D-42A2-4637-8395-47896205F1A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702DBDBB-FC90-44A9-B728-D91DA259627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8C091246-AE59-4C72-84A4-44F721DD6D2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193D9DB8-263B-4C15-99CB-6B2B3923B6B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6A0B1238-0EA4-464D-992E-4733A712590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EE6350DC-3D55-4A6D-8F19-AB1BAEC3A60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66CCD726-BFD0-49F4-93CB-871D638C026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52330223-8803-406B-A5C2-B71B5D32345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E46C6F8C-BCFA-46EA-A13F-425DC32FEBE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6D47EB04-1F89-4564-8EB1-415FB9D34B8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3536A0FB-0EAF-4DD7-808F-BC51F53682A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30251E8B-CD07-4803-A47A-A1D982D01A9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4235978D-5578-44B5-9CA9-A1B96D3DA5F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14AD69B7-C8B7-4079-AB9C-1D7FF65E0AD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77222E47-E63C-4C67-B808-5F353B13950D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97BDF1EA-C43B-47D4-9563-7B4037A3114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34F106DB-2F74-4C8D-9A38-58BE46EDB4F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6418ED86-4EB8-4435-9E89-A2B9658CB74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D4345360-9615-4E50-A303-D92CBA702D4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F4772DDD-CC3A-4270-9E83-02C35B109D7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CB977998-E518-430F-BABC-DEAEC60FB04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02B7ED9E-11CB-4682-BBAC-68D326BCADF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CFCB5552-EEBB-4DE2-A4FA-CFFA841381D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2F0954C7-CDB0-42FF-B6D9-CC61EC1F5DD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F91AD707-3F08-401B-84D4-84865CC2CE8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DFE2F6DF-6CA8-4A5E-BEF0-95DB791977E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D99770D5-0D88-42C7-8CAF-CFE9BF83216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7A2AA4BD-DD42-4798-B99B-D268AAE94C5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3BDE28E8-B3B9-420A-A7F4-92A370926003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721D4E93-4E59-4B32-A9C4-897F9CD8C91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B10A53DE-7276-41DD-B947-3858B498630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2E9479D1-7944-4518-B87E-50F1E108FD8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42AE8638-F76A-441D-B5C6-9A0E9E5C5C5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C3A68BC1-43C4-458C-A50D-9F8DB636861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3B11796C-7E4D-4118-8248-DDD3DF980C6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234F0E77-2E50-426B-8BD5-7C908A74F35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F4F2ECE8-E23F-4883-A168-E52704F58A3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D0DB5AE1-4E78-4DD9-965B-398051F059B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3FD03381-CDC4-47F9-818C-DC51BF3B17F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E636DE8F-21AF-4656-9EB7-AFA5BE97A74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77B1A3CC-40AC-4380-A17D-C4C08632EBF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F3656279-A319-4C68-AF55-5D0FC1B768F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53454038-0FE1-48F4-924E-A1FF0E9AE408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B4517C01-D6C9-4E61-B294-7499415CE65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F517DC64-ACC6-4920-9F0F-5B4CEFC7260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FD9A721C-827F-4B47-8F3F-47A25B679DC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5C553DFE-9EAB-41B9-8EE8-DE18F856E35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504D108A-B57D-4B8D-9F14-85D2B07E235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F60253CE-EDA8-4605-9178-3FAB542C6C5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40D6A43F-16FA-45B5-B1AC-5B6D2B1BA84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9902CAC7-BB87-4F3B-B256-46ABE9E210E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69C42682-356A-46C3-A7D2-E563087315B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71D0DEED-5185-4746-B274-99A564EF750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23D19F8F-B59D-42F4-A422-9F6F71AD32D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1139B84D-AD23-4A83-B582-8676935353E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065D18BC-FF7F-419D-A4AA-FEC2D586F04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5D3E71EC-0601-4508-86DC-05534E643ABF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8EA0CDB9-0C25-4434-A35D-CDC0688BB26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6E3F038E-AE72-44CC-9966-C2AF4731CE0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FF472BF7-A27B-4ECD-8F9D-1C5747A191E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BB4AD576-69BE-41F3-88F9-ADCD594970B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C617877E-04E3-4FBC-8F82-6BB7830405C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51090100-CC59-4D4B-8E66-E2677543C57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C8CA628B-42C2-4A22-A6A0-036406BA2FD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A6800FB9-F0A1-422B-9EDB-310C13260A2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C5D7D3A3-C85A-4D97-BF83-4E45226F031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2A3ED25C-25F5-4FBD-B217-0CFC2EFCE17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1E5EA7BE-092A-45B6-8DF2-1865E551A91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DC029D37-531A-465E-8F0F-92F6E9F36D1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45987496-4B8B-49E7-A36B-9190B2390EE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B0A02F36-8A18-4316-899B-98F35F9C2C3D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2CBB0744-4296-40BD-868F-5A74EE4B589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4EFD568F-17D3-4F20-8000-616F389B621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8015D2D5-FAA3-4F33-A651-D8D859DE08B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27357A21-CB86-4647-B4C0-12982B2E9EE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C7E7D741-AE08-45DB-ADC7-B4E7FDA882A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7FF4BA7B-4DA1-4888-8F8F-43221E57809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00859BA1-DD1D-4C2E-8C71-9A056976B05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00584BF3-AFEF-4B69-A1D7-BE2A4E94382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8766547C-B3CF-490D-80D5-1780A59CB22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66C12B6C-F1CC-4F59-9366-1AC477F859E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0ECBCB07-2992-4A27-B028-CBC316CD123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97212EA6-C2FB-4E60-8BC3-44B56AE1494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A6F85917-26EF-4B61-ADE0-946E6B50678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0619DF94-79AC-4A9F-B1F1-E0B02AA9526A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8951CF26-5974-4B09-B301-72AFAB78616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16EF643C-C937-4376-997A-4ACDEF3F7FE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EB73F0D3-DD2C-4763-9625-7349DB759DE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DF30FDD5-4DA9-47B6-A58A-A2BCCB23C12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E0711B68-4DC9-45D5-BDD5-55DD26007D7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1DF5E751-751B-4B26-B17D-9CBA76A1C0A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91CA00F8-E35C-4477-9A56-EF1CF145722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69AC457D-8048-4882-9789-C68A2A27321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C63FAA5E-3C22-475F-8C0D-0EA02856D32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B2A1D834-CA60-4B0D-8B88-0BE28F2DD68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6E88BCB2-D35F-43DD-BBB9-C3C9AAE5ABB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AD62AE91-71B5-4964-AA71-54F21C40938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41F79ABE-A0BE-4221-8AE5-7EB85212305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5955F527-E24E-4F32-9C62-A95A943AED56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tc={EEC7C014-E589-454E-9B5B-EBBE591B6AF8}</author>
  </authors>
  <commentList>
    <comment ref="G1" authorId="0" shapeId="0" xr:uid="{949B8D99-5785-40B5-BDC7-FDF3599ED36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 без учета ничьих
</t>
        </r>
      </text>
    </comment>
    <comment ref="J1" authorId="0" shapeId="0" xr:uid="{E8C52743-0B18-4861-AC77-BB88259EFE7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 без учета ничьих</t>
        </r>
      </text>
    </comment>
    <comment ref="N1" authorId="0" shapeId="0" xr:uid="{EB13D221-1DB3-4DDF-8FE5-2E00FB98294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N4" authorId="0" shapeId="0" xr:uid="{B23A0C41-2261-4CA6-A153-044AB5DE88F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B16" authorId="0" shapeId="0" xr:uid="{111E0416-C9EB-42B0-9D89-397031BE1FE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C16" authorId="0" shapeId="0" xr:uid="{04A9D5B8-A9BD-4DCB-A30C-71D3FBDEC4E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D16" authorId="0" shapeId="0" xr:uid="{DB41C20E-57E7-4ACA-98F8-2EFD6C5E56D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G16" authorId="0" shapeId="0" xr:uid="{7CE67FBC-DBAD-4AD2-8B7C-97125C0E74F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I16" authorId="0" shapeId="0" xr:uid="{E88FF65F-8620-4902-8213-21D966CDD33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N16" authorId="0" shapeId="0" xr:uid="{0881FC61-26A7-4EAD-8A0F-4ADB39114DD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U16" authorId="0" shapeId="0" xr:uid="{85F76CD4-6B03-4FC6-B26F-3B06734C264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B16" authorId="0" shapeId="0" xr:uid="{2F0FB34E-3BDD-4AA1-A3DD-25EDAA769A7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I16" authorId="0" shapeId="0" xr:uid="{9FE41E83-4E04-4738-A7B5-668D0CEC3CF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P16" authorId="0" shapeId="0" xr:uid="{F439583F-E6A2-4254-897A-3CCEEAED441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W16" authorId="0" shapeId="0" xr:uid="{0A4F4C48-2FE5-4809-B911-7965214EC22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D16" authorId="0" shapeId="0" xr:uid="{1A9B3D61-1198-47CF-9A89-04408D29909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K16" authorId="0" shapeId="0" xr:uid="{3B023EEF-F3A6-41F2-A7EC-FE0ECA46EFE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R16" authorId="1" shapeId="0" xr:uid="{EEC7C014-E589-454E-9B5B-EBBE591B6AF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вручную</t>
      </text>
    </comment>
    <comment ref="BS16" authorId="0" shapeId="0" xr:uid="{F368060E-BE9A-4DDB-9B12-FB08586FD9F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Z16" authorId="0" shapeId="0" xr:uid="{40FB0A5C-4A59-4052-B988-20D00E575BDC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D0C618C9-3E38-49FD-ACB5-A61A3451368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9A48F484-16FD-44D0-B9D7-44099A59460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3BD0153A-E7B5-4DDF-AB28-5B32514387C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BBD6723D-4D90-484E-86B7-03EC5D8442D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80F82A92-1D02-4CA7-97A1-A14A18B0E06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9A623078-DCC8-470C-AE05-B812ED2D92E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49D223BC-2706-49B9-9957-91CA80F0337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AF377EBF-833E-4274-A904-E7AFDDDA4D3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010F65C3-2C1C-4981-8CB6-E3E97A00FBE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85F1C0D0-5519-4FDB-A703-76A82836A4B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52BC99EB-369C-42DE-A126-3F24E1D85E6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E8E8E17A-A7C9-4FBA-9420-5E1347684C6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418B7BFF-E611-462D-B141-0EAC45FA0B7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2D83D31D-2AAA-41FF-8C7C-5BD325856A5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15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15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15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H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probabilities of winning in main pot</t>
        </r>
      </text>
    </comment>
    <comment ref="I1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probabilities of winnings in side pot 1</t>
        </r>
      </text>
    </comment>
    <comment ref="N1" authorId="0" shapeId="0" xr:uid="{00000000-0006-0000-0200-000003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probabilties of winnings if side pot 2</t>
        </r>
      </text>
    </comment>
    <comment ref="S1" authorId="0" shapeId="0" xr:uid="{00000000-0006-0000-0200-000004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chips amount of all pots</t>
        </r>
      </text>
    </comment>
    <comment ref="C6" authorId="0" shapeId="0" xr:uid="{00000000-0006-0000-0200-000005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2 players in hand case
p1win, p2win - probabilities of winnings
ICM1, ICM2 chip amount after player win or lose hand</t>
        </r>
      </text>
    </comment>
    <comment ref="F14" authorId="0" shapeId="0" xr:uid="{00000000-0006-0000-0200-000006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outome 1 where 1st player wins main pot and all side pots. Also gets 3 bounties for knocking out 3 other opponents</t>
        </r>
      </text>
    </comment>
    <comment ref="M14" authorId="0" shapeId="0" xr:uid="{00000000-0006-0000-0200-000007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outome 2 
2nd player wins main pot and all side pots. Also gets 2 bounties for knocking out 2 other opponents</t>
        </r>
      </text>
    </comment>
    <comment ref="A15" authorId="0" shapeId="0" xr:uid="{00000000-0006-0000-0200-000008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source hand for calculation
number of player corresponds to the chip count</t>
        </r>
      </text>
    </comment>
    <comment ref="BQ15" authorId="0" shapeId="0" xr:uid="{00000000-0006-0000-0200-000009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  <comment ref="BW15" authorId="0" shapeId="0" xr:uid="{00000000-0006-0000-0200-00000A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  <comment ref="CC15" authorId="0" shapeId="0" xr:uid="{00000000-0006-0000-0200-00000B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  <comment ref="CI15" authorId="0" shapeId="0" xr:uid="{00000000-0006-0000-0200-00000C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tc={60F5E0A2-A95B-41AD-8558-3CEAD428AF7B}</author>
  </authors>
  <commentList>
    <comment ref="F1" authorId="0" shapeId="0" xr:uid="{67985D80-4F2C-43E7-ACD1-D6297288024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 без учета ничьих
</t>
        </r>
      </text>
    </comment>
    <comment ref="I1" authorId="0" shapeId="0" xr:uid="{84DDCDA6-7A5B-4369-8212-298B4297E7A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 без учета ничьих</t>
        </r>
      </text>
    </comment>
    <comment ref="M1" authorId="0" shapeId="0" xr:uid="{172CF585-9BAE-4301-9EAF-37923236711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70B90EE3-6DA1-4C0C-BCCF-8F125B81A42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2A6345F6-CAE7-468D-8B5B-34AE85544B2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282537DC-E793-48A1-BA51-3BFA8380BEC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CEF99F17-9D03-4102-921F-BC1498BB959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6A850AAC-C07B-4327-B4AC-80670329265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2CD2134E-FC7B-40DF-BF61-E004C1333FA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E488CBD8-4C4B-4366-9AFD-1EEF74D2DD8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36FFA286-F7F3-426E-BB20-4EDA8657D53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B3157C70-F359-4947-8FAA-DEF1C8141D8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H16" authorId="0" shapeId="0" xr:uid="{22626C75-1999-4643-8C26-FA76CBF7A40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O16" authorId="0" shapeId="0" xr:uid="{0589C826-B389-4045-AEC9-B6177B27494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V16" authorId="0" shapeId="0" xr:uid="{23FB9296-AB26-49B8-88AD-AA506604C9E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C16" authorId="0" shapeId="0" xr:uid="{79794DC4-CD39-40F3-A616-D7907B5279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J16" authorId="0" shapeId="0" xr:uid="{B257B390-11DE-41F4-B0D3-32C441AB219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Q16" authorId="1" shapeId="0" xr:uid="{60F5E0A2-A95B-41AD-8558-3CEAD428AF7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вручную</t>
      </text>
    </comment>
    <comment ref="BR16" authorId="0" shapeId="0" xr:uid="{11BE9CE1-D85F-452A-8499-D3363DD8573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Y16" authorId="0" shapeId="0" xr:uid="{924A12D3-895B-46BE-B197-1925E64E2B6A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tc={2370B6AB-DEFF-45F1-AB77-FD6B76C0D1DE}</author>
  </authors>
  <commentList>
    <comment ref="I1" authorId="0" shapeId="0" xr:uid="{478B753F-8120-4E46-BD6A-50926581FFA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I4" authorId="0" shapeId="0" xr:uid="{A54C4BAE-A84F-445C-B530-13D8E0BA5CD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8" authorId="0" shapeId="0" xr:uid="{9BA49C2D-DF40-4A15-A1C1-61554995955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8" authorId="0" shapeId="0" xr:uid="{7D28CF25-162B-4049-AAF9-6A3B8BA1AF8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8" authorId="0" shapeId="0" xr:uid="{EF9F6573-85A3-4349-B766-D4B014A52B5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8" authorId="0" shapeId="0" xr:uid="{14CF8A5E-78D4-4D6A-9F2B-FE6D065A641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8" authorId="0" shapeId="0" xr:uid="{7F138AAE-4768-44F8-BC72-944E1688674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8" authorId="0" shapeId="0" xr:uid="{8C0E4DFD-2A95-44D1-BC30-BE20E49E8B7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8" authorId="0" shapeId="0" xr:uid="{5648DDE8-118E-4440-9C97-EA4222CE9AE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8" authorId="0" shapeId="0" xr:uid="{693FB6A6-3448-475F-8C24-3FDD53634A1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H18" authorId="0" shapeId="0" xr:uid="{812F1967-CB5D-44EE-BF6E-BFD105186FD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O18" authorId="0" shapeId="0" xr:uid="{BBD4EE17-672C-41B7-A9E2-396CCB71383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V18" authorId="0" shapeId="0" xr:uid="{B8B2128D-B737-42E2-AA1B-D02D039F070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C18" authorId="0" shapeId="0" xr:uid="{52E6B551-9567-450D-9ED6-2B30D79D4C2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J18" authorId="0" shapeId="0" xr:uid="{75088721-C8F3-4DC6-828D-E6A0D02EFE3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Q18" authorId="1" shapeId="0" xr:uid="{2370B6AB-DEFF-45F1-AB77-FD6B76C0D1D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вручную</t>
      </text>
    </comment>
    <comment ref="BR18" authorId="0" shapeId="0" xr:uid="{70D73BFC-20D8-45E5-A7CA-74C9DCDBDD2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Y18" authorId="0" shapeId="0" xr:uid="{B6102585-575B-454D-BB1C-721ED0E46CF9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tc={234B77C9-DCE9-4FCF-8A47-F674DEA31893}</author>
  </authors>
  <commentList>
    <comment ref="F1" authorId="0" shapeId="0" xr:uid="{4D6623BB-C22F-446B-81EA-451357E7439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 без учета ничьих
</t>
        </r>
      </text>
    </comment>
    <comment ref="I1" authorId="0" shapeId="0" xr:uid="{743F0ADE-7A08-411E-87C9-E0A32A46483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 без учета ничьих</t>
        </r>
      </text>
    </comment>
    <comment ref="M1" authorId="0" shapeId="0" xr:uid="{DAD7AC36-497C-4140-861E-60367D4CDEC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89D70BBA-5060-4050-BA5C-FF778476BEE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D8A8B2E4-0A50-4B64-B7CF-071D641AE3E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ED28C403-E8CA-47D4-99AC-42F1C3B5E33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70842756-CCB1-47B0-8636-DC8471A2A32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3AFC89E5-851B-4DCE-890E-67051851010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415E64ED-084A-453F-8DBA-8B884141F0F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83BEA2F8-314D-4E72-A996-2D922C5DB41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37384F2B-262E-4929-A285-1AB95F27482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F196D949-EC11-4D10-8B36-4D5564DE57A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H16" authorId="0" shapeId="0" xr:uid="{C1D60204-956C-41A6-8CDD-DB7340D26A2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O16" authorId="0" shapeId="0" xr:uid="{F90C4C06-C216-4F18-AD12-BDF701DACA7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V16" authorId="1" shapeId="0" xr:uid="{234B77C9-DCE9-4FCF-8A47-F674DEA3189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вручную</t>
      </text>
    </comment>
    <comment ref="AW16" authorId="0" shapeId="0" xr:uid="{839991EB-CFE3-45EE-8A6C-ED399D9C6C9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D16" authorId="0" shapeId="0" xr:uid="{1FD7E3A4-5214-4386-8C81-1285CDEDB4A8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33E33BC7-A938-4F89-8BA7-29EA6254A3C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</t>
        </r>
      </text>
    </comment>
    <comment ref="I1" authorId="0" shapeId="0" xr:uid="{03E6B412-94D3-47BA-82BC-A4B3340358E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</t>
        </r>
      </text>
    </comment>
    <comment ref="M1" authorId="0" shapeId="0" xr:uid="{39002FF0-CC45-43C5-A7B0-2EF76A0EF7D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609997E4-85DC-4A59-8E8C-1E23C4CFD8B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D3EDFBDE-83A1-419E-9A68-EF76B025466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6ED8C83A-EFF1-4588-A8EF-CB87D3155E0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8053B428-4EA7-4F5E-9987-EBB626D66E7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DC042BA7-64D3-43A0-88BA-0D43B2F31B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82069C5D-A491-479F-AADD-537446AE6FC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17E25E22-84F6-4B67-979B-9EF8573C7B6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7C1F9BCE-325F-4E5F-B0B6-504EDF69297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AE5C8AFC-0368-4F0A-B4AA-20B90907F7F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J16" authorId="0" shapeId="0" xr:uid="{F294D454-0236-44B5-9AC7-079A422DFC7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AQ16" authorId="0" shapeId="0" xr:uid="{BF527622-4C7A-468D-A055-BEF934A3FD17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tc={AFDFB16B-9979-40C4-88F8-63E81099241F}</author>
  </authors>
  <commentList>
    <comment ref="F1" authorId="0" shapeId="0" xr:uid="{CD621439-241B-4400-B633-9CF204E2711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 без учета ничьих
</t>
        </r>
      </text>
    </comment>
    <comment ref="I1" authorId="0" shapeId="0" xr:uid="{856EFFAB-2064-4BEB-81CB-C4E0E62BC16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 без учета ничьих</t>
        </r>
      </text>
    </comment>
    <comment ref="M1" authorId="0" shapeId="0" xr:uid="{471B2603-8F3D-4612-893C-D193B933296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DA0895AE-3C72-42DF-A5C8-0367A62C49A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1B920A1F-C86A-4B6B-98EB-2442C36E568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C52CB1B2-5EF4-4175-968F-8B0086C0D29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154D71DC-2A94-482A-912C-E75A60DB7D7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6AFF22DF-6117-4CBC-8F6E-EA718AEF8E8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58EA304D-9BD5-420F-98BE-760A665C84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25852F06-62E7-49FD-9810-1AAE1E0D7AC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22B24B8E-EAAE-42D6-9AD8-8CA70B999A7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9D8522F5-0ABA-4D60-A6CB-D8606053DDC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H16" authorId="0" shapeId="0" xr:uid="{DCB73FD9-AF6B-4D1B-A685-94C50962211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O16" authorId="0" shapeId="0" xr:uid="{0F9B4F9A-A48D-44F7-B2A0-FAB0CF80F9A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V16" authorId="1" shapeId="0" xr:uid="{AFDFB16B-9979-40C4-88F8-63E81099241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вручную</t>
      </text>
    </comment>
    <comment ref="AW16" authorId="0" shapeId="0" xr:uid="{BCDDEB70-D408-460F-B230-2E5B20EF221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D16" authorId="0" shapeId="0" xr:uid="{8E898C2D-5CE7-4069-B2C9-F4587033B1A2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3FD9A01A-DB73-4B73-9B23-48EB61100B9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выигрыша в main pot без учета ничьих
</t>
        </r>
      </text>
    </comment>
    <comment ref="I1" authorId="0" shapeId="0" xr:uid="{F846ADF3-B503-4D0B-93F0-53AB8512F3E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вероятности в сайд поте без учета ничьих</t>
        </r>
      </text>
    </comment>
    <comment ref="M1" authorId="0" shapeId="0" xr:uid="{8FAB6291-473A-4B86-A74B-ABBCFA34581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M4" authorId="0" shapeId="0" xr:uid="{35000344-2350-4382-8FE8-2A929EA2593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A16" authorId="0" shapeId="0" xr:uid="{7CE7B432-EB4E-4F45-BFE1-7F39BCCE0DB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B16" authorId="0" shapeId="0" xr:uid="{01CB6444-0094-4769-8839-05FA51DB0DE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C16" authorId="0" shapeId="0" xr:uid="{FA23813A-0045-4BFA-B369-445EDEE0142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F16" authorId="0" shapeId="0" xr:uid="{D69A2B58-6C3F-4C3C-9EF6-93AA7250381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H16" authorId="0" shapeId="0" xr:uid="{77E31198-08F3-471C-88B7-7003FCF1A41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M16" authorId="0" shapeId="0" xr:uid="{C7BA72E9-CDC2-427B-A372-48033568D86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T16" authorId="0" shapeId="0" xr:uid="{A9D0C062-EE65-4810-90AE-5B1AA1FEDE3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A16" authorId="0" shapeId="0" xr:uid="{C4857110-E89F-4A4A-9A59-EB9127D30A6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H16" authorId="0" shapeId="0" xr:uid="{119E7086-AB78-42C3-9AE5-2A4C7D09E578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O16" authorId="0" shapeId="0" xr:uid="{41FB4063-CB60-4B97-9F33-6D445B3A751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W16" authorId="0" shapeId="0" xr:uid="{01D338C0-1FB2-4F9C-A40F-94F7E0B946D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D16" authorId="0" shapeId="0" xr:uid="{2957E98F-91A6-4B97-A21B-DBF22F4C696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7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sharedStrings.xml><?xml version="1.0" encoding="utf-8"?>
<sst xmlns="http://schemas.openxmlformats.org/spreadsheetml/2006/main" count="3794" uniqueCount="806">
  <si>
    <t>prize</t>
  </si>
  <si>
    <t>KO</t>
  </si>
  <si>
    <t>EV diff =</t>
  </si>
  <si>
    <t>[pWin] * [ICMwin] + ( 1 - [pWin]) * [ICMlose] - [ICMFact]</t>
  </si>
  <si>
    <t xml:space="preserve">KO diff = </t>
  </si>
  <si>
    <t>[pWin] * [KOwin] + (1 - [pWin]) * [KOlose] - [KOFact]</t>
  </si>
  <si>
    <t>if player get bounty add 1 to KO</t>
  </si>
  <si>
    <t>lose</t>
  </si>
  <si>
    <t>Win</t>
  </si>
  <si>
    <t>Lose</t>
  </si>
  <si>
    <t>Fact</t>
  </si>
  <si>
    <t>Diff</t>
  </si>
  <si>
    <t>stack</t>
  </si>
  <si>
    <t>hand</t>
  </si>
  <si>
    <t>pWin</t>
  </si>
  <si>
    <t>stackwin</t>
  </si>
  <si>
    <t>EQwin</t>
  </si>
  <si>
    <t>ICMwin</t>
  </si>
  <si>
    <t>Kowin</t>
  </si>
  <si>
    <t>stacklose</t>
  </si>
  <si>
    <t>EQlose</t>
  </si>
  <si>
    <t>ICMlose</t>
  </si>
  <si>
    <t>Kolose</t>
  </si>
  <si>
    <t xml:space="preserve"> 2</t>
  </si>
  <si>
    <t>stackfact</t>
  </si>
  <si>
    <t>Eqfact</t>
  </si>
  <si>
    <t>ICMFact</t>
  </si>
  <si>
    <t>KOFact</t>
  </si>
  <si>
    <t>eqdiff</t>
  </si>
  <si>
    <t>ICMdiff</t>
  </si>
  <si>
    <t>KODiff</t>
  </si>
  <si>
    <t>KOmoneyDiff</t>
  </si>
  <si>
    <t>totalDiff</t>
  </si>
  <si>
    <t>cEVDiff</t>
  </si>
  <si>
    <t>Ako</t>
  </si>
  <si>
    <t>Kqo</t>
  </si>
  <si>
    <t>JTs</t>
  </si>
  <si>
    <t>AA</t>
  </si>
  <si>
    <t>Kd8h</t>
  </si>
  <si>
    <t>AcAs</t>
  </si>
  <si>
    <t>Ah4s</t>
  </si>
  <si>
    <t>Qh9h</t>
  </si>
  <si>
    <t>As3h</t>
  </si>
  <si>
    <t>Ad7d</t>
  </si>
  <si>
    <t>Kd9h</t>
  </si>
  <si>
    <t>Jc6c</t>
  </si>
  <si>
    <t>As9c</t>
  </si>
  <si>
    <t>KhJh</t>
  </si>
  <si>
    <t>AcQh</t>
  </si>
  <si>
    <t>AhTs</t>
  </si>
  <si>
    <t>T7o</t>
  </si>
  <si>
    <t>65o</t>
  </si>
  <si>
    <t>A3s</t>
  </si>
  <si>
    <t>Aqd</t>
  </si>
  <si>
    <t>76h</t>
  </si>
  <si>
    <t>sat16\round1\2way\hero-push-sb-call.txt</t>
  </si>
  <si>
    <t>J9s</t>
  </si>
  <si>
    <t>A3o</t>
  </si>
  <si>
    <t>sat16\round1\2way\sb-push-hero-call.txt</t>
  </si>
  <si>
    <t>J6h</t>
  </si>
  <si>
    <t>QhQd</t>
  </si>
  <si>
    <t>sat16\round1\2way\hero-call-bvb.txt</t>
  </si>
  <si>
    <t>8d9d</t>
  </si>
  <si>
    <t>6d8s</t>
  </si>
  <si>
    <t>sat16\round1\auto-ai.txt</t>
  </si>
  <si>
    <t>8h2h</t>
  </si>
  <si>
    <t>220042971340.txt</t>
  </si>
  <si>
    <t>Ah 3h</t>
  </si>
  <si>
    <t>KsAd</t>
  </si>
  <si>
    <t>220043268274.txt</t>
  </si>
  <si>
    <t>4h4s</t>
  </si>
  <si>
    <t>p1win</t>
  </si>
  <si>
    <t>p1sp1win</t>
  </si>
  <si>
    <t>mainpot</t>
  </si>
  <si>
    <t>p2win</t>
  </si>
  <si>
    <t>p2sp1win</t>
  </si>
  <si>
    <t>sidepot1</t>
  </si>
  <si>
    <t>chips</t>
  </si>
  <si>
    <t>p3win</t>
  </si>
  <si>
    <t>sidepot2</t>
  </si>
  <si>
    <t>p4win</t>
  </si>
  <si>
    <t>uncalled</t>
  </si>
  <si>
    <t>EV2=</t>
  </si>
  <si>
    <t>p1win*[ICM1]+(1-p1win)*[ICM2]</t>
  </si>
  <si>
    <t>EV3=</t>
  </si>
  <si>
    <t>p3win*(p1sp1win*T_p3p1[@ICM]+(1-p1sp1win)*T_p3p1[@ICM])+p2win*T_p2[@ICM]+p1win*T_p1[@ICM]</t>
  </si>
  <si>
    <t>EV4=</t>
  </si>
  <si>
    <t>p4win*(EV3sp1)+p3win(EV2sp2)+p2win[@ICM2]+p1win*[@ICM1]</t>
  </si>
  <si>
    <t>выплаты:</t>
  </si>
  <si>
    <t>1е</t>
  </si>
  <si>
    <t>2е</t>
  </si>
  <si>
    <t>3е</t>
  </si>
  <si>
    <t>T_p3p1</t>
  </si>
  <si>
    <t>T_p3p2</t>
  </si>
  <si>
    <t>3rd player Win</t>
  </si>
  <si>
    <t>Total</t>
  </si>
  <si>
    <t>T_p1</t>
  </si>
  <si>
    <t>T_p2</t>
  </si>
  <si>
    <t>side pot</t>
  </si>
  <si>
    <t>T_fact</t>
  </si>
  <si>
    <t>1st player Win</t>
  </si>
  <si>
    <t>2nd player Win</t>
  </si>
  <si>
    <t>side pot 1st player Win</t>
  </si>
  <si>
    <t>side pot 2nd player Win</t>
  </si>
  <si>
    <t>EV</t>
  </si>
  <si>
    <t>p</t>
  </si>
  <si>
    <t>anteblinds</t>
  </si>
  <si>
    <t>players</t>
  </si>
  <si>
    <t>EQ</t>
  </si>
  <si>
    <t>ICM</t>
  </si>
  <si>
    <t>$stack</t>
  </si>
  <si>
    <t>chipEV</t>
  </si>
  <si>
    <t>cEVdiff</t>
  </si>
  <si>
    <t>Evdiff</t>
  </si>
  <si>
    <t>QdTh</t>
  </si>
  <si>
    <t>Js8d</t>
  </si>
  <si>
    <t>9c7s</t>
  </si>
  <si>
    <t>Исходная раздача</t>
  </si>
  <si>
    <t>main pot</t>
  </si>
  <si>
    <t>PokerStars Hand #201458116362: Tournament #2631484900, $2.79+$0.06 USD Hold'em No Limit - Match Round I, Level I (25/50) - 2019/06/16 16:41:41 ET</t>
  </si>
  <si>
    <t>банк где учавствуют все игроки</t>
  </si>
  <si>
    <t>Table '2631484900 2' 4-max Seat #1 is the button</t>
  </si>
  <si>
    <t>side pot образуется если больше 2 человек в АИ</t>
  </si>
  <si>
    <t>Seat 1: jffj13 (385 in chips)</t>
  </si>
  <si>
    <t>Seat 2: UnstablePoke (385 in chips)</t>
  </si>
  <si>
    <t>Seat 3: NL_Classic (570 in chips)</t>
  </si>
  <si>
    <t>если есть side pot 2 в нем учавствуют топ 2, а в сайд пот 1 учавствуют топ 3</t>
  </si>
  <si>
    <t>Seat 4: MATECO (660 in chips)</t>
  </si>
  <si>
    <t>jffj13: posts the ante 10</t>
  </si>
  <si>
    <t xml:space="preserve">Алгоритм расчета </t>
  </si>
  <si>
    <t>UnstablePoke: posts the ante 10</t>
  </si>
  <si>
    <t>считаем эквити между топ1 топ2 топ3 топ4</t>
  </si>
  <si>
    <t>NL_Classic: posts the ante 10</t>
  </si>
  <si>
    <t>1 случай топ1 выиграл</t>
  </si>
  <si>
    <t>MATECO: posts the ante 10</t>
  </si>
  <si>
    <t>получает все фишки со всех банков, + ноки, отсальные обнуляются</t>
  </si>
  <si>
    <t>UnstablePoke: posts small blind 25</t>
  </si>
  <si>
    <t>2 случай топ2 выиграл</t>
  </si>
  <si>
    <t>NL_Classic: posts big blind 50</t>
  </si>
  <si>
    <t>*** HOLE CARDS ***</t>
  </si>
  <si>
    <t>3 случай топ3 выиглал</t>
  </si>
  <si>
    <t>Dealt to NL_Classic [7s 9c]</t>
  </si>
  <si>
    <t>получает сайд1 и мэйн + нок за 1 игрока</t>
  </si>
  <si>
    <t>MATECO: folds</t>
  </si>
  <si>
    <t>считаем эквити между топ1 и топ2</t>
  </si>
  <si>
    <t xml:space="preserve">выиграл топ1 </t>
  </si>
  <si>
    <t>jffj13: calls 50</t>
  </si>
  <si>
    <t>получает сайд2 и нок за топ2</t>
  </si>
  <si>
    <t>UnstablePoke: calls 25</t>
  </si>
  <si>
    <t>выиграл топ2</t>
  </si>
  <si>
    <t>NL_Classic: checks</t>
  </si>
  <si>
    <t>получает сайд2</t>
  </si>
  <si>
    <t>*** FLOP *** [Qh 8s 9s]</t>
  </si>
  <si>
    <t>UnstablePoke: checks</t>
  </si>
  <si>
    <t>4 случай топ4 выиграл</t>
  </si>
  <si>
    <t>NL_Classic: bets 510 and is all-in</t>
  </si>
  <si>
    <t>получает мэйн</t>
  </si>
  <si>
    <t>jffj13: calls 325 and is all-in</t>
  </si>
  <si>
    <t>считаем эквити между топ1 топ2 топ3</t>
  </si>
  <si>
    <t>UnstablePoke: calls 325 and is all-in</t>
  </si>
  <si>
    <t>получает сайд1 и сайд2 + 2 нока за топ2 и топ3</t>
  </si>
  <si>
    <t>Uncalled bet (185) returned to NL_Classic</t>
  </si>
  <si>
    <t>*** TURN *** [Qh 8s 9s] [Ac]</t>
  </si>
  <si>
    <t>получает сайд1 и сайд2 + 1 нок за топ3</t>
  </si>
  <si>
    <t>*** RIVER *** [Qh 8s 9s Ac] [5h]</t>
  </si>
  <si>
    <t>выйграл топ3</t>
  </si>
  <si>
    <t>*** SHOW DOWN ***</t>
  </si>
  <si>
    <t>получает сайд1</t>
  </si>
  <si>
    <t>UnstablePoke: shows [8d Js] (a pair of Eights)</t>
  </si>
  <si>
    <t>NL_Classic: shows [7s 9c] (a pair of Nines)</t>
  </si>
  <si>
    <t>jffj13: shows [Th Qd] (a pair of Queens)</t>
  </si>
  <si>
    <t>jffj13 collected 1165 from pot</t>
  </si>
  <si>
    <t>UnstablePoke finished the tournament in 9th place</t>
  </si>
  <si>
    <t>*** SUMMARY ***</t>
  </si>
  <si>
    <t>Total pot 1165 | Rake 0</t>
  </si>
  <si>
    <t>Board [Qh 8s 9s Ac 5h]</t>
  </si>
  <si>
    <t>Seat 1: jffj13 (button) showed [Th Qd] and won (1165) with a pair of Queens</t>
  </si>
  <si>
    <t>Seat 2: UnstablePoke (small blind) showed [8d Js] and lost with a pair of Eights</t>
  </si>
  <si>
    <t>Seat 3: NL_Classic (big blind) showed [7s 9c] and lost with a pair of Nines</t>
  </si>
  <si>
    <t>Seat 4: MATECO folded before Flop (didn't bet)</t>
  </si>
  <si>
    <t>9h9s</t>
  </si>
  <si>
    <t>As4h</t>
  </si>
  <si>
    <t>Ah7c</t>
  </si>
  <si>
    <t>PokerStars Hand #220925641894: Tournament #3061564977, $14.71+$0.29 USD Hold'em No Limit - Match Round I, Level I (25/50) - 2020/11/29 21:42:55 MSK [2020/11/29 13:42:55 ET]</t>
  </si>
  <si>
    <t>Table '3061564977 4' 4-max Seat #3 is the button</t>
  </si>
  <si>
    <t>Seat 1: DiggErr555 (595 in chips)</t>
  </si>
  <si>
    <t>Seat 2: O.BELMANE (455 in chips)</t>
  </si>
  <si>
    <t>Seat 3: AnotherBirde (405 in chips)</t>
  </si>
  <si>
    <t>Seat 4: FragdenInder (545 in chips)</t>
  </si>
  <si>
    <t>DiggErr555: posts the ante 10</t>
  </si>
  <si>
    <t>O.BELMANE: posts the ante 10</t>
  </si>
  <si>
    <t>AnotherBirde: posts the ante 10</t>
  </si>
  <si>
    <t>FragdenInder: posts the ante 10</t>
  </si>
  <si>
    <t>FragdenInder: posts small blind 25</t>
  </si>
  <si>
    <t>DiggErr555: posts big blind 50</t>
  </si>
  <si>
    <t>Dealt to DiggErr555 [9h 9s]</t>
  </si>
  <si>
    <t>O.BELMANE: folds</t>
  </si>
  <si>
    <t>AnotherBirde: raises 345 to 395 and is all-in</t>
  </si>
  <si>
    <t>FragdenInder: raises 140 to 535 and is all-in</t>
  </si>
  <si>
    <t>DiggErr555: calls 485</t>
  </si>
  <si>
    <t>*** FLOP *** [Jh Qd 6h]</t>
  </si>
  <si>
    <t>*** TURN *** [Jh Qd 6h] [Ac]</t>
  </si>
  <si>
    <t>*** RIVER *** [Jh Qd 6h Ac] [6s]</t>
  </si>
  <si>
    <t>FragdenInder: shows [7d Ah] (two pair, Aces and Sixes)</t>
  </si>
  <si>
    <t>DiggErr555: shows [9h 9s] (two pair, Nines and Sixes)</t>
  </si>
  <si>
    <t>FragdenInder collected 280 from side pot</t>
  </si>
  <si>
    <t>AnotherBirde: shows [4h As] (two pair, Aces and Sixes)</t>
  </si>
  <si>
    <t>FragdenInder collected 613 from main pot</t>
  </si>
  <si>
    <t>AnotherBirde collected 612 from main pot</t>
  </si>
  <si>
    <t>Total pot 1505 Main pot 1225. Side pot 280. | Rake 0</t>
  </si>
  <si>
    <t>Board [Jh Qd 6h Ac 6s]</t>
  </si>
  <si>
    <t>Seat 1: DiggErr555 (big blind) showed [9h 9s] and lost with two pair, Nines and Sixes</t>
  </si>
  <si>
    <t>Seat 2: O.BELMANE folded before Flop (didn't bet)</t>
  </si>
  <si>
    <t>Seat 3: AnotherBirde (button) showed [4h As] and won (612) with two pair, Aces and Sixes</t>
  </si>
  <si>
    <t>Seat 4: FragdenInder (small blind) showed [7d Ah] and won (893) with two pair, Aces and Sixes</t>
  </si>
  <si>
    <t>9s8s</t>
  </si>
  <si>
    <t>Ac9d</t>
  </si>
  <si>
    <t>QhTd</t>
  </si>
  <si>
    <t>PokerStars Hand #221055960554: Tournament #3064451595, $14.71+$0.29 USD Hold'em No Limit - Match Round I, Level I (25/50) - 2020/12/03 20:45:17 MSK [2020/12/03 12:45:17 ET]</t>
  </si>
  <si>
    <t>Table '3064451595 2' 4-max Seat #1 is the button</t>
  </si>
  <si>
    <t>Seat 1: FragdenInder (500 in chips)</t>
  </si>
  <si>
    <t>Seat 2: Bee_Lou81 (385 in chips)</t>
  </si>
  <si>
    <t>Seat 3: NL_Classic (730 in chips)</t>
  </si>
  <si>
    <t>Seat 4: marck_vlad (385 in chips)</t>
  </si>
  <si>
    <t>Bee_Lou81: posts the ante 10</t>
  </si>
  <si>
    <t>marck_vlad: posts the ante 10</t>
  </si>
  <si>
    <t>Bee_Lou81: posts small blind 25</t>
  </si>
  <si>
    <t>Dealt to NL_Classic [9s 8s]</t>
  </si>
  <si>
    <t>marck_vlad: raises 325 to 375 and is all-in</t>
  </si>
  <si>
    <t>FragdenInder: folds</t>
  </si>
  <si>
    <t>Bee_Lou81: calls 350 and is all-in</t>
  </si>
  <si>
    <t>NL_Classic: calls 325</t>
  </si>
  <si>
    <t>*** FLOP *** [5s 7d Jh]</t>
  </si>
  <si>
    <t>*** TURN *** [5s 7d Jh] [7h]</t>
  </si>
  <si>
    <t>*** RIVER *** [5s 7d Jh 7h] [2h]</t>
  </si>
  <si>
    <t>Bee_Lou81: shows [9d Ac] (a pair of Sevens)</t>
  </si>
  <si>
    <t>NL_Classic: shows [9s 8s] (a pair of Sevens - lower kicker)</t>
  </si>
  <si>
    <t>marck_vlad: shows [Qh Td] (a pair of Sevens - lower kicker)</t>
  </si>
  <si>
    <t>Bee_Lou81 collected 1165 from pot</t>
  </si>
  <si>
    <t>marck_vlad finished the tournament in 9th place</t>
  </si>
  <si>
    <t>Board [5s 7d Jh 7h 2h]</t>
  </si>
  <si>
    <t>Seat 1: FragdenInder (button) folded before Flop (didn't bet)</t>
  </si>
  <si>
    <t>Seat 2: Bee_Lou81 (small blind) showed [9d Ac] and won (1165) with a pair of Sevens</t>
  </si>
  <si>
    <t>Seat 3: NL_Classic (big blind) showed [9s 8s] and lost with a pair of Sevens</t>
  </si>
  <si>
    <t>Seat 4: marck_vlad showed [Qh Td] and lost with a pair of Sevens</t>
  </si>
  <si>
    <t>Ts Ac</t>
  </si>
  <si>
    <t>Ks 2s</t>
  </si>
  <si>
    <t>7d Kc</t>
  </si>
  <si>
    <t>PokerStars Hand #220649741455: Tournament #3055495936, $7.36+$0.14 USD Hold'em No Limit - Match Round I, Level I (25/50) - 2020/11/22 0:51:34 MSK [2020/11/21 16:51:34 ET]</t>
  </si>
  <si>
    <t>Table '3055495936 3' 4-max Seat #2 is the button</t>
  </si>
  <si>
    <t>Seat 1: Murino (665 in chips)</t>
  </si>
  <si>
    <t>Seat 2: mazy957 (840 in chips)</t>
  </si>
  <si>
    <t>Seat 3: Detochkin_4 (325 in chips)</t>
  </si>
  <si>
    <t>Seat 4: NL_Classic (170 in chips)</t>
  </si>
  <si>
    <t>Murino: posts the ante 10</t>
  </si>
  <si>
    <t>mazy957: posts the ante 10</t>
  </si>
  <si>
    <t>Detochkin_4: posts the ante 10</t>
  </si>
  <si>
    <t>Detochkin_4: posts small blind 25</t>
  </si>
  <si>
    <t>Dealt to NL_Classic [Ks 2s]</t>
  </si>
  <si>
    <t>Murino: folds</t>
  </si>
  <si>
    <t>mazy957: raises 780 to 830 and is all-in</t>
  </si>
  <si>
    <t>Detochkin_4: calls 290 and is all-in</t>
  </si>
  <si>
    <t>NL_Classic: calls 110 and is all-in</t>
  </si>
  <si>
    <t>Uncalled bet (515) returned to mazy957</t>
  </si>
  <si>
    <t>*** FLOP *** [7c 8d Td]</t>
  </si>
  <si>
    <t>*** TURN *** [7c 8d Td] [4d]</t>
  </si>
  <si>
    <t>*** RIVER *** [7c 8d Td 4d] [4h]</t>
  </si>
  <si>
    <t>Detochkin_4: shows [7d Kc] (two pair, Sevens and Fours)</t>
  </si>
  <si>
    <t>mazy957: shows [Ts Ac] (two pair, Tens and Fours)</t>
  </si>
  <si>
    <t>mazy957 collected 310 from side pot</t>
  </si>
  <si>
    <t>NL_Classic: shows [Ks 2s] (a pair of Fours)</t>
  </si>
  <si>
    <t>mazy957 collected 520 from main pot</t>
  </si>
  <si>
    <t>Detochkin_4 finished the tournament in 12th place</t>
  </si>
  <si>
    <t>NL_Classic finished the tournament in 13th place</t>
  </si>
  <si>
    <t>Total pot 830 Main pot 520. Side pot 310. | Rake 0</t>
  </si>
  <si>
    <t>Board [7c 8d Td 4d 4h]</t>
  </si>
  <si>
    <t>Seat 1: Murino folded before Flop (didn't bet)</t>
  </si>
  <si>
    <t>Seat 2: mazy957 (button) showed [Ts Ac] and won (830) with two pair, Tens and Fours</t>
  </si>
  <si>
    <t>Seat 3: Detochkin_4 (small blind) showed [7d Kc] and lost with two pair, Sevens and Fours</t>
  </si>
  <si>
    <t>Seat 4: NL_Classic (big blind) showed [Ks 2s] and lost with a pair of Fours</t>
  </si>
  <si>
    <t>KsJc</t>
  </si>
  <si>
    <t>QdQs</t>
  </si>
  <si>
    <t>8h8c</t>
  </si>
  <si>
    <t>PokerStars Hand #219410842283: Tournament #3027373702, $7.36+$0.14 USD Hold'em No Limit - Match Round I, Level I (25/50) - 2020/10/15 21:28:14 MSK [2020/10/15 14:28:14 ET]</t>
  </si>
  <si>
    <t>Table '3027373702 1' 4-max Seat #1 is the button</t>
  </si>
  <si>
    <t xml:space="preserve">Seat 1: Realtor4Hire (500 in chips) </t>
  </si>
  <si>
    <t xml:space="preserve">Seat 2: wycioreks (500 in chips) </t>
  </si>
  <si>
    <t xml:space="preserve">Seat 3: NL_Classic (500 in chips) </t>
  </si>
  <si>
    <t xml:space="preserve">Seat 4: byStereo (500 in chips) </t>
  </si>
  <si>
    <t>Realtor4Hire: posts the ante 10</t>
  </si>
  <si>
    <t>wycioreks: posts the ante 10</t>
  </si>
  <si>
    <t>byStereo: posts the ante 10</t>
  </si>
  <si>
    <t>wycioreks: posts small blind 25</t>
  </si>
  <si>
    <t>Dealt to NL_Classic [8h 8c]</t>
  </si>
  <si>
    <t xml:space="preserve">byStereo: folds </t>
  </si>
  <si>
    <t>Realtor4Hire: raises 440 to 490 and is all-in</t>
  </si>
  <si>
    <t>wycioreks: calls 465 and is all-in</t>
  </si>
  <si>
    <t>NL_Classic: calls 440 and is all-in</t>
  </si>
  <si>
    <t>*** FLOP *** [5h 4h 8s]</t>
  </si>
  <si>
    <t>*** TURN *** [5h 4h 8s] [2s]</t>
  </si>
  <si>
    <t>*** RIVER *** [5h 4h 8s 2s] [7c]</t>
  </si>
  <si>
    <t>wycioreks: shows [Qd Qs] (a pair of Queens)</t>
  </si>
  <si>
    <t>NL_Classic: shows [8h 8c] (three of a kind, Eights)</t>
  </si>
  <si>
    <t>Realtor4Hire: shows [Jc Ks] (high card King)</t>
  </si>
  <si>
    <t>NL_Classic collected 1510 from pot</t>
  </si>
  <si>
    <t>Realtor4Hire finished the tournament in 15th place</t>
  </si>
  <si>
    <t>wycioreks finished the tournament in 15th place</t>
  </si>
  <si>
    <t xml:space="preserve">Total pot 1510 | Rake 0 </t>
  </si>
  <si>
    <t>Board [5h 4h 8s 2s 7c]</t>
  </si>
  <si>
    <t>Seat 1: Realtor4Hire (button) showed [Jc Ks] and lost with high card King</t>
  </si>
  <si>
    <t>Seat 2: wycioreks (small blind) showed [Qd Qs] and lost with a pair of Queens</t>
  </si>
  <si>
    <t>Seat 3: NL_Classic (big blind) showed [8h 8c] and won (1510) with three of a kind, Eights</t>
  </si>
  <si>
    <t>Seat 4: byStereo folded before Flop (didn't bet)</t>
  </si>
  <si>
    <t>Ac3s</t>
  </si>
  <si>
    <t>AsKc</t>
  </si>
  <si>
    <t>5c5h</t>
  </si>
  <si>
    <t>PokerStars Hand #219408433743: Tournament #3027319874, $7.36+$0.14 USD Hold'em No Limit - Match Round I, Level I (25/50) - 2020/10/15 20:15:45 MSK [2020/10/15 13:15:45 ET]</t>
  </si>
  <si>
    <t>Table '3027319874 4' 4-max Seat #1 is the button</t>
  </si>
  <si>
    <t xml:space="preserve">Seat 1: mtfullof (615 in chips) </t>
  </si>
  <si>
    <t xml:space="preserve">Seat 2: Roc.PrOpkr (385 in chips) </t>
  </si>
  <si>
    <t xml:space="preserve">Seat 4: mrcoffee01 (500 in chips) </t>
  </si>
  <si>
    <t>mtfullof: posts the ante 10</t>
  </si>
  <si>
    <t>Roc.PrOpkr: posts the ante 10</t>
  </si>
  <si>
    <t>mrcoffee01: posts the ante 10</t>
  </si>
  <si>
    <t>Roc.PrOpkr: posts small blind 25</t>
  </si>
  <si>
    <t>Dealt to NL_Classic [5c 5h]</t>
  </si>
  <si>
    <t>mrcoffee01: raises 440 to 490 and is all-in</t>
  </si>
  <si>
    <t>mtfullof: raises 115 to 605 and is all-in</t>
  </si>
  <si>
    <t xml:space="preserve">Roc.PrOpkr: folds </t>
  </si>
  <si>
    <t>Uncalled bet (115) returned to mtfullof</t>
  </si>
  <si>
    <t>*** FLOP *** [6h Qd 7s]</t>
  </si>
  <si>
    <t>*** TURN *** [6h Qd 7s] [Ts]</t>
  </si>
  <si>
    <t>*** RIVER *** [6h Qd 7s Ts] [5s]</t>
  </si>
  <si>
    <t>NL_Classic: shows [5c 5h] (three of a kind, Fives)</t>
  </si>
  <si>
    <t>mrcoffee01: shows [3s Ac] (high card Ace)</t>
  </si>
  <si>
    <t>mtfullof: shows [Kc As] (high card Ace)</t>
  </si>
  <si>
    <t>NL_Classic collected 1535 from pot</t>
  </si>
  <si>
    <t>mrcoffee01 finished the tournament in 12th place</t>
  </si>
  <si>
    <t xml:space="preserve">Total pot 1535 | Rake 0 </t>
  </si>
  <si>
    <t>Board [6h Qd 7s Ts 5s]</t>
  </si>
  <si>
    <t>Seat 1: mtfullof (button) showed [Kc As] and lost with high card Ace</t>
  </si>
  <si>
    <t>Seat 2: Roc.PrOpkr (small blind) folded before Flop</t>
  </si>
  <si>
    <t>Seat 3: NL_Classic (big blind) showed [5c 5h] and won (1535) with three of a kind, Fives</t>
  </si>
  <si>
    <t>Seat 4: mrcoffee01 showed [3s Ac] and lost with high card Ace</t>
  </si>
  <si>
    <t>KsJs</t>
  </si>
  <si>
    <t>Ad2h</t>
  </si>
  <si>
    <t>Jd9d</t>
  </si>
  <si>
    <t>PokerStars Hand #220649615446: Tournament #3055491066, $7.36+$0.14 USD Hold'em No Limit - Match Round I, Level II (50/100) - 2020/11/22 0:48:49 MSK [2020/11/21 16:48:49 ET]</t>
  </si>
  <si>
    <t>Table '3055491066 3' 4-max Seat #1 is the button</t>
  </si>
  <si>
    <t>Seat 1: monaay bags (420 in chips)</t>
  </si>
  <si>
    <t>Seat 2: TheGuerreiro (680 in chips)</t>
  </si>
  <si>
    <t>Seat 3: NL_Classic (810 in chips)</t>
  </si>
  <si>
    <t>Seat 4: STREVANTE (90 in chips)</t>
  </si>
  <si>
    <t>monaay bags: posts the ante 20</t>
  </si>
  <si>
    <t>TheGuerreiro: posts the ante 20</t>
  </si>
  <si>
    <t>NL_Classic: posts the ante 20</t>
  </si>
  <si>
    <t>STREVANTE: posts the ante 20</t>
  </si>
  <si>
    <t>TheGuerreiro: posts small blind 50</t>
  </si>
  <si>
    <t>NL_Classic: posts big blind 100</t>
  </si>
  <si>
    <t>Dealt to NL_Classic [Js Ks]</t>
  </si>
  <si>
    <t>STREVANTE: folds</t>
  </si>
  <si>
    <t>monaay bags: raises 300 to 400 and is all-in</t>
  </si>
  <si>
    <t>TheGuerreiro: raises 260 to 660 and is all-in</t>
  </si>
  <si>
    <t>NL_Classic: calls 560</t>
  </si>
  <si>
    <t>*** FLOP *** [5h 7s 5s]</t>
  </si>
  <si>
    <t>*** TURN *** [5h 7s 5s] [2d]</t>
  </si>
  <si>
    <t>*** RIVER *** [5h 7s 5s 2d] [3c]</t>
  </si>
  <si>
    <t>TheGuerreiro: shows [Jd 9d] (a pair of Fives)</t>
  </si>
  <si>
    <t>NL_Classic: shows [Js Ks] (a pair of Fives - King kicker)</t>
  </si>
  <si>
    <t>NL_Classic collected 520 from side pot</t>
  </si>
  <si>
    <t>monaay bags: shows [2h Ad] (two pair, Fives and Deuces)</t>
  </si>
  <si>
    <t>monaay bags collected 1280 from main pot</t>
  </si>
  <si>
    <t>TheGuerreiro finished the tournament in 8th place</t>
  </si>
  <si>
    <t>Total pot 1800 Main pot 1280. Side pot 520. | Rake 0</t>
  </si>
  <si>
    <t>Board [5h 7s 5s 2d 3c]</t>
  </si>
  <si>
    <t>Seat 1: monaay bags (button) showed [2h Ad] and won (1280) with two pair, Fives and Deuces</t>
  </si>
  <si>
    <t>Seat 2: TheGuerreiro (small blind) showed [Jd 9d] and lost with a pair of Fives</t>
  </si>
  <si>
    <t>Seat 3: NL_Classic (big blind) showed [Js Ks] and won (520) with a pair of Fives</t>
  </si>
  <si>
    <t>Seat 4: STREVANTE folded before Flop (didn't bet)</t>
  </si>
  <si>
    <t>Td9d</t>
  </si>
  <si>
    <t>Ac7s</t>
  </si>
  <si>
    <t>Kc5c</t>
  </si>
  <si>
    <t>PokerStars Hand #219282910073: Tournament #3024537751, $14.71+$0.29 USD Hold'em No Limit - Match Round II, Level II (50/100) - 2020/10/11 19:44:50 MSK [2020/10/11 12:44:50 ET]</t>
  </si>
  <si>
    <t>Table '3024537751 1' 4-max Seat #4 is the button</t>
  </si>
  <si>
    <t xml:space="preserve">Seat 1: OrangemanXD (190 in chips) </t>
  </si>
  <si>
    <t xml:space="preserve">Seat 2: NL_Classic (445 in chips) </t>
  </si>
  <si>
    <t xml:space="preserve">Seat 3: 84BUKTOP84 (970 in chips) </t>
  </si>
  <si>
    <t xml:space="preserve">Seat 4: dreber@77 (395 in chips) </t>
  </si>
  <si>
    <t>OrangemanXD: posts the ante 20</t>
  </si>
  <si>
    <t>84BUKTOP84: posts the ante 20</t>
  </si>
  <si>
    <t>dreber@77: posts the ante 20</t>
  </si>
  <si>
    <t>OrangemanXD: posts small blind 50</t>
  </si>
  <si>
    <t>Dealt to NL_Classic [Kc 5c]</t>
  </si>
  <si>
    <t xml:space="preserve">84BUKTOP84: folds </t>
  </si>
  <si>
    <t>dreber@77: raises 275 to 375 and is all-in</t>
  </si>
  <si>
    <t>OrangemanXD: calls 120 and is all-in</t>
  </si>
  <si>
    <t>NL_Classic: calls 275</t>
  </si>
  <si>
    <t>*** FLOP *** [8s 4s 2c]</t>
  </si>
  <si>
    <t>*** TURN *** [8s 4s 2c] [3c]</t>
  </si>
  <si>
    <t>*** RIVER *** [8s 4s 2c 3c] [4d]</t>
  </si>
  <si>
    <t>NL_Classic: shows [Kc 5c] (a pair of Fours)</t>
  </si>
  <si>
    <t>dreber@77: shows [9d Td] (a pair of Fours - lower kicker)</t>
  </si>
  <si>
    <t>NL_Classic collected 410 from side pot</t>
  </si>
  <si>
    <t>OrangemanXD: shows [Ac 7s] (a pair of Fours - Ace kicker)</t>
  </si>
  <si>
    <t>OrangemanXD collected 590 from main pot</t>
  </si>
  <si>
    <t>dreber@77 finished the tournament in 4th place</t>
  </si>
  <si>
    <t xml:space="preserve">Total pot 1000 Main pot 590. Side pot 410. | Rake 0 </t>
  </si>
  <si>
    <t>Board [8s 4s 2c 3c 4d]</t>
  </si>
  <si>
    <t>Seat 1: OrangemanXD (small blind) showed [Ac 7s] and won (590) with a pair of Fours</t>
  </si>
  <si>
    <t>Seat 2: NL_Classic (big blind) showed [Kc 5c] and won (410) with a pair of Fours</t>
  </si>
  <si>
    <t>Seat 3: 84BUKTOP84 folded before Flop (didn't bet)</t>
  </si>
  <si>
    <t>Seat 4: dreber@77 (button) showed [9d Td] and lost with a pair of Fours</t>
  </si>
  <si>
    <t>KcTs</t>
  </si>
  <si>
    <t>Ac5c</t>
  </si>
  <si>
    <t>PokerStars Hand #219408373631: Tournament #3027317082, $14.71+$0.29 USD Hold'em No Limit - Match Round I, Level I (25/50) - 2020/10/15 20:13:53 MSK [2020/10/15 13:13:53 ET]</t>
  </si>
  <si>
    <t>Table '3027317082 2' 4-max Seat #4 is the button</t>
  </si>
  <si>
    <t xml:space="preserve">Seat 1: slavikus555 (650 in chips) </t>
  </si>
  <si>
    <t xml:space="preserve">Seat 3: byStereo (395 in chips) </t>
  </si>
  <si>
    <t xml:space="preserve">Seat 4: Rasmus1810 (510 in chips) </t>
  </si>
  <si>
    <t>slavikus555: posts the ante 10</t>
  </si>
  <si>
    <t>Rasmus1810: posts the ante 10</t>
  </si>
  <si>
    <t>slavikus555: posts small blind 25</t>
  </si>
  <si>
    <t>Dealt to NL_Classic [Ac 5c]</t>
  </si>
  <si>
    <t>byStereo: raises 335 to 385 and is all-in</t>
  </si>
  <si>
    <t xml:space="preserve">Rasmus1810: folds </t>
  </si>
  <si>
    <t>slavikus555: raises 255 to 640 and is all-in</t>
  </si>
  <si>
    <t>NL_Classic: calls 385 and is all-in</t>
  </si>
  <si>
    <t>Uncalled bet (205) returned to slavikus555</t>
  </si>
  <si>
    <t>*** FLOP *** [Jc 6d 9h]</t>
  </si>
  <si>
    <t>*** TURN *** [Jc 6d 9h] [Kh]</t>
  </si>
  <si>
    <t>*** RIVER *** [Jc 6d 9h Kh] [2s]</t>
  </si>
  <si>
    <t>slavikus555: shows [Ts Kc] (a pair of Kings)</t>
  </si>
  <si>
    <t>NL_Classic: shows [Ac 5c] (high card Ace)</t>
  </si>
  <si>
    <t>slavikus555 collected 100 from side pot</t>
  </si>
  <si>
    <t>byStereo: shows [As 9c] (a pair of Nines)</t>
  </si>
  <si>
    <t>slavikus555 collected 1195 from main pot</t>
  </si>
  <si>
    <t>NL_Classic finished the tournament in 12th place</t>
  </si>
  <si>
    <t>byStereo finished the tournament in 13th place</t>
  </si>
  <si>
    <t xml:space="preserve">Total pot 1295 Main pot 1195. Side pot 100. | Rake 0 </t>
  </si>
  <si>
    <t>Board [Jc 6d 9h Kh 2s]</t>
  </si>
  <si>
    <t>Seat 1: slavikus555 (small blind) showed [Ts Kc] and won (1295) with a pair of Kings</t>
  </si>
  <si>
    <t>Seat 2: NL_Classic (big blind) showed [Ac 5c] and lost with high card Ace</t>
  </si>
  <si>
    <t>Seat 3: byStereo showed [As 9c] and lost with a pair of Nines</t>
  </si>
  <si>
    <t>Seat 4: Rasmus1810 (button) folded before Flop (didn't bet)</t>
  </si>
  <si>
    <t>KhQs</t>
  </si>
  <si>
    <t>AhQd</t>
  </si>
  <si>
    <t>Kc8d</t>
  </si>
  <si>
    <t>AdKd</t>
  </si>
  <si>
    <t>Ah6c</t>
  </si>
  <si>
    <t>QdTs</t>
  </si>
  <si>
    <t>KdQd</t>
  </si>
  <si>
    <t>Ah9s</t>
  </si>
  <si>
    <t>TcTs</t>
  </si>
  <si>
    <t>p1spwin</t>
  </si>
  <si>
    <t>p2spwin</t>
  </si>
  <si>
    <t>sidepot</t>
  </si>
  <si>
    <t>EV=</t>
  </si>
  <si>
    <t>p3win*(p1spwin*[@ICMside1]+(1-p1spwin)*[@ICMside2])+p2win*[@ICM2]+p1win*[@ICM1] -[@ICMf]</t>
  </si>
  <si>
    <t>players1</t>
  </si>
  <si>
    <t>stack1</t>
  </si>
  <si>
    <t>EQ1</t>
  </si>
  <si>
    <t>ICM1</t>
  </si>
  <si>
    <t>KO1</t>
  </si>
  <si>
    <t>players2</t>
  </si>
  <si>
    <t>stack2</t>
  </si>
  <si>
    <t>EQ2</t>
  </si>
  <si>
    <t>ICM2</t>
  </si>
  <si>
    <t>KO2</t>
  </si>
  <si>
    <t>KO22</t>
  </si>
  <si>
    <t>playersside1</t>
  </si>
  <si>
    <t>stackside1</t>
  </si>
  <si>
    <t>EQside1</t>
  </si>
  <si>
    <t>ICMside1</t>
  </si>
  <si>
    <t>KOside1</t>
  </si>
  <si>
    <t>playersside2</t>
  </si>
  <si>
    <t>stackside2</t>
  </si>
  <si>
    <t>EQside2</t>
  </si>
  <si>
    <t>ICMside2</t>
  </si>
  <si>
    <t>KOside2</t>
  </si>
  <si>
    <t xml:space="preserve"> 3</t>
  </si>
  <si>
    <t>playersf</t>
  </si>
  <si>
    <t>stackf</t>
  </si>
  <si>
    <t>EQf</t>
  </si>
  <si>
    <t>ICMf</t>
  </si>
  <si>
    <t>KOf</t>
  </si>
  <si>
    <t>ICMd</t>
  </si>
  <si>
    <t>KOd</t>
  </si>
  <si>
    <t>totald</t>
  </si>
  <si>
    <t>Ato</t>
  </si>
  <si>
    <t>JJ</t>
  </si>
  <si>
    <t>Aqs</t>
  </si>
  <si>
    <t>p1sp2win</t>
  </si>
  <si>
    <t>p2sp2win</t>
  </si>
  <si>
    <t>p3sp1win</t>
  </si>
  <si>
    <t>p3win*(p1spwin*[@ICMside1]+(1-p1spwin)*[@ICMside2])+p2win*[@ICM2]+p1win*[@ICM1]</t>
  </si>
  <si>
    <t>T_p4p1</t>
  </si>
  <si>
    <t>T_p4p2</t>
  </si>
  <si>
    <t>T_p4p3p1</t>
  </si>
  <si>
    <t>T_p4p3p2</t>
  </si>
  <si>
    <t>T_EV_p4p3sp2</t>
  </si>
  <si>
    <t>4rd player Win</t>
  </si>
  <si>
    <t>T_EV_p3sp2</t>
  </si>
  <si>
    <t>T_EV_p4sp1</t>
  </si>
  <si>
    <t>side pot 1</t>
  </si>
  <si>
    <t>Side pot 2</t>
  </si>
  <si>
    <t>3rd Player Win Side pot 2</t>
  </si>
  <si>
    <t>Side pot 1</t>
  </si>
  <si>
    <t>KsQh</t>
  </si>
  <si>
    <t>KcTd</t>
  </si>
  <si>
    <t>5s5c</t>
  </si>
  <si>
    <t>4d4s</t>
  </si>
  <si>
    <t>случаи</t>
  </si>
  <si>
    <t>avg all in eq: 20.24</t>
  </si>
  <si>
    <t>total won: 0</t>
  </si>
  <si>
    <t>ICM EV: 8.17</t>
  </si>
  <si>
    <t>ICM EV diff: 8.17</t>
  </si>
  <si>
    <t xml:space="preserve"> Chip won: -445.0</t>
  </si>
  <si>
    <t>Chip EV diff: 278.0</t>
  </si>
  <si>
    <t>Total BI: 15.0</t>
  </si>
  <si>
    <t>Total hands: 1</t>
  </si>
  <si>
    <t>Total tounrnaments: 1</t>
  </si>
  <si>
    <t>avg all in eq: 17.94</t>
  </si>
  <si>
    <t>ICM EV: 2.2</t>
  </si>
  <si>
    <t>ICM EV diff: 1.17</t>
  </si>
  <si>
    <t xml:space="preserve"> Chip won: -385.0</t>
  </si>
  <si>
    <t>Chip EV diff: 209.0</t>
  </si>
  <si>
    <t>Total BI: 2.85</t>
  </si>
  <si>
    <t>avg all in eq: 27.91</t>
  </si>
  <si>
    <t>ICM EV: 11.89</t>
  </si>
  <si>
    <t>ICM EV diff: -1.64</t>
  </si>
  <si>
    <t xml:space="preserve"> Chip won: 15.0</t>
  </si>
  <si>
    <t>Chip EV diff: -56.0</t>
  </si>
  <si>
    <t>avg all in eq: 34.46</t>
  </si>
  <si>
    <t>ICM EV: 13.3</t>
  </si>
  <si>
    <t>ICM EV diff: 3.74</t>
  </si>
  <si>
    <t xml:space="preserve"> Chip won: -160.0</t>
  </si>
  <si>
    <t>Chip EV diff: 254.0</t>
  </si>
  <si>
    <t>Total BI: 7.5</t>
  </si>
  <si>
    <t>avg all in eq: 55.46</t>
  </si>
  <si>
    <t>ICM EV: 12.53</t>
  </si>
  <si>
    <t>ICM EV diff: -10.06</t>
  </si>
  <si>
    <t xml:space="preserve"> Chip won: 1035.0</t>
  </si>
  <si>
    <t>Chip EV diff: -684.0</t>
  </si>
  <si>
    <t>avg all in eq: 19.13</t>
  </si>
  <si>
    <t>ICM EV: 4.25</t>
  </si>
  <si>
    <t>ICM EV diff: -17.98</t>
  </si>
  <si>
    <t xml:space="preserve"> Chip won: 1010.0</t>
  </si>
  <si>
    <t>Chip EV diff: -1221.0</t>
  </si>
  <si>
    <t>avg all in eq: 23.07</t>
  </si>
  <si>
    <t>ICM EV: 1.77</t>
  </si>
  <si>
    <t>ICM EV diff: 1.77</t>
  </si>
  <si>
    <t xml:space="preserve"> Chip won: -170.0</t>
  </si>
  <si>
    <t>Chip EV diff: 120.0</t>
  </si>
  <si>
    <t>avg all in eq: 25.28</t>
  </si>
  <si>
    <t>ICM EV: 18.82</t>
  </si>
  <si>
    <t>ICM EV diff: 8.67</t>
  </si>
  <si>
    <t>Chip EV diff: 295.0</t>
  </si>
  <si>
    <t>слишком большое расхождение?есть разница в алин эквити, возможно дело в этом</t>
  </si>
  <si>
    <t>бот в расчетах выдает эквити без учета ничьих, только победа</t>
  </si>
  <si>
    <t>PokerStars Hand #223005907577: Tournament #3110718075, $26.96+$0.54 USD Hold'em No Limit - Match Round I, Level I (25/50) - 2021/01/24 21:20:29 MSK [2021/01/24 13:20:29 ET]</t>
  </si>
  <si>
    <t>Table '3110718075 1' 4-max Seat #4 is the button</t>
  </si>
  <si>
    <t>Seat 1: psihodelik31 (190 in chips)</t>
  </si>
  <si>
    <t>Seat 2: Lilharmis (445 in chips)</t>
  </si>
  <si>
    <t>Seat 3: Luckbox1326 (855 in chips)</t>
  </si>
  <si>
    <t>Seat 4: DiggErr555 (510 in chips)</t>
  </si>
  <si>
    <t>psihodelik31: posts the ante 10</t>
  </si>
  <si>
    <t>Lilharmis: posts the ante 10</t>
  </si>
  <si>
    <t>Luckbox1326: posts the ante 10</t>
  </si>
  <si>
    <t>psihodelik31: posts small blind 25</t>
  </si>
  <si>
    <t>Lilharmis: posts big blind 50</t>
  </si>
  <si>
    <t>Dealt to DiggErr555 [As Qc]</t>
  </si>
  <si>
    <t>Luckbox1326: folds</t>
  </si>
  <si>
    <t>DiggErr555: raises 450 to 500 and is all-in</t>
  </si>
  <si>
    <t>psihodelik31: calls 155 and is all-in</t>
  </si>
  <si>
    <t>Lilharmis: calls 385 and is all-in</t>
  </si>
  <si>
    <t>Uncalled bet (65) returned to DiggErr555</t>
  </si>
  <si>
    <t>*** FLOP *** [5s 2h Qd]</t>
  </si>
  <si>
    <t>*** TURN *** [5s 2h Qd] [4c]</t>
  </si>
  <si>
    <t>*** RIVER *** [5s 2h Qd 4c] [Ks]</t>
  </si>
  <si>
    <t>Lilharmis: shows [Jh 9h] (high card King)</t>
  </si>
  <si>
    <t>DiggErr555: shows [As Qc] (a pair of Queens)</t>
  </si>
  <si>
    <t>DiggErr555 collected 510 from side pot</t>
  </si>
  <si>
    <t>psihodelik31: shows [Kd 6c] (a pair of Kings)</t>
  </si>
  <si>
    <t>psihodelik31 collected 580 from main pot</t>
  </si>
  <si>
    <t>Total pot 1090 Main pot 580. Side pot 510. | Rake 0</t>
  </si>
  <si>
    <t>Board [5s 2h Qd 4c Ks]</t>
  </si>
  <si>
    <t>Seat 1: psihodelik31 (small blind) showed [Kd 6c] and won (580) with a pair of Kings</t>
  </si>
  <si>
    <t>Seat 2: Lilharmis (big blind) showed [Jh 9h] and lost with high card King</t>
  </si>
  <si>
    <t>Seat 3: Luckbox1326 folded before Flop (didn't bet)</t>
  </si>
  <si>
    <t>Seat 4: DiggErr555 (button) showed [As Qc] and won (510) with a pair of Queens</t>
  </si>
  <si>
    <t>As Qc</t>
  </si>
  <si>
    <t>Jh 9h</t>
  </si>
  <si>
    <t>Kd 6c</t>
  </si>
  <si>
    <t>avg all in eq: 41.089999999999996</t>
  </si>
  <si>
    <t>ICM EV: 31.78</t>
  </si>
  <si>
    <t>ICM EV diff: 0.77</t>
  </si>
  <si>
    <t xml:space="preserve"> Chip won: 65.0</t>
  </si>
  <si>
    <t>Chip EV diff: 14.0</t>
  </si>
  <si>
    <t>Total BI: 27.5</t>
  </si>
  <si>
    <t>по трекеру дифф 27 фишек</t>
  </si>
  <si>
    <t>PokerStars Hand #222998201047: Tournament #3110569924, $26.96+$0.54 USD Hold'em No Limit - Match Round I, Level I (25/50) - 2021/01/24 18:13:13 MSK [2021/01/24 10:13:13 ET]</t>
  </si>
  <si>
    <t>Table '3110569924 3' 4-max Seat #2 is the button</t>
  </si>
  <si>
    <t>Seat 1: slavikus555 (115 in chips)</t>
  </si>
  <si>
    <t>Seat 2: anateodora (580 in chips)</t>
  </si>
  <si>
    <t>Seat 3: DiggErr555 (815 in chips)</t>
  </si>
  <si>
    <t>Seat 4: gaudas12 (490 in chips)</t>
  </si>
  <si>
    <t>anateodora: posts the ante 10</t>
  </si>
  <si>
    <t>gaudas12: posts the ante 10</t>
  </si>
  <si>
    <t>DiggErr555: posts small blind 25</t>
  </si>
  <si>
    <t>gaudas12: posts big blind 50</t>
  </si>
  <si>
    <t>Dealt to DiggErr555 [Ks 7h]</t>
  </si>
  <si>
    <t>slavikus555: raises 55 to 105 and is all-in</t>
  </si>
  <si>
    <t>anateodora: folds</t>
  </si>
  <si>
    <t>DiggErr555: raises 700 to 805 and is all-in</t>
  </si>
  <si>
    <t>gaudas12: calls 430 and is all-in</t>
  </si>
  <si>
    <t>Uncalled bet (325) returned to DiggErr555</t>
  </si>
  <si>
    <t>*** FLOP *** [8s 8d 5h]</t>
  </si>
  <si>
    <t>*** TURN *** [8s 8d 5h] [9d]</t>
  </si>
  <si>
    <t>*** RIVER *** [8s 8d 5h 9d] [Tc]</t>
  </si>
  <si>
    <t>DiggErr555: shows [Ks 7h] (a pair of Eights)</t>
  </si>
  <si>
    <t>gaudas12: shows [Kd 8h] (three of a kind, Eights)</t>
  </si>
  <si>
    <t>gaudas12 collected 750 from side pot</t>
  </si>
  <si>
    <t>slavikus555: shows [Kh Jc] (a pair of Eights)</t>
  </si>
  <si>
    <t>gaudas12 collected 355 from main pot</t>
  </si>
  <si>
    <t>slavikus555 finished the tournament in 11th place</t>
  </si>
  <si>
    <t>Total pot 1105 Main pot 355. Side pot 750. | Rake 0</t>
  </si>
  <si>
    <t>Board [8s 8d 5h 9d Tc]</t>
  </si>
  <si>
    <t>Seat 1: slavikus555 showed [Kh Jc] and lost with a pair of Eights</t>
  </si>
  <si>
    <t>Seat 2: anateodora (button) folded before Flop (didn't bet)</t>
  </si>
  <si>
    <t>Seat 3: DiggErr555 (small blind) showed [Ks 7h] and lost with a pair of Eights</t>
  </si>
  <si>
    <t>Seat 4: gaudas12 (big blind) showed [Kd 8h] and won (1105) with three of a kind, Eights</t>
  </si>
  <si>
    <t>Ks 7h</t>
  </si>
  <si>
    <t>Kd 8h</t>
  </si>
  <si>
    <t>Kh Jc</t>
  </si>
  <si>
    <t>netwon</t>
  </si>
  <si>
    <t>netwon_adj</t>
  </si>
  <si>
    <t>по боту сходится</t>
  </si>
  <si>
    <t>по трекеру дифф - 171</t>
  </si>
  <si>
    <t>веротяно из за большой вероятности ничьи</t>
  </si>
  <si>
    <t>tiesp1</t>
  </si>
  <si>
    <t>tie</t>
  </si>
  <si>
    <t>p3win*(p1sp1win*T_p3p1[@ICM]+(p2sp1win)*T_p3p1[@ICM] + tie*[@ICM])+p2win*T_p2[@ICM]+p1win*T_p1[@ICM] + tie*[@ICM]</t>
  </si>
  <si>
    <t>Tie</t>
  </si>
  <si>
    <t>side pot Tie</t>
  </si>
  <si>
    <t>bi</t>
  </si>
  <si>
    <t>p1win*[ICM1]+(p2win)*[ICM2]</t>
  </si>
  <si>
    <t>PokerStars Hand #223266323775: Tournament #103116342160, $14.71+$0.29 USD Hold'em No Limit - Match Round I, Level I (25/50) - 2021/01/31 20:01:55 MSK [2021/01/31 12:01:55 ET]</t>
  </si>
  <si>
    <t>Table '3116342160 4' 4-max Seat #1 is the button</t>
  </si>
  <si>
    <t>Seat 1: stonekiss (760 in chips)</t>
  </si>
  <si>
    <t>Seat 2: Picasso 2 (265 in chips)</t>
  </si>
  <si>
    <t>Seat 3: NL_Classic (930 in chips)</t>
  </si>
  <si>
    <t>Seat 4: fozzzi (45 in chips)</t>
  </si>
  <si>
    <t>stonekiss: posts the ante 10</t>
  </si>
  <si>
    <t>Picasso 2: posts the ante 10</t>
  </si>
  <si>
    <t>fozzzi: posts the ante 10</t>
  </si>
  <si>
    <t>Picasso 2: posts small blind 25</t>
  </si>
  <si>
    <t>Dealt to NL_Classic [7d Jd]</t>
  </si>
  <si>
    <t>fozzzi: calls 35 and is all-in</t>
  </si>
  <si>
    <t>stonekiss: folds</t>
  </si>
  <si>
    <t>Picasso 2: raises 205 to 255 and is all-in</t>
  </si>
  <si>
    <t>NL_Classic: calls 205</t>
  </si>
  <si>
    <t>*** FLOP *** [3c 4c 7c]</t>
  </si>
  <si>
    <t>*** TURN *** [3c 4c 7c] [Th]</t>
  </si>
  <si>
    <t>*** RIVER *** [3c 4c 7c Th] [5h]</t>
  </si>
  <si>
    <t>Picasso 2: shows [9d Qd] (high card Queen)</t>
  </si>
  <si>
    <t>NL_Classic: shows [7d Jd] (a pair of Sevens)</t>
  </si>
  <si>
    <t>NL_Classic collected 440 from side pot</t>
  </si>
  <si>
    <t>fozzzi: shows [Tc Js] (a pair of Tens)</t>
  </si>
  <si>
    <t>fozzzi collected 145 from main pot</t>
  </si>
  <si>
    <t>Picasso 2 finished the tournament in 4th place</t>
  </si>
  <si>
    <t>Total pot 585 Main pot 145. Side pot 440. | Rake 0</t>
  </si>
  <si>
    <t>Board [3c 4c 7c Th 5h]</t>
  </si>
  <si>
    <t>Seat 1: stonekiss (button) folded before Flop (didn't bet)</t>
  </si>
  <si>
    <t>Seat 2: Picasso 2 (small blind) showed [9d Qd] and lost with high card Queen</t>
  </si>
  <si>
    <t>Seat 3: NL_Classic (big blind) showed [7d Jd] and won (440) with a pair of Sevens</t>
  </si>
  <si>
    <t>Seat 4: fozzzi showed [Tc Js] and won (145) with a pair of Tens</t>
  </si>
  <si>
    <t>7d Jd</t>
  </si>
  <si>
    <t>9d Qd</t>
  </si>
  <si>
    <t>Tc Js</t>
  </si>
  <si>
    <t>Проверял фишки, icm не считал</t>
  </si>
  <si>
    <t>PokerStars Hand #223259474504: Tournament #103116193228, $14.71+$0.29 USD Hold'em No Limit - Match Round I, Level II (50/100) - 2021/01/31 16:47:10 MSK [2021/01/31 8:47:10 ET]</t>
  </si>
  <si>
    <t>Table '3116193228 3' 4-max Seat #1 is the button</t>
  </si>
  <si>
    <t>Seat 1: 5 banki (400 in chips)</t>
  </si>
  <si>
    <t>Seat 2: ZetaSam (465 in chips)</t>
  </si>
  <si>
    <t>Seat 3: slavikus555 (390 in chips)</t>
  </si>
  <si>
    <t>Seat 4: NL_Classic (745 in chips)</t>
  </si>
  <si>
    <t>5 banki: posts the ante 20</t>
  </si>
  <si>
    <t>ZetaSam: posts the ante 20</t>
  </si>
  <si>
    <t>slavikus555: posts the ante 20</t>
  </si>
  <si>
    <t>ZetaSam: posts small blind 50</t>
  </si>
  <si>
    <t>slavikus555: posts big blind 100</t>
  </si>
  <si>
    <t>Dealt to NL_Classic [8c Kh]</t>
  </si>
  <si>
    <t>NL_Classic: raises 625 to 725 and is all-in</t>
  </si>
  <si>
    <t>5 banki: folds</t>
  </si>
  <si>
    <t>ZetaSam: calls 395 and is all-in</t>
  </si>
  <si>
    <t>slavikus555: calls 270 and is all-in</t>
  </si>
  <si>
    <t>Uncalled bet (280) returned to NL_Classic</t>
  </si>
  <si>
    <t>*** FLOP *** [4s Kc 4d]</t>
  </si>
  <si>
    <t>*** TURN *** [4s Kc 4d] [Qd]</t>
  </si>
  <si>
    <t>*** RIVER *** [4s Kc 4d Qd] [3h]</t>
  </si>
  <si>
    <t>ZetaSam: shows [Ks Jd] (two pair, Kings and Fours)</t>
  </si>
  <si>
    <t>NL_Classic: shows [8c Kh] (two pair, Kings and Fours)</t>
  </si>
  <si>
    <t>ZetaSam collected 75 from side pot</t>
  </si>
  <si>
    <t>NL_Classic collected 75 from side pot</t>
  </si>
  <si>
    <t>slavikus555: shows [6h 2h] (a pair of Fours)</t>
  </si>
  <si>
    <t>ZetaSam collected 595 from main pot</t>
  </si>
  <si>
    <t>NL_Classic collected 595 from main pot</t>
  </si>
  <si>
    <t>slavikus555 finished the tournament in 4th place</t>
  </si>
  <si>
    <t>Total pot 1340 Main pot 1190. Side pot 150. | Rake 0</t>
  </si>
  <si>
    <t>Board [4s Kc 4d Qd 3h]</t>
  </si>
  <si>
    <t>Seat 1: 5 banki (button) folded before Flop (didn't bet)</t>
  </si>
  <si>
    <t>Seat 2: ZetaSam (small blind) showed [Ks Jd] and won (670) with two pair, Kings and Fours</t>
  </si>
  <si>
    <t>Seat 3: slavikus555 (big blind) showed [6h 2h] and lost with a pair of Fours</t>
  </si>
  <si>
    <t>Seat 4: NL_Classic showed [8c Kh] and won (670) with two pair, Kings and Fours</t>
  </si>
  <si>
    <t>8с Kh</t>
  </si>
  <si>
    <t>Ks Jd</t>
  </si>
  <si>
    <t>6h 2h</t>
  </si>
  <si>
    <t>p3win * (p1sp1win * T_p3p1 + p2sp1win * T_p3p1 + tie * sp1tie) + p2win * T_p2 + p1win * T_p1 + tie * T_tie</t>
  </si>
  <si>
    <t>Outcome* Breakdown:</t>
  </si>
  <si>
    <t>стэки</t>
  </si>
  <si>
    <t>p2win = 212 + 213 + 312 + 113 / 2 + 111 / 3 + 311 /2</t>
  </si>
  <si>
    <t>p1win = 122 + 123 + 132 + 113 / 2 + 111 / 3 + 131/2</t>
  </si>
  <si>
    <t>p3win = 221 + 231 + 321 + 111 / 3 + 311/2 + 131/2</t>
  </si>
  <si>
    <t>3rd player Win side pot</t>
  </si>
  <si>
    <t>213, 312, 212</t>
  </si>
  <si>
    <t>123, 132, 122</t>
  </si>
  <si>
    <t>PokerStars Hand #219346413848: Tournament #103025933027, $4.32+$0.08 USD Hold'em No Limit - Match Round I, Level I (25/50) - 2020/10/13 19:38:38 MSK [2020/10/13 12:38:38 ET]</t>
  </si>
  <si>
    <t>Table '3025933027 1' 4-max Seat #2 is the button</t>
  </si>
  <si>
    <t>Seat 1: dreber@77 (490 in chips)</t>
  </si>
  <si>
    <t>Seat 2: mjanisz (465 in chips)</t>
  </si>
  <si>
    <t>Seat 3: OrangemanXD (555 in chips)</t>
  </si>
  <si>
    <t>Seat 4: DiggErr555 (490 in chips)</t>
  </si>
  <si>
    <t>dreber@77: posts the ante 10</t>
  </si>
  <si>
    <t>mjanisz: posts the ante 10</t>
  </si>
  <si>
    <t>OrangemanXD: posts the ante 10</t>
  </si>
  <si>
    <t>OrangemanXD: posts small blind 25</t>
  </si>
  <si>
    <t>Dealt to DiggErr555 [Kc Js]</t>
  </si>
  <si>
    <t>dreber@77: raises 430 to 480 and is all-in</t>
  </si>
  <si>
    <t>mjanisz: folds</t>
  </si>
  <si>
    <t>OrangemanXD: raises 65 to 545 and is all-in</t>
  </si>
  <si>
    <t>DiggErr555: calls 430 and is all-in</t>
  </si>
  <si>
    <t>Uncalled bet (65) returned to OrangemanXD</t>
  </si>
  <si>
    <t>*** FLOP *** [2h 4d 5d]</t>
  </si>
  <si>
    <t>*** TURN *** [2h 4d 5d] [8d]</t>
  </si>
  <si>
    <t>*** RIVER *** [2h 4d 5d 8d] [2c]</t>
  </si>
  <si>
    <t>OrangemanXD: shows [3h Ah] (a straight, Ace to Five)</t>
  </si>
  <si>
    <t>DiggErr555: shows [Kc Js] (a pair of Deuces)</t>
  </si>
  <si>
    <t>dreber@77: shows [Qh Jc] (a pair of Deuces)</t>
  </si>
  <si>
    <t>OrangemanXD collected 1480 from pot</t>
  </si>
  <si>
    <t>DiggErr555 finished the tournament in 4th place</t>
  </si>
  <si>
    <t>OrangemanXD finished the tournament in 1st place and received $17.28.</t>
  </si>
  <si>
    <t>Total pot 1480 | Rake 0</t>
  </si>
  <si>
    <t>Board [2h 4d 5d 8d 2c]</t>
  </si>
  <si>
    <t>Seat 1: dreber@77 showed [Qh Jc] and lost with a pair of Deuces</t>
  </si>
  <si>
    <t>Seat 2: mjanisz (button) folded before Flop (didn't bet)</t>
  </si>
  <si>
    <t>Seat 3: OrangemanXD (small blind) showed [3h Ah] and won (1480) with a straight, Ace to Five</t>
  </si>
  <si>
    <t>Seat 4: DiggErr555 (big blind) showed [Kc Js] and lost with a pair of Deuces</t>
  </si>
  <si>
    <t>D:\cloud\SkyDrive\python-projects\pypokertools\test\hh\sat16\round1\3way\3way-ai-preflop.txt</t>
  </si>
  <si>
    <t>Kc Js</t>
  </si>
  <si>
    <t>3h Ah</t>
  </si>
  <si>
    <t>Qh Jc</t>
  </si>
  <si>
    <t>PokerStars Hand #218966834282: Tournament #3017551323, $14.71+$0.29 USD Hold'em No Limit - Match Round II, Level II (50/100) - 2020/10/01 19:57:41 MSK [2020/10/01 12:57:41 ET]</t>
  </si>
  <si>
    <t>Table '3017551323 1' 4-max Seat #4 is the button</t>
  </si>
  <si>
    <t xml:space="preserve">Seat 2: slavikus555 (730 in chips) </t>
  </si>
  <si>
    <t xml:space="preserve">Seat 3: DiggErr555 (1175 in chips) </t>
  </si>
  <si>
    <t xml:space="preserve">Seat 4: wycioreks (95 in chips) </t>
  </si>
  <si>
    <t>DiggErr555: posts the ante 20</t>
  </si>
  <si>
    <t>wycioreks: posts the ante 20</t>
  </si>
  <si>
    <t>slavikus555: posts small blind 50</t>
  </si>
  <si>
    <t>DiggErr555: posts big blind 100</t>
  </si>
  <si>
    <t>Dealt to DiggErr555 [7h 9c]</t>
  </si>
  <si>
    <t>wycioreks: calls 75 and is all-in</t>
  </si>
  <si>
    <t>slavikus555: calls 50</t>
  </si>
  <si>
    <t xml:space="preserve">DiggErr555: checks </t>
  </si>
  <si>
    <t>*** FLOP *** [4c Kd 8c]</t>
  </si>
  <si>
    <t xml:space="preserve">slavikus555: checks </t>
  </si>
  <si>
    <t>*** TURN *** [4c Kd 8c] [3c]</t>
  </si>
  <si>
    <t>*** RIVER *** [4c Kd 8c 3c] [2d]</t>
  </si>
  <si>
    <t>slavikus555: shows [Jc 6c] (a flush, Jack high)</t>
  </si>
  <si>
    <t xml:space="preserve">DiggErr555: mucks hand </t>
  </si>
  <si>
    <t>slavikus555 collected 50 from side pot</t>
  </si>
  <si>
    <t xml:space="preserve">wycioreks: mucks hand </t>
  </si>
  <si>
    <t>slavikus555 collected 285 from main pot</t>
  </si>
  <si>
    <t>wycioreks finished the tournament in 3rd place and received $17.36.</t>
  </si>
  <si>
    <t>slavikus555 finished the tournament in 1st place</t>
  </si>
  <si>
    <t>slavikus555 wins an entry to tournament #3015412417</t>
  </si>
  <si>
    <t>DiggErr555 finished the tournament in 1st place</t>
  </si>
  <si>
    <t>DiggErr555 wins an entry to tournament #3015412417</t>
  </si>
  <si>
    <t xml:space="preserve">Total pot 335 Main pot 285. Side pot 50. | Rake 0 </t>
  </si>
  <si>
    <t>Board [4c Kd 8c 3c 2d]</t>
  </si>
  <si>
    <t>Seat 2: slavikus555 (small blind) showed [Jc 6c] and won (335) with a flush, Jack high</t>
  </si>
  <si>
    <t>Seat 3: DiggErr555 (big blind) mucked [7h 9c]</t>
  </si>
  <si>
    <t>Seat 4: wycioreks (button) mucked [Td Ah]</t>
  </si>
  <si>
    <t>D:\cloud\SkyDrive\python-projects\pypokertools\test\hh\sat16\round2\3way-bu-call-sb-call.txt</t>
  </si>
  <si>
    <t>slavikus555</t>
  </si>
  <si>
    <t>DiggErr555</t>
  </si>
  <si>
    <t>wycioreks</t>
  </si>
  <si>
    <t>Jc 6c</t>
  </si>
  <si>
    <t>7h 9c</t>
  </si>
  <si>
    <t>Td Ah</t>
  </si>
  <si>
    <t>тут не посчитать так как в аллин по факту всего 1 человек</t>
  </si>
  <si>
    <t xml:space="preserve">EV = </t>
  </si>
  <si>
    <t>cXYZ * pXYZ + …</t>
  </si>
  <si>
    <t>cXYZ распределение фишек</t>
  </si>
  <si>
    <t xml:space="preserve">pXYZ вероятность исхода, где </t>
  </si>
  <si>
    <t>XYZ означает что 1 игрок занял место X, 2 место Y, 3 место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</si>
</sst>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_-[$$-409]* #,##0.00_ ;_-[$$-409]* \-#,##0.00\ ;_-[$$-409]* &quot;-&quot;??_ ;_-@_ "/>
    <numFmt numFmtId="166" formatCode="_-* #,##0.000\ _₽_-;\-* #,##0.000\ _₽_-;_-* &quot;-&quot;??\ _₽_-;_-@_-"/>
    <numFmt numFmtId="167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404040"/>
      <name val="Arial"/>
      <family val="2"/>
      <charset val="204"/>
    </font>
    <font>
      <sz val="10"/>
      <color rgb="FF000000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165" fontId="0" fillId="0" borderId="4" xfId="0" applyNumberFormat="1" applyBorder="1"/>
    <xf numFmtId="0" fontId="0" fillId="2" borderId="0" xfId="0" applyFont="1" applyFill="1"/>
    <xf numFmtId="167" fontId="0" fillId="0" borderId="15" xfId="0" applyNumberFormat="1" applyBorder="1"/>
    <xf numFmtId="167" fontId="0" fillId="0" borderId="10" xfId="0" applyNumberFormat="1" applyBorder="1"/>
    <xf numFmtId="167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3" borderId="14" xfId="0" applyFill="1" applyBorder="1"/>
    <xf numFmtId="167" fontId="0" fillId="3" borderId="15" xfId="0" applyNumberFormat="1" applyFill="1" applyBorder="1"/>
    <xf numFmtId="0" fontId="0" fillId="3" borderId="9" xfId="0" applyFill="1" applyBorder="1"/>
    <xf numFmtId="167" fontId="0" fillId="3" borderId="10" xfId="0" applyNumberFormat="1" applyFill="1" applyBorder="1"/>
    <xf numFmtId="165" fontId="0" fillId="3" borderId="4" xfId="0" applyNumberFormat="1" applyFill="1" applyBorder="1"/>
    <xf numFmtId="167" fontId="0" fillId="3" borderId="0" xfId="0" applyNumberFormat="1" applyFill="1"/>
    <xf numFmtId="165" fontId="0" fillId="3" borderId="5" xfId="0" applyNumberFormat="1" applyFill="1" applyBorder="1"/>
    <xf numFmtId="0" fontId="0" fillId="4" borderId="0" xfId="0" applyFill="1"/>
    <xf numFmtId="165" fontId="0" fillId="4" borderId="0" xfId="0" applyNumberFormat="1" applyFill="1"/>
    <xf numFmtId="167" fontId="0" fillId="4" borderId="0" xfId="0" applyNumberFormat="1" applyFill="1"/>
    <xf numFmtId="0" fontId="0" fillId="4" borderId="14" xfId="0" applyFill="1" applyBorder="1"/>
    <xf numFmtId="167" fontId="0" fillId="4" borderId="15" xfId="0" applyNumberFormat="1" applyFill="1" applyBorder="1"/>
    <xf numFmtId="0" fontId="0" fillId="4" borderId="9" xfId="0" applyFill="1" applyBorder="1"/>
    <xf numFmtId="167" fontId="0" fillId="4" borderId="10" xfId="0" applyNumberFormat="1" applyFill="1" applyBorder="1"/>
    <xf numFmtId="165" fontId="0" fillId="4" borderId="4" xfId="0" applyNumberFormat="1" applyFill="1" applyBorder="1"/>
    <xf numFmtId="165" fontId="0" fillId="4" borderId="5" xfId="0" applyNumberFormat="1" applyFill="1" applyBorder="1"/>
    <xf numFmtId="0" fontId="0" fillId="3" borderId="0" xfId="0" applyNumberFormat="1" applyFill="1"/>
    <xf numFmtId="0" fontId="5" fillId="0" borderId="0" xfId="0" applyFont="1"/>
    <xf numFmtId="0" fontId="0" fillId="0" borderId="0" xfId="0" applyFont="1"/>
    <xf numFmtId="0" fontId="0" fillId="0" borderId="0" xfId="0" applyNumberFormat="1"/>
    <xf numFmtId="0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7" fontId="0" fillId="5" borderId="0" xfId="0" applyNumberFormat="1" applyFill="1"/>
    <xf numFmtId="0" fontId="0" fillId="5" borderId="14" xfId="0" applyFill="1" applyBorder="1"/>
    <xf numFmtId="167" fontId="0" fillId="5" borderId="15" xfId="0" applyNumberFormat="1" applyFill="1" applyBorder="1"/>
    <xf numFmtId="0" fontId="0" fillId="5" borderId="9" xfId="0" applyFill="1" applyBorder="1"/>
    <xf numFmtId="167" fontId="0" fillId="5" borderId="10" xfId="0" applyNumberFormat="1" applyFill="1" applyBorder="1"/>
    <xf numFmtId="0" fontId="0" fillId="5" borderId="0" xfId="0" applyNumberFormat="1" applyFill="1"/>
    <xf numFmtId="165" fontId="0" fillId="5" borderId="4" xfId="0" applyNumberFormat="1" applyFill="1" applyBorder="1"/>
    <xf numFmtId="165" fontId="0" fillId="5" borderId="5" xfId="0" applyNumberFormat="1" applyFill="1" applyBorder="1"/>
    <xf numFmtId="0" fontId="6" fillId="5" borderId="0" xfId="0" applyFont="1" applyFill="1"/>
    <xf numFmtId="165" fontId="6" fillId="5" borderId="0" xfId="0" applyNumberFormat="1" applyFont="1" applyFill="1"/>
    <xf numFmtId="167" fontId="6" fillId="5" borderId="0" xfId="0" applyNumberFormat="1" applyFont="1" applyFill="1"/>
    <xf numFmtId="0" fontId="6" fillId="5" borderId="14" xfId="0" applyFont="1" applyFill="1" applyBorder="1"/>
    <xf numFmtId="0" fontId="6" fillId="5" borderId="9" xfId="0" applyFont="1" applyFill="1" applyBorder="1"/>
    <xf numFmtId="0" fontId="6" fillId="5" borderId="0" xfId="0" applyNumberFormat="1" applyFont="1" applyFill="1"/>
    <xf numFmtId="0" fontId="7" fillId="5" borderId="0" xfId="0" applyFont="1" applyFill="1"/>
    <xf numFmtId="165" fontId="7" fillId="5" borderId="0" xfId="0" applyNumberFormat="1" applyFont="1" applyFill="1"/>
    <xf numFmtId="167" fontId="7" fillId="5" borderId="0" xfId="0" applyNumberFormat="1" applyFont="1" applyFill="1"/>
    <xf numFmtId="0" fontId="7" fillId="5" borderId="14" xfId="0" applyFont="1" applyFill="1" applyBorder="1"/>
    <xf numFmtId="167" fontId="7" fillId="5" borderId="15" xfId="0" applyNumberFormat="1" applyFont="1" applyFill="1" applyBorder="1"/>
    <xf numFmtId="0" fontId="7" fillId="5" borderId="9" xfId="0" applyFont="1" applyFill="1" applyBorder="1"/>
    <xf numFmtId="167" fontId="7" fillId="5" borderId="10" xfId="0" applyNumberFormat="1" applyFont="1" applyFill="1" applyBorder="1"/>
    <xf numFmtId="0" fontId="7" fillId="5" borderId="0" xfId="0" applyNumberFormat="1" applyFont="1" applyFill="1"/>
    <xf numFmtId="165" fontId="7" fillId="5" borderId="4" xfId="0" applyNumberFormat="1" applyFont="1" applyFill="1" applyBorder="1"/>
    <xf numFmtId="165" fontId="7" fillId="5" borderId="5" xfId="0" applyNumberFormat="1" applyFont="1" applyFill="1" applyBorder="1"/>
    <xf numFmtId="167" fontId="0" fillId="0" borderId="0" xfId="0" applyNumberFormat="1" applyBorder="1"/>
    <xf numFmtId="167" fontId="0" fillId="3" borderId="0" xfId="0" applyNumberForma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167" fontId="6" fillId="5" borderId="0" xfId="0" applyNumberFormat="1" applyFont="1" applyFill="1" applyBorder="1"/>
    <xf numFmtId="167" fontId="0" fillId="4" borderId="0" xfId="0" applyNumberFormat="1" applyFill="1" applyBorder="1"/>
    <xf numFmtId="165" fontId="0" fillId="4" borderId="0" xfId="0" applyNumberFormat="1" applyFill="1" applyBorder="1"/>
    <xf numFmtId="0" fontId="0" fillId="4" borderId="0" xfId="0" applyFill="1" applyBorder="1"/>
    <xf numFmtId="0" fontId="0" fillId="0" borderId="0" xfId="0" applyNumberFormat="1" applyBorder="1" applyAlignment="1"/>
    <xf numFmtId="0" fontId="0" fillId="0" borderId="0" xfId="3" applyNumberFormat="1" applyFont="1"/>
    <xf numFmtId="0" fontId="8" fillId="0" borderId="0" xfId="0" applyFont="1"/>
    <xf numFmtId="0" fontId="8" fillId="3" borderId="0" xfId="0" applyFont="1" applyFill="1"/>
    <xf numFmtId="0" fontId="9" fillId="0" borderId="0" xfId="0" applyFont="1"/>
    <xf numFmtId="0" fontId="4" fillId="0" borderId="0" xfId="0" applyFont="1"/>
    <xf numFmtId="0" fontId="12" fillId="0" borderId="0" xfId="0" applyFont="1"/>
    <xf numFmtId="0" fontId="0" fillId="0" borderId="19" xfId="0" applyBorder="1"/>
    <xf numFmtId="0" fontId="0" fillId="0" borderId="19" xfId="0" applyFont="1" applyBorder="1" applyAlignment="1">
      <alignment horizontal="center"/>
    </xf>
    <xf numFmtId="0" fontId="0" fillId="3" borderId="0" xfId="0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5" fontId="0" fillId="0" borderId="0" xfId="0" applyNumberFormat="1" applyFill="1"/>
    <xf numFmtId="167" fontId="0" fillId="0" borderId="0" xfId="0" applyNumberFormat="1" applyFill="1" applyBorder="1"/>
    <xf numFmtId="0" fontId="0" fillId="0" borderId="14" xfId="0" applyFill="1" applyBorder="1"/>
    <xf numFmtId="165" fontId="0" fillId="0" borderId="0" xfId="0" applyNumberFormat="1" applyFill="1" applyBorder="1"/>
    <xf numFmtId="165" fontId="0" fillId="0" borderId="4" xfId="0" applyNumberFormat="1" applyFill="1" applyBorder="1"/>
    <xf numFmtId="0" fontId="13" fillId="0" borderId="0" xfId="0" applyFont="1"/>
    <xf numFmtId="0" fontId="7" fillId="0" borderId="0" xfId="0" applyFont="1"/>
    <xf numFmtId="0" fontId="14" fillId="0" borderId="0" xfId="0" applyFont="1"/>
    <xf numFmtId="0" fontId="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7" fontId="0" fillId="0" borderId="0" xfId="0" applyNumberFormat="1" applyFill="1"/>
    <xf numFmtId="0" fontId="17" fillId="0" borderId="0" xfId="0" applyFont="1"/>
    <xf numFmtId="0" fontId="17" fillId="0" borderId="0" xfId="0" applyNumberFormat="1" applyFont="1" applyAlignment="1"/>
    <xf numFmtId="0" fontId="4" fillId="0" borderId="0" xfId="0" applyFont="1" applyBorder="1" applyAlignment="1">
      <alignment horizontal="center"/>
    </xf>
    <xf numFmtId="10" fontId="0" fillId="0" borderId="0" xfId="0" applyNumberFormat="1"/>
    <xf numFmtId="0" fontId="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/>
    <xf numFmtId="0" fontId="0" fillId="0" borderId="22" xfId="0" applyNumberFormat="1" applyBorder="1" applyAlignment="1"/>
    <xf numFmtId="0" fontId="0" fillId="0" borderId="23" xfId="0" applyNumberFormat="1" applyBorder="1" applyAlignment="1"/>
    <xf numFmtId="0" fontId="0" fillId="0" borderId="24" xfId="0" applyNumberForma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1471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indexed="64"/>
        </left>
        <right style="medium">
          <color indexed="64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_-[$$-409]* #,##0.00_ ;_-[$$-409]* \-#,##0.00\ ;_-[$$-409]* &quot;-&quot;??_ ;_-@_ 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border diagonalUp="0" diagonalDown="0" outline="0">
        <left/>
        <right style="thick">
          <color rgb="FFFF0000"/>
        </right>
        <top/>
        <bottom/>
      </border>
    </dxf>
    <dxf>
      <numFmt numFmtId="167" formatCode="0.0000"/>
      <border diagonalUp="0" diagonalDown="0">
        <left/>
        <right style="thick">
          <color rgb="FFFF000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FF0000"/>
        </left>
        <right/>
        <top/>
        <bottom/>
      </border>
    </dxf>
    <dxf>
      <border diagonalUp="0" diagonalDown="0">
        <left style="thick">
          <color rgb="FFFF0000"/>
        </left>
        <right/>
        <top/>
        <bottom/>
        <vertical/>
        <horizontal/>
      </border>
    </dxf>
    <dxf>
      <border diagonalUp="0" diagonalDown="0" outline="0">
        <left style="thick">
          <color rgb="FFFF0000"/>
        </left>
        <right/>
        <top/>
        <bottom/>
      </border>
    </dxf>
    <dxf>
      <border diagonalUp="0" diagonalDown="0">
        <left style="thick">
          <color rgb="FFFF0000"/>
        </left>
        <right/>
        <top/>
        <bottom/>
        <vertical/>
        <horizontal/>
      </border>
    </dxf>
    <dxf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7" formatCode="0.0000"/>
    </dxf>
    <dxf>
      <numFmt numFmtId="167" formatCode="0.0000"/>
    </dxf>
    <dxf>
      <border diagonalUp="0" diagonalDown="0" outline="0">
        <left style="thick">
          <color rgb="FF0070C0"/>
        </left>
        <right/>
        <top/>
        <bottom/>
      </border>
    </dxf>
    <dxf>
      <numFmt numFmtId="167" formatCode="0.0000"/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7" formatCode="0.0000"/>
    </dxf>
    <dxf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0" formatCode="General"/>
    </dxf>
    <dxf>
      <numFmt numFmtId="165" formatCode="_-[$$-409]* #,##0.00_ ;_-[$$-409]* \-#,##0.00\ ;_-[$$-409]* &quot;-&quot;??_ ;_-@_ "/>
      <border diagonalUp="0" diagonalDown="0" outline="0">
        <left/>
        <right style="medium">
          <color indexed="64"/>
        </right>
        <top/>
        <bottom/>
      </border>
    </dxf>
    <dxf>
      <numFmt numFmtId="165" formatCode="_-[$$-409]* #,##0.00_ ;_-[$$-409]* \-#,##0.00\ ;_-[$$-409]* &quot;-&quot;??_ ;_-@_ 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  <border diagonalUp="0" diagonalDown="0" outline="0">
        <left style="medium">
          <color indexed="64"/>
        </left>
        <right/>
        <top/>
        <bottom/>
      </border>
    </dxf>
    <dxf>
      <numFmt numFmtId="165" formatCode="_-[$$-409]* #,##0.00_ ;_-[$$-409]* \-#,##0.00\ ;_-[$$-409]* &quot;-&quot;??_ ;_-@_ 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167" formatCode="0.0000"/>
      <border diagonalUp="0" diagonalDown="0" outline="0">
        <left/>
        <right style="thick">
          <color rgb="FFFF0000"/>
        </right>
        <top/>
        <bottom/>
      </border>
    </dxf>
    <dxf>
      <numFmt numFmtId="167" formatCode="0.0000"/>
      <border diagonalUp="0" diagonalDown="0">
        <left/>
        <right style="thick">
          <color rgb="FFFF000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FF0000"/>
        </left>
        <right/>
        <top/>
        <bottom/>
      </border>
    </dxf>
    <dxf>
      <border diagonalUp="0" diagonalDown="0">
        <left style="thick">
          <color rgb="FFFF0000"/>
        </left>
        <right/>
        <top/>
        <bottom/>
        <vertical/>
        <horizontal/>
      </border>
    </dxf>
    <dxf>
      <numFmt numFmtId="167" formatCode="0.0000"/>
      <border diagonalUp="0" diagonalDown="0" outline="0">
        <left/>
        <right style="thick">
          <color rgb="FF0070C0"/>
        </right>
        <top/>
        <bottom/>
      </border>
    </dxf>
    <dxf>
      <numFmt numFmtId="167" formatCode="0.0000"/>
      <border diagonalUp="0" diagonalDown="0">
        <left/>
        <right style="thick">
          <color rgb="FF0070C0"/>
        </right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5" formatCode="_-[$$-409]* #,##0.00_ ;_-[$$-409]* \-#,##0.00\ ;_-[$$-409]* &quot;-&quot;??_ ;_-@_ "/>
    </dxf>
    <dxf>
      <numFmt numFmtId="167" formatCode="0.000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diagonalUp="0" diagonalDown="0" outline="0">
        <left style="thick">
          <color rgb="FF0070C0"/>
        </left>
        <right/>
        <top/>
        <bottom/>
      </border>
    </dxf>
    <dxf>
      <border diagonalUp="0" diagonalDown="0">
        <left style="thick">
          <color rgb="FF0070C0"/>
        </left>
        <right/>
        <top/>
        <bottom/>
        <vertical/>
        <horizontal/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left style="thick">
          <color rgb="FFFF0000"/>
        </left>
        <right style="thick">
          <color rgb="FFFF000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7" formatCode="0.0000"/>
      <fill>
        <patternFill patternType="solid">
          <fgColor indexed="64"/>
          <bgColor theme="1"/>
        </patternFill>
      </fill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7" formatCode="0.0000"/>
    </dxf>
    <dxf>
      <numFmt numFmtId="167" formatCode="0.0000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</dxfs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Andryukhov" id="{0C5F49D5-88B0-41CC-A937-EEEF53E42B8D}" userId="a89796590138a2f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8EF8BEEF-5D50-4D52-88F5-652370DF4995}" name="T_init2034474536067150186" displayName="T_init2034474536067150186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2725A484-34B6-4FE3-8546-41427950D836}" name="p" totalsRowLabel="Total"/>
    <tableColumn id="2" xr3:uid="{397C8010-E279-47CB-AE54-3FC5C38BE0D8}" name="stack"/>
    <tableColumn id="3" xr3:uid="{49A7829E-10D2-416B-AE39-01ED4A60779D}" name="hand"/>
    <tableColumn id="4" xr3:uid="{77ACC222-AD81-450F-BA07-4DE026313B93}" name="anteblinds" totalsRowFunction="sum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2369E2CB-1730-4F25-9847-6E6832BC5820}" name="T_p22236257655626974157159195" displayName="T_p22236257655626974157159195" ref="AA16:AF22" totalsRowShown="0" tableBorderDxfId="1400">
  <autoFilter ref="AA16:AF22" xr:uid="{65A7E52C-5FB7-4BB3-8A75-2B9A177732FF}"/>
  <tableColumns count="6">
    <tableColumn id="1" xr3:uid="{3DB2E241-C044-488C-90AB-745BEE988ED7}" name="players" dataDxfId="1399" totalsRowDxfId="1398">
      <calculatedColumnFormula>COUNTIF(T_p22236257655626974157159195[stack],"&gt;0")</calculatedColumnFormula>
    </tableColumn>
    <tableColumn id="2" xr3:uid="{878E1EEF-A30A-448B-B824-0F5D688352F5}" name="stack" dataDxfId="1397" totalsRowDxfId="1396">
      <calculatedColumnFormula>IF(T_init2034474536067150186[[#This Row],[p]]=1,ROUNDDOWN(uncalled + mainpot/2, 0) + ROUNDDOWN(sidepot1/2,0),IF(T_init2034474536067150186[[#This Row],[p]]=2,ROUND(mainpot/2,0) + ROUND(sidepot1/2,0),IF(T_init2034474536067150186[[#This Row],[p]]=3, 0,T_init2034474536067150186[[#This Row],[stack]]-T_init2034474536067150186[[#This Row],[anteblinds]])))</calculatedColumnFormula>
    </tableColumn>
    <tableColumn id="3" xr3:uid="{F0668BC2-0547-4A4C-9D1E-FE00B807FF7A}" name="EQ" totalsRowDxfId="1395"/>
    <tableColumn id="4" xr3:uid="{8359EB7E-2F94-40BD-A973-8BEE89C1BBDB}" name="ICM" dataDxfId="1394" totalsRowDxfId="1393">
      <calculatedColumnFormula>T_p22236257655626974157159195[[#This Row],[EQ]]*prize</calculatedColumnFormula>
    </tableColumn>
    <tableColumn id="5" xr3:uid="{C77BDFDE-1862-46F5-A686-1AE3FC7EE0A5}" name="KO" dataDxfId="1392" totalsRowDxfId="1391">
      <calculatedColumnFormula>IF(T_init2034474536067150186[[#This Row],[p]]=2,T_p22236257655626974157159195[[#This Row],[players]]*T_p22236257655626974157159195[[#This Row],[stack]]/chips+COUNTIF(T_p22236257655626974157159195[stack],0),T_p22236257655626974157159195[[#This Row],[players]]*T_p22236257655626974157159195[[#This Row],[stack]]/chips)</calculatedColumnFormula>
    </tableColumn>
    <tableColumn id="6" xr3:uid="{D02F8507-FC39-4ADE-A2F3-E24255660FAA}" name="$stack" dataDxfId="1390">
      <calculatedColumnFormula>T_p22236257655626974157159195[[#This Row],[ICM]]+bounty*T_p22236257655626974157159195[[#This Row],[KO]]</calculatedColumnFormula>
    </tableColumn>
  </tableColumns>
  <tableStyleInfo name="TableStyleLight11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465EEEC-6656-4DC1-822A-9E260BB08366}" name="T_p2223625" displayName="T_p2223625" ref="M16:R22" totalsRowShown="0" tableBorderDxfId="671">
  <autoFilter ref="M16:R22" xr:uid="{00000000-0009-0000-0100-000023000000}"/>
  <tableColumns count="6">
    <tableColumn id="1" xr3:uid="{1ECBFFC8-5DEC-4A21-BA96-92A5B3F350E7}" name="players" dataDxfId="670" totalsRowDxfId="669">
      <calculatedColumnFormula>COUNTIF(T_p2223625[stack],"&gt;0")</calculatedColumnFormula>
    </tableColumn>
    <tableColumn id="2" xr3:uid="{BCA79192-8110-43CE-B7F3-599F427CD104}" name="stack" dataDxfId="668" totalsRowDxfId="667">
      <calculatedColumnFormula>IF(T_init20344[[#This Row],[p]]=1,uncalled,IF(T_init20344[[#This Row],[p]]=2,mainpot+sidepot1+sidepot2,IF(T_init20344[[#This Row],[p]]&gt;2,0,T_init20344[[#This Row],[stack]]-T_init20344[[#This Row],[anteblinds]])))</calculatedColumnFormula>
    </tableColumn>
    <tableColumn id="3" xr3:uid="{E5776BED-1950-4EF1-A23A-F7E9839F4099}" name="EQ" totalsRowDxfId="666"/>
    <tableColumn id="4" xr3:uid="{11B86C41-810E-4653-B6A5-8FA7A7C4F4AF}" name="ICM" dataDxfId="665" totalsRowDxfId="664">
      <calculatedColumnFormula>T_p2223625[[#This Row],[EQ]]*prize</calculatedColumnFormula>
    </tableColumn>
    <tableColumn id="5" xr3:uid="{9607C5FB-4BC3-4117-BC62-AAC2F95250CE}" name="KO" dataDxfId="663" totalsRowDxfId="662">
      <calculatedColumnFormula>IF(T_init20344[[#This Row],[p]]=2,T_p2223625[[#This Row],[players]]*T_p2223625[[#This Row],[stack]]/chips+COUNTIF(T_p2223625[stack],0),T_p2223625[[#This Row],[players]]*T_p2223625[[#This Row],[stack]]/chips)</calculatedColumnFormula>
    </tableColumn>
    <tableColumn id="6" xr3:uid="{C778B3C2-371D-40BA-BE23-5619F1B87053}" name="$stack" dataDxfId="661">
      <calculatedColumnFormula>T_p2223625[[#This Row],[ICM]]+bounty*T_p2223625[[#This Row],[KO]]</calculatedColumnFormula>
    </tableColumn>
  </tableColumns>
  <tableStyleInfo name="TableStyleLight11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F2DAA9D-091F-46B7-9A70-37C4677EF418}" name="T_p3p1233726" displayName="T_p3p1233726" ref="T16:Y22" totalsRowShown="0" tableBorderDxfId="660">
  <autoFilter ref="T16:Y22" xr:uid="{00000000-0009-0000-0100-000024000000}"/>
  <tableColumns count="6">
    <tableColumn id="1" xr3:uid="{36CB2F6B-F332-47BD-BF8F-F653689B4246}" name="players" dataDxfId="659">
      <calculatedColumnFormula>COUNTIF(T_p3p1233726[stack],"&gt;0")</calculatedColumnFormula>
    </tableColumn>
    <tableColumn id="2" xr3:uid="{98BFB29E-0ACC-42E8-A95F-4660696F0AFD}" name="stack" dataDxfId="658">
      <calculatedColumnFormula>IF(T_init20344[[#This Row],[p]]=1,sidepot1+uncalled,IF(T_init20344[[#This Row],[p]]=3,mainpot,IF(ISBLANK(T_init20344[[#This Row],[p]]),T_init20344[[#This Row],[stack]]-T_init20344[[#This Row],[anteblinds]],0)))</calculatedColumnFormula>
    </tableColumn>
    <tableColumn id="3" xr3:uid="{97A452EC-D826-4EA2-9B70-1FFEA679B96E}" name="EQ"/>
    <tableColumn id="4" xr3:uid="{E155931D-D039-4DAA-B499-B763EE8DB56E}" name="ICM" dataDxfId="657">
      <calculatedColumnFormula>T_p3p1233726[[#This Row],[EQ]]*prize</calculatedColumnFormula>
    </tableColumn>
    <tableColumn id="5" xr3:uid="{D7F4D68F-CA1F-420C-92A9-9CCF510D4228}" name="KO" dataDxfId="656">
      <calculatedColumnFormula>IF(T_init20344[[#This Row],[p]]=1,T_p3p1233726[[#This Row],[players]]*T_p3p1233726[[#This Row],[stack]]/chips+COUNTIF(T_p3p1233726[stack],0),T_p3p1233726[[#This Row],[players]]*T_p3p1233726[[#This Row],[stack]]/chips)</calculatedColumnFormula>
    </tableColumn>
    <tableColumn id="6" xr3:uid="{8AE4461A-7DA4-4AF4-B181-24CF81876F9B}" name="$stack" dataDxfId="655">
      <calculatedColumnFormula>T_p3p1233726[[#This Row],[ICM]]+bounty*T_p3p1233726[[#This Row],[KO]]</calculatedColumnFormula>
    </tableColumn>
  </tableColumns>
  <tableStyleInfo name="TableStyleLight11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DE7509A-FEE0-4209-AF57-C6DC07264454}" name="T_p3p2243827" displayName="T_p3p2243827" ref="AA16:AF22" totalsRowShown="0" tableBorderDxfId="654">
  <autoFilter ref="AA16:AF22" xr:uid="{00000000-0009-0000-0100-000025000000}"/>
  <tableColumns count="6">
    <tableColumn id="1" xr3:uid="{9E188A1A-C06B-4875-B100-FB6B1D0B05AA}" name="players" dataDxfId="653" totalsRowDxfId="652">
      <calculatedColumnFormula>COUNTIF(T_p3p2243827[stack],"&gt;0")</calculatedColumnFormula>
    </tableColumn>
    <tableColumn id="2" xr3:uid="{B649CD9E-90BD-4CEE-A8B2-FC31ADBAEC05}" name="stack" dataDxfId="651" totalsRowDxfId="650">
      <calculatedColumnFormula>IF(T_init20344[[#This Row],[p]]=1,uncalled,IF(T_init20344[[#This Row],[p]]=2,sidepot1,IF(T_init20344[[#This Row],[p]]=3,mainpot,IF(ISBLANK(T_init20344[[#This Row],[p]]),T_init20344[[#This Row],[stack]]-T_init20344[[#This Row],[anteblinds]],0))))</calculatedColumnFormula>
    </tableColumn>
    <tableColumn id="3" xr3:uid="{848D3BDB-7E19-4F2D-B047-42A3CFC47B78}" name="EQ" totalsRowDxfId="649"/>
    <tableColumn id="4" xr3:uid="{DB1CFF41-4F58-4D89-A57E-AB86FF7FF64B}" name="ICM" dataDxfId="648" totalsRowDxfId="647">
      <calculatedColumnFormula>T_p3p2243827[[#This Row],[EQ]]*prize</calculatedColumnFormula>
    </tableColumn>
    <tableColumn id="5" xr3:uid="{D89E7B30-1688-46CB-9319-93CA3481FC14}" name="KO" dataDxfId="646" totalsRowDxfId="645">
      <calculatedColumnFormula>IF(T_init20344[[#This Row],[p]]=2,T_p3p2243827[[#This Row],[players]]*T_p3p2243827[[#This Row],[stack]]/chips+COUNTIF(T_p3p2243827[stack],0),T_p3p2243827[[#This Row],[players]]*T_p3p2243827[[#This Row],[stack]]/chips)</calculatedColumnFormula>
    </tableColumn>
    <tableColumn id="6" xr3:uid="{914D9DF9-3B48-48C7-B9D9-A128E529604A}" name="$stack" dataDxfId="644">
      <calculatedColumnFormula>T_p3p2243827[[#This Row],[ICM]]+bounty*T_p3p2243827[[#This Row],[KO]]</calculatedColumnFormula>
    </tableColumn>
  </tableColumns>
  <tableStyleInfo name="TableStyleLight11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213D52-565A-4486-B736-5843D1BF2536}" name="T_fact293928" displayName="T_fact293928" ref="AI16:AN22" totalsRowShown="0" tableBorderDxfId="643">
  <autoFilter ref="AI16:AN22" xr:uid="{00000000-0009-0000-0100-000026000000}"/>
  <tableColumns count="6">
    <tableColumn id="1" xr3:uid="{61DC4DED-4513-464E-926C-0E9A59FBDFE4}" name="players">
      <calculatedColumnFormula>COUNTIF(T_fact293928[stack],"&gt;0")</calculatedColumnFormula>
    </tableColumn>
    <tableColumn id="2" xr3:uid="{0BFA7326-4B5E-48F8-9CC2-8991D27D2AFF}" name="stack" dataDxfId="642">
      <calculatedColumnFormula>IF(T_init20344[[#This Row],[p]]=1,mainpot+sidepot1+sidepot2+uncalled,IF(T_init20344[[#This Row],[p]]&gt;1,0,T_init20344[[#This Row],[stack]]))</calculatedColumnFormula>
    </tableColumn>
    <tableColumn id="3" xr3:uid="{FEAC847E-D392-4BCD-9B03-A4ADB6F65432}" name="EQ"/>
    <tableColumn id="4" xr3:uid="{2B652390-90F7-4376-98F6-75FE7CEE26F5}" name="ICM" dataDxfId="641">
      <calculatedColumnFormula>T_fact293928[[#This Row],[EQ]]*prize</calculatedColumnFormula>
    </tableColumn>
    <tableColumn id="5" xr3:uid="{E933392D-1C5F-4F57-BC5F-14C28AB15F6F}" name="KO" dataDxfId="640">
      <calculatedColumnFormula>IF(T_init20344[[#This Row],[p]]=1,T_fact293928[[#This Row],[players]]*T_fact293928[[#This Row],[stack]]/chips+COUNTIF(T_fact293928[stack],0),T_fact293928[[#This Row],[players]]*T_fact293928[[#This Row],[stack]]/chips)</calculatedColumnFormula>
    </tableColumn>
    <tableColumn id="6" xr3:uid="{FD09F1D0-3456-42B5-938D-C6935F957E12}" name="$stack" dataDxfId="639">
      <calculatedColumnFormula>T_fact293928[[#This Row],[ICM]]+bounty*T_fact293928[[#This Row],[KO]]</calculatedColumnFormula>
    </tableColumn>
  </tableColumns>
  <tableStyleInfo name="TableStyleLight11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8C3E736-1605-40FB-9BF6-26360902D442}" name="T_EV334030" displayName="T_EV334030" ref="AQ16:AV22" totalsRowShown="0" tableBorderDxfId="638">
  <autoFilter ref="AQ16:AV22" xr:uid="{00000000-0009-0000-0100-000027000000}"/>
  <tableColumns count="6">
    <tableColumn id="1" xr3:uid="{1A00DA61-1D9E-4E7D-8134-A3D0242EBD28}" name="ICM" dataDxfId="637">
      <calculatedColumnFormula>'3w9h9s'!p3win* ('3w9h9s'!p1sp1win*T_p3p1233726[[#This Row],[ICM]] + '3w9h9s'!p2sp1win*T_p3p2243827[[#This Row],[ICM]])
+'3w9h9s'!p2win*T_p2223625[[#This Row],[ICM]]
+'3w9h9s'!p1win*T_p1213519[[#This Row],[ICM]]</calculatedColumnFormula>
    </tableColumn>
    <tableColumn id="2" xr3:uid="{4E80EA99-1BA5-423F-9FBC-9C3B33EA6551}" name="KO" dataDxfId="636">
      <calculatedColumnFormula>('3w9h9s'!p3win* ('3w9h9s'!p1sp1win*T_p3p1233726[[#This Row],[KO]] + '3w9h9s'!p2sp1win*T_p3p2243827[[#This Row],[KO]])
+'3w9h9s'!p2win*T_p2223625[[#This Row],[KO]]
+'3w9h9s'!p1win*T_p1213519[[#This Row],[KO]])*bounty</calculatedColumnFormula>
    </tableColumn>
    <tableColumn id="3" xr3:uid="{A1DE64D1-0120-4485-B45B-CB3190E6B3DC}" name="EV" dataDxfId="635">
      <calculatedColumnFormula>'3w9h9s'!p3win* ('3w9h9s'!p1sp1win*T_p3p1233726[[#This Row],[$stack]] + '3w9h9s'!p2sp1win*T_p3p2243827[[#This Row],[$stack]])
+'3w9h9s'!p2win*T_p2223625[[#This Row],[$stack]]
+'3w9h9s'!p1win*T_p1213519[[#This Row],[$stack]]</calculatedColumnFormula>
    </tableColumn>
    <tableColumn id="4" xr3:uid="{27659C87-C099-4A29-A715-F32E53475039}" name="chipEV" dataDxfId="634">
      <calculatedColumnFormula>'3w9h9s'!p3win* ('3w9h9s'!p1sp1win*T_p3p1233726[[#This Row],[stack]] + '3w9h9s'!p2sp1win*T_p3p2243827[[#This Row],[stack]])
+'3w9h9s'!p2win*T_p2223625[[#This Row],[stack]]
+'3w9h9s'!p1win*T_p1213519[[#This Row],[stack]]</calculatedColumnFormula>
    </tableColumn>
    <tableColumn id="5" xr3:uid="{F61AE052-F233-43E7-8B48-7E137E0B8060}" name="cEVdiff" dataDxfId="633">
      <calculatedColumnFormula>T_EV334030[[#This Row],[chipEV]]-T_fact293928[[#This Row],[stack]]</calculatedColumnFormula>
    </tableColumn>
    <tableColumn id="6" xr3:uid="{DBFBA412-A485-404B-BE54-2640D8E94F70}" name="Evdiff" dataDxfId="632">
      <calculatedColumnFormula>T_EV334030[[#This Row],[EV]]-(T_fact293928[[#This Row],[ICM]]+bounty*T_fact293928[[#This Row],[KO]])</calculatedColumnFormula>
    </tableColumn>
  </tableColumns>
  <tableStyleInfo name="TableStyleLight11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D145246E-7A5A-479C-9EE1-4E581E08220A}" name="T_init203448188" displayName="T_init203448188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C704E540-8835-4E8A-AD8E-51D10C4733FA}" name="p" totalsRowLabel="Total"/>
    <tableColumn id="2" xr3:uid="{963DE6B7-7B73-474B-A3F2-F1EEA3ADD250}" name="stack"/>
    <tableColumn id="3" xr3:uid="{D0886CD1-B089-4D9E-AD10-1B1049E16605}" name="hand"/>
    <tableColumn id="4" xr3:uid="{505BB439-489E-41D5-9788-F8329D9D7FAF}" name="anteblinds" totalsRowFunction="sum"/>
  </tableColumns>
  <tableStyleInfo name="TableStyleLight11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6DCCAE9-1314-47AA-AD16-03C4520C6A88}" name="T_p12135198289" displayName="T_p12135198289" ref="F16:K22" totalsRowShown="0" tableBorderDxfId="631">
  <autoFilter ref="F16:K22" xr:uid="{00000000-0009-0000-0100-000022000000}"/>
  <tableColumns count="6">
    <tableColumn id="1" xr3:uid="{4CE0A299-127F-4B38-ADDD-99BB60F31FCF}" name="players" dataDxfId="630">
      <calculatedColumnFormula>COUNTIF(T_p12135198289[stack],"&gt;0")</calculatedColumnFormula>
    </tableColumn>
    <tableColumn id="2" xr3:uid="{7CDB1EC2-6159-47A0-AFFF-C8AE0760F873}" name="stack" dataDxfId="629">
      <calculatedColumnFormula>IF(T_init203448188[[#This Row],[p]]=1,mainpot+sidepot1+sidepot2+uncalled,IF(T_init203448188[[#This Row],[p]]&gt;1,0,T_init203448188[[#This Row],[stack]]-T_init203448188[[#This Row],[anteblinds]]))</calculatedColumnFormula>
    </tableColumn>
    <tableColumn id="3" xr3:uid="{78DD3487-9A6B-493B-A8F4-B783ECD8734E}" name="EQ"/>
    <tableColumn id="4" xr3:uid="{52C2D143-0AFB-40CA-92A5-AC66E0B0DB76}" name="ICM" dataDxfId="628">
      <calculatedColumnFormula>T_p12135198289[[#This Row],[EQ]]*prize</calculatedColumnFormula>
    </tableColumn>
    <tableColumn id="5" xr3:uid="{883DB99B-D8BA-4100-A012-2148B1BA62E6}" name="KO" dataDxfId="627">
      <calculatedColumnFormula>IF(T_init203448188[[#This Row],[p]]=1,T_p12135198289[[#This Row],[players]]*T_p12135198289[[#This Row],[stack]]/chips+COUNTIF(T_p12135198289[stack],0),T_p12135198289[[#This Row],[players]]*T_p12135198289[[#This Row],[stack]]/chips)</calculatedColumnFormula>
    </tableColumn>
    <tableColumn id="6" xr3:uid="{C42F4A6F-10E5-4549-B5B3-C95D8538CD3D}" name="$stack" dataDxfId="626">
      <calculatedColumnFormula>T_p12135198289[[#This Row],[ICM]]+bounty*T_p12135198289[[#This Row],[KO]]</calculatedColumnFormula>
    </tableColumn>
  </tableColumns>
  <tableStyleInfo name="TableStyleLight11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C1F6742B-FE1F-49ED-8793-555E798F6DE7}" name="T_p22236258390" displayName="T_p22236258390" ref="M16:R22" totalsRowShown="0" tableBorderDxfId="625">
  <autoFilter ref="M16:R22" xr:uid="{00000000-0009-0000-0100-000023000000}"/>
  <tableColumns count="6">
    <tableColumn id="1" xr3:uid="{CDD656DA-8340-4B60-9EB2-6C060B648F34}" name="players" dataDxfId="624" totalsRowDxfId="623">
      <calculatedColumnFormula>COUNTIF(T_p22236258390[stack],"&gt;0")</calculatedColumnFormula>
    </tableColumn>
    <tableColumn id="2" xr3:uid="{D9AE3949-8A23-4508-9CE4-B212EA57A1BF}" name="stack" dataDxfId="622" totalsRowDxfId="621">
      <calculatedColumnFormula>IF(T_init203448188[[#This Row],[p]]=1,uncalled,IF(T_init203448188[[#This Row],[p]]=2,mainpot+sidepot1+sidepot2,IF(T_init203448188[[#This Row],[p]]&gt;2,0,T_init203448188[[#This Row],[stack]]-T_init203448188[[#This Row],[anteblinds]])))</calculatedColumnFormula>
    </tableColumn>
    <tableColumn id="3" xr3:uid="{2C3E05BD-7DF2-4107-BE85-B99F641E565B}" name="EQ" totalsRowDxfId="620"/>
    <tableColumn id="4" xr3:uid="{1F9689DA-E3D2-414E-BBA1-22247E31BEA4}" name="ICM" dataDxfId="619" totalsRowDxfId="618">
      <calculatedColumnFormula>T_p22236258390[[#This Row],[EQ]]*prize</calculatedColumnFormula>
    </tableColumn>
    <tableColumn id="5" xr3:uid="{6F42D334-3C6E-406C-A18D-AD6277C18CD1}" name="KO" dataDxfId="617" totalsRowDxfId="616">
      <calculatedColumnFormula>IF(T_init203448188[[#This Row],[p]]=2,T_p22236258390[[#This Row],[players]]*T_p22236258390[[#This Row],[stack]]/chips+COUNTIF(T_p22236258390[stack],0),T_p22236258390[[#This Row],[players]]*T_p22236258390[[#This Row],[stack]]/chips)</calculatedColumnFormula>
    </tableColumn>
    <tableColumn id="6" xr3:uid="{11FBEEA7-6AE6-4A0F-8A1F-FE834ECB418F}" name="$stack" dataDxfId="615">
      <calculatedColumnFormula>T_p22236258390[[#This Row],[ICM]]+bounty*T_p22236258390[[#This Row],[KO]]</calculatedColumnFormula>
    </tableColumn>
  </tableColumns>
  <tableStyleInfo name="TableStyleLight11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4A48164-3E3F-47A7-9ADB-5CB43A7D1F6B}" name="T_p3p12337268491" displayName="T_p3p12337268491" ref="T16:Y22" totalsRowShown="0" tableBorderDxfId="614">
  <autoFilter ref="T16:Y22" xr:uid="{00000000-0009-0000-0100-000024000000}"/>
  <tableColumns count="6">
    <tableColumn id="1" xr3:uid="{ECB80C6F-0F80-462B-B837-3BAFDEDFCE15}" name="players" dataDxfId="613">
      <calculatedColumnFormula>COUNTIF(T_p3p12337268491[stack],"&gt;0")</calculatedColumnFormula>
    </tableColumn>
    <tableColumn id="2" xr3:uid="{04DD4298-8507-4B6B-9980-E3813A2F0CDE}" name="stack" dataDxfId="612">
      <calculatedColumnFormula>IF(T_init203448188[[#This Row],[p]]=1,sidepot1+uncalled,IF(T_init203448188[[#This Row],[p]]=3,mainpot,IF(ISBLANK(T_init203448188[[#This Row],[p]]),T_init203448188[[#This Row],[stack]]-T_init203448188[[#This Row],[anteblinds]],0)))</calculatedColumnFormula>
    </tableColumn>
    <tableColumn id="3" xr3:uid="{A469490D-3136-4C88-B63C-0A639904A4E8}" name="EQ"/>
    <tableColumn id="4" xr3:uid="{4732BF2F-1BFC-4F16-8AA3-5791BC3A25AB}" name="ICM" dataDxfId="611">
      <calculatedColumnFormula>T_p3p12337268491[[#This Row],[EQ]]*prize</calculatedColumnFormula>
    </tableColumn>
    <tableColumn id="5" xr3:uid="{575E0403-9AE3-45C5-8047-D828A5FD3331}" name="KO" dataDxfId="610">
      <calculatedColumnFormula>IF(T_init203448188[[#This Row],[p]]=1,T_p3p12337268491[[#This Row],[players]]*T_p3p12337268491[[#This Row],[stack]]/chips+COUNTIF(T_p3p12337268491[stack],0),T_p3p12337268491[[#This Row],[players]]*T_p3p12337268491[[#This Row],[stack]]/chips)</calculatedColumnFormula>
    </tableColumn>
    <tableColumn id="6" xr3:uid="{745E9FA7-EDD1-48AA-8A08-1D141D94A360}" name="$stack" dataDxfId="609">
      <calculatedColumnFormula>T_p3p12337268491[[#This Row],[ICM]]+bounty*T_p3p12337268491[[#This Row],[KO]]</calculatedColumnFormula>
    </tableColumn>
  </tableColumns>
  <tableStyleInfo name="TableStyleLight11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145B161-7230-4FF5-8055-0D7D8BBAF48A}" name="T_p3p22438278592" displayName="T_p3p22438278592" ref="AA16:AF22" totalsRowShown="0" tableBorderDxfId="608">
  <autoFilter ref="AA16:AF22" xr:uid="{00000000-0009-0000-0100-000025000000}"/>
  <tableColumns count="6">
    <tableColumn id="1" xr3:uid="{5DD267F9-D30D-47BB-8F4B-03BC6FD41192}" name="players" dataDxfId="607" totalsRowDxfId="606">
      <calculatedColumnFormula>COUNTIF(T_p3p22438278592[stack],"&gt;0")</calculatedColumnFormula>
    </tableColumn>
    <tableColumn id="2" xr3:uid="{90CD2D46-99F1-4B55-AB7A-5442AD5CE508}" name="stack" dataDxfId="605" totalsRowDxfId="604">
      <calculatedColumnFormula>IF(T_init203448188[[#This Row],[p]]=1,uncalled,IF(T_init203448188[[#This Row],[p]]=2,sidepot1,IF(T_init203448188[[#This Row],[p]]=3,mainpot,IF(ISBLANK(T_init203448188[[#This Row],[p]]),T_init203448188[[#This Row],[stack]]-T_init203448188[[#This Row],[anteblinds]],0))))</calculatedColumnFormula>
    </tableColumn>
    <tableColumn id="3" xr3:uid="{8B52E9B9-2099-4939-9D77-A3A09C25135F}" name="EQ" totalsRowDxfId="603"/>
    <tableColumn id="4" xr3:uid="{64F4A9E7-5BAC-4C27-A79D-0F5ACD44B1DA}" name="ICM" dataDxfId="602" totalsRowDxfId="601">
      <calculatedColumnFormula>T_p3p22438278592[[#This Row],[EQ]]*prize</calculatedColumnFormula>
    </tableColumn>
    <tableColumn id="5" xr3:uid="{7F3817FC-BF5D-49B4-871C-A26ED9DF5E6D}" name="KO" dataDxfId="600" totalsRowDxfId="599">
      <calculatedColumnFormula>IF(T_init203448188[[#This Row],[p]]=2,T_p3p22438278592[[#This Row],[players]]*T_p3p22438278592[[#This Row],[stack]]/chips+COUNTIF(T_p3p22438278592[stack],0),T_p3p22438278592[[#This Row],[players]]*T_p3p22438278592[[#This Row],[stack]]/chips)</calculatedColumnFormula>
    </tableColumn>
    <tableColumn id="6" xr3:uid="{1AFD3483-0130-4EB4-9632-3BB6B3946C93}" name="$stack" dataDxfId="598">
      <calculatedColumnFormula>T_p3p22438278592[[#This Row],[ICM]]+bounty*T_p3p22438278592[[#This Row],[KO]]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46C58024-DFBC-4B29-8744-6482A30EF8FD}" name="T_p22236257655626974157159160196" displayName="T_p22236257655626974157159160196" ref="AH16:AM22" totalsRowShown="0" tableBorderDxfId="1389">
  <autoFilter ref="AH16:AM22" xr:uid="{22DD0C87-8B5C-4E2F-A7A6-3E4489B3D96B}"/>
  <tableColumns count="6">
    <tableColumn id="1" xr3:uid="{E4AD21F7-F7BA-42F1-BA0E-6510E17FE9DD}" name="players" dataDxfId="1388" totalsRowDxfId="1387">
      <calculatedColumnFormula>COUNTIF(T_p22236257655626974157159160196[stack],"&gt;0")</calculatedColumnFormula>
    </tableColumn>
    <tableColumn id="2" xr3:uid="{9B8EB77F-15E9-409E-80C5-C90DFF2C6AD2}" name="stack" dataDxfId="1386" totalsRowDxfId="1385">
      <calculatedColumnFormula>IF(T_init2034474536067150186[[#This Row],[p]]=1,ROUNDDOWN(uncalled + mainpot/2, 0) + ROUNDDOWN(sidepot1,0),IF(T_init2034474536067150186[[#This Row],[p]]=2,0,IF(T_init2034474536067150186[[#This Row],[p]]=3, ROUNDUP(mainpot/2,0),T_init2034474536067150186[[#This Row],[stack]]-T_init2034474536067150186[[#This Row],[anteblinds]])))</calculatedColumnFormula>
    </tableColumn>
    <tableColumn id="3" xr3:uid="{6EBD3273-BB9E-48DE-8B7A-C4F2A679609F}" name="EQ" totalsRowDxfId="1384"/>
    <tableColumn id="4" xr3:uid="{10528B26-8963-4769-AFAD-2B70DB75CA1D}" name="ICM" dataDxfId="1383" totalsRowDxfId="1382">
      <calculatedColumnFormula>T_p22236257655626974157159160196[[#This Row],[EQ]]*prize</calculatedColumnFormula>
    </tableColumn>
    <tableColumn id="5" xr3:uid="{6C135AF9-02DB-4859-8264-AE313EF66C7E}" name="KO" dataDxfId="1381" totalsRowDxfId="1380">
      <calculatedColumnFormula>IF(T_init2034474536067150186[[#This Row],[p]]=2,T_p22236257655626974157159160196[[#This Row],[players]]*T_p22236257655626974157159160196[[#This Row],[stack]]/chips+COUNTIF(T_p22236257655626974157159160196[stack],0),T_p22236257655626974157159160196[[#This Row],[players]]*T_p22236257655626974157159160196[[#This Row],[stack]]/chips)</calculatedColumnFormula>
    </tableColumn>
    <tableColumn id="6" xr3:uid="{5046B5AD-912D-436F-96BF-92CDF2CDB8C5}" name="$stack" dataDxfId="1379">
      <calculatedColumnFormula>T_p22236257655626974157159160196[[#This Row],[ICM]]+bounty*T_p22236257655626974157159160196[[#This Row],[KO]]</calculatedColumnFormula>
    </tableColumn>
  </tableColumns>
  <tableStyleInfo name="TableStyleLight11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80D9CC09-23B6-42BF-BC83-0411C9AF63E7}" name="T_fact2939288693" displayName="T_fact2939288693" ref="AI16:AN22" totalsRowShown="0" tableBorderDxfId="597">
  <autoFilter ref="AI16:AN22" xr:uid="{00000000-0009-0000-0100-000026000000}"/>
  <tableColumns count="6">
    <tableColumn id="1" xr3:uid="{0B00ADF7-7C19-4A5A-AE48-671DF21DA9FA}" name="players">
      <calculatedColumnFormula>COUNTIF(T_fact2939288693[stack],"&gt;0")</calculatedColumnFormula>
    </tableColumn>
    <tableColumn id="2" xr3:uid="{5CDDFB9E-B5BD-4467-89B0-B6E7D778A23F}" name="stack" dataDxfId="596">
      <calculatedColumnFormula>IF(T_init203448188[[#This Row],[p]]=1,mainpot+sidepot1+sidepot2+uncalled,IF(T_init203448188[[#This Row],[p]]&gt;1,0,T_init203448188[[#This Row],[stack]]))</calculatedColumnFormula>
    </tableColumn>
    <tableColumn id="3" xr3:uid="{3B12F8B4-F78F-49F8-9B34-D214FEFE2B64}" name="EQ"/>
    <tableColumn id="4" xr3:uid="{A46C86B2-7ADF-4A74-8F14-220CE003818A}" name="ICM" dataDxfId="595">
      <calculatedColumnFormula>T_fact2939288693[[#This Row],[EQ]]*prize</calculatedColumnFormula>
    </tableColumn>
    <tableColumn id="5" xr3:uid="{2AD5422D-D524-47B1-8283-5021DF766B1E}" name="KO" dataDxfId="594">
      <calculatedColumnFormula>IF(T_init203448188[[#This Row],[p]]=1,T_fact2939288693[[#This Row],[players]]*T_fact2939288693[[#This Row],[stack]]/chips+COUNTIF(T_fact2939288693[stack],0),T_fact2939288693[[#This Row],[players]]*T_fact2939288693[[#This Row],[stack]]/chips)</calculatedColumnFormula>
    </tableColumn>
    <tableColumn id="6" xr3:uid="{A829FDC4-F2FB-456D-B2C7-BF613834892B}" name="$stack" dataDxfId="593">
      <calculatedColumnFormula>T_fact2939288693[[#This Row],[ICM]]+bounty*T_fact2939288693[[#This Row],[KO]]</calculatedColumnFormula>
    </tableColumn>
  </tableColumns>
  <tableStyleInfo name="TableStyleLight11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982CBAE8-CB3A-4894-85E7-6C9454B83DEB}" name="T_EV3340308794" displayName="T_EV3340308794" ref="AQ16:AV22" totalsRowShown="0" tableBorderDxfId="592">
  <autoFilter ref="AQ16:AV22" xr:uid="{00000000-0009-0000-0100-000027000000}"/>
  <tableColumns count="6">
    <tableColumn id="1" xr3:uid="{248ABB28-A9EE-4E4C-916D-DDE131D765FF}" name="ICM" dataDxfId="591">
      <calculatedColumnFormula>'3wKs2s Ден v2'!p3win* ('3wKs2s Ден v2'!p1sp1win*T_p3p12337268491[[#This Row],[ICM]] + '3wKs2s Ден v2'!p2sp1win*T_p3p22438278592[[#This Row],[ICM]])
+'3wKs2s Ден v2'!p2win*T_p22236258390[[#This Row],[ICM]]
+'3wKs2s Ден v2'!p1win*T_p12135198289[[#This Row],[ICM]]</calculatedColumnFormula>
    </tableColumn>
    <tableColumn id="2" xr3:uid="{DC94038E-BDF6-4645-9D8B-7D6A825B65F5}" name="KO" dataDxfId="590">
      <calculatedColumnFormula>('3wKs2s Ден v2'!p3win* ('3wKs2s Ден v2'!p1sp1win*T_p3p12337268491[[#This Row],[KO]] + '3wKs2s Ден v2'!p2sp1win*T_p3p22438278592[[#This Row],[KO]])
+'3wKs2s Ден v2'!p2win*T_p22236258390[[#This Row],[KO]]
+'3wKs2s Ден v2'!p1win*T_p12135198289[[#This Row],[KO]])*bounty</calculatedColumnFormula>
    </tableColumn>
    <tableColumn id="3" xr3:uid="{42E596E0-4178-468D-A3DF-23E68F392B40}" name="EV" dataDxfId="589">
      <calculatedColumnFormula>'3wKs2s Ден v2'!p3win* ('3wKs2s Ден v2'!p1sp1win*T_p3p12337268491[[#This Row],[$stack]] + '3wKs2s Ден v2'!p2sp1win*T_p3p22438278592[[#This Row],[$stack]])
+'3wKs2s Ден v2'!p2win*T_p22236258390[[#This Row],[$stack]]
+'3wKs2s Ден v2'!p1win*T_p12135198289[[#This Row],[$stack]]</calculatedColumnFormula>
    </tableColumn>
    <tableColumn id="4" xr3:uid="{A75603FA-A397-4A98-9A79-C0BDB6924F16}" name="chipEV" dataDxfId="588">
      <calculatedColumnFormula>'3wKs2s Ден v2'!p3win* ('3wKs2s Ден v2'!p1sp1win*T_p3p12337268491[[#This Row],[stack]] + '3wKs2s Ден v2'!p2sp1win*T_p3p22438278592[[#This Row],[stack]])
+'3wKs2s Ден v2'!p2win*T_p22236258390[[#This Row],[stack]]
+'3wKs2s Ден v2'!p1win*T_p12135198289[[#This Row],[stack]]</calculatedColumnFormula>
    </tableColumn>
    <tableColumn id="5" xr3:uid="{DF407671-32AF-41D9-8B51-E1B2635027B6}" name="cEVdiff" dataDxfId="587">
      <calculatedColumnFormula>T_EV3340308794[[#This Row],[chipEV]]-T_fact2939288693[[#This Row],[stack]]</calculatedColumnFormula>
    </tableColumn>
    <tableColumn id="6" xr3:uid="{DF352717-F9DF-452C-AD1B-96CEDEB2ED75}" name="Evdiff" dataDxfId="586">
      <calculatedColumnFormula>T_EV3340308794[[#This Row],[EV]]-(T_fact2939288693[[#This Row],[ICM]]+bounty*T_fact2939288693[[#This Row],[KO]])</calculatedColumnFormula>
    </tableColumn>
  </tableColumns>
  <tableStyleInfo name="TableStyleLight11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2536FBE5-9516-47F4-9E2C-6EAA48DC988B}" name="T_init20344818895116123130" displayName="T_init20344818895116123130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51FD678E-F5ED-45E6-B190-D85AE19EC605}" name="p" totalsRowLabel="Total"/>
    <tableColumn id="2" xr3:uid="{2E7EEBC4-A6FD-40E8-8A1F-155879F7E8B8}" name="stack"/>
    <tableColumn id="3" xr3:uid="{C074323C-1C02-4974-9122-FF36AD9FA039}" name="hand"/>
    <tableColumn id="4" xr3:uid="{E30C5E76-83C4-4BCB-AFA2-F99B8CC3F0A6}" name="anteblinds" totalsRowFunction="sum"/>
  </tableColumns>
  <tableStyleInfo name="TableStyleLight11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DB6892F0-F7FF-417E-9781-F1B2DBC51294}" name="T_p1213519828996117124131" displayName="T_p1213519828996117124131" ref="F16:K22" totalsRowShown="0" tableBorderDxfId="585">
  <autoFilter ref="F16:K22" xr:uid="{00000000-0009-0000-0100-000022000000}"/>
  <tableColumns count="6">
    <tableColumn id="1" xr3:uid="{0E961711-94DF-4C6E-84B8-4750586E34E8}" name="players" dataDxfId="584">
      <calculatedColumnFormula>COUNTIF(T_p1213519828996117124131[stack],"&gt;0")</calculatedColumnFormula>
    </tableColumn>
    <tableColumn id="2" xr3:uid="{BDA7C987-1990-4C69-8CA8-51DFE4DB6C3D}" name="stack" dataDxfId="583">
      <calculatedColumnFormula>IF(T_init20344818895116123130[[#This Row],[p]]=1,mainpot+sidepot1+sidepot2+uncalled,IF(T_init20344818895116123130[[#This Row],[p]]&gt;1,0,T_init20344818895116123130[[#This Row],[stack]]-T_init20344818895116123130[[#This Row],[anteblinds]]))</calculatedColumnFormula>
    </tableColumn>
    <tableColumn id="3" xr3:uid="{54CC7FAA-5050-44D7-843D-10E591A82E44}" name="EQ"/>
    <tableColumn id="4" xr3:uid="{F837AEA8-342C-42C6-8438-7DE37827AEA3}" name="ICM" dataDxfId="582">
      <calculatedColumnFormula>T_p1213519828996117124131[[#This Row],[EQ]]*prize</calculatedColumnFormula>
    </tableColumn>
    <tableColumn id="5" xr3:uid="{36AE1B30-89BD-46D7-9906-E7541A2C0BC2}" name="KO" dataDxfId="581">
      <calculatedColumnFormula>IF(T_init20344818895116123130[[#This Row],[p]]=1,T_p1213519828996117124131[[#This Row],[players]]*T_p1213519828996117124131[[#This Row],[stack]]/chips+COUNTIF(T_p1213519828996117124131[stack],0),T_p1213519828996117124131[[#This Row],[players]]*T_p1213519828996117124131[[#This Row],[stack]]/chips)</calculatedColumnFormula>
    </tableColumn>
    <tableColumn id="6" xr3:uid="{302F209C-BF0C-438F-8E5F-8EDEC6924554}" name="$stack" dataDxfId="580">
      <calculatedColumnFormula>T_p1213519828996117124131[[#This Row],[ICM]]+bounty*T_p1213519828996117124131[[#This Row],[KO]]</calculatedColumnFormula>
    </tableColumn>
  </tableColumns>
  <tableStyleInfo name="TableStyleLight11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DCCA1A19-3A69-40A2-9969-8D7E2AAA4280}" name="T_p2223625839097118125132" displayName="T_p2223625839097118125132" ref="M16:R22" totalsRowShown="0" tableBorderDxfId="579">
  <autoFilter ref="M16:R22" xr:uid="{00000000-0009-0000-0100-000023000000}"/>
  <tableColumns count="6">
    <tableColumn id="1" xr3:uid="{81316131-E393-423F-B423-FFB649977EF7}" name="players" dataDxfId="578" totalsRowDxfId="577">
      <calculatedColumnFormula>COUNTIF(T_p2223625839097118125132[stack],"&gt;0")</calculatedColumnFormula>
    </tableColumn>
    <tableColumn id="2" xr3:uid="{58981D8A-2665-4238-A29B-B6B9E33538EB}" name="stack" dataDxfId="576" totalsRowDxfId="575">
      <calculatedColumnFormula>IF(T_init20344818895116123130[[#This Row],[p]]=1,uncalled,IF(T_init20344818895116123130[[#This Row],[p]]=2,mainpot+sidepot1+sidepot2,IF(T_init20344818895116123130[[#This Row],[p]]&gt;2,0,T_init20344818895116123130[[#This Row],[stack]]-T_init20344818895116123130[[#This Row],[anteblinds]])))</calculatedColumnFormula>
    </tableColumn>
    <tableColumn id="3" xr3:uid="{2AE164DC-69CC-4E06-9361-4EA9FA061839}" name="EQ" totalsRowDxfId="574"/>
    <tableColumn id="4" xr3:uid="{CD0476D1-D12C-4D7B-994C-2BEB64DAA9F4}" name="ICM" dataDxfId="573" totalsRowDxfId="572">
      <calculatedColumnFormula>T_p2223625839097118125132[[#This Row],[EQ]]*prize</calculatedColumnFormula>
    </tableColumn>
    <tableColumn id="5" xr3:uid="{8F1FE12D-8EED-42DA-B2D6-3D6BF44EADF4}" name="KO" dataDxfId="571" totalsRowDxfId="570">
      <calculatedColumnFormula>IF(T_init20344818895116123130[[#This Row],[p]]=2,T_p2223625839097118125132[[#This Row],[players]]*T_p2223625839097118125132[[#This Row],[stack]]/chips+COUNTIF(T_p2223625839097118125132[stack],0),T_p2223625839097118125132[[#This Row],[players]]*T_p2223625839097118125132[[#This Row],[stack]]/chips)</calculatedColumnFormula>
    </tableColumn>
    <tableColumn id="6" xr3:uid="{DC9B8CDF-A585-49B5-B4F6-8B451D33F1C4}" name="$stack" dataDxfId="569">
      <calculatedColumnFormula>T_p2223625839097118125132[[#This Row],[ICM]]+bounty*T_p2223625839097118125132[[#This Row],[KO]]</calculatedColumnFormula>
    </tableColumn>
  </tableColumns>
  <tableStyleInfo name="TableStyleLight11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B08C09F-B4BC-4C6C-8894-6D19C4917AA4}" name="T_p3p1233726849198119126133" displayName="T_p3p1233726849198119126133" ref="T16:Y22" totalsRowShown="0" tableBorderDxfId="568">
  <autoFilter ref="T16:Y22" xr:uid="{00000000-0009-0000-0100-000024000000}"/>
  <tableColumns count="6">
    <tableColumn id="1" xr3:uid="{CDB62C0F-FF9C-49ED-B552-44BEFFA85097}" name="players" dataDxfId="567">
      <calculatedColumnFormula>COUNTIF(T_p3p1233726849198119126133[stack],"&gt;0")</calculatedColumnFormula>
    </tableColumn>
    <tableColumn id="2" xr3:uid="{4867BBF0-0742-4265-8132-B36FD9AF124F}" name="stack" dataDxfId="566">
      <calculatedColumnFormula>IF(T_init20344818895116123130[[#This Row],[p]]=1,sidepot1+uncalled,IF(T_init20344818895116123130[[#This Row],[p]]=3,mainpot,IF(ISBLANK(T_init20344818895116123130[[#This Row],[p]]),T_init20344818895116123130[[#This Row],[stack]]-T_init20344818895116123130[[#This Row],[anteblinds]],0)))</calculatedColumnFormula>
    </tableColumn>
    <tableColumn id="3" xr3:uid="{804737C0-A667-4677-B174-A850E2736447}" name="EQ"/>
    <tableColumn id="4" xr3:uid="{8321B11D-CF1B-4A0C-8C6D-12F77A1198FD}" name="ICM" dataDxfId="565">
      <calculatedColumnFormula>T_p3p1233726849198119126133[[#This Row],[EQ]]*prize</calculatedColumnFormula>
    </tableColumn>
    <tableColumn id="5" xr3:uid="{BD8B0DD3-5F63-4A91-ADE8-11521E9E9D22}" name="KO" dataDxfId="564">
      <calculatedColumnFormula>IF(T_init20344818895116123130[[#This Row],[p]]=1,T_p3p1233726849198119126133[[#This Row],[players]]*T_p3p1233726849198119126133[[#This Row],[stack]]/chips+COUNTIF(T_p3p1233726849198119126133[stack],0),T_p3p1233726849198119126133[[#This Row],[players]]*T_p3p1233726849198119126133[[#This Row],[stack]]/chips)</calculatedColumnFormula>
    </tableColumn>
    <tableColumn id="6" xr3:uid="{0232B03A-B4CF-4AD0-957B-F84140CA836C}" name="$stack" dataDxfId="563">
      <calculatedColumnFormula>T_p3p1233726849198119126133[[#This Row],[ICM]]+bounty*T_p3p1233726849198119126133[[#This Row],[KO]]</calculatedColumnFormula>
    </tableColumn>
  </tableColumns>
  <tableStyleInfo name="TableStyleLight11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2F26F51D-B0B1-4C18-9E29-97F68DF0B67F}" name="T_p3p2243827859299120127134" displayName="T_p3p2243827859299120127134" ref="AA16:AF22" totalsRowShown="0" tableBorderDxfId="562">
  <autoFilter ref="AA16:AF22" xr:uid="{00000000-0009-0000-0100-000025000000}"/>
  <tableColumns count="6">
    <tableColumn id="1" xr3:uid="{66A998DA-5EEA-4E29-BB7C-818CE3D37928}" name="players" dataDxfId="561" totalsRowDxfId="560">
      <calculatedColumnFormula>COUNTIF(T_p3p2243827859299120127134[stack],"&gt;0")</calculatedColumnFormula>
    </tableColumn>
    <tableColumn id="2" xr3:uid="{DFA7DCD3-784B-4487-8C46-F1FD991C24D0}" name="stack" dataDxfId="559" totalsRowDxfId="558">
      <calculatedColumnFormula>IF(T_init20344818895116123130[[#This Row],[p]]=1,uncalled,IF(T_init20344818895116123130[[#This Row],[p]]=2,sidepot1,IF(T_init20344818895116123130[[#This Row],[p]]=3,mainpot,IF(ISBLANK(T_init20344818895116123130[[#This Row],[p]]),T_init20344818895116123130[[#This Row],[stack]]-T_init20344818895116123130[[#This Row],[anteblinds]],0))))</calculatedColumnFormula>
    </tableColumn>
    <tableColumn id="3" xr3:uid="{5085B68F-0592-48B2-B42D-9766264FBF3A}" name="EQ" totalsRowDxfId="557"/>
    <tableColumn id="4" xr3:uid="{BC9E2762-6D50-4543-8BB2-EEA654E109F9}" name="ICM" dataDxfId="556" totalsRowDxfId="555">
      <calculatedColumnFormula>T_p3p2243827859299120127134[[#This Row],[EQ]]*prize</calculatedColumnFormula>
    </tableColumn>
    <tableColumn id="5" xr3:uid="{046947B2-0EF7-4F02-A5AB-935781973818}" name="KO" dataDxfId="554" totalsRowDxfId="553">
      <calculatedColumnFormula>IF(T_init20344818895116123130[[#This Row],[p]]=2,T_p3p2243827859299120127134[[#This Row],[players]]*T_p3p2243827859299120127134[[#This Row],[stack]]/chips+COUNTIF(T_p3p2243827859299120127134[stack],0),T_p3p2243827859299120127134[[#This Row],[players]]*T_p3p2243827859299120127134[[#This Row],[stack]]/chips)</calculatedColumnFormula>
    </tableColumn>
    <tableColumn id="6" xr3:uid="{18A61D52-A44A-4068-9D70-8C6ACB8F5C95}" name="$stack" dataDxfId="552">
      <calculatedColumnFormula>T_p3p2243827859299120127134[[#This Row],[ICM]]+bounty*T_p3p2243827859299120127134[[#This Row],[KO]]</calculatedColumnFormula>
    </tableColumn>
  </tableColumns>
  <tableStyleInfo name="TableStyleLight11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339705E-6672-4DE0-8243-07DA154EC526}" name="T_fact2939288693100121128135" displayName="T_fact2939288693100121128135" ref="AI16:AN22" totalsRowShown="0" tableBorderDxfId="551">
  <autoFilter ref="AI16:AN22" xr:uid="{00000000-0009-0000-0100-000026000000}"/>
  <tableColumns count="6">
    <tableColumn id="1" xr3:uid="{870ED4BA-DAE0-4874-96F8-31AD9EDBEF57}" name="players">
      <calculatedColumnFormula>COUNTIF(T_fact2939288693100121128135[stack],"&gt;0")</calculatedColumnFormula>
    </tableColumn>
    <tableColumn id="2" xr3:uid="{8D5A2137-5F42-4F66-B511-D9393C37E5C7}" name="stack" dataDxfId="550">
      <calculatedColumnFormula>IF(T_init20344818895116123130[[#This Row],[p]]=1,mainpot+sidepot1+sidepot2+uncalled,IF(T_init20344818895116123130[[#This Row],[p]]&gt;1,0,T_init20344818895116123130[[#This Row],[stack]]))</calculatedColumnFormula>
    </tableColumn>
    <tableColumn id="3" xr3:uid="{7B2D9E2E-5CD3-442B-9A51-8B579A9F4837}" name="EQ"/>
    <tableColumn id="4" xr3:uid="{2AC16D7F-3653-4641-A791-2FAD589D3889}" name="ICM" dataDxfId="549">
      <calculatedColumnFormula>T_fact2939288693100121128135[[#This Row],[EQ]]*prize</calculatedColumnFormula>
    </tableColumn>
    <tableColumn id="5" xr3:uid="{C2030132-8077-4B7A-9BD9-BD41F3B030E1}" name="KO" dataDxfId="548">
      <calculatedColumnFormula>IF(T_init20344818895116123130[[#This Row],[p]]=1,T_fact2939288693100121128135[[#This Row],[players]]*T_fact2939288693100121128135[[#This Row],[stack]]/chips+COUNTIF(T_fact2939288693100121128135[stack],0),T_fact2939288693100121128135[[#This Row],[players]]*T_fact2939288693100121128135[[#This Row],[stack]]/chips)</calculatedColumnFormula>
    </tableColumn>
    <tableColumn id="6" xr3:uid="{D635533F-0804-4A32-9CEC-9E94F853B3C5}" name="$stack" dataDxfId="547">
      <calculatedColumnFormula>T_fact2939288693100121128135[[#This Row],[ICM]]+bounty*T_fact2939288693100121128135[[#This Row],[KO]]</calculatedColumnFormula>
    </tableColumn>
  </tableColumns>
  <tableStyleInfo name="TableStyleLight11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EDD425F2-D495-4C19-A454-7F8CD4CD92C8}" name="T_EV3340308794101122129136" displayName="T_EV3340308794101122129136" ref="AQ16:AV22" totalsRowShown="0" tableBorderDxfId="546">
  <autoFilter ref="AQ16:AV22" xr:uid="{00000000-0009-0000-0100-000027000000}"/>
  <tableColumns count="6">
    <tableColumn id="1" xr3:uid="{CEBDF757-5DE1-4F3C-891C-7A5CD0BBE286}" name="ICM" dataDxfId="545">
      <calculatedColumnFormula>'3w Ac5c Ден'!p3win* ('3w Ac5c Ден'!p1sp1win*T_p3p1233726849198119126133[[#This Row],[ICM]] + '3w Ac5c Ден'!p2sp1win*T_p3p2243827859299120127134[[#This Row],[ICM]])
+'3w Ac5c Ден'!p2win*T_p2223625839097118125132[[#This Row],[ICM]]
+'3w Ac5c Ден'!p1win*T_p1213519828996117124131[[#This Row],[ICM]]</calculatedColumnFormula>
    </tableColumn>
    <tableColumn id="2" xr3:uid="{B862A5A4-FEC8-4D8F-9D43-3D7E09F415A1}" name="KO" dataDxfId="544">
      <calculatedColumnFormula>('3w Ac5c Ден'!p3win* ('3w Ac5c Ден'!p1sp1win*T_p3p1233726849198119126133[[#This Row],[KO]] + '3w Ac5c Ден'!p2sp1win*T_p3p2243827859299120127134[[#This Row],[KO]])
+'3w Ac5c Ден'!p2win*T_p2223625839097118125132[[#This Row],[KO]]
+'3w Ac5c Ден'!p1win*T_p1213519828996117124131[[#This Row],[KO]])*bounty</calculatedColumnFormula>
    </tableColumn>
    <tableColumn id="3" xr3:uid="{536F2890-BFE6-48D1-8C60-9BB02A7DB7D8}" name="EV" dataDxfId="543">
      <calculatedColumnFormula>'3w Ac5c Ден'!p3win* ('3w Ac5c Ден'!p1sp1win*T_p3p1233726849198119126133[[#This Row],[$stack]] + '3w Ac5c Ден'!p2sp1win*T_p3p2243827859299120127134[[#This Row],[$stack]])
+'3w Ac5c Ден'!p2win*T_p2223625839097118125132[[#This Row],[$stack]]
+'3w Ac5c Ден'!p1win*T_p1213519828996117124131[[#This Row],[$stack]]</calculatedColumnFormula>
    </tableColumn>
    <tableColumn id="4" xr3:uid="{7BE4E9A1-9B3F-44BE-8F7B-8B06FDC1A26B}" name="chipEV" dataDxfId="542">
      <calculatedColumnFormula>'3w Ac5c Ден'!p3win* ('3w Ac5c Ден'!p1sp1win*T_p3p1233726849198119126133[[#This Row],[stack]] + '3w Ac5c Ден'!p2sp1win*T_p3p2243827859299120127134[[#This Row],[stack]])
+'3w Ac5c Ден'!p2win*T_p2223625839097118125132[[#This Row],[stack]]
+'3w Ac5c Ден'!p1win*T_p1213519828996117124131[[#This Row],[stack]]</calculatedColumnFormula>
    </tableColumn>
    <tableColumn id="5" xr3:uid="{568D433F-A2A3-45E5-85DF-F7F6718323F6}" name="cEVdiff" dataDxfId="541">
      <calculatedColumnFormula>T_EV3340308794101122129136[[#This Row],[chipEV]]-T_fact2939288693100121128135[[#This Row],[stack]]</calculatedColumnFormula>
    </tableColumn>
    <tableColumn id="6" xr3:uid="{FD384CE2-85A4-4734-8DE9-67AC2A36332E}" name="Evdiff" dataDxfId="540">
      <calculatedColumnFormula>T_EV3340308794101122129136[[#This Row],[EV]]-(T_fact2939288693100121128135[[#This Row],[ICM]]+bounty*T_fact2939288693100121128135[[#This Row],[KO]])</calculatedColumnFormula>
    </tableColumn>
  </tableColumns>
  <tableStyleInfo name="TableStyleLight11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AD686A3F-B332-44CF-81FB-7EA4146AC8FD}" name="T_init2034481" displayName="T_init2034481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9C4C44D8-B93E-4086-B6F4-CEC356527D4F}" name="p" totalsRowLabel="Total"/>
    <tableColumn id="2" xr3:uid="{6EE2BA4A-E6A6-4027-AA41-022D96F3F068}" name="stack"/>
    <tableColumn id="3" xr3:uid="{04A1B1A7-0817-4CBE-A600-75C1D71FD53D}" name="hand"/>
    <tableColumn id="4" xr3:uid="{C0380ADD-017E-45BD-852D-79B0E2703150}" name="anteblinds" totalsRowFunction="sum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914BC6EC-73D1-4CCC-8B65-3BCFED59242E}" name="T_p22236257655626974157159160161197" displayName="T_p22236257655626974157159160161197" ref="AO16:AT22" totalsRowShown="0" tableBorderDxfId="1378">
  <autoFilter ref="AO16:AT22" xr:uid="{85FE0BC8-7AC0-49B1-8516-7148FA962FFE}"/>
  <tableColumns count="6">
    <tableColumn id="1" xr3:uid="{15227C5B-2437-4586-BDEE-5FE82270A8E0}" name="players" dataDxfId="1377" totalsRowDxfId="1376">
      <calculatedColumnFormula>COUNTIF(T_p22236257655626974157159160161197[stack],"&gt;0")</calculatedColumnFormula>
    </tableColumn>
    <tableColumn id="2" xr3:uid="{BD99E99D-9864-4ACF-8AFA-798474FA7CF1}" name="stack" dataDxfId="1375" totalsRowDxfId="1374">
      <calculatedColumnFormula>IF(T_init2034474536067150186[[#This Row],[p]]=1,uncalled,IF(T_init2034474536067150186[[#This Row],[p]]=2,ROUNDDOWN(mainpot/2,0) + ROUNDDOWN(sidepot1,0),IF(T_init2034474536067150186[[#This Row],[p]]=3, ROUNDUP(mainpot/2,0),T_init2034474536067150186[[#This Row],[stack]]-T_init2034474536067150186[[#This Row],[anteblinds]])))</calculatedColumnFormula>
    </tableColumn>
    <tableColumn id="3" xr3:uid="{C510898D-F9A5-447D-88D5-C770D36D59B1}" name="EQ" totalsRowDxfId="1373"/>
    <tableColumn id="4" xr3:uid="{7314B261-9353-4150-9D5C-02E461443545}" name="ICM" dataDxfId="1372" totalsRowDxfId="1371">
      <calculatedColumnFormula>T_p22236257655626974157159160161197[[#This Row],[EQ]]*prize</calculatedColumnFormula>
    </tableColumn>
    <tableColumn id="5" xr3:uid="{0EA20A5D-7E88-42EA-A3A1-C58FA5EA6D3D}" name="KO" dataDxfId="1370" totalsRowDxfId="1369">
      <calculatedColumnFormula>IF(T_init2034474536067150186[[#This Row],[p]]=2,T_p22236257655626974157159160161197[[#This Row],[players]]*T_p22236257655626974157159160161197[[#This Row],[stack]]/chips+COUNTIF(T_p22236257655626974157159160161197[stack],0),T_p22236257655626974157159160161197[[#This Row],[players]]*T_p22236257655626974157159160161197[[#This Row],[stack]]/chips)</calculatedColumnFormula>
    </tableColumn>
    <tableColumn id="6" xr3:uid="{7B9E7E93-407F-427B-BCDA-86E9EDBF79EC}" name="$stack" dataDxfId="1368">
      <calculatedColumnFormula>T_p22236257655626974157159160161197[[#This Row],[ICM]]+bounty*T_p22236257655626974157159160161197[[#This Row],[KO]]</calculatedColumnFormula>
    </tableColumn>
  </tableColumns>
  <tableStyleInfo name="TableStyleLight11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7667402B-9F91-46A0-B029-20AF2AC6692E}" name="T_p121351982" displayName="T_p121351982" ref="F16:K22" totalsRowShown="0" tableBorderDxfId="539">
  <autoFilter ref="F16:K22" xr:uid="{00000000-0009-0000-0100-000022000000}"/>
  <tableColumns count="6">
    <tableColumn id="1" xr3:uid="{0F198E1A-25A5-4ACB-AA80-464802F1C843}" name="players" dataDxfId="538">
      <calculatedColumnFormula>COUNTIF(T_p121351982[stack],"&gt;0")</calculatedColumnFormula>
    </tableColumn>
    <tableColumn id="2" xr3:uid="{159D55E8-3719-4B4D-B0A5-5DFE020501AC}" name="stack" dataDxfId="537">
      <calculatedColumnFormula>IF(T_init2034481[[#This Row],[p]]=1,mainpot+sidepot1+sidepot2+uncalled,IF(T_init2034481[[#This Row],[p]]&gt;1,0,T_init2034481[[#This Row],[stack]]-T_init2034481[[#This Row],[anteblinds]]))</calculatedColumnFormula>
    </tableColumn>
    <tableColumn id="3" xr3:uid="{97C85245-57F7-47FD-8FA5-CB77159CA35D}" name="EQ"/>
    <tableColumn id="4" xr3:uid="{B0C73421-45E8-4176-9C0C-73AE1DBF61E5}" name="ICM" dataDxfId="536">
      <calculatedColumnFormula>T_p121351982[[#This Row],[EQ]]*prize</calculatedColumnFormula>
    </tableColumn>
    <tableColumn id="5" xr3:uid="{55E25247-F084-4829-8D84-321BD2EA6D6D}" name="KO" dataDxfId="535">
      <calculatedColumnFormula>IF(T_init2034481[[#This Row],[p]]=1,T_p121351982[[#This Row],[players]]*T_p121351982[[#This Row],[stack]]/chips+COUNTIF(T_p121351982[stack],0),T_p121351982[[#This Row],[players]]*T_p121351982[[#This Row],[stack]]/chips)</calculatedColumnFormula>
    </tableColumn>
    <tableColumn id="6" xr3:uid="{DC869908-073B-4151-B088-95FBEE36F7EF}" name="$stack" dataDxfId="534">
      <calculatedColumnFormula>T_p121351982[[#This Row],[ICM]]+bounty*T_p121351982[[#This Row],[KO]]</calculatedColumnFormula>
    </tableColumn>
  </tableColumns>
  <tableStyleInfo name="TableStyleLight11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D3F8613B-574D-4080-8FAF-BA36CC1D579E}" name="T_p222362583" displayName="T_p222362583" ref="M16:R22" totalsRowShown="0" tableBorderDxfId="533">
  <autoFilter ref="M16:R22" xr:uid="{00000000-0009-0000-0100-000023000000}"/>
  <tableColumns count="6">
    <tableColumn id="1" xr3:uid="{BBB9DF55-1582-4A6A-982E-78A5167700BC}" name="players" dataDxfId="532" totalsRowDxfId="531">
      <calculatedColumnFormula>COUNTIF(T_p222362583[stack],"&gt;0")</calculatedColumnFormula>
    </tableColumn>
    <tableColumn id="2" xr3:uid="{D23195CF-B6F3-4F38-9CE0-709FDFBECA80}" name="stack" dataDxfId="530" totalsRowDxfId="529">
      <calculatedColumnFormula>IF(T_init2034481[[#This Row],[p]]=1,uncalled,IF(T_init2034481[[#This Row],[p]]=2,mainpot+sidepot1+sidepot2,IF(T_init2034481[[#This Row],[p]]&gt;2,0,T_init2034481[[#This Row],[stack]]-T_init2034481[[#This Row],[anteblinds]])))</calculatedColumnFormula>
    </tableColumn>
    <tableColumn id="3" xr3:uid="{48CF7556-0FB6-4E38-8FEB-4C886098921F}" name="EQ" totalsRowDxfId="528"/>
    <tableColumn id="4" xr3:uid="{FBB59148-7097-48EB-85E8-B9CA134C590B}" name="ICM" dataDxfId="527" totalsRowDxfId="526">
      <calculatedColumnFormula>T_p222362583[[#This Row],[EQ]]*prize</calculatedColumnFormula>
    </tableColumn>
    <tableColumn id="5" xr3:uid="{ED6973CE-A867-4E36-9E7A-B673E47B4111}" name="KO" dataDxfId="525" totalsRowDxfId="524">
      <calculatedColumnFormula>IF(T_init2034481[[#This Row],[p]]=2,T_p222362583[[#This Row],[players]]*T_p222362583[[#This Row],[stack]]/chips+COUNTIF(T_p222362583[stack],0),T_p222362583[[#This Row],[players]]*T_p222362583[[#This Row],[stack]]/chips)</calculatedColumnFormula>
    </tableColumn>
    <tableColumn id="6" xr3:uid="{647E0406-A7E4-4179-BE56-39DD12A3F528}" name="$stack" dataDxfId="523">
      <calculatedColumnFormula>T_p222362583[[#This Row],[ICM]]+bounty*T_p222362583[[#This Row],[KO]]</calculatedColumnFormula>
    </tableColumn>
  </tableColumns>
  <tableStyleInfo name="TableStyleLight11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E4D651E0-234F-4D39-BE54-6FDCCBAE461D}" name="T_p3p123372684" displayName="T_p3p123372684" ref="T16:Y22" totalsRowShown="0" tableBorderDxfId="522">
  <autoFilter ref="T16:Y22" xr:uid="{00000000-0009-0000-0100-000024000000}"/>
  <tableColumns count="6">
    <tableColumn id="1" xr3:uid="{A9CBB43A-EE94-4AA9-900E-E21EB0BA77EF}" name="players" dataDxfId="521">
      <calculatedColumnFormula>COUNTIF(T_p3p123372684[stack],"&gt;0")</calculatedColumnFormula>
    </tableColumn>
    <tableColumn id="2" xr3:uid="{561D878E-DBFB-4784-B2BC-0C1400ACA135}" name="stack" dataDxfId="520">
      <calculatedColumnFormula>IF(T_init2034481[[#This Row],[p]]=1,sidepot1+uncalled,IF(T_init2034481[[#This Row],[p]]=3,mainpot,IF(ISBLANK(T_init2034481[[#This Row],[p]]),T_init2034481[[#This Row],[stack]]-T_init2034481[[#This Row],[anteblinds]],0)))</calculatedColumnFormula>
    </tableColumn>
    <tableColumn id="3" xr3:uid="{00973B27-5330-4A58-B834-9CEDB5518F62}" name="EQ"/>
    <tableColumn id="4" xr3:uid="{6872C2EC-97F0-4F01-88DB-26689CD973E6}" name="ICM" dataDxfId="519">
      <calculatedColumnFormula>T_p3p123372684[[#This Row],[EQ]]*prize</calculatedColumnFormula>
    </tableColumn>
    <tableColumn id="5" xr3:uid="{CAE250B4-4925-45FE-995F-33F7EDDFD720}" name="KO" dataDxfId="518">
      <calculatedColumnFormula>IF(T_init2034481[[#This Row],[p]]=1,T_p3p123372684[[#This Row],[players]]*T_p3p123372684[[#This Row],[stack]]/chips+COUNTIF(T_p3p123372684[stack],0),T_p3p123372684[[#This Row],[players]]*T_p3p123372684[[#This Row],[stack]]/chips)</calculatedColumnFormula>
    </tableColumn>
    <tableColumn id="6" xr3:uid="{FE15796E-2380-4D72-973D-7BBF40067D5D}" name="$stack" dataDxfId="517">
      <calculatedColumnFormula>T_p3p123372684[[#This Row],[ICM]]+bounty*T_p3p123372684[[#This Row],[KO]]</calculatedColumnFormula>
    </tableColumn>
  </tableColumns>
  <tableStyleInfo name="TableStyleLight11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D62BD7EF-E25B-43B9-B706-CB48609F1EC4}" name="T_p3p224382785" displayName="T_p3p224382785" ref="AA16:AF22" totalsRowShown="0" tableBorderDxfId="516">
  <autoFilter ref="AA16:AF22" xr:uid="{00000000-0009-0000-0100-000025000000}"/>
  <tableColumns count="6">
    <tableColumn id="1" xr3:uid="{F1AC1FE6-8466-4C39-B32E-420C9BC9CB0C}" name="players" dataDxfId="515" totalsRowDxfId="514">
      <calculatedColumnFormula>COUNTIF(T_p3p224382785[stack],"&gt;0")</calculatedColumnFormula>
    </tableColumn>
    <tableColumn id="2" xr3:uid="{F40A6A19-D707-4FF1-9F16-1FF37811D67D}" name="stack" dataDxfId="513" totalsRowDxfId="512">
      <calculatedColumnFormula>IF(T_init2034481[[#This Row],[p]]=1,uncalled,IF(T_init2034481[[#This Row],[p]]=2,sidepot1,IF(T_init2034481[[#This Row],[p]]=3,mainpot,IF(ISBLANK(T_init2034481[[#This Row],[p]]),T_init2034481[[#This Row],[stack]]-T_init2034481[[#This Row],[anteblinds]],0))))</calculatedColumnFormula>
    </tableColumn>
    <tableColumn id="3" xr3:uid="{4238D857-048F-41B8-A5D3-F83E75674C28}" name="EQ" totalsRowDxfId="511"/>
    <tableColumn id="4" xr3:uid="{8DEAF03C-764E-4205-BC42-50AC3EDE557E}" name="ICM" dataDxfId="510" totalsRowDxfId="509">
      <calculatedColumnFormula>T_p3p224382785[[#This Row],[EQ]]*prize</calculatedColumnFormula>
    </tableColumn>
    <tableColumn id="5" xr3:uid="{161EEDD5-94EB-4677-8113-B07F526CC9FC}" name="KO" dataDxfId="508" totalsRowDxfId="507">
      <calculatedColumnFormula>IF(T_init2034481[[#This Row],[p]]=2,T_p3p224382785[[#This Row],[players]]*T_p3p224382785[[#This Row],[stack]]/chips+COUNTIF(T_p3p224382785[stack],0),T_p3p224382785[[#This Row],[players]]*T_p3p224382785[[#This Row],[stack]]/chips)</calculatedColumnFormula>
    </tableColumn>
    <tableColumn id="6" xr3:uid="{DBD0403C-CE84-48D4-B863-7801DC6AAB14}" name="$stack" dataDxfId="506">
      <calculatedColumnFormula>T_p3p224382785[[#This Row],[ICM]]+bounty*T_p3p224382785[[#This Row],[KO]]</calculatedColumnFormula>
    </tableColumn>
  </tableColumns>
  <tableStyleInfo name="TableStyleLight11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BDD3355-2F34-4325-818B-590FA3E88CE8}" name="T_fact29392886" displayName="T_fact29392886" ref="AI16:AN22" totalsRowShown="0" tableBorderDxfId="505">
  <autoFilter ref="AI16:AN22" xr:uid="{00000000-0009-0000-0100-000026000000}"/>
  <tableColumns count="6">
    <tableColumn id="1" xr3:uid="{07996CA1-8560-43DC-A169-6DE54B99154A}" name="players">
      <calculatedColumnFormula>COUNTIF(T_fact29392886[stack],"&gt;0")</calculatedColumnFormula>
    </tableColumn>
    <tableColumn id="2" xr3:uid="{CBD528DC-C715-4756-A8C3-0E4D41252E7A}" name="stack" dataDxfId="504">
      <calculatedColumnFormula>IF(T_init2034481[[#This Row],[p]]=1,mainpot+sidepot1+sidepot2+uncalled,IF(T_init2034481[[#This Row],[p]]&gt;1,0,T_init2034481[[#This Row],[stack]]))</calculatedColumnFormula>
    </tableColumn>
    <tableColumn id="3" xr3:uid="{67AA54C1-5075-4DD4-A8FC-9EDF224E1598}" name="EQ"/>
    <tableColumn id="4" xr3:uid="{A90AF8C4-A96C-4721-BA77-15F9A4828343}" name="ICM" dataDxfId="503">
      <calculatedColumnFormula>T_fact29392886[[#This Row],[EQ]]*prize</calculatedColumnFormula>
    </tableColumn>
    <tableColumn id="5" xr3:uid="{DCF1DB47-AE4D-4CC8-BA09-6B3BED90B32B}" name="KO" dataDxfId="502">
      <calculatedColumnFormula>IF(T_init2034481[[#This Row],[p]]=1,T_fact29392886[[#This Row],[players]]*T_fact29392886[[#This Row],[stack]]/chips+COUNTIF(T_fact29392886[stack],0),T_fact29392886[[#This Row],[players]]*T_fact29392886[[#This Row],[stack]]/chips)</calculatedColumnFormula>
    </tableColumn>
    <tableColumn id="6" xr3:uid="{36391343-F905-43F5-8B3B-F3CA514A2E25}" name="$stack" dataDxfId="501">
      <calculatedColumnFormula>T_fact29392886[[#This Row],[ICM]]+bounty*T_fact29392886[[#This Row],[KO]]</calculatedColumnFormula>
    </tableColumn>
  </tableColumns>
  <tableStyleInfo name="TableStyleLight11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1F7E0C3-D171-4B64-B70D-9C4F6BE2425F}" name="T_EV33403087" displayName="T_EV33403087" ref="AQ16:AV22" totalsRowShown="0" tableBorderDxfId="500">
  <autoFilter ref="AQ16:AV22" xr:uid="{00000000-0009-0000-0100-000027000000}"/>
  <tableColumns count="6">
    <tableColumn id="1" xr3:uid="{36E8C5E5-2318-4D47-8DC2-037C1AD1D321}" name="ICM" dataDxfId="499">
      <calculatedColumnFormula>'3w 98s v2'!p3win* ('3w 98s v2'!p1sp1win*T_p3p123372684[[#This Row],[ICM]] + '3w 98s v2'!p2sp1win*T_p3p224382785[[#This Row],[ICM]])
+'3w 98s v2'!p2win*T_p222362583[[#This Row],[ICM]]
+'3w 98s v2'!p1win*T_p121351982[[#This Row],[ICM]]</calculatedColumnFormula>
    </tableColumn>
    <tableColumn id="2" xr3:uid="{F624C168-EF41-4360-BECD-0AB6721BC333}" name="KO" dataDxfId="498">
      <calculatedColumnFormula>('3w 98s v2'!p3win* ('3w 98s v2'!p1sp1win*T_p3p123372684[[#This Row],[KO]] + '3w 98s v2'!p2sp1win*T_p3p224382785[[#This Row],[KO]])
+'3w 98s v2'!p2win*T_p222362583[[#This Row],[KO]]
+'3w 98s v2'!p1win*T_p121351982[[#This Row],[KO]])*bounty</calculatedColumnFormula>
    </tableColumn>
    <tableColumn id="3" xr3:uid="{93B33DEC-875E-4DE9-B4B6-32969608E6F1}" name="EV" dataDxfId="497">
      <calculatedColumnFormula>'3w 98s v2'!p3win* ('3w 98s v2'!p1sp1win*T_p3p123372684[[#This Row],[$stack]] + '3w 98s v2'!p2sp1win*T_p3p224382785[[#This Row],[$stack]])
+'3w 98s v2'!p2win*T_p222362583[[#This Row],[$stack]]
+'3w 98s v2'!p1win*T_p121351982[[#This Row],[$stack]]</calculatedColumnFormula>
    </tableColumn>
    <tableColumn id="4" xr3:uid="{5293520B-77BA-44EA-BF56-78723B5815E6}" name="chipEV" dataDxfId="496">
      <calculatedColumnFormula>'3w 98s v2'!p3win* ('3w 98s v2'!p1sp1win*T_p3p123372684[[#This Row],[stack]] + '3w 98s v2'!p2sp1win*T_p3p224382785[[#This Row],[stack]])
+'3w 98s v2'!p2win*T_p222362583[[#This Row],[stack]]
+'3w 98s v2'!p1win*T_p121351982[[#This Row],[stack]]</calculatedColumnFormula>
    </tableColumn>
    <tableColumn id="5" xr3:uid="{ECBBC878-DD7E-4F12-B205-615B1D1B6360}" name="cEVdiff" dataDxfId="495">
      <calculatedColumnFormula>T_EV33403087[[#This Row],[chipEV]]-T_fact29392886[[#This Row],[stack]]</calculatedColumnFormula>
    </tableColumn>
    <tableColumn id="6" xr3:uid="{57B88202-2BE4-4420-B4C8-2FC7B4D00674}" name="Evdiff" dataDxfId="494">
      <calculatedColumnFormula>T_EV33403087[[#This Row],[EV]]-(T_fact29392886[[#This Row],[ICM]]+bounty*T_fact29392886[[#This Row],[KO]])</calculatedColumnFormula>
    </tableColumn>
  </tableColumns>
  <tableStyleInfo name="TableStyleLight11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B28C5810-5394-4617-8C9C-66BC4445E917}" name="T_init20344818895" displayName="T_init20344818895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0D324D50-DBB3-4950-9657-605CD0B90451}" name="p" totalsRowLabel="Total"/>
    <tableColumn id="2" xr3:uid="{D42BE5BF-D008-4656-9BF9-58217FD1DC30}" name="stack"/>
    <tableColumn id="3" xr3:uid="{3BD8F66D-CA40-49EB-AE94-8A301BC20718}" name="hand"/>
    <tableColumn id="4" xr3:uid="{63CB3E51-0DC8-4327-8D37-C927F844D048}" name="anteblinds" totalsRowFunction="sum"/>
  </tableColumns>
  <tableStyleInfo name="TableStyleLight11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AF97D724-06B4-4B9F-95C6-30C20D354717}" name="T_p1213519828996" displayName="T_p1213519828996" ref="F16:K22" totalsRowShown="0" tableBorderDxfId="493">
  <autoFilter ref="F16:K22" xr:uid="{00000000-0009-0000-0100-000022000000}"/>
  <tableColumns count="6">
    <tableColumn id="1" xr3:uid="{40E4E3E7-9AA9-40C6-A838-F937BA0ADAC0}" name="players" dataDxfId="492">
      <calculatedColumnFormula>COUNTIF(T_p1213519828996[stack],"&gt;0")</calculatedColumnFormula>
    </tableColumn>
    <tableColumn id="2" xr3:uid="{E2BECD14-10C4-4D71-8888-77607C261357}" name="stack" dataDxfId="491">
      <calculatedColumnFormula>IF(T_init20344818895[[#This Row],[p]]=1,mainpot+sidepot1+sidepot2+uncalled,IF(T_init20344818895[[#This Row],[p]]&gt;1,0,T_init20344818895[[#This Row],[stack]]-T_init20344818895[[#This Row],[anteblinds]]))</calculatedColumnFormula>
    </tableColumn>
    <tableColumn id="3" xr3:uid="{5EC2E7E6-7088-43EB-BEB3-9EBCAC2F010F}" name="EQ"/>
    <tableColumn id="4" xr3:uid="{EBF5D68E-B557-40CF-BAA2-B1668C517B8D}" name="ICM" dataDxfId="490">
      <calculatedColumnFormula>T_p1213519828996[[#This Row],[EQ]]*prize</calculatedColumnFormula>
    </tableColumn>
    <tableColumn id="5" xr3:uid="{833DB940-AC1D-4843-92A2-41EC2711F84E}" name="KO" dataDxfId="489">
      <calculatedColumnFormula>IF(T_init20344818895[[#This Row],[p]]=1,T_p1213519828996[[#This Row],[players]]*T_p1213519828996[[#This Row],[stack]]/chips+COUNTIF(T_p1213519828996[stack],0),T_p1213519828996[[#This Row],[players]]*T_p1213519828996[[#This Row],[stack]]/chips)</calculatedColumnFormula>
    </tableColumn>
    <tableColumn id="6" xr3:uid="{221C747D-BC61-4E2D-B096-2EC989BDDC5D}" name="$stack" dataDxfId="488">
      <calculatedColumnFormula>T_p1213519828996[[#This Row],[ICM]]+bounty*T_p1213519828996[[#This Row],[KO]]</calculatedColumnFormula>
    </tableColumn>
  </tableColumns>
  <tableStyleInfo name="TableStyleLight11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21B1C9D5-5180-4B38-B6BE-C98F35F42792}" name="T_p2223625839097" displayName="T_p2223625839097" ref="M16:R22" totalsRowShown="0" tableBorderDxfId="487">
  <autoFilter ref="M16:R22" xr:uid="{00000000-0009-0000-0100-000023000000}"/>
  <tableColumns count="6">
    <tableColumn id="1" xr3:uid="{78277492-B386-4213-87C3-E6D5B7B04832}" name="players" dataDxfId="486" totalsRowDxfId="485">
      <calculatedColumnFormula>COUNTIF(T_p2223625839097[stack],"&gt;0")</calculatedColumnFormula>
    </tableColumn>
    <tableColumn id="2" xr3:uid="{012E2092-F9B2-4330-B22D-D81FBAD88645}" name="stack" dataDxfId="484" totalsRowDxfId="483">
      <calculatedColumnFormula>IF(T_init20344818895[[#This Row],[p]]=1,uncalled,IF(T_init20344818895[[#This Row],[p]]=2,mainpot+sidepot1+sidepot2,IF(T_init20344818895[[#This Row],[p]]&gt;2,0,T_init20344818895[[#This Row],[stack]]-T_init20344818895[[#This Row],[anteblinds]])))</calculatedColumnFormula>
    </tableColumn>
    <tableColumn id="3" xr3:uid="{6699CFFD-7276-4C3F-89CE-1F24DB689160}" name="EQ" totalsRowDxfId="482"/>
    <tableColumn id="4" xr3:uid="{AB6CE529-BB34-4152-8CD5-4FE4CA30D4B4}" name="ICM" dataDxfId="481" totalsRowDxfId="480">
      <calculatedColumnFormula>T_p2223625839097[[#This Row],[EQ]]*prize</calculatedColumnFormula>
    </tableColumn>
    <tableColumn id="5" xr3:uid="{C7E1ABA2-9212-4FD5-9E37-93C38098DCD4}" name="KO" dataDxfId="479" totalsRowDxfId="478">
      <calculatedColumnFormula>IF(T_init20344818895[[#This Row],[p]]=2,T_p2223625839097[[#This Row],[players]]*T_p2223625839097[[#This Row],[stack]]/chips+COUNTIF(T_p2223625839097[stack],0),T_p2223625839097[[#This Row],[players]]*T_p2223625839097[[#This Row],[stack]]/chips)</calculatedColumnFormula>
    </tableColumn>
    <tableColumn id="6" xr3:uid="{14457CCC-CB03-4C4C-8202-68F392BFAD41}" name="$stack" dataDxfId="477">
      <calculatedColumnFormula>T_p2223625839097[[#This Row],[ICM]]+bounty*T_p2223625839097[[#This Row],[KO]]</calculatedColumnFormula>
    </tableColumn>
  </tableColumns>
  <tableStyleInfo name="TableStyleLight11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F5A3AF75-B9EA-432F-84D4-9BB6CF0597B1}" name="T_p3p1233726849198" displayName="T_p3p1233726849198" ref="T16:Y22" totalsRowShown="0" tableBorderDxfId="476">
  <autoFilter ref="T16:Y22" xr:uid="{00000000-0009-0000-0100-000024000000}"/>
  <tableColumns count="6">
    <tableColumn id="1" xr3:uid="{86EF24B3-955B-4DFB-8FFF-972DA3A16C86}" name="players" dataDxfId="475">
      <calculatedColumnFormula>COUNTIF(T_p3p1233726849198[stack],"&gt;0")</calculatedColumnFormula>
    </tableColumn>
    <tableColumn id="2" xr3:uid="{0544C5F0-A09E-450D-8C91-EDE3A3D6C528}" name="stack" dataDxfId="474">
      <calculatedColumnFormula>IF(T_init20344818895[[#This Row],[p]]=1,sidepot1+uncalled,IF(T_init20344818895[[#This Row],[p]]=3,mainpot,IF(ISBLANK(T_init20344818895[[#This Row],[p]]),T_init20344818895[[#This Row],[stack]]-T_init20344818895[[#This Row],[anteblinds]],0)))</calculatedColumnFormula>
    </tableColumn>
    <tableColumn id="3" xr3:uid="{E02DD00B-2526-4D98-942F-2781DF73187D}" name="EQ"/>
    <tableColumn id="4" xr3:uid="{603FB625-36FE-4FC3-A081-A9D7BA5F9F69}" name="ICM" dataDxfId="473">
      <calculatedColumnFormula>T_p3p1233726849198[[#This Row],[EQ]]*prize</calculatedColumnFormula>
    </tableColumn>
    <tableColumn id="5" xr3:uid="{DFB00E87-9AF4-47F3-B04E-F9B5C13AF8ED}" name="KO" dataDxfId="472">
      <calculatedColumnFormula>IF(T_init20344818895[[#This Row],[p]]=1,T_p3p1233726849198[[#This Row],[players]]*T_p3p1233726849198[[#This Row],[stack]]/chips+COUNTIF(T_p3p1233726849198[stack],0),T_p3p1233726849198[[#This Row],[players]]*T_p3p1233726849198[[#This Row],[stack]]/chips)</calculatedColumnFormula>
    </tableColumn>
    <tableColumn id="6" xr3:uid="{E1145213-A71C-420A-894F-FF19BB429F6E}" name="$stack" dataDxfId="471">
      <calculatedColumnFormula>T_p3p1233726849198[[#This Row],[ICM]]+bounty*T_p3p1233726849198[[#This Row],[KO]]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EB083499-E936-48EB-A598-17E01CB59263}" name="T_init2034474536067150174" displayName="T_init2034474536067150174" ref="B16:E23" totalsRowCount="1">
  <autoFilter ref="B16:E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C12104CA-9D3D-4B37-8C0D-B587D79CC4FD}" name="p" totalsRowLabel="Total"/>
    <tableColumn id="2" xr3:uid="{76607BDC-BEB9-446D-B805-47AD18BEE7F5}" name="stack"/>
    <tableColumn id="3" xr3:uid="{86F5A614-69F2-4B28-817D-B9451E1154A2}" name="hand"/>
    <tableColumn id="4" xr3:uid="{DCF6599C-3000-4ABB-9A9B-44B1F62CC791}" name="anteblinds" totalsRowFunction="sum"/>
  </tableColumns>
  <tableStyleInfo name="TableStyleLight11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4ABCDECC-F3A7-47F4-B14D-FFBBF52174DA}" name="T_p3p2243827859299" displayName="T_p3p2243827859299" ref="AA16:AF22" totalsRowShown="0" tableBorderDxfId="470">
  <autoFilter ref="AA16:AF22" xr:uid="{00000000-0009-0000-0100-000025000000}"/>
  <tableColumns count="6">
    <tableColumn id="1" xr3:uid="{89BE778C-7E00-4116-9085-41B9A0C7C55B}" name="players" dataDxfId="469" totalsRowDxfId="468">
      <calculatedColumnFormula>COUNTIF(T_p3p2243827859299[stack],"&gt;0")</calculatedColumnFormula>
    </tableColumn>
    <tableColumn id="2" xr3:uid="{684F1000-E016-4A7E-8654-88F9D1524F5A}" name="stack" dataDxfId="467" totalsRowDxfId="466">
      <calculatedColumnFormula>IF(T_init20344818895[[#This Row],[p]]=1,uncalled,IF(T_init20344818895[[#This Row],[p]]=2,sidepot1,IF(T_init20344818895[[#This Row],[p]]=3,mainpot,IF(ISBLANK(T_init20344818895[[#This Row],[p]]),T_init20344818895[[#This Row],[stack]]-T_init20344818895[[#This Row],[anteblinds]],0))))</calculatedColumnFormula>
    </tableColumn>
    <tableColumn id="3" xr3:uid="{064C8C1C-F47C-41A7-99F5-D744733C54E2}" name="EQ" totalsRowDxfId="465"/>
    <tableColumn id="4" xr3:uid="{D7AAD993-085A-49E1-982A-D07F119479B1}" name="ICM" dataDxfId="464" totalsRowDxfId="463">
      <calculatedColumnFormula>T_p3p2243827859299[[#This Row],[EQ]]*prize</calculatedColumnFormula>
    </tableColumn>
    <tableColumn id="5" xr3:uid="{25B3D8AC-10CF-4459-83F9-B4C1ADA13F60}" name="KO" dataDxfId="462" totalsRowDxfId="461">
      <calculatedColumnFormula>IF(T_init20344818895[[#This Row],[p]]=2,T_p3p2243827859299[[#This Row],[players]]*T_p3p2243827859299[[#This Row],[stack]]/chips+COUNTIF(T_p3p2243827859299[stack],0),T_p3p2243827859299[[#This Row],[players]]*T_p3p2243827859299[[#This Row],[stack]]/chips)</calculatedColumnFormula>
    </tableColumn>
    <tableColumn id="6" xr3:uid="{362381F2-63E6-40FC-884D-524ABD9B21FB}" name="$stack" dataDxfId="460">
      <calculatedColumnFormula>T_p3p2243827859299[[#This Row],[ICM]]+bounty*T_p3p2243827859299[[#This Row],[KO]]</calculatedColumnFormula>
    </tableColumn>
  </tableColumns>
  <tableStyleInfo name="TableStyleLight11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63E8C85D-B115-471C-BA52-1028CA9556C6}" name="T_fact2939288693100" displayName="T_fact2939288693100" ref="AI16:AN22" totalsRowShown="0" tableBorderDxfId="459">
  <autoFilter ref="AI16:AN22" xr:uid="{00000000-0009-0000-0100-000026000000}"/>
  <tableColumns count="6">
    <tableColumn id="1" xr3:uid="{CB393635-546A-469A-BC8D-9EE97E7CAFD6}" name="players">
      <calculatedColumnFormula>COUNTIF(T_fact2939288693100[stack],"&gt;0")</calculatedColumnFormula>
    </tableColumn>
    <tableColumn id="2" xr3:uid="{2C01BC7B-6DC8-44D3-A0AB-D317E0D1BCB4}" name="stack" dataDxfId="458">
      <calculatedColumnFormula>IF(T_init20344818895[[#This Row],[p]]=1,mainpot+sidepot1+sidepot2+uncalled,IF(T_init20344818895[[#This Row],[p]]&gt;1,0,T_init20344818895[[#This Row],[stack]]))</calculatedColumnFormula>
    </tableColumn>
    <tableColumn id="3" xr3:uid="{0BA9421C-B8CA-4C08-8DB2-AFF2B3AF2869}" name="EQ"/>
    <tableColumn id="4" xr3:uid="{364082FD-0CE9-4770-9F39-D7BEC55D8328}" name="ICM" dataDxfId="457">
      <calculatedColumnFormula>T_fact2939288693100[[#This Row],[EQ]]*prize</calculatedColumnFormula>
    </tableColumn>
    <tableColumn id="5" xr3:uid="{6169E9DA-6FF8-43F5-85C2-0BA4BA3448D4}" name="KO" dataDxfId="456">
      <calculatedColumnFormula>IF(T_init20344818895[[#This Row],[p]]=1,T_fact2939288693100[[#This Row],[players]]*T_fact2939288693100[[#This Row],[stack]]/chips+COUNTIF(T_fact2939288693100[stack],0),T_fact2939288693100[[#This Row],[players]]*T_fact2939288693100[[#This Row],[stack]]/chips)</calculatedColumnFormula>
    </tableColumn>
    <tableColumn id="6" xr3:uid="{853DD6FD-673C-4192-8582-973B9702010C}" name="$stack" dataDxfId="455">
      <calculatedColumnFormula>T_fact2939288693100[[#This Row],[ICM]]+bounty*T_fact2939288693100[[#This Row],[KO]]</calculatedColumnFormula>
    </tableColumn>
  </tableColumns>
  <tableStyleInfo name="TableStyleLight11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E7F73E1-8518-4A35-A9A4-F516C14D53AF}" name="T_EV3340308794101" displayName="T_EV3340308794101" ref="AQ16:AV22" totalsRowShown="0" tableBorderDxfId="454">
  <autoFilter ref="AQ16:AV22" xr:uid="{00000000-0009-0000-0100-000027000000}"/>
  <tableColumns count="6">
    <tableColumn id="1" xr3:uid="{70C27DEE-F533-4471-8E20-7FC4FB3894AD}" name="ICM" dataDxfId="453">
      <calculatedColumnFormula>'3w KsJs Ден v2 '!p3win* ('3w KsJs Ден v2 '!p1sp1win*T_p3p1233726849198[[#This Row],[ICM]] + '3w KsJs Ден v2 '!p2sp1win*T_p3p2243827859299[[#This Row],[ICM]])
+'3w KsJs Ден v2 '!p2win*T_p2223625839097[[#This Row],[ICM]]
+'3w KsJs Ден v2 '!p1win*T_p1213519828996[[#This Row],[ICM]]</calculatedColumnFormula>
    </tableColumn>
    <tableColumn id="2" xr3:uid="{E305A3C3-6014-4F6F-922A-121CA12ACE7B}" name="KO" dataDxfId="452">
      <calculatedColumnFormula>('3w KsJs Ден v2 '!p3win* ('3w KsJs Ден v2 '!p1sp1win*T_p3p1233726849198[[#This Row],[KO]] + '3w KsJs Ден v2 '!p2sp1win*T_p3p2243827859299[[#This Row],[KO]])
+'3w KsJs Ден v2 '!p2win*T_p2223625839097[[#This Row],[KO]]
+'3w KsJs Ден v2 '!p1win*T_p1213519828996[[#This Row],[KO]])*bounty</calculatedColumnFormula>
    </tableColumn>
    <tableColumn id="3" xr3:uid="{E0ED4F3E-D1ED-4ABF-A19B-AE01E2FD7918}" name="EV" dataDxfId="451">
      <calculatedColumnFormula>'3w KsJs Ден v2 '!p3win* ('3w KsJs Ден v2 '!p1sp1win*T_p3p1233726849198[[#This Row],[$stack]] + '3w KsJs Ден v2 '!p2sp1win*T_p3p2243827859299[[#This Row],[$stack]])
+'3w KsJs Ден v2 '!p2win*T_p2223625839097[[#This Row],[$stack]]
+'3w KsJs Ден v2 '!p1win*T_p1213519828996[[#This Row],[$stack]]</calculatedColumnFormula>
    </tableColumn>
    <tableColumn id="4" xr3:uid="{EE11E3D1-19AB-4668-857E-047D727782BA}" name="chipEV" dataDxfId="450">
      <calculatedColumnFormula>'3w KsJs Ден v2 '!p3win* ('3w KsJs Ден v2 '!p1sp1win*T_p3p1233726849198[[#This Row],[stack]] + '3w KsJs Ден v2 '!p2sp1win*T_p3p2243827859299[[#This Row],[stack]])
+'3w KsJs Ден v2 '!p2win*T_p2223625839097[[#This Row],[stack]]
+'3w KsJs Ден v2 '!p1win*T_p1213519828996[[#This Row],[stack]]</calculatedColumnFormula>
    </tableColumn>
    <tableColumn id="5" xr3:uid="{B4427A8C-C88F-429A-9960-02842B66AED7}" name="cEVdiff" dataDxfId="449">
      <calculatedColumnFormula>T_EV3340308794101[[#This Row],[chipEV]]-T_fact2939288693100[[#This Row],[stack]]</calculatedColumnFormula>
    </tableColumn>
    <tableColumn id="6" xr3:uid="{FB0B329F-B304-454F-93AA-FCCD72F35074}" name="Evdiff" dataDxfId="448">
      <calculatedColumnFormula>T_EV3340308794101[[#This Row],[EV]]-(T_fact2939288693100[[#This Row],[ICM]]+bounty*T_fact2939288693100[[#This Row],[KO]])</calculatedColumnFormula>
    </tableColumn>
  </tableColumns>
  <tableStyleInfo name="TableStyleLight11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70F76E7E-E1A7-4F91-A6FF-F3A1C3638642}" name="T_init20344818895116" displayName="T_init20344818895116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D4EED593-05AA-4E1B-ACBD-7094BE59E41F}" name="p" totalsRowLabel="Total"/>
    <tableColumn id="2" xr3:uid="{4D500884-A2C1-48FE-89D1-662B4EB0012D}" name="stack"/>
    <tableColumn id="3" xr3:uid="{B4990F3D-C1DD-4F2C-BA4C-734E0E613768}" name="hand"/>
    <tableColumn id="4" xr3:uid="{23D41C54-248D-4881-BF36-7579A61A6142}" name="anteblinds" totalsRowFunction="sum"/>
  </tableColumns>
  <tableStyleInfo name="TableStyleLight11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1810FD0E-C293-4B19-929E-15CE10B66516}" name="T_p1213519828996117" displayName="T_p1213519828996117" ref="F16:K22" totalsRowShown="0" tableBorderDxfId="447">
  <autoFilter ref="F16:K22" xr:uid="{00000000-0009-0000-0100-000022000000}"/>
  <tableColumns count="6">
    <tableColumn id="1" xr3:uid="{1FDEAE02-E513-4A94-AEC3-3D1E2B62449D}" name="players" dataDxfId="446">
      <calculatedColumnFormula>COUNTIF(T_p1213519828996117[stack],"&gt;0")</calculatedColumnFormula>
    </tableColumn>
    <tableColumn id="2" xr3:uid="{8E4D9725-E265-4C3B-98C4-51870BCE288A}" name="stack" dataDxfId="445">
      <calculatedColumnFormula>IF(T_init20344818895116[[#This Row],[p]]=1,mainpot+sidepot1+sidepot2+uncalled,IF(T_init20344818895116[[#This Row],[p]]&gt;1,0,T_init20344818895116[[#This Row],[stack]]-T_init20344818895116[[#This Row],[anteblinds]]))</calculatedColumnFormula>
    </tableColumn>
    <tableColumn id="3" xr3:uid="{65A88950-E1F4-4EB1-9467-A1E56C7D40FD}" name="EQ"/>
    <tableColumn id="4" xr3:uid="{1E8899C1-46BB-43D8-B113-02DF1EEF0949}" name="ICM" dataDxfId="444">
      <calculatedColumnFormula>T_p1213519828996117[[#This Row],[EQ]]*prize</calculatedColumnFormula>
    </tableColumn>
    <tableColumn id="5" xr3:uid="{5B831BA4-F30B-4620-AC4E-1C5D872772B2}" name="KO" dataDxfId="443">
      <calculatedColumnFormula>IF(T_init20344818895116[[#This Row],[p]]=1,T_p1213519828996117[[#This Row],[players]]*T_p1213519828996117[[#This Row],[stack]]/chips+COUNTIF(T_p1213519828996117[stack],0),T_p1213519828996117[[#This Row],[players]]*T_p1213519828996117[[#This Row],[stack]]/chips)</calculatedColumnFormula>
    </tableColumn>
    <tableColumn id="6" xr3:uid="{4B28E692-C086-48EC-83D5-C99AEB8181EB}" name="$stack" dataDxfId="442">
      <calculatedColumnFormula>T_p1213519828996117[[#This Row],[ICM]]+bounty*T_p1213519828996117[[#This Row],[KO]]</calculatedColumnFormula>
    </tableColumn>
  </tableColumns>
  <tableStyleInfo name="TableStyleLight11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58726173-4C55-46B4-8720-ABD5BD99BCAB}" name="T_p2223625839097118" displayName="T_p2223625839097118" ref="M16:R22" totalsRowShown="0" tableBorderDxfId="441">
  <autoFilter ref="M16:R22" xr:uid="{00000000-0009-0000-0100-000023000000}"/>
  <tableColumns count="6">
    <tableColumn id="1" xr3:uid="{80AECA69-AA7F-4903-9183-443C1F9BE6AA}" name="players" dataDxfId="440" totalsRowDxfId="439">
      <calculatedColumnFormula>COUNTIF(T_p2223625839097118[stack],"&gt;0")</calculatedColumnFormula>
    </tableColumn>
    <tableColumn id="2" xr3:uid="{C772B2CD-8A5A-4CDE-90DA-3F0CBD83805F}" name="stack" dataDxfId="438" totalsRowDxfId="437">
      <calculatedColumnFormula>IF(T_init20344818895116[[#This Row],[p]]=1,uncalled,IF(T_init20344818895116[[#This Row],[p]]=2,mainpot+sidepot1+sidepot2,IF(T_init20344818895116[[#This Row],[p]]&gt;2,0,T_init20344818895116[[#This Row],[stack]]-T_init20344818895116[[#This Row],[anteblinds]])))</calculatedColumnFormula>
    </tableColumn>
    <tableColumn id="3" xr3:uid="{8305E7C8-4922-44A5-831B-1D6C76EFB197}" name="EQ" totalsRowDxfId="436"/>
    <tableColumn id="4" xr3:uid="{13BF7732-D078-4EEE-B653-FC74B6EE8DF9}" name="ICM" dataDxfId="435" totalsRowDxfId="434">
      <calculatedColumnFormula>T_p2223625839097118[[#This Row],[EQ]]*prize</calculatedColumnFormula>
    </tableColumn>
    <tableColumn id="5" xr3:uid="{F4F6A4BB-2EF0-40DC-8156-C5024FE2D2A7}" name="KO" dataDxfId="433" totalsRowDxfId="432">
      <calculatedColumnFormula>IF(T_init20344818895116[[#This Row],[p]]=2,T_p2223625839097118[[#This Row],[players]]*T_p2223625839097118[[#This Row],[stack]]/chips+COUNTIF(T_p2223625839097118[stack],0),T_p2223625839097118[[#This Row],[players]]*T_p2223625839097118[[#This Row],[stack]]/chips)</calculatedColumnFormula>
    </tableColumn>
    <tableColumn id="6" xr3:uid="{FBE3E340-1A73-4562-B04F-CC3C5AF03157}" name="$stack" dataDxfId="431">
      <calculatedColumnFormula>T_p2223625839097118[[#This Row],[ICM]]+bounty*T_p2223625839097118[[#This Row],[KO]]</calculatedColumnFormula>
    </tableColumn>
  </tableColumns>
  <tableStyleInfo name="TableStyleLight11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5D2D4ACD-E020-4B05-9DBE-A4D2905CB5A1}" name="T_p3p1233726849198119" displayName="T_p3p1233726849198119" ref="T16:Y22" totalsRowShown="0" tableBorderDxfId="430">
  <autoFilter ref="T16:Y22" xr:uid="{00000000-0009-0000-0100-000024000000}"/>
  <tableColumns count="6">
    <tableColumn id="1" xr3:uid="{D505E900-F9CC-4623-A425-F589AD4D4CFD}" name="players" dataDxfId="429">
      <calculatedColumnFormula>COUNTIF(T_p3p1233726849198119[stack],"&gt;0")</calculatedColumnFormula>
    </tableColumn>
    <tableColumn id="2" xr3:uid="{1E6C6453-44B6-4F52-859F-813D9FA09C53}" name="stack" dataDxfId="428">
      <calculatedColumnFormula>IF(T_init20344818895116[[#This Row],[p]]=1,sidepot1+uncalled,IF(T_init20344818895116[[#This Row],[p]]=3,mainpot,IF(ISBLANK(T_init20344818895116[[#This Row],[p]]),T_init20344818895116[[#This Row],[stack]]-T_init20344818895116[[#This Row],[anteblinds]],0)))</calculatedColumnFormula>
    </tableColumn>
    <tableColumn id="3" xr3:uid="{FB0F1B98-1940-4734-A02F-081281AFBEE6}" name="EQ"/>
    <tableColumn id="4" xr3:uid="{71D43E6D-2077-427F-90AA-FD1F377BD30A}" name="ICM" dataDxfId="427">
      <calculatedColumnFormula>T_p3p1233726849198119[[#This Row],[EQ]]*prize</calculatedColumnFormula>
    </tableColumn>
    <tableColumn id="5" xr3:uid="{8B06251F-5A16-405E-8018-E890ED71B097}" name="KO" dataDxfId="426">
      <calculatedColumnFormula>IF(T_init20344818895116[[#This Row],[p]]=1,T_p3p1233726849198119[[#This Row],[players]]*T_p3p1233726849198119[[#This Row],[stack]]/chips+COUNTIF(T_p3p1233726849198119[stack],0),T_p3p1233726849198119[[#This Row],[players]]*T_p3p1233726849198119[[#This Row],[stack]]/chips)</calculatedColumnFormula>
    </tableColumn>
    <tableColumn id="6" xr3:uid="{26DEF39C-EC07-411D-BB30-9BE8F8D6C69C}" name="$stack" dataDxfId="425">
      <calculatedColumnFormula>T_p3p1233726849198119[[#This Row],[ICM]]+bounty*T_p3p1233726849198119[[#This Row],[KO]]</calculatedColumnFormula>
    </tableColumn>
  </tableColumns>
  <tableStyleInfo name="TableStyleLight11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9CB7AF86-BDC9-4154-8242-040ED447057A}" name="T_p3p2243827859299120" displayName="T_p3p2243827859299120" ref="AA16:AF22" totalsRowShown="0" tableBorderDxfId="424">
  <autoFilter ref="AA16:AF22" xr:uid="{00000000-0009-0000-0100-000025000000}"/>
  <tableColumns count="6">
    <tableColumn id="1" xr3:uid="{F2A608D5-00EF-4818-8A34-11BDB6881AC2}" name="players" dataDxfId="423" totalsRowDxfId="422">
      <calculatedColumnFormula>COUNTIF(T_p3p2243827859299120[stack],"&gt;0")</calculatedColumnFormula>
    </tableColumn>
    <tableColumn id="2" xr3:uid="{F57AB33A-B3EB-46F5-B425-2BAAB42D4617}" name="stack" dataDxfId="421" totalsRowDxfId="420">
      <calculatedColumnFormula>IF(T_init20344818895116[[#This Row],[p]]=1,uncalled,IF(T_init20344818895116[[#This Row],[p]]=2,sidepot1,IF(T_init20344818895116[[#This Row],[p]]=3,mainpot,IF(ISBLANK(T_init20344818895116[[#This Row],[p]]),T_init20344818895116[[#This Row],[stack]]-T_init20344818895116[[#This Row],[anteblinds]],0))))</calculatedColumnFormula>
    </tableColumn>
    <tableColumn id="3" xr3:uid="{B3029EF6-49D7-43A7-86D3-D47E75E6DE91}" name="EQ" totalsRowDxfId="419"/>
    <tableColumn id="4" xr3:uid="{DBFF2098-9687-4256-AF7A-25FCB4054142}" name="ICM" dataDxfId="418" totalsRowDxfId="417">
      <calculatedColumnFormula>T_p3p2243827859299120[[#This Row],[EQ]]*prize</calculatedColumnFormula>
    </tableColumn>
    <tableColumn id="5" xr3:uid="{9AB3CA01-1519-45E7-B21E-D666DDC155BE}" name="KO" dataDxfId="416" totalsRowDxfId="415">
      <calculatedColumnFormula>IF(T_init20344818895116[[#This Row],[p]]=2,T_p3p2243827859299120[[#This Row],[players]]*T_p3p2243827859299120[[#This Row],[stack]]/chips+COUNTIF(T_p3p2243827859299120[stack],0),T_p3p2243827859299120[[#This Row],[players]]*T_p3p2243827859299120[[#This Row],[stack]]/chips)</calculatedColumnFormula>
    </tableColumn>
    <tableColumn id="6" xr3:uid="{4C765A3C-DE0E-4536-952C-CAB3C4CF7D7C}" name="$stack" dataDxfId="414">
      <calculatedColumnFormula>T_p3p2243827859299120[[#This Row],[ICM]]+bounty*T_p3p2243827859299120[[#This Row],[KO]]</calculatedColumnFormula>
    </tableColumn>
  </tableColumns>
  <tableStyleInfo name="TableStyleLight11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869B61CE-64A9-4F0C-AD7E-150E8CFAA94F}" name="T_fact2939288693100121" displayName="T_fact2939288693100121" ref="AI16:AN22" totalsRowShown="0" tableBorderDxfId="413">
  <autoFilter ref="AI16:AN22" xr:uid="{00000000-0009-0000-0100-000026000000}"/>
  <tableColumns count="6">
    <tableColumn id="1" xr3:uid="{156F9A3C-521E-4BBC-A4BD-C52C0F6A8CD3}" name="players">
      <calculatedColumnFormula>COUNTIF(T_fact2939288693100121[stack],"&gt;0")</calculatedColumnFormula>
    </tableColumn>
    <tableColumn id="2" xr3:uid="{5DD35C0B-1C5A-4EFD-85F7-8F07D17F615F}" name="stack" dataDxfId="412">
      <calculatedColumnFormula>IF(T_init20344818895116[[#This Row],[p]]=1,mainpot+sidepot1+sidepot2+uncalled,IF(T_init20344818895116[[#This Row],[p]]&gt;1,0,T_init20344818895116[[#This Row],[stack]]))</calculatedColumnFormula>
    </tableColumn>
    <tableColumn id="3" xr3:uid="{5F9A7333-0601-4361-8128-4E3F37A86710}" name="EQ"/>
    <tableColumn id="4" xr3:uid="{43349AD6-5756-4F07-8B99-F8590611D5CC}" name="ICM" dataDxfId="411">
      <calculatedColumnFormula>T_fact2939288693100121[[#This Row],[EQ]]*prize</calculatedColumnFormula>
    </tableColumn>
    <tableColumn id="5" xr3:uid="{1A6CE003-940B-4FCD-ADC1-AA9DA01D048F}" name="KO" dataDxfId="410">
      <calculatedColumnFormula>IF(T_init20344818895116[[#This Row],[p]]=1,T_fact2939288693100121[[#This Row],[players]]*T_fact2939288693100121[[#This Row],[stack]]/chips+COUNTIF(T_fact2939288693100121[stack],0),T_fact2939288693100121[[#This Row],[players]]*T_fact2939288693100121[[#This Row],[stack]]/chips)</calculatedColumnFormula>
    </tableColumn>
    <tableColumn id="6" xr3:uid="{8730C942-6F00-4F07-85AA-E602D5601B1C}" name="$stack" dataDxfId="409">
      <calculatedColumnFormula>T_fact2939288693100121[[#This Row],[ICM]]+bounty*T_fact2939288693100121[[#This Row],[KO]]</calculatedColumnFormula>
    </tableColumn>
  </tableColumns>
  <tableStyleInfo name="TableStyleLight11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3DB6B2E1-3D89-4B07-974F-B8BB53A03982}" name="T_EV3340308794101122" displayName="T_EV3340308794101122" ref="AQ16:AV22" totalsRowShown="0" tableBorderDxfId="408">
  <autoFilter ref="AQ16:AV22" xr:uid="{00000000-0009-0000-0100-000027000000}"/>
  <tableColumns count="6">
    <tableColumn id="1" xr3:uid="{D0E093EA-0903-43F7-80B2-A186795C0E77}" name="ICM" dataDxfId="407">
      <calculatedColumnFormula>'3w 8h8c Ден'!p3win* ('3w 8h8c Ден'!p1sp1win*T_p3p1233726849198119[[#This Row],[ICM]] + '3w 8h8c Ден'!p2sp1win*T_p3p2243827859299120[[#This Row],[ICM]])
+'3w 8h8c Ден'!p2win*T_p2223625839097118[[#This Row],[ICM]]
+'3w 8h8c Ден'!p1win*T_p1213519828996117[[#This Row],[ICM]]</calculatedColumnFormula>
    </tableColumn>
    <tableColumn id="2" xr3:uid="{24BE975E-DE2B-4A78-A102-C070641019E8}" name="KO" dataDxfId="406">
      <calculatedColumnFormula>('3w 8h8c Ден'!p3win* ('3w 8h8c Ден'!p1sp1win*T_p3p1233726849198119[[#This Row],[KO]] + '3w 8h8c Ден'!p2sp1win*T_p3p2243827859299120[[#This Row],[KO]])
+'3w 8h8c Ден'!p2win*T_p2223625839097118[[#This Row],[KO]]
+'3w 8h8c Ден'!p1win*T_p1213519828996117[[#This Row],[KO]])*bounty</calculatedColumnFormula>
    </tableColumn>
    <tableColumn id="3" xr3:uid="{1114D912-0B4A-4AF2-8F0B-AAC76D01C9EB}" name="EV" dataDxfId="405">
      <calculatedColumnFormula>'3w 8h8c Ден'!p3win* ('3w 8h8c Ден'!p1sp1win*T_p3p1233726849198119[[#This Row],[$stack]] + '3w 8h8c Ден'!p2sp1win*T_p3p2243827859299120[[#This Row],[$stack]])
+'3w 8h8c Ден'!p2win*T_p2223625839097118[[#This Row],[$stack]]
+'3w 8h8c Ден'!p1win*T_p1213519828996117[[#This Row],[$stack]]</calculatedColumnFormula>
    </tableColumn>
    <tableColumn id="4" xr3:uid="{905145F5-9A19-408E-9302-E279CC5BF159}" name="chipEV" dataDxfId="404">
      <calculatedColumnFormula>'3w 8h8c Ден'!p3win* ('3w 8h8c Ден'!p1sp1win*T_p3p1233726849198119[[#This Row],[stack]] + '3w 8h8c Ден'!p2sp1win*T_p3p2243827859299120[[#This Row],[stack]])
+'3w 8h8c Ден'!p2win*T_p2223625839097118[[#This Row],[stack]]
+'3w 8h8c Ден'!p1win*T_p1213519828996117[[#This Row],[stack]]</calculatedColumnFormula>
    </tableColumn>
    <tableColumn id="5" xr3:uid="{CC0801D3-3536-4D19-BD6E-9A180607DF91}" name="cEVdiff" dataDxfId="403">
      <calculatedColumnFormula>T_EV3340308794101122[[#This Row],[chipEV]]-T_fact2939288693100121[[#This Row],[stack]]</calculatedColumnFormula>
    </tableColumn>
    <tableColumn id="6" xr3:uid="{7C0233FD-2D31-4C46-A55F-3ECF90A8ED08}" name="Evdiff" dataDxfId="402">
      <calculatedColumnFormula>T_EV3340308794101122[[#This Row],[EV]]-(T_fact2939288693100121[[#This Row],[ICM]]+bounty*T_fact2939288693100121[[#This Row],[KO]])</calculatedColumnFormula>
    </tableColumn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AC85E689-472A-4CBB-8351-011B03A2D417}" name="T_p121351975546168151175" displayName="T_p121351975546168151175" ref="G16:L22" totalsRowShown="0" tableBorderDxfId="1367">
  <autoFilter ref="G16:L22" xr:uid="{00000000-0009-0000-0100-000022000000}"/>
  <tableColumns count="6">
    <tableColumn id="1" xr3:uid="{EF05EF70-5C55-49E1-869A-9BDA2103992E}" name="players" dataDxfId="1366">
      <calculatedColumnFormula>COUNTIF(T_p121351975546168151175[stack],"&gt;0")</calculatedColumnFormula>
    </tableColumn>
    <tableColumn id="2" xr3:uid="{0689EE40-A082-4F5A-85B4-FB59C17287C0}" name="stack" dataDxfId="1365">
      <calculatedColumnFormula>IF(T_init2034474536067150174[[#This Row],[p]]=1,mainpot+sidepot1+sidepot2+uncalled,IF(T_init2034474536067150174[[#This Row],[p]]&gt;1,0,T_init2034474536067150174[[#This Row],[stack]]-T_init2034474536067150174[[#This Row],[anteblinds]]))</calculatedColumnFormula>
    </tableColumn>
    <tableColumn id="3" xr3:uid="{E7513641-F335-4BDA-83DB-9FE4BFD8E9A4}" name="EQ"/>
    <tableColumn id="4" xr3:uid="{44A6DCD6-19DE-42A2-AB9A-CDE2273B65EE}" name="ICM" dataDxfId="1364">
      <calculatedColumnFormula>T_p121351975546168151175[[#This Row],[EQ]]*prize</calculatedColumnFormula>
    </tableColumn>
    <tableColumn id="5" xr3:uid="{FCD265E7-9A16-4F24-B05A-BE10B4725D0B}" name="KO" dataDxfId="1363">
      <calculatedColumnFormula>IF(T_init2034474536067150174[[#This Row],[p]]=1,T_p121351975546168151175[[#This Row],[players]]*T_p121351975546168151175[[#This Row],[stack]]/chips+COUNTIF(T_p121351975546168151175[stack],0),T_p121351975546168151175[[#This Row],[players]]*T_p121351975546168151175[[#This Row],[stack]]/chips)</calculatedColumnFormula>
    </tableColumn>
    <tableColumn id="6" xr3:uid="{7DC0C7F3-FAAA-4709-B467-B4EFE48F572B}" name="$stack" dataDxfId="1362">
      <calculatedColumnFormula>T_p121351975546168151175[[#This Row],[ICM]]+bounty*T_p121351975546168151175[[#This Row],[KO]]</calculatedColumnFormula>
    </tableColumn>
  </tableColumns>
  <tableStyleInfo name="TableStyleLight11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48BC1986-0260-4344-874E-6E33E2ED3D5B}" name="T_init20344818895116123" displayName="T_init20344818895116123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FE2101F9-1FC8-4BF4-84C2-18671C36CC5B}" name="p" totalsRowLabel="Total"/>
    <tableColumn id="2" xr3:uid="{950E2B0F-0EAB-4EDF-BDC4-BFAD0080D05B}" name="stack"/>
    <tableColumn id="3" xr3:uid="{8CD5F2DB-A823-41C4-A1A9-1E7400C6248E}" name="hand"/>
    <tableColumn id="4" xr3:uid="{F31F1847-210B-4CC7-A392-BDC2E3A861A4}" name="anteblinds" totalsRowFunction="sum"/>
  </tableColumns>
  <tableStyleInfo name="TableStyleLight11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883D7EE7-082B-4425-BF57-25031E4F36FD}" name="T_p1213519828996117124" displayName="T_p1213519828996117124" ref="F16:K22" totalsRowShown="0" tableBorderDxfId="401">
  <autoFilter ref="F16:K22" xr:uid="{00000000-0009-0000-0100-000022000000}"/>
  <tableColumns count="6">
    <tableColumn id="1" xr3:uid="{88101900-106C-4D23-AFAC-1E5FA4526C51}" name="players" dataDxfId="400">
      <calculatedColumnFormula>COUNTIF(T_p1213519828996117124[stack],"&gt;0")</calculatedColumnFormula>
    </tableColumn>
    <tableColumn id="2" xr3:uid="{DA39ACFE-BE87-4781-A3A2-B378F272B159}" name="stack" dataDxfId="399">
      <calculatedColumnFormula>IF(T_init20344818895116123[[#This Row],[p]]=1,mainpot+sidepot1+sidepot2+uncalled,IF(T_init20344818895116123[[#This Row],[p]]&gt;1,0,T_init20344818895116123[[#This Row],[stack]]-T_init20344818895116123[[#This Row],[anteblinds]]))</calculatedColumnFormula>
    </tableColumn>
    <tableColumn id="3" xr3:uid="{549509BA-D677-463E-93A4-3FCD5B324307}" name="EQ"/>
    <tableColumn id="4" xr3:uid="{66AFBE71-F620-4659-A857-F7D452B2D37C}" name="ICM" dataDxfId="398">
      <calculatedColumnFormula>T_p1213519828996117124[[#This Row],[EQ]]*prize</calculatedColumnFormula>
    </tableColumn>
    <tableColumn id="5" xr3:uid="{82145DC7-8946-43CE-B56C-A25E5E2A1798}" name="KO" dataDxfId="397">
      <calculatedColumnFormula>IF(T_init20344818895116123[[#This Row],[p]]=1,T_p1213519828996117124[[#This Row],[players]]*T_p1213519828996117124[[#This Row],[stack]]/chips+COUNTIF(T_p1213519828996117124[stack],0),T_p1213519828996117124[[#This Row],[players]]*T_p1213519828996117124[[#This Row],[stack]]/chips)</calculatedColumnFormula>
    </tableColumn>
    <tableColumn id="6" xr3:uid="{80D29B23-872F-4258-8218-4F77C9E2CD66}" name="$stack" dataDxfId="396">
      <calculatedColumnFormula>T_p1213519828996117124[[#This Row],[ICM]]+bounty*T_p1213519828996117124[[#This Row],[KO]]</calculatedColumnFormula>
    </tableColumn>
  </tableColumns>
  <tableStyleInfo name="TableStyleLight11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28DA29-3A25-41CE-B504-ED639A7E56FA}" name="T_p2223625839097118125" displayName="T_p2223625839097118125" ref="M16:R22" totalsRowShown="0" tableBorderDxfId="395">
  <autoFilter ref="M16:R22" xr:uid="{00000000-0009-0000-0100-000023000000}"/>
  <tableColumns count="6">
    <tableColumn id="1" xr3:uid="{59730F80-0B3A-49EC-A996-AA8D8920876E}" name="players" dataDxfId="394" totalsRowDxfId="393">
      <calculatedColumnFormula>COUNTIF(T_p2223625839097118125[stack],"&gt;0")</calculatedColumnFormula>
    </tableColumn>
    <tableColumn id="2" xr3:uid="{08731005-848B-43DB-86B3-56528C5C8DC7}" name="stack" dataDxfId="392" totalsRowDxfId="391">
      <calculatedColumnFormula>IF(T_init20344818895116123[[#This Row],[p]]=1,uncalled,IF(T_init20344818895116123[[#This Row],[p]]=2,mainpot+sidepot1+sidepot2,IF(T_init20344818895116123[[#This Row],[p]]&gt;2,0,T_init20344818895116123[[#This Row],[stack]]-T_init20344818895116123[[#This Row],[anteblinds]])))</calculatedColumnFormula>
    </tableColumn>
    <tableColumn id="3" xr3:uid="{8D85DC43-1DBE-4432-853D-12999F5094F7}" name="EQ" totalsRowDxfId="390"/>
    <tableColumn id="4" xr3:uid="{E20A4BCF-B6D2-45DF-81BD-F6F3A6BEF19F}" name="ICM" dataDxfId="389" totalsRowDxfId="388">
      <calculatedColumnFormula>T_p2223625839097118125[[#This Row],[EQ]]*prize</calculatedColumnFormula>
    </tableColumn>
    <tableColumn id="5" xr3:uid="{A47F74E7-D2F3-4DB6-B3F8-4397F15071E0}" name="KO" dataDxfId="387" totalsRowDxfId="386">
      <calculatedColumnFormula>IF(T_init20344818895116123[[#This Row],[p]]=2,T_p2223625839097118125[[#This Row],[players]]*T_p2223625839097118125[[#This Row],[stack]]/chips+COUNTIF(T_p2223625839097118125[stack],0),T_p2223625839097118125[[#This Row],[players]]*T_p2223625839097118125[[#This Row],[stack]]/chips)</calculatedColumnFormula>
    </tableColumn>
    <tableColumn id="6" xr3:uid="{CBC23322-B23D-46CE-9D8E-A3196BA0D8FD}" name="$stack" dataDxfId="385">
      <calculatedColumnFormula>T_p2223625839097118125[[#This Row],[ICM]]+bounty*T_p2223625839097118125[[#This Row],[KO]]</calculatedColumnFormula>
    </tableColumn>
  </tableColumns>
  <tableStyleInfo name="TableStyleLight11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783C4D3-6E18-4911-A461-9084C7205D84}" name="T_p3p1233726849198119126" displayName="T_p3p1233726849198119126" ref="T16:Y22" totalsRowShown="0" tableBorderDxfId="384">
  <autoFilter ref="T16:Y22" xr:uid="{00000000-0009-0000-0100-000024000000}"/>
  <tableColumns count="6">
    <tableColumn id="1" xr3:uid="{135C1BB4-240C-49CC-A702-D94E4CBDEA42}" name="players" dataDxfId="383">
      <calculatedColumnFormula>COUNTIF(T_p3p1233726849198119126[stack],"&gt;0")</calculatedColumnFormula>
    </tableColumn>
    <tableColumn id="2" xr3:uid="{4F8DADBB-5AAE-4BE2-8EC0-C03E97AB9969}" name="stack" dataDxfId="382">
      <calculatedColumnFormula>IF(T_init20344818895116123[[#This Row],[p]]=1,sidepot1+uncalled,IF(T_init20344818895116123[[#This Row],[p]]=3,mainpot,IF(ISBLANK(T_init20344818895116123[[#This Row],[p]]),T_init20344818895116123[[#This Row],[stack]]-T_init20344818895116123[[#This Row],[anteblinds]],0)))</calculatedColumnFormula>
    </tableColumn>
    <tableColumn id="3" xr3:uid="{CDC35923-0717-4E19-94A3-B0B180CC41C3}" name="EQ"/>
    <tableColumn id="4" xr3:uid="{7E0513F7-AA03-43D6-8605-CAE97C1A8435}" name="ICM" dataDxfId="381">
      <calculatedColumnFormula>T_p3p1233726849198119126[[#This Row],[EQ]]*prize</calculatedColumnFormula>
    </tableColumn>
    <tableColumn id="5" xr3:uid="{FCFCB5C0-6D19-4269-9BCD-D9ABC165756B}" name="KO" dataDxfId="380">
      <calculatedColumnFormula>IF(T_init20344818895116123[[#This Row],[p]]=1,T_p3p1233726849198119126[[#This Row],[players]]*T_p3p1233726849198119126[[#This Row],[stack]]/chips+COUNTIF(T_p3p1233726849198119126[stack],0),T_p3p1233726849198119126[[#This Row],[players]]*T_p3p1233726849198119126[[#This Row],[stack]]/chips)</calculatedColumnFormula>
    </tableColumn>
    <tableColumn id="6" xr3:uid="{9D2D5904-D7F8-45E7-B730-5087DF17FF56}" name="$stack" dataDxfId="379">
      <calculatedColumnFormula>T_p3p1233726849198119126[[#This Row],[ICM]]+bounty*T_p3p1233726849198119126[[#This Row],[KO]]</calculatedColumnFormula>
    </tableColumn>
  </tableColumns>
  <tableStyleInfo name="TableStyleLight11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D9E1A0B-D9CC-4500-80CA-F47D8D076D1D}" name="T_p3p2243827859299120127" displayName="T_p3p2243827859299120127" ref="AA16:AF22" totalsRowShown="0" tableBorderDxfId="378">
  <autoFilter ref="AA16:AF22" xr:uid="{00000000-0009-0000-0100-000025000000}"/>
  <tableColumns count="6">
    <tableColumn id="1" xr3:uid="{CB5F630E-8AB8-417C-B359-1F5C7F1B6635}" name="players" dataDxfId="377" totalsRowDxfId="376">
      <calculatedColumnFormula>COUNTIF(T_p3p2243827859299120127[stack],"&gt;0")</calculatedColumnFormula>
    </tableColumn>
    <tableColumn id="2" xr3:uid="{432C360C-3C2F-427D-893D-10182DE4BE8A}" name="stack" dataDxfId="375" totalsRowDxfId="374">
      <calculatedColumnFormula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calculatedColumnFormula>
    </tableColumn>
    <tableColumn id="3" xr3:uid="{51B56E54-1720-45D6-B420-B51CF6B07F6F}" name="EQ" totalsRowDxfId="373"/>
    <tableColumn id="4" xr3:uid="{6D1310F6-0D7D-4BCB-83ED-48D87434AA85}" name="ICM" dataDxfId="372" totalsRowDxfId="371">
      <calculatedColumnFormula>T_p3p2243827859299120127[[#This Row],[EQ]]*prize</calculatedColumnFormula>
    </tableColumn>
    <tableColumn id="5" xr3:uid="{5BD61BAF-7713-48AD-855C-C776C8D27F6A}" name="KO" dataDxfId="370" totalsRowDxfId="369">
      <calculatedColumnFormula>IF(T_init20344818895116123[[#This Row],[p]]=2,T_p3p2243827859299120127[[#This Row],[players]]*T_p3p2243827859299120127[[#This Row],[stack]]/chips+COUNTIF(T_p3p2243827859299120127[stack],0),T_p3p2243827859299120127[[#This Row],[players]]*T_p3p2243827859299120127[[#This Row],[stack]]/chips)</calculatedColumnFormula>
    </tableColumn>
    <tableColumn id="6" xr3:uid="{FCA87D34-C132-40B1-8E04-70079C263A15}" name="$stack" dataDxfId="368">
      <calculatedColumnFormula>T_p3p2243827859299120127[[#This Row],[ICM]]+bounty*T_p3p2243827859299120127[[#This Row],[KO]]</calculatedColumnFormula>
    </tableColumn>
  </tableColumns>
  <tableStyleInfo name="TableStyleLight11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79CA06F-BF8C-44F9-8CA6-89BFC50446DF}" name="T_fact2939288693100121128" displayName="T_fact2939288693100121128" ref="AI16:AN22" totalsRowShown="0" tableBorderDxfId="367">
  <autoFilter ref="AI16:AN22" xr:uid="{00000000-0009-0000-0100-000026000000}"/>
  <tableColumns count="6">
    <tableColumn id="1" xr3:uid="{A240C95F-A7E3-401E-A6FE-4DC9BD23B92C}" name="players">
      <calculatedColumnFormula>COUNTIF(T_fact2939288693100121128[stack],"&gt;0")</calculatedColumnFormula>
    </tableColumn>
    <tableColumn id="2" xr3:uid="{825FEC45-9F71-4ED8-8AE9-C2057271F545}" name="stack" dataDxfId="366">
      <calculatedColumnFormula>IF(T_init20344818895116123[[#This Row],[p]]=1,mainpot+sidepot1+sidepot2+uncalled,IF(T_init20344818895116123[[#This Row],[p]]&gt;1,0,T_init20344818895116123[[#This Row],[stack]]))</calculatedColumnFormula>
    </tableColumn>
    <tableColumn id="3" xr3:uid="{92EF4B59-C992-4D0B-AC8A-7E1659BAB0AC}" name="EQ"/>
    <tableColumn id="4" xr3:uid="{BB942024-7165-4B72-8269-C011699BF1CD}" name="ICM" dataDxfId="365">
      <calculatedColumnFormula>T_fact2939288693100121128[[#This Row],[EQ]]*prize</calculatedColumnFormula>
    </tableColumn>
    <tableColumn id="5" xr3:uid="{BD6D34AD-89A5-40F8-B933-A0707AEAA91D}" name="KO" dataDxfId="364">
      <calculatedColumnFormula>IF(T_init20344818895116123[[#This Row],[p]]=1,T_fact2939288693100121128[[#This Row],[players]]*T_fact2939288693100121128[[#This Row],[stack]]/chips+COUNTIF(T_fact2939288693100121128[stack],0),T_fact2939288693100121128[[#This Row],[players]]*T_fact2939288693100121128[[#This Row],[stack]]/chips)</calculatedColumnFormula>
    </tableColumn>
    <tableColumn id="6" xr3:uid="{EFB9C609-8E7C-47DF-8202-2816C4E4332A}" name="$stack" dataDxfId="363">
      <calculatedColumnFormula>T_fact2939288693100121128[[#This Row],[ICM]]+bounty*T_fact2939288693100121128[[#This Row],[KO]]</calculatedColumnFormula>
    </tableColumn>
  </tableColumns>
  <tableStyleInfo name="TableStyleLight11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87054737-A741-48D5-A421-A593E3886529}" name="T_EV3340308794101122129" displayName="T_EV3340308794101122129" ref="AQ16:AV22" totalsRowShown="0" tableBorderDxfId="362">
  <autoFilter ref="AQ16:AV22" xr:uid="{00000000-0009-0000-0100-000027000000}"/>
  <tableColumns count="6">
    <tableColumn id="1" xr3:uid="{225CBDD4-B309-48C5-A3A2-5087F502C993}" name="ICM" dataDxfId="361">
      <calculatedColumnFormula>'3w 5h5c Ден'!p3win* ('3w 5h5c Ден'!p1sp1win*T_p3p1233726849198119126[[#This Row],[ICM]] + '3w 5h5c Ден'!p2sp1win*T_p3p2243827859299120127[[#This Row],[ICM]])
+'3w 5h5c Ден'!p2win*T_p2223625839097118125[[#This Row],[ICM]]
+'3w 5h5c Ден'!p1win*T_p1213519828996117124[[#This Row],[ICM]]</calculatedColumnFormula>
    </tableColumn>
    <tableColumn id="2" xr3:uid="{B5CFC3B7-EA8D-41E1-BC52-773D17EFBDFD}" name="KO" dataDxfId="360">
      <calculatedColumnFormula>('3w 5h5c Ден'!p3win* ('3w 5h5c Ден'!p1sp1win*T_p3p1233726849198119126[[#This Row],[KO]] + '3w 5h5c Ден'!p2sp1win*T_p3p2243827859299120127[[#This Row],[KO]])
+'3w 5h5c Ден'!p2win*T_p2223625839097118125[[#This Row],[KO]]
+'3w 5h5c Ден'!p1win*T_p1213519828996117124[[#This Row],[KO]])*bounty</calculatedColumnFormula>
    </tableColumn>
    <tableColumn id="3" xr3:uid="{0D2AA944-9593-47EA-BB07-D46E1FD955B2}" name="EV" dataDxfId="359">
      <calculatedColumnFormula>'3w 5h5c Ден'!p3win* ('3w 5h5c Ден'!p1sp1win*T_p3p1233726849198119126[[#This Row],[$stack]] + '3w 5h5c Ден'!p2sp1win*T_p3p2243827859299120127[[#This Row],[$stack]])
+'3w 5h5c Ден'!p2win*T_p2223625839097118125[[#This Row],[$stack]]
+'3w 5h5c Ден'!p1win*T_p1213519828996117124[[#This Row],[$stack]]</calculatedColumnFormula>
    </tableColumn>
    <tableColumn id="4" xr3:uid="{FD9A9E81-0DCC-415B-829A-C30D580815CC}" name="chipEV" dataDxfId="358">
      <calculatedColumnFormula>'3w 5h5c Ден'!p3win* ('3w 5h5c Ден'!p1sp1win*T_p3p1233726849198119126[[#This Row],[stack]] + '3w 5h5c Ден'!p2sp1win*T_p3p2243827859299120127[[#This Row],[stack]])
+'3w 5h5c Ден'!p2win*T_p2223625839097118125[[#This Row],[stack]]
+'3w 5h5c Ден'!p1win*T_p1213519828996117124[[#This Row],[stack]]</calculatedColumnFormula>
    </tableColumn>
    <tableColumn id="5" xr3:uid="{C51F46A5-BB2A-4E89-9E1B-9606B0DBD92E}" name="cEVdiff" dataDxfId="357">
      <calculatedColumnFormula>T_EV3340308794101122129[[#This Row],[chipEV]]-T_fact2939288693100121128[[#This Row],[stack]]</calculatedColumnFormula>
    </tableColumn>
    <tableColumn id="6" xr3:uid="{A517E14A-4331-4894-9310-929BBEDF0F4D}" name="Evdiff" dataDxfId="356">
      <calculatedColumnFormula>T_EV3340308794101122129[[#This Row],[EV]]-(T_fact2939288693100121128[[#This Row],[ICM]]+bounty*T_fact2939288693100121128[[#This Row],[KO]])</calculatedColumnFormula>
    </tableColumn>
  </tableColumns>
  <tableStyleInfo name="TableStyleLight11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38B2203D-BD9F-4DAA-96DE-D6005175BD54}" name="T_init20344818895116123130137" displayName="T_init20344818895116123130137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7B6873B0-C4B6-4417-9722-44B0116EB36D}" name="p" totalsRowLabel="Total"/>
    <tableColumn id="2" xr3:uid="{774DA3C5-4311-4AE6-81DC-94C2283D5B69}" name="stack"/>
    <tableColumn id="3" xr3:uid="{D53A5E9A-EA93-4A14-B090-0B45B3A46453}" name="hand"/>
    <tableColumn id="4" xr3:uid="{0434E128-6FCA-465A-AFF6-0A58456BF366}" name="anteblinds" totalsRowFunction="sum"/>
  </tableColumns>
  <tableStyleInfo name="TableStyleLight11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2637607C-B5D2-4EDE-BA79-61BFE00A9A6D}" name="T_p1213519828996117124131138" displayName="T_p1213519828996117124131138" ref="F16:K22" totalsRowShown="0" tableBorderDxfId="355">
  <autoFilter ref="F16:K22" xr:uid="{00000000-0009-0000-0100-000022000000}"/>
  <tableColumns count="6">
    <tableColumn id="1" xr3:uid="{3AAF046A-2A17-4BBA-B709-E8A7F90D0332}" name="players" dataDxfId="354">
      <calculatedColumnFormula>COUNTIF(T_p1213519828996117124131138[stack],"&gt;0")</calculatedColumnFormula>
    </tableColumn>
    <tableColumn id="2" xr3:uid="{B5705E44-B3AB-4760-A595-69A615BA6B7B}" name="stack" dataDxfId="353">
      <calculatedColumnFormula>IF(T_init20344818895116123130137[[#This Row],[p]]=1,mainpot+sidepot1+sidepot2+uncalled,IF(T_init20344818895116123130137[[#This Row],[p]]&gt;1,0,T_init20344818895116123130137[[#This Row],[stack]]-T_init20344818895116123130137[[#This Row],[anteblinds]]))</calculatedColumnFormula>
    </tableColumn>
    <tableColumn id="3" xr3:uid="{3CDBE918-916D-4104-91FE-01BE730A5253}" name="EQ"/>
    <tableColumn id="4" xr3:uid="{208F4A44-FE86-4037-B037-32117355DADC}" name="ICM" dataDxfId="352">
      <calculatedColumnFormula>T_p1213519828996117124131138[[#This Row],[EQ]]*prize</calculatedColumnFormula>
    </tableColumn>
    <tableColumn id="5" xr3:uid="{B2BAEA2A-119D-4446-97B9-D0C65149497E}" name="KO" dataDxfId="351">
      <calculatedColumnFormula>IF(T_init20344818895116123130137[[#This Row],[p]]=1,T_p1213519828996117124131138[[#This Row],[players]]*T_p1213519828996117124131138[[#This Row],[stack]]/chips+COUNTIF(T_p1213519828996117124131138[stack],0),T_p1213519828996117124131138[[#This Row],[players]]*T_p1213519828996117124131138[[#This Row],[stack]]/chips)</calculatedColumnFormula>
    </tableColumn>
    <tableColumn id="6" xr3:uid="{4F69D86F-0E2C-4172-A334-D85B92710D45}" name="$stack" dataDxfId="350">
      <calculatedColumnFormula>T_p1213519828996117124131138[[#This Row],[ICM]]+bounty*T_p1213519828996117124131138[[#This Row],[KO]]</calculatedColumnFormula>
    </tableColumn>
  </tableColumns>
  <tableStyleInfo name="TableStyleLight11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2122CA1-E0EC-4267-82D2-BECAE4AAF93E}" name="T_p2223625839097118125132139" displayName="T_p2223625839097118125132139" ref="M16:R22" totalsRowShown="0" tableBorderDxfId="349">
  <autoFilter ref="M16:R22" xr:uid="{00000000-0009-0000-0100-000023000000}"/>
  <tableColumns count="6">
    <tableColumn id="1" xr3:uid="{42045526-8833-4031-A4F1-B0D5DAFFA13E}" name="players" dataDxfId="348" totalsRowDxfId="347">
      <calculatedColumnFormula>COUNTIF(T_p2223625839097118125132139[stack],"&gt;0")</calculatedColumnFormula>
    </tableColumn>
    <tableColumn id="2" xr3:uid="{81A105B5-1705-4E03-B369-041A86A715A1}" name="stack" dataDxfId="346" totalsRowDxfId="345">
      <calculatedColumnFormula>IF(T_init20344818895116123130137[[#This Row],[p]]=1,uncalled,IF(T_init20344818895116123130137[[#This Row],[p]]=2,mainpot+sidepot1+sidepot2,IF(T_init20344818895116123130137[[#This Row],[p]]&gt;2,0,T_init20344818895116123130137[[#This Row],[stack]]-T_init20344818895116123130137[[#This Row],[anteblinds]])))</calculatedColumnFormula>
    </tableColumn>
    <tableColumn id="3" xr3:uid="{52C4EBA7-2820-455F-ACB2-21AC3F03C772}" name="EQ" totalsRowDxfId="344"/>
    <tableColumn id="4" xr3:uid="{ACB7E6B0-A273-4E10-98AC-B2D6D2E32039}" name="ICM" dataDxfId="343" totalsRowDxfId="342">
      <calculatedColumnFormula>T_p2223625839097118125132139[[#This Row],[EQ]]*prize</calculatedColumnFormula>
    </tableColumn>
    <tableColumn id="5" xr3:uid="{2F191302-E3E5-48A1-BD77-08322EA1A55D}" name="KO" dataDxfId="341" totalsRowDxfId="340">
      <calculatedColumnFormula>IF(T_init20344818895116123130137[[#This Row],[p]]=2,T_p2223625839097118125132139[[#This Row],[players]]*T_p2223625839097118125132139[[#This Row],[stack]]/chips+COUNTIF(T_p2223625839097118125132139[stack],0),T_p2223625839097118125132139[[#This Row],[players]]*T_p2223625839097118125132139[[#This Row],[stack]]/chips)</calculatedColumnFormula>
    </tableColumn>
    <tableColumn id="6" xr3:uid="{53EFDF7E-D172-4C9F-85A6-0E58C651CA82}" name="$stack" dataDxfId="339">
      <calculatedColumnFormula>T_p2223625839097118125132139[[#This Row],[ICM]]+bounty*T_p2223625839097118125132139[[#This Row],[KO]]</calculatedColumnFormula>
    </tableColumn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B097453D-37F1-4A22-A8F1-A6DA0469DB6B}" name="T_p222362576556269152176" displayName="T_p222362576556269152176" ref="N16:S22" totalsRowShown="0" tableBorderDxfId="1361">
  <autoFilter ref="N16:S22" xr:uid="{00000000-0009-0000-0100-000023000000}"/>
  <tableColumns count="6">
    <tableColumn id="1" xr3:uid="{CFED0A13-4BC1-4648-A6CF-F44C09713BF8}" name="players" dataDxfId="1360" totalsRowDxfId="1359">
      <calculatedColumnFormula>COUNTIF(T_p222362576556269152176[stack],"&gt;0")</calculatedColumnFormula>
    </tableColumn>
    <tableColumn id="2" xr3:uid="{075E74E6-949F-4994-B019-2D3C76A91624}" name="stack" dataDxfId="1358" totalsRowDxfId="1357">
      <calculatedColumnFormula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calculatedColumnFormula>
    </tableColumn>
    <tableColumn id="3" xr3:uid="{AD335825-AFCD-4DDD-A786-809354138EED}" name="EQ" totalsRowDxfId="1356"/>
    <tableColumn id="4" xr3:uid="{A7B58038-EACF-4EBE-854B-BFF39B4B507F}" name="ICM" dataDxfId="1355" totalsRowDxfId="1354">
      <calculatedColumnFormula>T_p222362576556269152176[[#This Row],[EQ]]*prize</calculatedColumnFormula>
    </tableColumn>
    <tableColumn id="5" xr3:uid="{3D7FAE77-7EA1-4DDC-A30E-4C03BCAEC435}" name="KO" dataDxfId="1353" totalsRowDxfId="1352">
      <calculatedColumnFormula>IF(T_init2034474536067150174[[#This Row],[p]]=2,T_p222362576556269152176[[#This Row],[players]]*T_p222362576556269152176[[#This Row],[stack]]/chips+COUNTIF(T_p222362576556269152176[stack],0),T_p222362576556269152176[[#This Row],[players]]*T_p222362576556269152176[[#This Row],[stack]]/chips)</calculatedColumnFormula>
    </tableColumn>
    <tableColumn id="6" xr3:uid="{2C24D8FC-2712-4172-98E7-8B8811C6EBE5}" name="$stack" dataDxfId="1351">
      <calculatedColumnFormula>T_p222362576556269152176[[#This Row],[ICM]]+bounty*T_p222362576556269152176[[#This Row],[KO]]</calculatedColumnFormula>
    </tableColumn>
  </tableColumns>
  <tableStyleInfo name="TableStyleLight11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DCE902B5-B7B1-4581-BBD3-D4F942335C6D}" name="T_p3p1233726849198119126133140" displayName="T_p3p1233726849198119126133140" ref="T16:Y22" totalsRowShown="0" tableBorderDxfId="338">
  <autoFilter ref="T16:Y22" xr:uid="{00000000-0009-0000-0100-000024000000}"/>
  <tableColumns count="6">
    <tableColumn id="1" xr3:uid="{2D64E550-8127-4170-9582-16A40E3EB280}" name="players" dataDxfId="337">
      <calculatedColumnFormula>COUNTIF(T_p3p1233726849198119126133140[stack],"&gt;0")</calculatedColumnFormula>
    </tableColumn>
    <tableColumn id="2" xr3:uid="{A7744FEA-4D2C-4BAF-88B1-9322DA2FA1A2}" name="stack" dataDxfId="336">
      <calculatedColumnFormula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calculatedColumnFormula>
    </tableColumn>
    <tableColumn id="3" xr3:uid="{D6267434-7C41-4593-95CA-E9ED17CCBD24}" name="EQ"/>
    <tableColumn id="4" xr3:uid="{E9A42E8C-A5EA-46EA-8C23-506560C9C10F}" name="ICM" dataDxfId="335">
      <calculatedColumnFormula>T_p3p1233726849198119126133140[[#This Row],[EQ]]*prize</calculatedColumnFormula>
    </tableColumn>
    <tableColumn id="5" xr3:uid="{6A1A24A4-D23D-462F-BCB0-434270DCE2D8}" name="KO" dataDxfId="334">
      <calculatedColumnFormula>IF(T_init20344818895116123130137[[#This Row],[p]]=1,T_p3p1233726849198119126133140[[#This Row],[players]]*T_p3p1233726849198119126133140[[#This Row],[stack]]/chips+COUNTIF(T_p3p1233726849198119126133140[stack],0),T_p3p1233726849198119126133140[[#This Row],[players]]*T_p3p1233726849198119126133140[[#This Row],[stack]]/chips)</calculatedColumnFormula>
    </tableColumn>
    <tableColumn id="6" xr3:uid="{7794AB83-66BB-4870-A5FD-7D290848802D}" name="$stack" dataDxfId="333">
      <calculatedColumnFormula>T_p3p1233726849198119126133140[[#This Row],[ICM]]+bounty*T_p3p1233726849198119126133140[[#This Row],[KO]]</calculatedColumnFormula>
    </tableColumn>
  </tableColumns>
  <tableStyleInfo name="TableStyleLight11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53C64BA3-888F-441C-93FA-455FB2CE003A}" name="T_p3p2243827859299120127134141" displayName="T_p3p2243827859299120127134141" ref="AA16:AF22" totalsRowShown="0" tableBorderDxfId="332">
  <autoFilter ref="AA16:AF22" xr:uid="{00000000-0009-0000-0100-000025000000}"/>
  <tableColumns count="6">
    <tableColumn id="1" xr3:uid="{F2EDCC1E-5442-4539-A024-9E971673EE5A}" name="players" dataDxfId="331" totalsRowDxfId="330">
      <calculatedColumnFormula>COUNTIF(T_p3p2243827859299120127134141[stack],"&gt;0")</calculatedColumnFormula>
    </tableColumn>
    <tableColumn id="2" xr3:uid="{0DA20F1E-D1A1-4865-85C7-C6FFB86A93C1}" name="stack" dataDxfId="329" totalsRowDxfId="328">
      <calculatedColumnFormula>IF(T_init20344818895116123130137[[#This Row],[p]]=1,uncalled,IF(T_init20344818895116123130137[[#This Row],[p]]=2,sidepot1,IF(T_init20344818895116123130137[[#This Row],[p]]=3,mainpot,IF(ISBLANK(T_init20344818895116123130137[[#This Row],[p]]),T_init20344818895116123130137[[#This Row],[stack]]-T_init20344818895116123130137[[#This Row],[anteblinds]],0))))</calculatedColumnFormula>
    </tableColumn>
    <tableColumn id="3" xr3:uid="{86A16C17-FD5F-40C6-A82F-6A69E9FFAF53}" name="EQ" totalsRowDxfId="327"/>
    <tableColumn id="4" xr3:uid="{A846D66D-F4BB-49AF-BCFC-E172D67F1DB3}" name="ICM" dataDxfId="326" totalsRowDxfId="325">
      <calculatedColumnFormula>T_p3p2243827859299120127134141[[#This Row],[EQ]]*prize</calculatedColumnFormula>
    </tableColumn>
    <tableColumn id="5" xr3:uid="{B2AA4FB9-BB8E-45A5-9091-E2CD19FDB544}" name="KO" dataDxfId="324" totalsRowDxfId="323">
      <calculatedColumnFormula>IF(T_init20344818895116123130137[[#This Row],[p]]=2,T_p3p2243827859299120127134141[[#This Row],[players]]*T_p3p2243827859299120127134141[[#This Row],[stack]]/chips+COUNTIF(T_p3p2243827859299120127134141[stack],0),T_p3p2243827859299120127134141[[#This Row],[players]]*T_p3p2243827859299120127134141[[#This Row],[stack]]/chips)</calculatedColumnFormula>
    </tableColumn>
    <tableColumn id="6" xr3:uid="{F842625C-8398-4292-B32B-BAB91C83D60B}" name="$stack" dataDxfId="322">
      <calculatedColumnFormula>T_p3p2243827859299120127134141[[#This Row],[ICM]]+bounty*T_p3p2243827859299120127134141[[#This Row],[KO]]</calculatedColumnFormula>
    </tableColumn>
  </tableColumns>
  <tableStyleInfo name="TableStyleLight11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18BE6C64-5027-497D-9369-7AF90FC2E414}" name="T_fact2939288693100121128135142" displayName="T_fact2939288693100121128135142" ref="AI16:AN22" totalsRowShown="0" tableBorderDxfId="321">
  <autoFilter ref="AI16:AN22" xr:uid="{00000000-0009-0000-0100-000026000000}"/>
  <tableColumns count="6">
    <tableColumn id="1" xr3:uid="{57299110-A452-4E0E-B856-C26D12A2869D}" name="players">
      <calculatedColumnFormula>COUNTIF(T_fact2939288693100121128135142[stack],"&gt;0")</calculatedColumnFormula>
    </tableColumn>
    <tableColumn id="2" xr3:uid="{74744DDC-28ED-4A8A-8826-AC6C1E2610C1}" name="stack" dataDxfId="320">
      <calculatedColumnFormula>IF(T_init20344818895116123130137[[#This Row],[p]]=1,mainpot+sidepot1+sidepot2+uncalled,IF(T_init20344818895116123130137[[#This Row],[p]]&gt;1,0,T_init20344818895116123130137[[#This Row],[stack]]))</calculatedColumnFormula>
    </tableColumn>
    <tableColumn id="3" xr3:uid="{D55E9663-FEF3-4A0A-B638-16FBFFF62B41}" name="EQ"/>
    <tableColumn id="4" xr3:uid="{64F328EA-CF0B-4020-8445-3328CE1DDDCF}" name="ICM" dataDxfId="319">
      <calculatedColumnFormula>T_fact2939288693100121128135142[[#This Row],[EQ]]*prize</calculatedColumnFormula>
    </tableColumn>
    <tableColumn id="5" xr3:uid="{B71F5928-BF90-4377-B1D7-8BE5C8571F36}" name="KO" dataDxfId="318">
      <calculatedColumnFormula>IF(T_init20344818895116123130137[[#This Row],[p]]=1,T_fact2939288693100121128135142[[#This Row],[players]]*T_fact2939288693100121128135142[[#This Row],[stack]]/chips+COUNTIF(T_fact2939288693100121128135142[stack],0),T_fact2939288693100121128135142[[#This Row],[players]]*T_fact2939288693100121128135142[[#This Row],[stack]]/chips)</calculatedColumnFormula>
    </tableColumn>
    <tableColumn id="6" xr3:uid="{722B323D-6384-48A9-B6C8-837554BAF0CB}" name="$stack" dataDxfId="317">
      <calculatedColumnFormula>T_fact2939288693100121128135142[[#This Row],[ICM]]+bounty*T_fact2939288693100121128135142[[#This Row],[KO]]</calculatedColumnFormula>
    </tableColumn>
  </tableColumns>
  <tableStyleInfo name="TableStyleLight11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60A366BC-70C9-4D79-B4A0-477763544444}" name="T_EV3340308794101122129136143" displayName="T_EV3340308794101122129136143" ref="AQ16:AV22" totalsRowShown="0" tableBorderDxfId="316">
  <autoFilter ref="AQ16:AV22" xr:uid="{00000000-0009-0000-0100-000027000000}"/>
  <tableColumns count="6">
    <tableColumn id="1" xr3:uid="{AA4123F2-3FA4-4EA7-9B61-45EDBB78BAC2}" name="ICM" dataDxfId="315">
      <calculatedColumnFormula>'3w Kc5c Ден'!p3win* ('3w Kc5c Ден'!p1sp1win*T_p3p1233726849198119126133140[[#This Row],[ICM]] + '3w Kc5c Ден'!p2sp1win*T_p3p2243827859299120127134141[[#This Row],[ICM]])
+'3w Kc5c Ден'!p2win*T_p2223625839097118125132139[[#This Row],[ICM]]
+'3w Kc5c Ден'!p1win*T_p1213519828996117124131138[[#This Row],[ICM]]</calculatedColumnFormula>
    </tableColumn>
    <tableColumn id="2" xr3:uid="{DE1887E5-3228-4F89-B2A9-8D058AD35F86}" name="KO" dataDxfId="314">
      <calculatedColumnFormula>('3w Kc5c Ден'!p3win* ('3w Kc5c Ден'!p1sp1win*T_p3p1233726849198119126133140[[#This Row],[KO]] + '3w Kc5c Ден'!p2sp1win*T_p3p2243827859299120127134141[[#This Row],[KO]])
+'3w Kc5c Ден'!p2win*T_p2223625839097118125132139[[#This Row],[KO]]
+'3w Kc5c Ден'!p1win*T_p1213519828996117124131138[[#This Row],[KO]])*bounty</calculatedColumnFormula>
    </tableColumn>
    <tableColumn id="3" xr3:uid="{A9C7926D-D45B-44AE-BF92-62BB01364164}" name="EV" dataDxfId="313">
      <calculatedColumnFormula>'3w Kc5c Ден'!p3win* ('3w Kc5c Ден'!p1sp1win*T_p3p1233726849198119126133140[[#This Row],[$stack]] + '3w Kc5c Ден'!p2sp1win*T_p3p2243827859299120127134141[[#This Row],[$stack]])
+'3w Kc5c Ден'!p2win*T_p2223625839097118125132139[[#This Row],[$stack]]
+'3w Kc5c Ден'!p1win*T_p1213519828996117124131138[[#This Row],[$stack]]</calculatedColumnFormula>
    </tableColumn>
    <tableColumn id="4" xr3:uid="{6F707C98-B680-4DBD-ABF8-9346FA3442B2}" name="chipEV" dataDxfId="312">
      <calculatedColumnFormula>'3w Kc5c Ден'!p3win* ('3w Kc5c Ден'!p1sp1win*T_p3p1233726849198119126133140[[#This Row],[stack]] + '3w Kc5c Ден'!p2sp1win*T_p3p2243827859299120127134141[[#This Row],[stack]])
+'3w Kc5c Ден'!p2win*T_p2223625839097118125132139[[#This Row],[stack]]
+'3w Kc5c Ден'!p1win*T_p1213519828996117124131138[[#This Row],[stack]]</calculatedColumnFormula>
    </tableColumn>
    <tableColumn id="5" xr3:uid="{7DACE9FD-109A-4D44-A3F5-B3C57DF6ABDA}" name="cEVdiff" dataDxfId="311">
      <calculatedColumnFormula>T_EV3340308794101122129136143[[#This Row],[chipEV]]-T_fact2939288693100121128135142[[#This Row],[stack]]</calculatedColumnFormula>
    </tableColumn>
    <tableColumn id="6" xr3:uid="{586EB5FD-92A1-4932-B2CF-20C36070225A}" name="Evdiff" dataDxfId="310">
      <calculatedColumnFormula>T_EV3340308794101122129136143[[#This Row],[EV]]-(T_fact2939288693100121128135142[[#This Row],[ICM]]+bounty*T_fact2939288693100121128135142[[#This Row],[KO]])</calculatedColumnFormula>
    </tableColumn>
  </tableColumns>
  <tableStyleInfo name="TableStyleLight11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C1DFEBE-E051-4264-9CB3-D77AC8FE7E4E}" name="T_init20344818895102" displayName="T_init20344818895102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1A98CDE6-AEAB-43F5-B4BA-AB76FFBF0C52}" name="p" totalsRowLabel="Total"/>
    <tableColumn id="2" xr3:uid="{78BE1F33-2815-44A3-81F7-58C183C74EFE}" name="stack"/>
    <tableColumn id="3" xr3:uid="{5460D74B-002A-4E25-A15B-4D2B09A1C3BF}" name="hand"/>
    <tableColumn id="4" xr3:uid="{1BDFD9F4-803F-48BE-8E2E-6ADC12299C9E}" name="anteblinds" totalsRowFunction="sum"/>
  </tableColumns>
  <tableStyleInfo name="TableStyleLight11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5E046478-9605-4302-B451-C0D875202E9C}" name="T_p1213519828996103" displayName="T_p1213519828996103" ref="F16:K22" totalsRowShown="0" tableBorderDxfId="309">
  <autoFilter ref="F16:K22" xr:uid="{00000000-0009-0000-0100-000022000000}"/>
  <tableColumns count="6">
    <tableColumn id="1" xr3:uid="{E3595BD5-5B6A-4A2C-8215-FDCBCFD750A7}" name="players" dataDxfId="308">
      <calculatedColumnFormula>COUNTIF(T_p1213519828996103[stack],"&gt;0")</calculatedColumnFormula>
    </tableColumn>
    <tableColumn id="2" xr3:uid="{DB967143-F4F9-4881-AB9B-94DDE8D65385}" name="stack" dataDxfId="307">
      <calculatedColumnFormula>IF(T_init20344818895102[[#This Row],[p]]=1,mainpot+sidepot1+sidepot2+uncalled,IF(T_init20344818895102[[#This Row],[p]]&gt;1,0,T_init20344818895102[[#This Row],[stack]]-T_init20344818895102[[#This Row],[anteblinds]]))</calculatedColumnFormula>
    </tableColumn>
    <tableColumn id="3" xr3:uid="{3A78BCBD-6509-4815-8D5D-1275B28638D3}" name="EQ"/>
    <tableColumn id="4" xr3:uid="{D358498E-E18A-4799-8958-75EDFF405DDA}" name="ICM" dataDxfId="306">
      <calculatedColumnFormula>T_p1213519828996103[[#This Row],[EQ]]*prize</calculatedColumnFormula>
    </tableColumn>
    <tableColumn id="5" xr3:uid="{8FB580D4-BC71-4E36-801B-70F3995560FE}" name="KO" dataDxfId="305">
      <calculatedColumnFormula>IF(T_init20344818895102[[#This Row],[p]]=1,T_p1213519828996103[[#This Row],[players]]*T_p1213519828996103[[#This Row],[stack]]/chips+COUNTIF(T_p1213519828996103[stack],0),T_p1213519828996103[[#This Row],[players]]*T_p1213519828996103[[#This Row],[stack]]/chips)</calculatedColumnFormula>
    </tableColumn>
    <tableColumn id="6" xr3:uid="{C197AC1B-3EC9-4253-9FC6-D554FFF5E284}" name="$stack" dataDxfId="304">
      <calculatedColumnFormula>T_p1213519828996103[[#This Row],[ICM]]+bounty*T_p1213519828996103[[#This Row],[KO]]</calculatedColumnFormula>
    </tableColumn>
  </tableColumns>
  <tableStyleInfo name="TableStyleLight11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7D068999-E7B8-4800-B728-8EA9701B8BB3}" name="T_p2223625839097104" displayName="T_p2223625839097104" ref="M16:R22" totalsRowShown="0" tableBorderDxfId="303">
  <autoFilter ref="M16:R22" xr:uid="{00000000-0009-0000-0100-000023000000}"/>
  <tableColumns count="6">
    <tableColumn id="1" xr3:uid="{9C903FFE-8957-48F3-B399-B1EACF91BC50}" name="players" dataDxfId="302" totalsRowDxfId="301">
      <calculatedColumnFormula>COUNTIF(T_p2223625839097104[stack],"&gt;0")</calculatedColumnFormula>
    </tableColumn>
    <tableColumn id="2" xr3:uid="{48E9E158-D3DA-45F5-99BA-A4C383C644F7}" name="stack" dataDxfId="300" totalsRowDxfId="299">
      <calculatedColumnFormula>IF(T_init20344818895102[[#This Row],[p]]=1,uncalled,IF(T_init20344818895102[[#This Row],[p]]=2,mainpot+sidepot1+sidepot2,IF(T_init20344818895102[[#This Row],[p]]&gt;2,0,T_init20344818895102[[#This Row],[stack]]-T_init20344818895102[[#This Row],[anteblinds]])))</calculatedColumnFormula>
    </tableColumn>
    <tableColumn id="3" xr3:uid="{37A1EB22-8479-4102-83A8-D24BBA9C452E}" name="EQ" totalsRowDxfId="298"/>
    <tableColumn id="4" xr3:uid="{0F5B7EA5-BE46-4B6B-99DD-A72B8D83C5FB}" name="ICM" dataDxfId="297" totalsRowDxfId="296">
      <calculatedColumnFormula>T_p2223625839097104[[#This Row],[EQ]]*prize</calculatedColumnFormula>
    </tableColumn>
    <tableColumn id="5" xr3:uid="{7D66A5CB-33DB-4564-977C-7FEFDB956C2F}" name="KO" dataDxfId="295" totalsRowDxfId="294">
      <calculatedColumnFormula>IF(T_init20344818895102[[#This Row],[p]]=2,T_p2223625839097104[[#This Row],[players]]*T_p2223625839097104[[#This Row],[stack]]/chips+COUNTIF(T_p2223625839097104[stack],0),T_p2223625839097104[[#This Row],[players]]*T_p2223625839097104[[#This Row],[stack]]/chips)</calculatedColumnFormula>
    </tableColumn>
    <tableColumn id="6" xr3:uid="{E12C1F75-81C7-4BF4-8A9C-4AD0D1A3B76E}" name="$stack" dataDxfId="293">
      <calculatedColumnFormula>T_p2223625839097104[[#This Row],[ICM]]+bounty*T_p2223625839097104[[#This Row],[KO]]</calculatedColumnFormula>
    </tableColumn>
  </tableColumns>
  <tableStyleInfo name="TableStyleLight11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E994F363-5758-417E-9392-989F1795A95D}" name="T_p3p1233726849198105" displayName="T_p3p1233726849198105" ref="T16:Y22" totalsRowShown="0" tableBorderDxfId="292">
  <autoFilter ref="T16:Y22" xr:uid="{00000000-0009-0000-0100-000024000000}"/>
  <tableColumns count="6">
    <tableColumn id="1" xr3:uid="{C901A4B6-181B-4DD5-953C-A725E840F955}" name="players" dataDxfId="291">
      <calculatedColumnFormula>COUNTIF(T_p3p1233726849198105[stack],"&gt;0")</calculatedColumnFormula>
    </tableColumn>
    <tableColumn id="2" xr3:uid="{060417F9-D34B-4963-90AE-4C5B86B270C8}" name="stack" dataDxfId="290">
      <calculatedColumnFormula>IF(T_init20344818895102[[#This Row],[p]]=1,sidepot1+uncalled,IF(T_init20344818895102[[#This Row],[p]]=3,mainpot,IF(ISBLANK(T_init20344818895102[[#This Row],[p]]),T_init20344818895102[[#This Row],[stack]]-T_init20344818895102[[#This Row],[anteblinds]],0)))</calculatedColumnFormula>
    </tableColumn>
    <tableColumn id="3" xr3:uid="{CEA7A0A9-3802-44CE-8592-F95DCD054090}" name="EQ"/>
    <tableColumn id="4" xr3:uid="{795D3E27-90FB-444E-85B4-EEE23833B8C5}" name="ICM" dataDxfId="289">
      <calculatedColumnFormula>T_p3p1233726849198105[[#This Row],[EQ]]*prize</calculatedColumnFormula>
    </tableColumn>
    <tableColumn id="5" xr3:uid="{DB4CF394-1353-491F-823C-2323B5E91CE6}" name="KO" dataDxfId="288">
      <calculatedColumnFormula>IF(T_init20344818895102[[#This Row],[p]]=1,T_p3p1233726849198105[[#This Row],[players]]*T_p3p1233726849198105[[#This Row],[stack]]/chips+COUNTIF(T_p3p1233726849198105[stack],0),T_p3p1233726849198105[[#This Row],[players]]*T_p3p1233726849198105[[#This Row],[stack]]/chips)</calculatedColumnFormula>
    </tableColumn>
    <tableColumn id="6" xr3:uid="{6FE1414E-31C9-43E8-9DB5-9241FCFC371F}" name="$stack" dataDxfId="287">
      <calculatedColumnFormula>T_p3p1233726849198105[[#This Row],[ICM]]+bounty*T_p3p1233726849198105[[#This Row],[KO]]</calculatedColumnFormula>
    </tableColumn>
  </tableColumns>
  <tableStyleInfo name="TableStyleLight11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5EE18FDC-042C-4D27-B399-EB5F03639F7E}" name="T_p3p2243827859299106" displayName="T_p3p2243827859299106" ref="AA16:AF22" totalsRowShown="0" tableBorderDxfId="286">
  <autoFilter ref="AA16:AF22" xr:uid="{00000000-0009-0000-0100-000025000000}"/>
  <tableColumns count="6">
    <tableColumn id="1" xr3:uid="{6794048C-F824-4AA4-842B-0F154A59B543}" name="players" dataDxfId="285" totalsRowDxfId="284">
      <calculatedColumnFormula>COUNTIF(T_p3p2243827859299106[stack],"&gt;0")</calculatedColumnFormula>
    </tableColumn>
    <tableColumn id="2" xr3:uid="{BC066957-86B8-4921-BEF6-6B67D1CCB3D9}" name="stack" dataDxfId="283" totalsRowDxfId="282">
      <calculatedColumnFormula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calculatedColumnFormula>
    </tableColumn>
    <tableColumn id="3" xr3:uid="{70FE019B-9EFD-4A74-8581-F966E54F3456}" name="EQ" totalsRowDxfId="281"/>
    <tableColumn id="4" xr3:uid="{2A4D4315-7D4A-4D53-B42A-585D05D53FAA}" name="ICM" dataDxfId="280" totalsRowDxfId="279">
      <calculatedColumnFormula>T_p3p2243827859299106[[#This Row],[EQ]]*prize</calculatedColumnFormula>
    </tableColumn>
    <tableColumn id="5" xr3:uid="{0D9EDCB5-5AF7-408A-81E4-E4DA4816305B}" name="KO" dataDxfId="278" totalsRowDxfId="277">
      <calculatedColumnFormula>IF(T_init20344818895102[[#This Row],[p]]=2,T_p3p2243827859299106[[#This Row],[players]]*T_p3p2243827859299106[[#This Row],[stack]]/chips+COUNTIF(T_p3p2243827859299106[stack],0),T_p3p2243827859299106[[#This Row],[players]]*T_p3p2243827859299106[[#This Row],[stack]]/chips)</calculatedColumnFormula>
    </tableColumn>
    <tableColumn id="6" xr3:uid="{E494A601-930C-4569-9DA1-0FC145B33471}" name="$stack" dataDxfId="276">
      <calculatedColumnFormula>T_p3p2243827859299106[[#This Row],[ICM]]+bounty*T_p3p2243827859299106[[#This Row],[KO]]</calculatedColumnFormula>
    </tableColumn>
  </tableColumns>
  <tableStyleInfo name="TableStyleLight11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A6BFA24A-6310-4C54-9AFB-D5CC87C2674C}" name="T_fact2939288693100107" displayName="T_fact2939288693100107" ref="AI16:AN22" totalsRowShown="0" tableBorderDxfId="275">
  <autoFilter ref="AI16:AN22" xr:uid="{00000000-0009-0000-0100-000026000000}"/>
  <tableColumns count="6">
    <tableColumn id="1" xr3:uid="{D62D8978-28AF-432D-8415-5C54A4E41E61}" name="players">
      <calculatedColumnFormula>COUNTIF(T_fact2939288693100107[stack],"&gt;0")</calculatedColumnFormula>
    </tableColumn>
    <tableColumn id="2" xr3:uid="{CDFB3D26-10A6-4955-AA9F-1C0C329CD5F3}" name="stack" dataDxfId="274">
      <calculatedColumnFormula>IF(T_init20344818895102[[#This Row],[p]]=1,mainpot+sidepot1+sidepot2+uncalled,IF(T_init20344818895102[[#This Row],[p]]&gt;1,0,T_init20344818895102[[#This Row],[stack]]))</calculatedColumnFormula>
    </tableColumn>
    <tableColumn id="3" xr3:uid="{64E7A323-889B-4D6A-A6E1-E45D15898F69}" name="EQ"/>
    <tableColumn id="4" xr3:uid="{CB869F53-F212-40DB-B536-A8E5CB096A4C}" name="ICM" dataDxfId="273">
      <calculatedColumnFormula>T_fact2939288693100107[[#This Row],[EQ]]*prize</calculatedColumnFormula>
    </tableColumn>
    <tableColumn id="5" xr3:uid="{6761593A-95D7-4846-AFC2-59467A82366C}" name="KO" dataDxfId="272">
      <calculatedColumnFormula>IF(T_init20344818895102[[#This Row],[p]]=1,T_fact2939288693100107[[#This Row],[players]]*T_fact2939288693100107[[#This Row],[stack]]/chips+COUNTIF(T_fact2939288693100107[stack],0),T_fact2939288693100107[[#This Row],[players]]*T_fact2939288693100107[[#This Row],[stack]]/chips)</calculatedColumnFormula>
    </tableColumn>
    <tableColumn id="6" xr3:uid="{EB94DD04-CAE3-472A-8D29-558D1742831F}" name="$stack" dataDxfId="271">
      <calculatedColumnFormula>T_fact2939288693100107[[#This Row],[ICM]]+bounty*T_fact2939288693100107[[#This Row],[KO]]</calculatedColumnFormula>
    </tableColumn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B4E5E627-DF0C-4658-A8D7-7D36C7637B31}" name="T_p3p123372677566370153177" displayName="T_p3p123372677566370153177" ref="AW16:BB22" totalsRowShown="0" tableBorderDxfId="1350">
  <autoFilter ref="AW16:BB22" xr:uid="{00000000-0009-0000-0100-000024000000}"/>
  <tableColumns count="6">
    <tableColumn id="1" xr3:uid="{E76CEB5B-C7BC-4968-9DDA-8F43AE8A90D2}" name="players" dataDxfId="1349">
      <calculatedColumnFormula>COUNTIF(T_p3p123372677566370153177[stack],"&gt;0")</calculatedColumnFormula>
    </tableColumn>
    <tableColumn id="2" xr3:uid="{AEE145CA-7F5E-4DB3-924D-46F83A48AEC0}" name="stack" dataDxfId="1348">
      <calculatedColumnFormula>IF(T_init2034474536067150174[[#This Row],[p]]=1,sidepot1+uncalled,IF(T_init2034474536067150174[[#This Row],[p]]=3,mainpot,IF(ISBLANK(T_init2034474536067150174[[#This Row],[p]]),T_init2034474536067150174[[#This Row],[stack]]-T_init2034474536067150174[[#This Row],[anteblinds]],0)))</calculatedColumnFormula>
    </tableColumn>
    <tableColumn id="3" xr3:uid="{BEBEC613-7870-418D-8E30-47D8FF73D229}" name="EQ"/>
    <tableColumn id="4" xr3:uid="{D6C022B9-D13A-4722-8251-453863C9040A}" name="ICM" dataDxfId="1347">
      <calculatedColumnFormula>T_p3p123372677566370153177[[#This Row],[EQ]]*prize</calculatedColumnFormula>
    </tableColumn>
    <tableColumn id="5" xr3:uid="{83A78875-75EB-4989-80A9-DF878D4CFC25}" name="KO" dataDxfId="1346">
      <calculatedColumnFormula>IF(T_init2034474536067150174[[#This Row],[p]]=1,T_p3p123372677566370153177[[#This Row],[players]]*T_p3p123372677566370153177[[#This Row],[stack]]/chips+COUNTIF(T_p3p123372677566370153177[stack],0),T_p3p123372677566370153177[[#This Row],[players]]*T_p3p123372677566370153177[[#This Row],[stack]]/chips)</calculatedColumnFormula>
    </tableColumn>
    <tableColumn id="6" xr3:uid="{776511BE-FAA6-46DF-AB70-406C77DD8AD3}" name="$stack" dataDxfId="1345">
      <calculatedColumnFormula>T_p3p123372677566370153177[[#This Row],[ICM]]+bounty*T_p3p123372677566370153177[[#This Row],[KO]]</calculatedColumnFormula>
    </tableColumn>
  </tableColumns>
  <tableStyleInfo name="TableStyleLight11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CDE8D8DF-C8A2-4FF4-A5C6-2C356CD378A2}" name="T_EV3340308794101108" displayName="T_EV3340308794101108" ref="AQ16:AV22" totalsRowShown="0" tableBorderDxfId="270">
  <autoFilter ref="AQ16:AV22" xr:uid="{00000000-0009-0000-0100-000027000000}"/>
  <tableColumns count="6">
    <tableColumn id="1" xr3:uid="{F3B1AFED-865C-4CF6-8716-3725F7AE9175}" name="ICM" dataDxfId="269">
      <calculatedColumnFormula>'3w postflop 9c7s Ден v2'!p3win* ('3w postflop 9c7s Ден v2'!p1sp1win*T_p3p1233726849198105[[#This Row],[ICM]] + '3w postflop 9c7s Ден v2'!p2sp1win*T_p3p2243827859299106[[#This Row],[ICM]])
+'3w postflop 9c7s Ден v2'!p2win*T_p2223625839097104[[#This Row],[ICM]]
+'3w postflop 9c7s Ден v2'!p1win*T_p1213519828996103[[#This Row],[ICM]]</calculatedColumnFormula>
    </tableColumn>
    <tableColumn id="2" xr3:uid="{11E11D56-FD96-4E8C-A2F1-C1E6FDD75792}" name="KO" dataDxfId="268">
      <calculatedColumnFormula>('3w postflop 9c7s Ден v2'!p3win* ('3w postflop 9c7s Ден v2'!p1sp1win*T_p3p1233726849198105[[#This Row],[KO]] + '3w postflop 9c7s Ден v2'!p2sp1win*T_p3p2243827859299106[[#This Row],[KO]])
+'3w postflop 9c7s Ден v2'!p2win*T_p2223625839097104[[#This Row],[KO]]
+'3w postflop 9c7s Ден v2'!p1win*T_p1213519828996103[[#This Row],[KO]])*bounty</calculatedColumnFormula>
    </tableColumn>
    <tableColumn id="3" xr3:uid="{8D7F32E8-924A-4318-A889-C2F802A0297D}" name="EV" dataDxfId="267">
      <calculatedColumnFormula>'3w postflop 9c7s Ден v2'!p3win* ('3w postflop 9c7s Ден v2'!p1sp1win*T_p3p1233726849198105[[#This Row],[$stack]] + '3w postflop 9c7s Ден v2'!p2sp1win*T_p3p2243827859299106[[#This Row],[$stack]])
+'3w postflop 9c7s Ден v2'!p2win*T_p2223625839097104[[#This Row],[$stack]]
+'3w postflop 9c7s Ден v2'!p1win*T_p1213519828996103[[#This Row],[$stack]]</calculatedColumnFormula>
    </tableColumn>
    <tableColumn id="4" xr3:uid="{94EFB6B4-668A-4DD8-9C45-FF34500957D0}" name="chipEV" dataDxfId="266">
      <calculatedColumnFormula>'3w postflop 9c7s Ден v2'!p3win* ('3w postflop 9c7s Ден v2'!p1sp1win*T_p3p1233726849198105[[#This Row],[stack]] + '3w postflop 9c7s Ден v2'!p2sp1win*T_p3p2243827859299106[[#This Row],[stack]])
+'3w postflop 9c7s Ден v2'!p2win*T_p2223625839097104[[#This Row],[stack]]
+'3w postflop 9c7s Ден v2'!p1win*T_p1213519828996103[[#This Row],[stack]]</calculatedColumnFormula>
    </tableColumn>
    <tableColumn id="5" xr3:uid="{3B9E157A-7E89-42C4-B330-BD5FF2FE3940}" name="cEVdiff" dataDxfId="265">
      <calculatedColumnFormula>T_EV3340308794101108[[#This Row],[chipEV]]-T_fact2939288693100107[[#This Row],[stack]]</calculatedColumnFormula>
    </tableColumn>
    <tableColumn id="6" xr3:uid="{2CEB13B7-B650-4F25-B283-6737649B9097}" name="Evdiff" dataDxfId="264">
      <calculatedColumnFormula>T_EV3340308794101108[[#This Row],[EV]]-(T_fact2939288693100107[[#This Row],[ICM]]+bounty*T_fact2939288693100107[[#This Row],[KO]])</calculatedColumnFormula>
    </tableColumn>
  </tableColumns>
  <tableStyleInfo name="TableStyleLight11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0000000}" name="T_init2034" displayName="T_init2034" ref="A15:D22" totalsRowCount="1">
  <autoFilter ref="A15:D21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000-000001000000}" name="p" totalsRowLabel="Total"/>
    <tableColumn id="2" xr3:uid="{00000000-0010-0000-1000-000002000000}" name="stack"/>
    <tableColumn id="3" xr3:uid="{00000000-0010-0000-1000-000003000000}" name="hand"/>
    <tableColumn id="4" xr3:uid="{00000000-0010-0000-1000-000004000000}" name="pWin" totalsRowFunction="sum"/>
  </tableColumns>
  <tableStyleInfo name="TableStyleLight11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1000000}" name="T_p12135" displayName="T_p12135" ref="F15:K21" totalsRowShown="0" tableBorderDxfId="263">
  <autoFilter ref="F15:K21" xr:uid="{00000000-0009-0000-0100-000022000000}"/>
  <tableColumns count="6">
    <tableColumn id="1" xr3:uid="{00000000-0010-0000-1100-000001000000}" name="players" dataDxfId="262">
      <calculatedColumnFormula>COUNTIF(T_p12135[stack],"&gt;0")</calculatedColumnFormula>
    </tableColumn>
    <tableColumn id="2" xr3:uid="{00000000-0010-0000-1100-000002000000}" name="stack" dataDxfId="261">
      <calculatedColumnFormula>IF(T_init2034[[#This Row],[p]]=1,mainpot+sidepot1+sidepot2+uncalled,IF(T_init2034[[#This Row],[p]]&gt;1,0,T_init2034[[#This Row],[stack]]))</calculatedColumnFormula>
    </tableColumn>
    <tableColumn id="3" xr3:uid="{00000000-0010-0000-1100-000003000000}" name="EQ"/>
    <tableColumn id="4" xr3:uid="{00000000-0010-0000-1100-000004000000}" name="ICM" dataDxfId="260">
      <calculatedColumnFormula>T_p12135[[#This Row],[EQ]]*prize</calculatedColumnFormula>
    </tableColumn>
    <tableColumn id="5" xr3:uid="{00000000-0010-0000-1100-000005000000}" name="KO" dataDxfId="259">
      <calculatedColumnFormula>IF(T_init2034[[#This Row],[p]]=1,T_p12135[[#This Row],[players]]*T_p12135[[#This Row],[stack]]/chips+COUNTIF(T_p12135[stack],0),T_p12135[[#This Row],[players]]*T_p12135[[#This Row],[stack]]/chips)</calculatedColumnFormula>
    </tableColumn>
    <tableColumn id="6" xr3:uid="{00000000-0010-0000-1100-000006000000}" name="$stack" dataDxfId="258">
      <calculatedColumnFormula>T_p12135[[#This Row],[ICM]]+bounty*T_p12135[[#This Row],[KO]]</calculatedColumnFormula>
    </tableColumn>
  </tableColumns>
  <tableStyleInfo name="TableStyleLight11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2000000}" name="T_p22236" displayName="T_p22236" ref="M15:R21" totalsRowShown="0" tableBorderDxfId="257">
  <autoFilter ref="M15:R21" xr:uid="{00000000-0009-0000-0100-000023000000}"/>
  <tableColumns count="6">
    <tableColumn id="1" xr3:uid="{00000000-0010-0000-1200-000001000000}" name="players" dataDxfId="256" totalsRowDxfId="255">
      <calculatedColumnFormula>COUNTIF(T_p22236[stack],"&gt;0")</calculatedColumnFormula>
    </tableColumn>
    <tableColumn id="2" xr3:uid="{00000000-0010-0000-1200-000002000000}" name="stack" dataDxfId="254" totalsRowDxfId="253">
      <calculatedColumnFormula>IF(T_init2034[[#This Row],[p]]=1,uncalled,IF(T_init2034[[#This Row],[p]]=2,mainpot+sidepot1+sidepot2,IF(T_init2034[[#This Row],[p]]&gt;2,0,T_init2034[[#This Row],[stack]])))</calculatedColumnFormula>
    </tableColumn>
    <tableColumn id="3" xr3:uid="{00000000-0010-0000-1200-000003000000}" name="EQ" totalsRowDxfId="252"/>
    <tableColumn id="4" xr3:uid="{00000000-0010-0000-1200-000004000000}" name="ICM" dataDxfId="251" totalsRowDxfId="250">
      <calculatedColumnFormula>T_p22236[[#This Row],[EQ]]*prize</calculatedColumnFormula>
    </tableColumn>
    <tableColumn id="5" xr3:uid="{00000000-0010-0000-1200-000005000000}" name="KO" dataDxfId="249" totalsRowDxfId="248">
      <calculatedColumnFormula>IF(T_init2034[[#This Row],[p]]=2,T_p22236[[#This Row],[players]]*T_p22236[[#This Row],[stack]]/chips+COUNTIF(T_p22236[stack],0),T_p22236[[#This Row],[players]]*T_p22236[[#This Row],[stack]]/chips)</calculatedColumnFormula>
    </tableColumn>
    <tableColumn id="6" xr3:uid="{00000000-0010-0000-1200-000006000000}" name="$stack" dataDxfId="247">
      <calculatedColumnFormula>T_p22236[[#This Row],[ICM]]+bounty*T_p22236[[#This Row],[KO]]</calculatedColumnFormula>
    </tableColumn>
  </tableColumns>
  <tableStyleInfo name="TableStyleLight11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3000000}" name="T_p3p12337" displayName="T_p3p12337" ref="T15:Y21" totalsRowShown="0" tableBorderDxfId="246">
  <autoFilter ref="T15:Y21" xr:uid="{00000000-0009-0000-0100-000024000000}"/>
  <tableColumns count="6">
    <tableColumn id="1" xr3:uid="{00000000-0010-0000-1300-000001000000}" name="players" dataDxfId="245">
      <calculatedColumnFormula>COUNTIF(T_p3p12337[stack],"&gt;0")</calculatedColumnFormula>
    </tableColumn>
    <tableColumn id="2" xr3:uid="{00000000-0010-0000-1300-000002000000}" name="stack" dataDxfId="244">
      <calculatedColumnFormula>IF(T_init2034[[#This Row],[p]]=1,sidepot1+uncalled,IF(T_init2034[[#This Row],[p]]=3,mainpot,IF(ISBLANK(T_init2034[[#This Row],[p]]),T_init2034[[#This Row],[stack]],0)))</calculatedColumnFormula>
    </tableColumn>
    <tableColumn id="3" xr3:uid="{00000000-0010-0000-1300-000003000000}" name="EQ"/>
    <tableColumn id="4" xr3:uid="{00000000-0010-0000-1300-000004000000}" name="ICM" dataDxfId="243">
      <calculatedColumnFormula>T_p3p12337[[#This Row],[EQ]]*prize</calculatedColumnFormula>
    </tableColumn>
    <tableColumn id="5" xr3:uid="{00000000-0010-0000-1300-000005000000}" name="KO" dataDxfId="242">
      <calculatedColumnFormula>IF(T_init2034[[#This Row],[p]]=1,T_p3p12337[[#This Row],[players]]*T_p3p12337[[#This Row],[stack]]/chips+COUNTIF(T_p3p12337[stack],0),T_p3p12337[[#This Row],[players]]*T_p3p12337[[#This Row],[stack]]/chips)</calculatedColumnFormula>
    </tableColumn>
    <tableColumn id="6" xr3:uid="{00000000-0010-0000-1300-000006000000}" name="$stack" dataDxfId="241">
      <calculatedColumnFormula>T_p3p12337[[#This Row],[ICM]]+bounty*T_p3p12337[[#This Row],[KO]]</calculatedColumnFormula>
    </tableColumn>
  </tableColumns>
  <tableStyleInfo name="TableStyleLight11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14000000}" name="T_p3p22438" displayName="T_p3p22438" ref="AA15:AF21" totalsRowShown="0" tableBorderDxfId="240">
  <autoFilter ref="AA15:AF21" xr:uid="{00000000-0009-0000-0100-000025000000}"/>
  <tableColumns count="6">
    <tableColumn id="1" xr3:uid="{00000000-0010-0000-1400-000001000000}" name="players" dataDxfId="239" totalsRowDxfId="238">
      <calculatedColumnFormula>COUNTIF(T_p3p22438[stack],"&gt;0")</calculatedColumnFormula>
    </tableColumn>
    <tableColumn id="2" xr3:uid="{00000000-0010-0000-1400-000002000000}" name="stack" dataDxfId="237" totalsRowDxfId="236">
      <calculatedColumnFormula>IF(T_init2034[[#This Row],[p]]=1,uncalled,IF(T_init2034[[#This Row],[p]]=2,sidepot1,IF(T_init2034[[#This Row],[p]]=3,mainpot,IF(ISBLANK(T_init2034[[#This Row],[p]]),T_init2034[[#This Row],[stack]],0))))</calculatedColumnFormula>
    </tableColumn>
    <tableColumn id="3" xr3:uid="{00000000-0010-0000-1400-000003000000}" name="EQ" totalsRowDxfId="235"/>
    <tableColumn id="4" xr3:uid="{00000000-0010-0000-1400-000004000000}" name="ICM" dataDxfId="234" totalsRowDxfId="233">
      <calculatedColumnFormula>T_p3p22438[[#This Row],[EQ]]*prize</calculatedColumnFormula>
    </tableColumn>
    <tableColumn id="5" xr3:uid="{00000000-0010-0000-1400-000005000000}" name="KO" dataDxfId="232" totalsRowDxfId="231">
      <calculatedColumnFormula>IF(T_init2034[[#This Row],[p]]=2,T_p3p22438[[#This Row],[players]]*T_p3p22438[[#This Row],[stack]]/chips+COUNTIF(T_p3p22438[stack],0),T_p3p22438[[#This Row],[players]]*T_p3p22438[[#This Row],[stack]]/chips)</calculatedColumnFormula>
    </tableColumn>
    <tableColumn id="6" xr3:uid="{00000000-0010-0000-1400-000006000000}" name="$stack" dataDxfId="230">
      <calculatedColumnFormula>T_p3p22438[[#This Row],[ICM]]+bounty*T_p3p22438[[#This Row],[KO]]</calculatedColumnFormula>
    </tableColumn>
  </tableColumns>
  <tableStyleInfo name="TableStyleLight11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5000000}" name="T_fact2939" displayName="T_fact2939" ref="AI15:AN21" totalsRowShown="0" tableBorderDxfId="229">
  <autoFilter ref="AI15:AN21" xr:uid="{00000000-0009-0000-0100-000026000000}"/>
  <tableColumns count="6">
    <tableColumn id="1" xr3:uid="{00000000-0010-0000-1500-000001000000}" name="players">
      <calculatedColumnFormula>COUNTIF(T_fact2939[stack],"&gt;0")</calculatedColumnFormula>
    </tableColumn>
    <tableColumn id="2" xr3:uid="{00000000-0010-0000-1500-000002000000}" name="stack" dataDxfId="228">
      <calculatedColumnFormula>IF(T_init2034[[#This Row],[p]]=1,mainpot+sidepot1+sidepot2+uncalled,IF(T_init2034[[#This Row],[p]]&gt;1,0,T_init2034[[#This Row],[stack]]))</calculatedColumnFormula>
    </tableColumn>
    <tableColumn id="3" xr3:uid="{00000000-0010-0000-1500-000003000000}" name="EQ"/>
    <tableColumn id="4" xr3:uid="{00000000-0010-0000-1500-000004000000}" name="ICM" dataDxfId="227">
      <calculatedColumnFormula>T_fact2939[[#This Row],[EQ]]*prize</calculatedColumnFormula>
    </tableColumn>
    <tableColumn id="5" xr3:uid="{00000000-0010-0000-1500-000005000000}" name="KO" dataDxfId="226">
      <calculatedColumnFormula>IF(T_init2034[[#This Row],[p]]=1,T_fact2939[[#This Row],[players]]*T_fact2939[[#This Row],[stack]]/chips+COUNTIF(T_fact2939[stack],0),T_fact2939[[#This Row],[players]]*T_fact2939[[#This Row],[stack]]/chips)</calculatedColumnFormula>
    </tableColumn>
    <tableColumn id="6" xr3:uid="{00000000-0010-0000-1500-000006000000}" name="$stack" dataDxfId="225">
      <calculatedColumnFormula>T_fact2939[[#This Row],[ICM]]+bounty*T_fact2939[[#This Row],[KO]]</calculatedColumnFormula>
    </tableColumn>
  </tableColumns>
  <tableStyleInfo name="TableStyleLight11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6000000}" name="T_EV3340" displayName="T_EV3340" ref="AQ15:AV21" totalsRowShown="0" tableBorderDxfId="224">
  <autoFilter ref="AQ15:AV21" xr:uid="{00000000-0009-0000-0100-000027000000}"/>
  <tableColumns count="6">
    <tableColumn id="1" xr3:uid="{00000000-0010-0000-1600-000001000000}" name="ICM" dataDxfId="223">
      <calculatedColumnFormula>'3wKhQs'!p3win* ('3wKhQs'!p1sp1win*T_p3p12337[[#This Row],[ICM]] + '3wKhQs'!p2sp1win*T_p3p22438[[#This Row],[ICM]])
+'3wKhQs'!p2win*T_p22236[[#This Row],[ICM]]
+'3wKhQs'!p1win*T_p12135[[#This Row],[ICM]]</calculatedColumnFormula>
    </tableColumn>
    <tableColumn id="2" xr3:uid="{00000000-0010-0000-1600-000002000000}" name="KO" dataDxfId="222">
      <calculatedColumnFormula>('3wKhQs'!p3win* ('3wKhQs'!p1sp1win*T_p3p12337[[#This Row],[KO]] + '3wKhQs'!p2sp1win*T_p3p22438[[#This Row],[KO]])
+'3wKhQs'!p2win*T_p22236[[#This Row],[KO]]
+'3wKhQs'!p1win*T_p12135[[#This Row],[KO]])*bounty</calculatedColumnFormula>
    </tableColumn>
    <tableColumn id="3" xr3:uid="{00000000-0010-0000-1600-000003000000}" name="EV" dataDxfId="221">
      <calculatedColumnFormula>'3wKhQs'!p3win* ('3wKhQs'!p1sp1win*T_p3p12337[[#This Row],[$stack]] + '3wKhQs'!p2sp1win*T_p3p22438[[#This Row],[$stack]])
+'3wKhQs'!p2win*T_p22236[[#This Row],[$stack]]
+'3wKhQs'!p1win*T_p12135[[#This Row],[$stack]]</calculatedColumnFormula>
    </tableColumn>
    <tableColumn id="4" xr3:uid="{00000000-0010-0000-1600-000004000000}" name="chipEV" dataDxfId="220">
      <calculatedColumnFormula>'3wKhQs'!p3win* ('3wKhQs'!p1sp1win*T_p3p12337[[#This Row],[stack]] + '3wKhQs'!p2sp1win*T_p3p22438[[#This Row],[stack]])
+'3wKhQs'!p2win*T_p22236[[#This Row],[stack]]
+'3wKhQs'!p1win*T_p12135[[#This Row],[stack]]</calculatedColumnFormula>
    </tableColumn>
    <tableColumn id="5" xr3:uid="{00000000-0010-0000-1600-000005000000}" name="cEVdiff" dataDxfId="219">
      <calculatedColumnFormula>T_EV3340[[#This Row],[chipEV]]-T_fact2939[[#This Row],[stack]]</calculatedColumnFormula>
    </tableColumn>
    <tableColumn id="6" xr3:uid="{00000000-0010-0000-1600-000006000000}" name="Evdiff" dataDxfId="218">
      <calculatedColumnFormula>T_EV3340[[#This Row],[EV]]-(T_fact2939[[#This Row],[ICM]]+bounty*T_fact2939[[#This Row],[KO]])</calculatedColumnFormula>
    </tableColumn>
  </tableColumns>
  <tableStyleInfo name="TableStyleLight11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7000000}" name="T_init20" displayName="T_init20" ref="A15:D22" totalsRowCount="1">
  <autoFilter ref="A15:D21" xr:uid="{00000000-0009-0000-0100-00001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700-000001000000}" name="p" totalsRowLabel="Total"/>
    <tableColumn id="2" xr3:uid="{00000000-0010-0000-1700-000002000000}" name="stack"/>
    <tableColumn id="3" xr3:uid="{00000000-0010-0000-1700-000003000000}" name="hand"/>
    <tableColumn id="4" xr3:uid="{00000000-0010-0000-1700-000004000000}" name="pWin" totalsRowFunction="sum"/>
  </tableColumns>
  <tableStyleInfo name="TableStyleLight11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8000000}" name="T_p121" displayName="T_p121" ref="F15:K21" totalsRowShown="0" tableBorderDxfId="217">
  <autoFilter ref="F15:K21" xr:uid="{00000000-0009-0000-0100-000014000000}"/>
  <tableColumns count="6">
    <tableColumn id="1" xr3:uid="{00000000-0010-0000-1800-000001000000}" name="players" dataDxfId="216">
      <calculatedColumnFormula>COUNTIF(T_p121[stack],"&gt;0")</calculatedColumnFormula>
    </tableColumn>
    <tableColumn id="2" xr3:uid="{00000000-0010-0000-1800-000002000000}" name="stack" dataDxfId="215">
      <calculatedColumnFormula>IF(T_init20[[#This Row],[p]]=1,mainpot+sidepot1+sidepot2+uncalled,IF(T_init20[[#This Row],[p]]&gt;1,0,T_init20[[#This Row],[stack]]))</calculatedColumnFormula>
    </tableColumn>
    <tableColumn id="3" xr3:uid="{00000000-0010-0000-1800-000003000000}" name="EQ"/>
    <tableColumn id="4" xr3:uid="{00000000-0010-0000-1800-000004000000}" name="ICM" dataDxfId="214">
      <calculatedColumnFormula>T_p121[[#This Row],[EQ]]*prize</calculatedColumnFormula>
    </tableColumn>
    <tableColumn id="5" xr3:uid="{00000000-0010-0000-1800-000005000000}" name="KO" dataDxfId="213">
      <calculatedColumnFormula>IF(T_init20[[#This Row],[p]]=1,T_p121[[#This Row],[players]]*T_p121[[#This Row],[stack]]/chips+COUNTIF(T_p121[stack],0),T_p121[[#This Row],[players]]*T_p121[[#This Row],[stack]]/chips)</calculatedColumnFormula>
    </tableColumn>
    <tableColumn id="6" xr3:uid="{00000000-0010-0000-1800-000006000000}" name="$stack" dataDxfId="212">
      <calculatedColumnFormula>T_p121[[#This Row],[ICM]]+bounty*T_p121[[#This Row],[KO]]</calculatedColumnFormula>
    </tableColumn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272A0888-75D1-4D89-92C0-828CA4F5BE48}" name="T_p3p224382778576471154178" displayName="T_p3p224382778576471154178" ref="BD16:BI22" totalsRowShown="0" tableBorderDxfId="1344">
  <autoFilter ref="BD16:BI22" xr:uid="{00000000-0009-0000-0100-000025000000}"/>
  <tableColumns count="6">
    <tableColumn id="1" xr3:uid="{969EB40F-B257-4AF3-B45A-213965A314E1}" name="players" dataDxfId="1343" totalsRowDxfId="1342">
      <calculatedColumnFormula>COUNTIF(T_p3p224382778576471154178[stack],"&gt;0")</calculatedColumnFormula>
    </tableColumn>
    <tableColumn id="2" xr3:uid="{92E0D6EE-0DF9-4EFF-9D71-1248700F1111}" name="stack" dataDxfId="1341" totalsRowDxfId="1340">
      <calculatedColumnFormula>IF(T_init2034474536067150174[[#This Row],[p]]=1,uncalled,IF(T_init2034474536067150174[[#This Row],[p]]=2,sidepot1,IF(T_init2034474536067150174[[#This Row],[p]]=3,mainpot,IF(ISBLANK(T_init2034474536067150174[[#This Row],[p]]),T_init2034474536067150174[[#This Row],[stack]]-T_init2034474536067150174[[#This Row],[anteblinds]],0))))</calculatedColumnFormula>
    </tableColumn>
    <tableColumn id="3" xr3:uid="{2655803C-9B54-4C6F-A85E-4FC45333EDD7}" name="EQ" totalsRowDxfId="1339"/>
    <tableColumn id="4" xr3:uid="{81B147DE-E8E3-4C17-97B0-10A8CAF6FC62}" name="ICM" dataDxfId="1338" totalsRowDxfId="1337">
      <calculatedColumnFormula>T_p3p224382778576471154178[[#This Row],[EQ]]*prize</calculatedColumnFormula>
    </tableColumn>
    <tableColumn id="5" xr3:uid="{348C556C-1D36-4376-8B24-645F2626EFA5}" name="KO" dataDxfId="1336" totalsRowDxfId="1335">
      <calculatedColumnFormula>IF(T_init2034474536067150174[[#This Row],[p]]=2,T_p3p224382778576471154178[[#This Row],[players]]*T_p3p224382778576471154178[[#This Row],[stack]]/chips+COUNTIF(T_p3p224382778576471154178[stack],0),T_p3p224382778576471154178[[#This Row],[players]]*T_p3p224382778576471154178[[#This Row],[stack]]/chips)</calculatedColumnFormula>
    </tableColumn>
    <tableColumn id="6" xr3:uid="{768A904C-F7CE-4A02-8B99-313EF509FDA8}" name="$stack" dataDxfId="1334">
      <calculatedColumnFormula>T_p3p224382778576471154178[[#This Row],[ICM]]+bounty*T_p3p224382778576471154178[[#This Row],[KO]]</calculatedColumnFormula>
    </tableColumn>
  </tableColumns>
  <tableStyleInfo name="TableStyleLight11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9000000}" name="T_p222" displayName="T_p222" ref="M15:R21" totalsRowShown="0" tableBorderDxfId="211">
  <autoFilter ref="M15:R21" xr:uid="{00000000-0009-0000-0100-000015000000}"/>
  <tableColumns count="6">
    <tableColumn id="1" xr3:uid="{00000000-0010-0000-1900-000001000000}" name="players" dataDxfId="210" totalsRowDxfId="209">
      <calculatedColumnFormula>COUNTIF(T_p222[stack],"&gt;0")</calculatedColumnFormula>
    </tableColumn>
    <tableColumn id="2" xr3:uid="{00000000-0010-0000-1900-000002000000}" name="stack" dataDxfId="208" totalsRowDxfId="207">
      <calculatedColumnFormula>IF(T_init20[[#This Row],[p]]=1,uncalled,IF(T_init20[[#This Row],[p]]=2,mainpot+sidepot1+sidepot2,IF(T_init20[[#This Row],[p]]&gt;2,0,T_init20[[#This Row],[stack]])))</calculatedColumnFormula>
    </tableColumn>
    <tableColumn id="3" xr3:uid="{00000000-0010-0000-1900-000003000000}" name="EQ" totalsRowDxfId="206"/>
    <tableColumn id="4" xr3:uid="{00000000-0010-0000-1900-000004000000}" name="ICM" dataDxfId="205" totalsRowDxfId="204">
      <calculatedColumnFormula>T_p222[[#This Row],[EQ]]*prize</calculatedColumnFormula>
    </tableColumn>
    <tableColumn id="5" xr3:uid="{00000000-0010-0000-1900-000005000000}" name="KO" dataDxfId="203" totalsRowDxfId="202">
      <calculatedColumnFormula>IF(T_init20[[#This Row],[p]]=2,T_p222[[#This Row],[players]]*T_p222[[#This Row],[stack]]/chips+COUNTIF(T_p222[stack],0),T_p222[[#This Row],[players]]*T_p222[[#This Row],[stack]]/chips)</calculatedColumnFormula>
    </tableColumn>
    <tableColumn id="6" xr3:uid="{00000000-0010-0000-1900-000006000000}" name="$stack" dataDxfId="201">
      <calculatedColumnFormula>T_p222[[#This Row],[ICM]]+bounty*T_p222[[#This Row],[KO]]</calculatedColumnFormula>
    </tableColumn>
  </tableColumns>
  <tableStyleInfo name="TableStyleLight11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A000000}" name="T_p3p123" displayName="T_p3p123" ref="T15:Y21" totalsRowShown="0" tableBorderDxfId="200">
  <autoFilter ref="T15:Y21" xr:uid="{00000000-0009-0000-0100-000016000000}"/>
  <tableColumns count="6">
    <tableColumn id="1" xr3:uid="{00000000-0010-0000-1A00-000001000000}" name="players" dataDxfId="199">
      <calculatedColumnFormula>COUNTIF(T_p3p123[stack],"&gt;0")</calculatedColumnFormula>
    </tableColumn>
    <tableColumn id="2" xr3:uid="{00000000-0010-0000-1A00-000002000000}" name="stack" dataDxfId="198">
      <calculatedColumnFormula>IF(T_init20[[#This Row],[p]]=1,sidepot1+uncalled,IF(T_init20[[#This Row],[p]]=3,mainpot,IF(ISBLANK(T_init20[[#This Row],[p]]),T_init20[[#This Row],[stack]],0)))</calculatedColumnFormula>
    </tableColumn>
    <tableColumn id="3" xr3:uid="{00000000-0010-0000-1A00-000003000000}" name="EQ"/>
    <tableColumn id="4" xr3:uid="{00000000-0010-0000-1A00-000004000000}" name="ICM" dataDxfId="197">
      <calculatedColumnFormula>T_p3p123[[#This Row],[EQ]]*prize</calculatedColumnFormula>
    </tableColumn>
    <tableColumn id="5" xr3:uid="{00000000-0010-0000-1A00-000005000000}" name="KO" dataDxfId="196">
      <calculatedColumnFormula>IF(T_init20[[#This Row],[p]]=1,T_p3p123[[#This Row],[players]]*T_p3p123[[#This Row],[stack]]/chips+COUNTIF(T_p3p123[stack],0),T_p3p123[[#This Row],[players]]*T_p3p123[[#This Row],[stack]]/chips)</calculatedColumnFormula>
    </tableColumn>
    <tableColumn id="6" xr3:uid="{00000000-0010-0000-1A00-000006000000}" name="$stack" dataDxfId="195">
      <calculatedColumnFormula>T_p3p123[[#This Row],[ICM]]+bounty*T_p3p123[[#This Row],[KO]]</calculatedColumnFormula>
    </tableColumn>
  </tableColumns>
  <tableStyleInfo name="TableStyleLight11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B000000}" name="T_p3p224" displayName="T_p3p224" ref="AA15:AF21" totalsRowShown="0" tableBorderDxfId="194">
  <autoFilter ref="AA15:AF21" xr:uid="{00000000-0009-0000-0100-000017000000}"/>
  <tableColumns count="6">
    <tableColumn id="1" xr3:uid="{00000000-0010-0000-1B00-000001000000}" name="players" dataDxfId="193" totalsRowDxfId="192">
      <calculatedColumnFormula>COUNTIF(T_p3p224[stack],"&gt;0")</calculatedColumnFormula>
    </tableColumn>
    <tableColumn id="2" xr3:uid="{00000000-0010-0000-1B00-000002000000}" name="stack" dataDxfId="191" totalsRowDxfId="190">
      <calculatedColumnFormula>IF(T_init20[[#This Row],[p]]=1,uncalled,IF(T_init20[[#This Row],[p]]=2,sidepot1,IF(T_init20[[#This Row],[p]]=3,mainpot,IF(ISBLANK(T_init20[[#This Row],[p]]),T_init20[[#This Row],[stack]],0))))</calculatedColumnFormula>
    </tableColumn>
    <tableColumn id="3" xr3:uid="{00000000-0010-0000-1B00-000003000000}" name="EQ" totalsRowDxfId="189"/>
    <tableColumn id="4" xr3:uid="{00000000-0010-0000-1B00-000004000000}" name="ICM" dataDxfId="188" totalsRowDxfId="187">
      <calculatedColumnFormula>T_p3p224[[#This Row],[EQ]]*prize</calculatedColumnFormula>
    </tableColumn>
    <tableColumn id="5" xr3:uid="{00000000-0010-0000-1B00-000005000000}" name="KO" dataDxfId="186" totalsRowDxfId="185">
      <calculatedColumnFormula>IF(T_init20[[#This Row],[p]]=2,T_p3p224[[#This Row],[players]]*T_p3p224[[#This Row],[stack]]/chips+COUNTIF(T_p3p224[stack],0),T_p3p224[[#This Row],[players]]*T_p3p224[[#This Row],[stack]]/chips)</calculatedColumnFormula>
    </tableColumn>
    <tableColumn id="6" xr3:uid="{00000000-0010-0000-1B00-000006000000}" name="$stack" dataDxfId="184">
      <calculatedColumnFormula>T_p3p224[[#This Row],[ICM]]+bounty*T_p3p224[[#This Row],[KO]]</calculatedColumnFormula>
    </tableColumn>
  </tableColumns>
  <tableStyleInfo name="TableStyleLight11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C000000}" name="T_fact29" displayName="T_fact29" ref="AI15:AN21" totalsRowShown="0" tableBorderDxfId="183">
  <autoFilter ref="AI15:AN21" xr:uid="{00000000-0009-0000-0100-00001C000000}"/>
  <tableColumns count="6">
    <tableColumn id="1" xr3:uid="{00000000-0010-0000-1C00-000001000000}" name="players">
      <calculatedColumnFormula>COUNTIF(T_fact29[stack],"&gt;0")</calculatedColumnFormula>
    </tableColumn>
    <tableColumn id="2" xr3:uid="{00000000-0010-0000-1C00-000002000000}" name="stack" dataDxfId="182">
      <calculatedColumnFormula>IF(T_init20[[#This Row],[p]]=1,mainpot+sidepot1+sidepot2+uncalled,IF(T_init20[[#This Row],[p]]&gt;1,0,T_init20[[#This Row],[stack]]))</calculatedColumnFormula>
    </tableColumn>
    <tableColumn id="3" xr3:uid="{00000000-0010-0000-1C00-000003000000}" name="EQ"/>
    <tableColumn id="4" xr3:uid="{00000000-0010-0000-1C00-000004000000}" name="ICM" dataDxfId="181">
      <calculatedColumnFormula>T_fact29[[#This Row],[EQ]]*prize</calculatedColumnFormula>
    </tableColumn>
    <tableColumn id="5" xr3:uid="{00000000-0010-0000-1C00-000005000000}" name="KO" dataDxfId="180">
      <calculatedColumnFormula>IF(T_init20[[#This Row],[p]]=1,T_fact29[[#This Row],[players]]*T_fact29[[#This Row],[stack]]/chips+COUNTIF(T_fact29[stack],0),T_fact29[[#This Row],[players]]*T_fact29[[#This Row],[stack]]/chips)</calculatedColumnFormula>
    </tableColumn>
    <tableColumn id="6" xr3:uid="{00000000-0010-0000-1C00-000006000000}" name="$stack" dataDxfId="179">
      <calculatedColumnFormula>T_fact29[[#This Row],[ICM]]+bounty*T_fact29[[#This Row],[KO]]</calculatedColumnFormula>
    </tableColumn>
  </tableColumns>
  <tableStyleInfo name="TableStyleLight11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_EV33" displayName="T_EV33" ref="AQ15:AV21" totalsRowShown="0" tableBorderDxfId="178">
  <autoFilter ref="AQ15:AV21" xr:uid="{00000000-0009-0000-0100-000020000000}"/>
  <tableColumns count="6">
    <tableColumn id="1" xr3:uid="{00000000-0010-0000-1D00-000001000000}" name="ICM" dataDxfId="177">
      <calculatedColumnFormula>'3wAdKd'!p3win* ('3wAdKd'!p1sp1win*T_p3p123[[#This Row],[ICM]] + '3wAdKd'!p2sp1win*T_p3p224[[#This Row],[ICM]])
+'3wAdKd'!p2win*T_p222[[#This Row],[ICM]]
+'3wAdKd'!p1win*T_p121[[#This Row],[ICM]]</calculatedColumnFormula>
    </tableColumn>
    <tableColumn id="2" xr3:uid="{00000000-0010-0000-1D00-000002000000}" name="KO" dataDxfId="176">
      <calculatedColumnFormula>('3wAdKd'!p3win* ('3wAdKd'!p1sp1win*T_p3p123[[#This Row],[KO]] + '3wAdKd'!p2sp1win*T_p3p224[[#This Row],[KO]])
+'3wAdKd'!p2win*T_p222[[#This Row],[KO]]
+'3wAdKd'!p1win*T_p121[[#This Row],[KO]])*bounty</calculatedColumnFormula>
    </tableColumn>
    <tableColumn id="3" xr3:uid="{00000000-0010-0000-1D00-000003000000}" name="EV" dataDxfId="175">
      <calculatedColumnFormula>'3wAdKd'!p3win* ('3wAdKd'!p1sp1win*T_p3p123[[#This Row],[$stack]] + '3wAdKd'!p2sp1win*T_p3p224[[#This Row],[$stack]])
+'3wAdKd'!p2win*T_p222[[#This Row],[$stack]]
+'3wAdKd'!p1win*T_p121[[#This Row],[$stack]]</calculatedColumnFormula>
    </tableColumn>
    <tableColumn id="4" xr3:uid="{00000000-0010-0000-1D00-000004000000}" name="chipEV" dataDxfId="174">
      <calculatedColumnFormula>'3wAdKd'!p3win* ('3wAdKd'!p1sp1win*T_p3p123[[#This Row],[stack]] + '3wAdKd'!p2sp1win*T_p3p224[[#This Row],[stack]])
+'3wAdKd'!p2win*T_p222[[#This Row],[stack]]
+'3wAdKd'!p1win*T_p121[[#This Row],[stack]]</calculatedColumnFormula>
    </tableColumn>
    <tableColumn id="5" xr3:uid="{00000000-0010-0000-1D00-000005000000}" name="cEVdiff" dataDxfId="173">
      <calculatedColumnFormula>T_EV33[[#This Row],[chipEV]]-T_fact29[[#This Row],[stack]]</calculatedColumnFormula>
    </tableColumn>
    <tableColumn id="6" xr3:uid="{00000000-0010-0000-1D00-000006000000}" name="Evdiff" dataDxfId="172">
      <calculatedColumnFormula>T_EV33[[#This Row],[EV]]-(T_fact29[[#This Row],[ICM]]+bounty*T_fact29[[#This Row],[KO]])</calculatedColumnFormula>
    </tableColumn>
  </tableColumns>
  <tableStyleInfo name="TableStyleLight11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E000000}" name="T_init2041" displayName="T_init2041" ref="A15:D19" totalsRowCount="1">
  <autoFilter ref="A15:D18" xr:uid="{00000000-0009-0000-0100-00002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E00-000001000000}" name="p" totalsRowLabel="Total"/>
    <tableColumn id="2" xr3:uid="{00000000-0010-0000-1E00-000002000000}" name="stack"/>
    <tableColumn id="3" xr3:uid="{00000000-0010-0000-1E00-000003000000}" name="hand"/>
    <tableColumn id="4" xr3:uid="{00000000-0010-0000-1E00-000004000000}" name="pWin" totalsRowFunction="sum"/>
  </tableColumns>
  <tableStyleInfo name="TableStyleLight11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F000000}" name="T_p12142" displayName="T_p12142" ref="F15:K18" totalsRowShown="0" tableBorderDxfId="171">
  <autoFilter ref="F15:K18" xr:uid="{00000000-0009-0000-0100-000029000000}"/>
  <tableColumns count="6">
    <tableColumn id="1" xr3:uid="{00000000-0010-0000-1F00-000001000000}" name="players" dataDxfId="170">
      <calculatedColumnFormula>COUNTIF(T_p12142[stack],"&gt;0")</calculatedColumnFormula>
    </tableColumn>
    <tableColumn id="2" xr3:uid="{00000000-0010-0000-1F00-000002000000}" name="stack" dataDxfId="169">
      <calculatedColumnFormula>IF(T_init2041[[#This Row],[p]]=1,mainpot+sidepot1+sidepot2+uncalled,IF(T_init2041[[#This Row],[p]]&gt;1,0,T_init2041[[#This Row],[stack]]))</calculatedColumnFormula>
    </tableColumn>
    <tableColumn id="3" xr3:uid="{00000000-0010-0000-1F00-000003000000}" name="EQ"/>
    <tableColumn id="4" xr3:uid="{00000000-0010-0000-1F00-000004000000}" name="ICM" dataDxfId="168">
      <calculatedColumnFormula>T_p12142[[#This Row],[EQ]]*prize</calculatedColumnFormula>
    </tableColumn>
    <tableColumn id="5" xr3:uid="{00000000-0010-0000-1F00-000005000000}" name="KO" dataDxfId="167">
      <calculatedColumnFormula>IF(T_init2041[[#This Row],[p]]=1,T_p12142[[#This Row],[players]]*T_p12142[[#This Row],[stack]]/chips+COUNTIF(T_p12142[stack],0),T_p12142[[#This Row],[players]]*T_p12142[[#This Row],[stack]]/chips)</calculatedColumnFormula>
    </tableColumn>
    <tableColumn id="6" xr3:uid="{00000000-0010-0000-1F00-000006000000}" name="$stack" dataDxfId="166">
      <calculatedColumnFormula>T_p12142[[#This Row],[ICM]]+bounty*T_p12142[[#This Row],[KO]]</calculatedColumnFormula>
    </tableColumn>
  </tableColumns>
  <tableStyleInfo name="TableStyleLight11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0000000}" name="T_p22243" displayName="T_p22243" ref="M15:R18" totalsRowShown="0" tableBorderDxfId="165">
  <autoFilter ref="M15:R18" xr:uid="{00000000-0009-0000-0100-00002A000000}"/>
  <tableColumns count="6">
    <tableColumn id="1" xr3:uid="{00000000-0010-0000-2000-000001000000}" name="players" dataDxfId="164" totalsRowDxfId="163">
      <calculatedColumnFormula>COUNTIF(T_p22243[stack],"&gt;0")</calculatedColumnFormula>
    </tableColumn>
    <tableColumn id="2" xr3:uid="{00000000-0010-0000-2000-000002000000}" name="stack" dataDxfId="162" totalsRowDxfId="161">
      <calculatedColumnFormula>IF(T_init2041[[#This Row],[p]]=1,uncalled,IF(T_init2041[[#This Row],[p]]=2,mainpot+sidepot1+sidepot2,IF(T_init2041[[#This Row],[p]]&gt;2,0,T_init2041[[#This Row],[stack]])))</calculatedColumnFormula>
    </tableColumn>
    <tableColumn id="3" xr3:uid="{00000000-0010-0000-2000-000003000000}" name="EQ" totalsRowDxfId="160"/>
    <tableColumn id="4" xr3:uid="{00000000-0010-0000-2000-000004000000}" name="ICM" dataDxfId="159" totalsRowDxfId="158">
      <calculatedColumnFormula>T_p22243[[#This Row],[EQ]]*prize</calculatedColumnFormula>
    </tableColumn>
    <tableColumn id="5" xr3:uid="{00000000-0010-0000-2000-000005000000}" name="KO" dataDxfId="157" totalsRowDxfId="156">
      <calculatedColumnFormula>IF(T_init2041[[#This Row],[p]]=2,T_p22243[[#This Row],[players]]*T_p22243[[#This Row],[stack]]/chips+COUNTIF(T_p22243[stack],0),T_p22243[[#This Row],[players]]*T_p22243[[#This Row],[stack]]/chips)</calculatedColumnFormula>
    </tableColumn>
    <tableColumn id="6" xr3:uid="{00000000-0010-0000-2000-000006000000}" name="$stack" dataDxfId="155">
      <calculatedColumnFormula>T_p22243[[#This Row],[ICM]]+bounty*T_p22243[[#This Row],[KO]]</calculatedColumnFormula>
    </tableColumn>
  </tableColumns>
  <tableStyleInfo name="TableStyleLight11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1000000}" name="T_p3p12344" displayName="T_p3p12344" ref="T15:Y18" totalsRowShown="0" tableBorderDxfId="154">
  <autoFilter ref="T15:Y18" xr:uid="{00000000-0009-0000-0100-00002B000000}"/>
  <tableColumns count="6">
    <tableColumn id="1" xr3:uid="{00000000-0010-0000-2100-000001000000}" name="players" dataDxfId="153">
      <calculatedColumnFormula>COUNTIF(T_p3p12344[stack],"&gt;0")</calculatedColumnFormula>
    </tableColumn>
    <tableColumn id="2" xr3:uid="{00000000-0010-0000-2100-000002000000}" name="stack" dataDxfId="152">
      <calculatedColumnFormula>IF(T_init2041[[#This Row],[p]]=1,sidepot1+uncalled,IF(T_init2041[[#This Row],[p]]=3,mainpot,IF(ISBLANK(T_init2041[[#This Row],[p]]),T_init2041[[#This Row],[stack]],0)))</calculatedColumnFormula>
    </tableColumn>
    <tableColumn id="3" xr3:uid="{00000000-0010-0000-2100-000003000000}" name="EQ"/>
    <tableColumn id="4" xr3:uid="{00000000-0010-0000-2100-000004000000}" name="ICM" dataDxfId="151">
      <calculatedColumnFormula>T_p3p12344[[#This Row],[EQ]]*prize</calculatedColumnFormula>
    </tableColumn>
    <tableColumn id="5" xr3:uid="{00000000-0010-0000-2100-000005000000}" name="KO" dataDxfId="150">
      <calculatedColumnFormula>IF(T_init2041[[#This Row],[p]]=1,T_p3p12344[[#This Row],[players]]*T_p3p12344[[#This Row],[stack]]/chips+COUNTIF(T_p3p12344[stack],0),T_p3p12344[[#This Row],[players]]*T_p3p12344[[#This Row],[stack]]/chips)</calculatedColumnFormula>
    </tableColumn>
    <tableColumn id="6" xr3:uid="{00000000-0010-0000-2100-000006000000}" name="$stack" dataDxfId="149">
      <calculatedColumnFormula>T_p3p12344[[#This Row],[ICM]]+bounty*T_p3p12344[[#This Row],[KO]]</calculatedColumnFormula>
    </tableColumn>
  </tableColumns>
  <tableStyleInfo name="TableStyleLight11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2000000}" name="T_p3p22445" displayName="T_p3p22445" ref="AA15:AF18" totalsRowShown="0" tableBorderDxfId="148">
  <autoFilter ref="AA15:AF18" xr:uid="{00000000-0009-0000-0100-00002C000000}"/>
  <tableColumns count="6">
    <tableColumn id="1" xr3:uid="{00000000-0010-0000-2200-000001000000}" name="players" dataDxfId="147" totalsRowDxfId="146">
      <calculatedColumnFormula>COUNTIF(T_p3p22445[stack],"&gt;0")</calculatedColumnFormula>
    </tableColumn>
    <tableColumn id="2" xr3:uid="{00000000-0010-0000-2200-000002000000}" name="stack" dataDxfId="145" totalsRowDxfId="144">
      <calculatedColumnFormula>IF(T_init2041[[#This Row],[p]]=1,uncalled,IF(T_init2041[[#This Row],[p]]=2,sidepot1,IF(T_init2041[[#This Row],[p]]=3,mainpot,IF(ISBLANK(T_init2041[[#This Row],[p]]),T_init2041[[#This Row],[stack]],0))))</calculatedColumnFormula>
    </tableColumn>
    <tableColumn id="3" xr3:uid="{00000000-0010-0000-2200-000003000000}" name="EQ" totalsRowDxfId="143"/>
    <tableColumn id="4" xr3:uid="{00000000-0010-0000-2200-000004000000}" name="ICM" dataDxfId="142" totalsRowDxfId="141">
      <calculatedColumnFormula>T_p3p22445[[#This Row],[EQ]]*prize</calculatedColumnFormula>
    </tableColumn>
    <tableColumn id="5" xr3:uid="{00000000-0010-0000-2200-000005000000}" name="KO" dataDxfId="140" totalsRowDxfId="139">
      <calculatedColumnFormula>IF(T_init2041[[#This Row],[p]]=2,T_p3p22445[[#This Row],[players]]*T_p3p22445[[#This Row],[stack]]/chips+COUNTIF(T_p3p22445[stack],0),T_p3p22445[[#This Row],[players]]*T_p3p22445[[#This Row],[stack]]/chips)</calculatedColumnFormula>
    </tableColumn>
    <tableColumn id="6" xr3:uid="{00000000-0010-0000-2200-000006000000}" name="$stack" dataDxfId="138">
      <calculatedColumnFormula>T_p3p22445[[#This Row],[ICM]]+bounty*T_p3p22445[[#This Row],[KO]]</calculatedColumnFormula>
    </tableColumn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F0AD2CEA-7799-4BA1-95F9-854834943071}" name="T_fact29392879586572155179" displayName="T_fact29392879586572155179" ref="BR16:BW22" totalsRowShown="0" tableBorderDxfId="1333">
  <autoFilter ref="BR16:BW22" xr:uid="{00000000-0009-0000-0100-000026000000}"/>
  <tableColumns count="6">
    <tableColumn id="1" xr3:uid="{354A32CA-87AB-419D-8449-6EF90B19156E}" name="players">
      <calculatedColumnFormula>COUNTIF(T_fact29392879586572155179[stack],"&gt;0")</calculatedColumnFormula>
    </tableColumn>
    <tableColumn id="2" xr3:uid="{A126BA01-7901-40A2-ACAA-893E29A20351}" name="stack" dataDxfId="1332">
      <calculatedColumnFormula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calculatedColumnFormula>
    </tableColumn>
    <tableColumn id="3" xr3:uid="{53D79AE2-FCDE-447B-B89F-9ACD34CF2808}" name="EQ"/>
    <tableColumn id="4" xr3:uid="{92483B35-3A69-4C35-BF14-88686AA5EA3B}" name="ICM" dataDxfId="1331">
      <calculatedColumnFormula>T_fact29392879586572155179[[#This Row],[EQ]]*prize</calculatedColumnFormula>
    </tableColumn>
    <tableColumn id="5" xr3:uid="{82124B6D-AC0A-4920-B078-447F530A35C0}" name="KO" dataDxfId="1330">
      <calculatedColumnFormula>IF(T_init2034474536067150174[[#This Row],[p]]=1,T_fact29392879586572155179[[#This Row],[players]]*T_fact29392879586572155179[[#This Row],[stack]]/chips+COUNTIF(T_fact29392879586572155179[stack],0),T_fact29392879586572155179[[#This Row],[players]]*T_fact29392879586572155179[[#This Row],[stack]]/chips)</calculatedColumnFormula>
    </tableColumn>
    <tableColumn id="6" xr3:uid="{F6E92B16-55EB-4604-B97C-249D82EF2964}" name="$stack" dataDxfId="1329">
      <calculatedColumnFormula>T_fact29392879586572155179[[#This Row],[ICM]]+bounty*T_fact29392879586572155179[[#This Row],[KO]]</calculatedColumnFormula>
    </tableColumn>
  </tableColumns>
  <tableStyleInfo name="TableStyleLight11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3000000}" name="T_fact2946" displayName="T_fact2946" ref="AI15:AN18" totalsRowShown="0" tableBorderDxfId="137">
  <autoFilter ref="AI15:AN18" xr:uid="{00000000-0009-0000-0100-00002D000000}"/>
  <tableColumns count="6">
    <tableColumn id="1" xr3:uid="{00000000-0010-0000-2300-000001000000}" name="players">
      <calculatedColumnFormula>COUNTIF(T_fact2946[stack],"&gt;0")</calculatedColumnFormula>
    </tableColumn>
    <tableColumn id="2" xr3:uid="{00000000-0010-0000-2300-000002000000}" name="stack" dataDxfId="136">
      <calculatedColumnFormula>IF(T_init2041[[#This Row],[p]]=1,sidepot1+uncalled,IF(T_init2041[[#This Row],[p]]=3,mainpot,IF(ISBLANK(T_init2041[[#This Row],[p]]),T_init2041[[#This Row],[stack]],0)))</calculatedColumnFormula>
    </tableColumn>
    <tableColumn id="3" xr3:uid="{00000000-0010-0000-2300-000003000000}" name="EQ"/>
    <tableColumn id="4" xr3:uid="{00000000-0010-0000-2300-000004000000}" name="ICM" dataDxfId="135">
      <calculatedColumnFormula>T_fact2946[[#This Row],[EQ]]*prize</calculatedColumnFormula>
    </tableColumn>
    <tableColumn id="5" xr3:uid="{00000000-0010-0000-2300-000005000000}" name="KO" dataDxfId="134">
      <calculatedColumnFormula>IF(T_init2041[[#This Row],[p]]=1,T_fact2946[[#This Row],[players]]*T_fact2946[[#This Row],[stack]]/chips+COUNTIF(T_fact2946[stack],0),T_fact2946[[#This Row],[players]]*T_fact2946[[#This Row],[stack]]/chips)</calculatedColumnFormula>
    </tableColumn>
    <tableColumn id="6" xr3:uid="{00000000-0010-0000-2300-000006000000}" name="$stack" dataDxfId="133">
      <calculatedColumnFormula>T_fact2946[[#This Row],[ICM]]+bounty*T_fact2946[[#This Row],[KO]]</calculatedColumnFormula>
    </tableColumn>
  </tableColumns>
  <tableStyleInfo name="TableStyleLight11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4000000}" name="T_EV3347" displayName="T_EV3347" ref="AQ15:AV18" totalsRowShown="0" tableBorderDxfId="132">
  <autoFilter ref="AQ15:AV18" xr:uid="{00000000-0009-0000-0100-00002E000000}"/>
  <tableColumns count="6">
    <tableColumn id="1" xr3:uid="{00000000-0010-0000-2400-000001000000}" name="ICM" dataDxfId="131">
      <calculatedColumnFormula>'3wAh9s'!p3win* ('3wAh9s'!p1sp1win*T_p3p12344[[#This Row],[ICM]] + '3wAh9s'!p2sp1win*T_p3p22445[[#This Row],[ICM]])
+'3wAh9s'!p2win*T_p22243[[#This Row],[ICM]]
+'3wAh9s'!p1win*T_p12142[[#This Row],[ICM]]</calculatedColumnFormula>
    </tableColumn>
    <tableColumn id="2" xr3:uid="{00000000-0010-0000-2400-000002000000}" name="KO" dataDxfId="130">
      <calculatedColumnFormula>('3wAh9s'!p3win* ('3wAh9s'!p1sp1win*T_p3p12344[[#This Row],[KO]] + '3wAh9s'!p2sp1win*T_p3p22445[[#This Row],[KO]])
+'3wAh9s'!p2win*T_p22243[[#This Row],[KO]]
+'3wAh9s'!p1win*T_p12142[[#This Row],[KO]])*bounty</calculatedColumnFormula>
    </tableColumn>
    <tableColumn id="3" xr3:uid="{00000000-0010-0000-2400-000003000000}" name="EV" dataDxfId="129">
      <calculatedColumnFormula>'3wAh9s'!p3win* ('3wAh9s'!p1sp1win*T_p3p12344[[#This Row],[$stack]] + '3wAh9s'!p2sp1win*T_p3p22445[[#This Row],[$stack]])
+'3wAh9s'!p2win*T_p22243[[#This Row],[$stack]]
+'3wAh9s'!p1win*T_p12142[[#This Row],[$stack]]</calculatedColumnFormula>
    </tableColumn>
    <tableColumn id="4" xr3:uid="{00000000-0010-0000-2400-000004000000}" name="chipEV" dataDxfId="128">
      <calculatedColumnFormula>'3wAh9s'!p3win* ('3wAh9s'!p1sp1win*T_p3p12344[[#This Row],[stack]] + '3wAh9s'!p2sp1win*T_p3p22445[[#This Row],[stack]])
+'3wAh9s'!p2win*T_p22243[[#This Row],[stack]]
+'3wAh9s'!p1win*T_p12142[[#This Row],[stack]]</calculatedColumnFormula>
    </tableColumn>
    <tableColumn id="5" xr3:uid="{00000000-0010-0000-2400-000005000000}" name="cEVdiff" dataDxfId="127">
      <calculatedColumnFormula>T_EV3347[[#This Row],[chipEV]]-T_fact2946[[#This Row],[stack]]</calculatedColumnFormula>
    </tableColumn>
    <tableColumn id="6" xr3:uid="{00000000-0010-0000-2400-000006000000}" name="Evdiff" dataDxfId="126">
      <calculatedColumnFormula>T_EV3347[[#This Row],[EV]]-(T_fact2946[[#This Row],[ICM]]+bounty*T_fact2946[[#This Row],[KO]])</calculatedColumnFormula>
    </tableColumn>
  </tableColumns>
  <tableStyleInfo name="TableStyleLight11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AK14" tableBorderDxfId="125">
  <autoFilter ref="A8:AK14" xr:uid="{00000000-0009-0000-0100-000001000000}">
    <filterColumn colId="1" hiddenButton="1"/>
    <filterColumn colId="2" hiddenButton="1"/>
    <filterColumn colId="3" hiddenButton="1"/>
    <filterColumn colId="5" hiddenButton="1"/>
    <filterColumn colId="6" hiddenButton="1"/>
    <filterColumn colId="7" hiddenButton="1"/>
    <filterColumn colId="8" hiddenButton="1"/>
    <filterColumn colId="10" hiddenButton="1"/>
    <filterColumn colId="11" hiddenButton="1"/>
    <filterColumn colId="12" hiddenButton="1"/>
    <filterColumn colId="13" hiddenButton="1"/>
    <filterColumn colId="20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7">
    <tableColumn id="35" xr3:uid="{00000000-0010-0000-0100-000023000000}" name="players" totalsRowLabel="Total"/>
    <tableColumn id="1" xr3:uid="{00000000-0010-0000-0100-000001000000}" name="stack"/>
    <tableColumn id="2" xr3:uid="{00000000-0010-0000-0100-000002000000}" name="hand"/>
    <tableColumn id="3" xr3:uid="{00000000-0010-0000-0100-000003000000}" name="pWin"/>
    <tableColumn id="30" xr3:uid="{00000000-0010-0000-0100-00001E000000}" name="players1"/>
    <tableColumn id="4" xr3:uid="{00000000-0010-0000-0100-000004000000}" name="stack1" dataDxfId="124" totalsRowDxfId="123"/>
    <tableColumn id="5" xr3:uid="{00000000-0010-0000-0100-000005000000}" name="EQ1"/>
    <tableColumn id="6" xr3:uid="{00000000-0010-0000-0100-000006000000}" name="ICM1" dataDxfId="122">
      <calculatedColumnFormula>Table1[[#This Row],[EQ1]]*prize</calculatedColumnFormula>
    </tableColumn>
    <tableColumn id="7" xr3:uid="{00000000-0010-0000-0100-000007000000}" name="KO1" dataDxfId="121"/>
    <tableColumn id="31" xr3:uid="{00000000-0010-0000-0100-00001F000000}" name="players2" dataDxfId="120"/>
    <tableColumn id="8" xr3:uid="{00000000-0010-0000-0100-000008000000}" name="stack2" dataDxfId="119" totalsRowDxfId="118"/>
    <tableColumn id="9" xr3:uid="{00000000-0010-0000-0100-000009000000}" name="EQ2"/>
    <tableColumn id="10" xr3:uid="{00000000-0010-0000-0100-00000A000000}" name="ICM2" dataDxfId="117">
      <calculatedColumnFormula>Table1[[#This Row],[EQ2]]*prize</calculatedColumnFormula>
    </tableColumn>
    <tableColumn id="11" xr3:uid="{00000000-0010-0000-0100-00000B000000}" name="KO2" dataDxfId="116" totalsRowDxfId="115">
      <calculatedColumnFormula>5*Table2[[#This Row],[stacklose]]/3000</calculatedColumnFormula>
    </tableColumn>
    <tableColumn id="32" xr3:uid="{00000000-0010-0000-0100-000020000000}" name="KO22" dataDxfId="114"/>
    <tableColumn id="40" xr3:uid="{00000000-0010-0000-0100-000028000000}" name="playersside1" dataDxfId="113" totalsRowDxfId="112"/>
    <tableColumn id="39" xr3:uid="{00000000-0010-0000-0100-000027000000}" name="stackside1" dataDxfId="111"/>
    <tableColumn id="38" xr3:uid="{00000000-0010-0000-0100-000026000000}" name="EQside1" dataDxfId="110"/>
    <tableColumn id="37" xr3:uid="{00000000-0010-0000-0100-000025000000}" name="ICMside1" dataDxfId="109">
      <calculatedColumnFormula>Table1[[#This Row],[EQside1]]*prize</calculatedColumnFormula>
    </tableColumn>
    <tableColumn id="36" xr3:uid="{00000000-0010-0000-0100-000024000000}" name="KOside1" dataDxfId="108" totalsRowDxfId="107">
      <calculatedColumnFormula>Table1[[#This Row],[playersside1]]*Table1[[#This Row],[stackside1]]/3000</calculatedColumnFormula>
    </tableColumn>
    <tableColumn id="16" xr3:uid="{00000000-0010-0000-0100-000010000000}" name=" 2"/>
    <tableColumn id="47" xr3:uid="{00000000-0010-0000-0100-00002F000000}" name="playersside2" dataDxfId="106" totalsRowDxfId="105"/>
    <tableColumn id="46" xr3:uid="{00000000-0010-0000-0100-00002E000000}" name="stackside2"/>
    <tableColumn id="45" xr3:uid="{00000000-0010-0000-0100-00002D000000}" name="EQside2"/>
    <tableColumn id="44" xr3:uid="{00000000-0010-0000-0100-00002C000000}" name="ICMside2" dataDxfId="104">
      <calculatedColumnFormula>Table1[[#This Row],[EQside2]]*prize</calculatedColumnFormula>
    </tableColumn>
    <tableColumn id="43" xr3:uid="{00000000-0010-0000-0100-00002B000000}" name="KOside2" dataDxfId="103" totalsRowDxfId="102">
      <calculatedColumnFormula>Table1[[#This Row],[playersside2]]*Table1[[#This Row],[stackside2]]/3000</calculatedColumnFormula>
    </tableColumn>
    <tableColumn id="42" xr3:uid="{00000000-0010-0000-0100-00002A000000}" name=" 3"/>
    <tableColumn id="34" xr3:uid="{00000000-0010-0000-0100-000022000000}" name="playersf" dataDxfId="101" totalsRowDxfId="100"/>
    <tableColumn id="17" xr3:uid="{00000000-0010-0000-0100-000011000000}" name="stackf" dataDxfId="99" totalsRowDxfId="98"/>
    <tableColumn id="18" xr3:uid="{00000000-0010-0000-0100-000012000000}" name="EQf"/>
    <tableColumn id="19" xr3:uid="{00000000-0010-0000-0100-000013000000}" name="ICMf" dataDxfId="97">
      <calculatedColumnFormula>Table1[[#This Row],[EQf]]*prize</calculatedColumnFormula>
    </tableColumn>
    <tableColumn id="20" xr3:uid="{00000000-0010-0000-0100-000014000000}" name="KOf" dataDxfId="96" totalsRowDxfId="95">
      <calculatedColumnFormula>Table1[[#This Row],[playersf]]*Table1[[#This Row],[stackf]]/3000</calculatedColumnFormula>
    </tableColumn>
    <tableColumn id="21" xr3:uid="{00000000-0010-0000-0100-000015000000}" name="eqdiff" dataDxfId="94">
      <calculatedColumnFormula>Table2[[#This Row],[EQwin]]*Table2[[#This Row],[pWin]] + Table2[[#This Row],[EQlose]]*(1-Table2[[#This Row],[pWin]]) - Table2[[#This Row],[Eqfact]]</calculatedColumnFormula>
    </tableColumn>
    <tableColumn id="22" xr3:uid="{00000000-0010-0000-0100-000016000000}" name="ICMd" dataDxfId="93" totalsRowDxfId="92">
      <calculatedColumnFormula>p1win*Table1[[#This Row],[ICM1]]+(1-p1win)*(p2win*Table1[[#This Row],[ICM2]]+(1-p2win)*(p1spwin*Table1[[#This Row],[ICMside1]]+(1-p1spwin)*Table1[[#This Row],[ICMside2]])) -Table1[[#This Row],[ICMf]]</calculatedColumnFormula>
    </tableColumn>
    <tableColumn id="23" xr3:uid="{00000000-0010-0000-0100-000017000000}" name="KOd" dataDxfId="91">
      <calculatedColumnFormula>p3win*(p1spwin*Table1[[#This Row],[KOside1]]+(1-p1spwin)*Table1[[#This Row],[KOside2]])+p2win*Table1[[#This Row],[KO2]]+p1win*Table1[[#This Row],[KO1]] -Table1[[#This Row],[KOf]]</calculatedColumnFormula>
    </tableColumn>
    <tableColumn id="25" xr3:uid="{00000000-0010-0000-0100-000019000000}" name="totald" totalsRowFunction="sum" dataDxfId="90">
      <calculatedColumnFormula>Table1[[#This Row],[ICMd]]+Table1[[#This Row],[KOd]]</calculatedColumnFormula>
    </tableColumn>
    <tableColumn id="12" xr3:uid="{00000000-0010-0000-0100-00000C000000}" name="cEVdiff" dataDxfId="89">
      <calculatedColumnFormula>p3win*(p1spwin*Table1[[#This Row],[stackside1]]+(1-p1spwin)*Table1[[#This Row],[stackside2]])+p2win*Table1[[#This Row],[stack2]]+p1win*Table1[[#This Row],[stack1]] -Table1[[#This Row],[stackf]]</calculatedColumnFormula>
    </tableColumn>
  </tableColumns>
  <tableStyleInfo name="TableStyleMedium4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_init" displayName="T_init" ref="A15:D22" totalsRowCount="1">
  <autoFilter ref="A15:D21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p" totalsRowLabel="Total"/>
    <tableColumn id="2" xr3:uid="{00000000-0010-0000-0200-000002000000}" name="stack"/>
    <tableColumn id="3" xr3:uid="{00000000-0010-0000-0200-000003000000}" name="hand"/>
    <tableColumn id="4" xr3:uid="{00000000-0010-0000-0200-000004000000}" name="pWin" totalsRowFunction="sum"/>
  </tableColumns>
  <tableStyleInfo name="TableStyleLight11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_p1" displayName="T_p1" ref="F15:K21" totalsRowShown="0" tableBorderDxfId="88">
  <autoFilter ref="F15:K21" xr:uid="{00000000-0009-0000-0100-000005000000}"/>
  <tableColumns count="6">
    <tableColumn id="1" xr3:uid="{00000000-0010-0000-0300-000001000000}" name="players" dataDxfId="87">
      <calculatedColumnFormula>COUNTIF(T_p1[stack],"&gt;0")</calculatedColumnFormula>
    </tableColumn>
    <tableColumn id="2" xr3:uid="{00000000-0010-0000-0300-000002000000}" name="stack" dataDxfId="86">
      <calculatedColumnFormula>IF(T_init[[#This Row],[p]]=1,mainpot+sidepot1+sidepot2+uncalled,IF(T_init[[#This Row],[p]]&gt;1,0,T_init[[#This Row],[stack]]))</calculatedColumnFormula>
    </tableColumn>
    <tableColumn id="3" xr3:uid="{00000000-0010-0000-0300-000003000000}" name="EQ"/>
    <tableColumn id="4" xr3:uid="{00000000-0010-0000-0300-000004000000}" name="ICM" dataDxfId="85">
      <calculatedColumnFormula>T_p1[[#This Row],[EQ]]*prize</calculatedColumnFormula>
    </tableColumn>
    <tableColumn id="5" xr3:uid="{00000000-0010-0000-0300-000005000000}" name="KO" dataDxfId="84">
      <calculatedColumnFormula>IF(T_init[[#This Row],[p]]=1,T_p1[[#This Row],[players]]*T_p1[[#This Row],[stack]]/chips+COUNTIF(T_p1[stack],0),T_p1[[#This Row],[players]]*T_p1[[#This Row],[stack]]/chips)</calculatedColumnFormula>
    </tableColumn>
    <tableColumn id="6" xr3:uid="{00000000-0010-0000-0300-000006000000}" name="$stack" dataDxfId="83">
      <calculatedColumnFormula>T_p1[[#This Row],[ICM]]+bounty*T_p1[[#This Row],[KO]]</calculatedColumnFormula>
    </tableColumn>
  </tableColumns>
  <tableStyleInfo name="TableStyleLight11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_p2" displayName="T_p2" ref="M15:R21" totalsRowShown="0" tableBorderDxfId="82">
  <autoFilter ref="M15:R21" xr:uid="{00000000-0009-0000-0100-000006000000}"/>
  <tableColumns count="6">
    <tableColumn id="1" xr3:uid="{00000000-0010-0000-0400-000001000000}" name="players" dataDxfId="81" totalsRowDxfId="80">
      <calculatedColumnFormula>COUNTIF(T_p2[stack],"&gt;0")</calculatedColumnFormula>
    </tableColumn>
    <tableColumn id="2" xr3:uid="{00000000-0010-0000-0400-000002000000}" name="stack" dataDxfId="79" totalsRowDxfId="78">
      <calculatedColumnFormula>IF(T_init[[#This Row],[p]]=1,uncalled,IF(T_init[[#This Row],[p]]=2,mainpot+sidepot1+sidepot2,IF(T_init[[#This Row],[p]]&gt;2,0,T_init[[#This Row],[stack]])))</calculatedColumnFormula>
    </tableColumn>
    <tableColumn id="3" xr3:uid="{00000000-0010-0000-0400-000003000000}" name="EQ" totalsRowDxfId="77"/>
    <tableColumn id="4" xr3:uid="{00000000-0010-0000-0400-000004000000}" name="ICM" dataDxfId="76" totalsRowDxfId="75">
      <calculatedColumnFormula>T_p2[[#This Row],[EQ]]*prize</calculatedColumnFormula>
    </tableColumn>
    <tableColumn id="5" xr3:uid="{00000000-0010-0000-0400-000005000000}" name="KO" dataDxfId="74" totalsRowDxfId="73">
      <calculatedColumnFormula>IF(T_init[[#This Row],[p]]=2,T_p2[[#This Row],[players]]*T_p2[[#This Row],[stack]]/chips+COUNTIF(T_p2[stack],0),T_p2[[#This Row],[players]]*T_p2[[#This Row],[stack]]/chips)</calculatedColumnFormula>
    </tableColumn>
    <tableColumn id="6" xr3:uid="{00000000-0010-0000-0400-000006000000}" name="$stack" dataDxfId="72">
      <calculatedColumnFormula>T_p2[[#This Row],[ICM]]+bounty*T_p2[[#This Row],[KO]]</calculatedColumnFormula>
    </tableColumn>
  </tableColumns>
  <tableStyleInfo name="TableStyleLight11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_p3p1" displayName="T_p3p1" ref="T15:Y21" totalsRowShown="0" tableBorderDxfId="71">
  <autoFilter ref="T15:Y21" xr:uid="{00000000-0009-0000-0100-000007000000}"/>
  <tableColumns count="6">
    <tableColumn id="1" xr3:uid="{00000000-0010-0000-0500-000001000000}" name="players" dataDxfId="70">
      <calculatedColumnFormula>COUNTIF(T_p3p1[stack],"&gt;0")</calculatedColumnFormula>
    </tableColumn>
    <tableColumn id="2" xr3:uid="{00000000-0010-0000-0500-000002000000}" name="stack" dataDxfId="69">
      <calculatedColumnFormula>IF(T_init[[#This Row],[p]]=1,sidepot2+uncalled,IF(T_init[[#This Row],[p]]=3,mainpot+sidepot1,IF(ISBLANK(T_init[[#This Row],[p]]),T_init[[#This Row],[stack]],0)))</calculatedColumnFormula>
    </tableColumn>
    <tableColumn id="3" xr3:uid="{00000000-0010-0000-0500-000003000000}" name="EQ"/>
    <tableColumn id="4" xr3:uid="{00000000-0010-0000-0500-000004000000}" name="ICM" dataDxfId="68">
      <calculatedColumnFormula>T_p3p1[[#This Row],[EQ]]*prize</calculatedColumnFormula>
    </tableColumn>
    <tableColumn id="5" xr3:uid="{00000000-0010-0000-0500-000005000000}" name="KO" dataDxfId="67">
      <calculatedColumnFormula>IF(OR(T_init[[#This Row],[p]]=1, T_init[[#This Row],[p]]=3),T_p3p1[[#This Row],[players]]*T_p3p1[[#This Row],[stack]]/chips+1,T_p3p1[[#This Row],[players]]*T_p3p1[[#This Row],[stack]]/chips)</calculatedColumnFormula>
    </tableColumn>
    <tableColumn id="6" xr3:uid="{00000000-0010-0000-0500-000006000000}" name="$stack" dataDxfId="66">
      <calculatedColumnFormula>T_p3p1[[#This Row],[ICM]]+bounty*T_p3p1[[#This Row],[KO]]</calculatedColumnFormula>
    </tableColumn>
  </tableColumns>
  <tableStyleInfo name="TableStyleLight11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_p3p2" displayName="T_p3p2" ref="AA15:AF21" totalsRowShown="0" tableBorderDxfId="65">
  <autoFilter ref="AA15:AF21" xr:uid="{00000000-0009-0000-0100-000008000000}"/>
  <tableColumns count="6">
    <tableColumn id="1" xr3:uid="{00000000-0010-0000-0600-000001000000}" name="players" dataDxfId="64" totalsRowDxfId="63">
      <calculatedColumnFormula>COUNTIF(T_p3p2[stack],"&gt;0")</calculatedColumnFormula>
    </tableColumn>
    <tableColumn id="2" xr3:uid="{00000000-0010-0000-0600-000002000000}" name="stack" dataDxfId="62" totalsRowDxfId="61">
      <calculatedColumnFormula>IF(T_init[[#This Row],[p]]=1,uncalled,IF(T_init[[#This Row],[p]]=2,sidepot2,IF(T_init[[#This Row],[p]]=3,mainpot+sidepot1,IF(ISBLANK(T_init[[#This Row],[p]]),T_init[[#This Row],[stack]],0))))</calculatedColumnFormula>
    </tableColumn>
    <tableColumn id="3" xr3:uid="{00000000-0010-0000-0600-000003000000}" name="EQ" totalsRowDxfId="60"/>
    <tableColumn id="4" xr3:uid="{00000000-0010-0000-0600-000004000000}" name="ICM" dataDxfId="59" totalsRowDxfId="58">
      <calculatedColumnFormula>T_p3p2[[#This Row],[EQ]]*prize</calculatedColumnFormula>
    </tableColumn>
    <tableColumn id="5" xr3:uid="{00000000-0010-0000-0600-000005000000}" name="KO" dataDxfId="57" totalsRowDxfId="56">
      <calculatedColumnFormula>IF(T_init[[#This Row],[p]]=3,T_p3p2[[#This Row],[players]]*T_p3p2[[#This Row],[stack]]/chips+1,T_p3p2[[#This Row],[players]]*T_p3p2[[#This Row],[stack]]/chips)</calculatedColumnFormula>
    </tableColumn>
    <tableColumn id="6" xr3:uid="{00000000-0010-0000-0600-000006000000}" name="$stack" dataDxfId="55">
      <calculatedColumnFormula>T_p3p2[[#This Row],[ICM]]+bounty*T_p3p2[[#This Row],[KO]]</calculatedColumnFormula>
    </tableColumn>
  </tableColumns>
  <tableStyleInfo name="TableStyleLight11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_p4p1" displayName="T_p4p1" ref="AH15:AM21" totalsRowShown="0" tableBorderDxfId="54">
  <autoFilter ref="AH15:AM21" xr:uid="{00000000-0009-0000-0100-000009000000}"/>
  <tableColumns count="6">
    <tableColumn id="1" xr3:uid="{00000000-0010-0000-0700-000001000000}" name="players" dataDxfId="53" totalsRowDxfId="52">
      <calculatedColumnFormula>COUNTIF(T_p4p1[stack],"&gt;0")</calculatedColumnFormula>
    </tableColumn>
    <tableColumn id="2" xr3:uid="{00000000-0010-0000-0700-000002000000}" name="stack" dataDxfId="51" totalsRowDxfId="50">
      <calculatedColumnFormula>IF(T_init[[#This Row],[p]]=4,mainpot,IF(T_init[[#This Row],[p]]=1,sidepot1+sidepot2+uncalled,IF(ISBLANK(T_init[[#This Row],[p]]),T_init[[#This Row],[stack]],0)))</calculatedColumnFormula>
    </tableColumn>
    <tableColumn id="3" xr3:uid="{00000000-0010-0000-0700-000003000000}" name="EQ" totalsRowDxfId="49"/>
    <tableColumn id="4" xr3:uid="{00000000-0010-0000-0700-000004000000}" name="ICM" dataDxfId="48" totalsRowDxfId="47">
      <calculatedColumnFormula>T_p4p1[[#This Row],[EQ]]*prize</calculatedColumnFormula>
    </tableColumn>
    <tableColumn id="5" xr3:uid="{00000000-0010-0000-0700-000005000000}" name="KO" dataDxfId="46" totalsRowDxfId="45">
      <calculatedColumnFormula>IF(T_init[[#This Row],[p]]=1,T_p4p1[[#This Row],[players]]*T_p4p1[[#This Row],[stack]]/chips+2,T_p4p1[[#This Row],[players]]*T_p4p1[[#This Row],[stack]]/chips)</calculatedColumnFormula>
    </tableColumn>
    <tableColumn id="6" xr3:uid="{00000000-0010-0000-0700-000006000000}" name="$stack" dataDxfId="44">
      <calculatedColumnFormula>T_p4p1[[#This Row],[ICM]]+bounty*T_p4p1[[#This Row],[KO]]</calculatedColumnFormula>
    </tableColumn>
  </tableColumns>
  <tableStyleInfo name="TableStyleLight11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_p4p2" displayName="T_p4p2" ref="AO15:AT21" totalsRowShown="0" tableBorderDxfId="43">
  <autoFilter ref="AO15:AT21" xr:uid="{00000000-0009-0000-0100-00000A000000}"/>
  <tableColumns count="6">
    <tableColumn id="1" xr3:uid="{00000000-0010-0000-0800-000001000000}" name="players" dataDxfId="42">
      <calculatedColumnFormula>COUNTIF(T_p4p2[stack],"&gt;0")</calculatedColumnFormula>
    </tableColumn>
    <tableColumn id="2" xr3:uid="{00000000-0010-0000-0800-000002000000}" name="stack" dataDxfId="41">
      <calculatedColumnFormula>IF(T_init[[#This Row],[p]]=1,uncalled,IF(T_init[[#This Row],[p]]=2,sidepot1+sidepot2,IF(T_init[[#This Row],[p]]=4,mainpot,IF(ISBLANK(T_init[[#This Row],[p]]),T_init[[#This Row],[stack]],0))))</calculatedColumnFormula>
    </tableColumn>
    <tableColumn id="3" xr3:uid="{00000000-0010-0000-0800-000003000000}" name="EQ"/>
    <tableColumn id="4" xr3:uid="{00000000-0010-0000-0800-000004000000}" name="ICM" dataDxfId="40">
      <calculatedColumnFormula>T_p4p2[[#This Row],[EQ]]*prize</calculatedColumnFormula>
    </tableColumn>
    <tableColumn id="5" xr3:uid="{00000000-0010-0000-0800-000005000000}" name="KO" dataDxfId="39">
      <calculatedColumnFormula>IF(T_init[[#This Row],[p]]=2,T_p4p2[[#This Row],[players]]*T_p4p2[[#This Row],[stack]]/chips+1,T_p4p2[[#This Row],[players]]*T_p4p2[[#This Row],[stack]]/chips)</calculatedColumnFormula>
    </tableColumn>
    <tableColumn id="6" xr3:uid="{00000000-0010-0000-0800-000006000000}" name="$stack" dataDxfId="38">
      <calculatedColumnFormula>T_p4p2[[#This Row],[ICM]]+bounty*T_p4p2[[#This Row],[KO]]</calculatedColumnFormula>
    </tableColumn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54B9A2A4-A2AB-4075-A683-9B91CCED102D}" name="T_EV33403080596673156180" displayName="T_EV33403080596673156180" ref="BZ16:CG22" totalsRowShown="0" tableBorderDxfId="1328">
  <autoFilter ref="BZ16:CG22" xr:uid="{00000000-0009-0000-0100-000027000000}"/>
  <tableColumns count="8">
    <tableColumn id="1" xr3:uid="{EAD03F39-20EE-4B76-BFE7-E8B69E155B3C}" name="ICM" dataDxfId="1327">
      <calculatedColumnFormula>'3way-bu-call-sb-call разбивка'!p3win* ('3way-bu-call-sb-call разбивка'!p1sp1win*T_p3p123372677566370153177[[#This Row],[ICM]] + '3way-bu-call-sb-call разбивка'!p2sp1win*T_p3p224382778576471154178[[#This Row],[ICM]] + tiesp1*T_p3p22438277857647175158182[[#This Row],[ICM]])
+'3way-bu-call-sb-call разбивка'!p2win*T_p222362576556269152176[[#This Row],[ICM]]
+'3way-bu-call-sb-call разбивка'!p1win*T_p121351975546168151175[[#This Row],[ICM]]
+'3way-bu-call-sb-call разбивка'!tie*T_p22236257655626974157181[[#This Row],[ICM]]</calculatedColumnFormula>
    </tableColumn>
    <tableColumn id="2" xr3:uid="{B6D9E69D-2E49-4AFE-865E-3D8FA4C5CF30}" name="KO" dataDxfId="1326">
      <calculatedColumnFormula>('3way-bu-call-sb-call разбивка'!p3win* ('3way-bu-call-sb-call разбивка'!p1sp1win*T_p3p123372677566370153177[[#This Row],[KO]] + '3way-bu-call-sb-call разбивка'!p2sp1win*T_p3p224382778576471154178[[#This Row],[KO]])
+'3way-bu-call-sb-call разбивка'!p2win*T_p222362576556269152176[[#This Row],[KO]]
+'3way-bu-call-sb-call разбивка'!p1win*T_p121351975546168151175[[#This Row],[KO]])*bounty</calculatedColumnFormula>
    </tableColumn>
    <tableColumn id="3" xr3:uid="{43CA40E4-32E4-4B9F-8516-0A1F2370CA31}" name="EV" dataDxfId="1325">
      <calculatedColumnFormula>'3way-bu-call-sb-call разбивка'!p3win* ('3way-bu-call-sb-call разбивка'!p1sp1win*T_p3p123372677566370153177[[#This Row],[$stack]] + '3way-bu-call-sb-call разбивка'!p2sp1win*T_p3p224382778576471154178[[#This Row],[$stack]])
+'3way-bu-call-sb-call разбивка'!p2win*T_p222362576556269152176[[#This Row],[$stack]]
+'3way-bu-call-sb-call разбивка'!p1win*T_p121351975546168151175[[#This Row],[$stack]]</calculatedColumnFormula>
    </tableColumn>
    <tableColumn id="4" xr3:uid="{DE4F78D1-BADE-400E-9018-181B533E5962}" name="chipEV" dataDxfId="1324">
      <calculatedColumnFormula>'3way-bu-call-sb-call разбивка'!p3win* ('3way-bu-call-sb-call разбивка'!p1sp1win*T_p3p123372677566370153177[[#This Row],[stack]] + '3way-bu-call-sb-call разбивка'!p2sp1win*T_p3p224382778576471154178[[#This Row],[stack]] + tiesp1*T_p3p22438277857647175158182[[#This Row],[stack]])
+'3way-bu-call-sb-call разбивка'!p2win*T_p222362576556269152176[[#This Row],[stack]]
+'3way-bu-call-sb-call разбивка'!p1win*T_p121351975546168151175[[#This Row],[stack]]
+tie*T_p22236257655626974157181[[#This Row],[stack]]</calculatedColumnFormula>
    </tableColumn>
    <tableColumn id="8" xr3:uid="{DAF5851C-8C31-423D-B2AC-99CE19869347}" name="netwon" dataDxfId="1323">
      <calculatedColumnFormula>T_fact29392879586572155179[[#This Row],[stack]]- T_init2034474536067150174[[#This Row],[stack]]</calculatedColumnFormula>
    </tableColumn>
    <tableColumn id="7" xr3:uid="{08C94835-3E6F-4A5A-9283-526850F364D0}" name="netwon_adj" dataDxfId="1322">
      <calculatedColumnFormula>T_EV33403080596673156180[[#This Row],[netwon]]+T_EV33403080596673156180[[#This Row],[cEVdiff]]</calculatedColumnFormula>
    </tableColumn>
    <tableColumn id="5" xr3:uid="{57783EEB-90A5-409F-A060-025A114DBFDC}" name="cEVdiff" dataDxfId="1321">
      <calculatedColumnFormula>T_EV33403080596673156180[[#This Row],[chipEV]]-T_fact29392879586572155179[[#This Row],[stack]]</calculatedColumnFormula>
    </tableColumn>
    <tableColumn id="6" xr3:uid="{F19FD628-9276-485D-BBA3-4DE8BE4E8907}" name="Evdiff" dataDxfId="1320">
      <calculatedColumnFormula>T_EV33403080596673156180[[#This Row],[EV]]-(T_fact29392879586572155179[[#This Row],[ICM]])</calculatedColumnFormula>
    </tableColumn>
  </tableColumns>
  <tableStyleInfo name="TableStyleLight11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_p4p3p1" displayName="T_p4p3p1" ref="AV15:BA21" totalsRowShown="0" tableBorderDxfId="37">
  <autoFilter ref="AV15:BA21" xr:uid="{00000000-0009-0000-0100-00000B000000}"/>
  <tableColumns count="6">
    <tableColumn id="1" xr3:uid="{00000000-0010-0000-0900-000001000000}" name="players" dataDxfId="36">
      <calculatedColumnFormula>COUNTIF(T_p4p3p1[stack],"&gt;0")</calculatedColumnFormula>
    </tableColumn>
    <tableColumn id="2" xr3:uid="{00000000-0010-0000-0900-000002000000}" name="stack" dataDxfId="35">
      <calculatedColumnFormula>IF(T_init[[#This Row],[p]]=1,uncalled+sidepot2,IF(T_init[[#This Row],[p]]=3,sidepot1,IF(T_init[[#This Row],[p]]=4,mainpot,IF(ISBLANK(T_init[[#This Row],[p]]),T_init[[#This Row],[stack]],0))))</calculatedColumnFormula>
    </tableColumn>
    <tableColumn id="3" xr3:uid="{00000000-0010-0000-0900-000003000000}" name="EQ"/>
    <tableColumn id="4" xr3:uid="{00000000-0010-0000-0900-000004000000}" name="ICM" dataDxfId="34">
      <calculatedColumnFormula>T_p4p3p1[[#This Row],[EQ]]*prize</calculatedColumnFormula>
    </tableColumn>
    <tableColumn id="5" xr3:uid="{00000000-0010-0000-0900-000005000000}" name="KO" dataDxfId="33">
      <calculatedColumnFormula>IF(T_init[[#This Row],[p]]=1,T_p4p3p1[[#This Row],[players]]*T_p4p3p1[[#This Row],[stack]]/chips+1,T_p4p3p1[[#This Row],[players]]*T_p4p3p1[[#This Row],[stack]]/chips)</calculatedColumnFormula>
    </tableColumn>
    <tableColumn id="6" xr3:uid="{00000000-0010-0000-0900-000006000000}" name="$stack" dataDxfId="32">
      <calculatedColumnFormula>T_p4p3p1[[#This Row],[ICM]]+bounty*T_p4p3p1[[#This Row],[KO]]</calculatedColumnFormula>
    </tableColumn>
  </tableColumns>
  <tableStyleInfo name="TableStyleLight11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_p4p3p2" displayName="T_p4p3p2" ref="BC15:BH21" totalsRowShown="0" tableBorderDxfId="31">
  <autoFilter ref="BC15:BH21" xr:uid="{00000000-0009-0000-0100-00000C000000}"/>
  <tableColumns count="6">
    <tableColumn id="1" xr3:uid="{00000000-0010-0000-0A00-000001000000}" name="players" dataDxfId="30">
      <calculatedColumnFormula>COUNTIF(T_p4p3p2[stack],"&gt;0")</calculatedColumnFormula>
    </tableColumn>
    <tableColumn id="2" xr3:uid="{00000000-0010-0000-0A00-000002000000}" name="stack" dataDxfId="29">
      <calculatedColumnFormula>IF(T_init[[#This Row],[p]]=1,uncalled,IF(T_init[[#This Row],[p]]=2,sidepot2,IF(T_init[[#This Row],[p]]=3,sidepot1,IF(T_init[[#This Row],[p]]=4,mainpot,IF(ISBLANK(T_init[[#This Row],[p]]),T_init[[#This Row],[stack]],0)))))</calculatedColumnFormula>
    </tableColumn>
    <tableColumn id="3" xr3:uid="{00000000-0010-0000-0A00-000003000000}" name="EQ"/>
    <tableColumn id="4" xr3:uid="{00000000-0010-0000-0A00-000004000000}" name="ICM" dataDxfId="28">
      <calculatedColumnFormula>T_p4p3p2[[#This Row],[EQ]]*prize</calculatedColumnFormula>
    </tableColumn>
    <tableColumn id="5" xr3:uid="{00000000-0010-0000-0A00-000005000000}" name="KO" dataDxfId="27">
      <calculatedColumnFormula>T_p4p3p2[[#This Row],[players]]*T_p4p3p2[[#This Row],[stack]]/chips</calculatedColumnFormula>
    </tableColumn>
    <tableColumn id="6" xr3:uid="{00000000-0010-0000-0A00-000006000000}" name="$stack" dataDxfId="26">
      <calculatedColumnFormula>T_p4p3p2[[#This Row],[ICM]]+bounty*T_p4p3p2[[#This Row],[KO]]</calculatedColumnFormula>
    </tableColumn>
  </tableColumns>
  <tableStyleInfo name="TableStyleLight11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_fact" displayName="T_fact" ref="BJ15:BO21" totalsRowShown="0" tableBorderDxfId="25">
  <autoFilter ref="BJ15:BO21" xr:uid="{00000000-0009-0000-0100-00000D000000}"/>
  <tableColumns count="6">
    <tableColumn id="1" xr3:uid="{00000000-0010-0000-0B00-000001000000}" name="players"/>
    <tableColumn id="2" xr3:uid="{00000000-0010-0000-0B00-000002000000}" name="stack"/>
    <tableColumn id="3" xr3:uid="{00000000-0010-0000-0B00-000003000000}" name="EQ"/>
    <tableColumn id="4" xr3:uid="{00000000-0010-0000-0B00-000004000000}" name="ICM" dataDxfId="24">
      <calculatedColumnFormula>T_fact[[#This Row],[EQ]]*prize</calculatedColumnFormula>
    </tableColumn>
    <tableColumn id="5" xr3:uid="{00000000-0010-0000-0B00-000005000000}" name="KO" dataDxfId="23">
      <calculatedColumnFormula>IF(OR(T_init[[#This Row],[p]]=1, T_init[[#This Row],[p]]=3),T_fact[[#This Row],[players]]*T_fact[[#This Row],[stack]]/chips+1,T_fact[[#This Row],[players]]*T_fact[[#This Row],[stack]]/chips)</calculatedColumnFormula>
    </tableColumn>
    <tableColumn id="6" xr3:uid="{00000000-0010-0000-0B00-000006000000}" name="$stack" dataDxfId="22">
      <calculatedColumnFormula>T_fact[[#This Row],[ICM]]+bounty*T_fact[[#This Row],[KO]]</calculatedColumnFormula>
    </tableColumn>
  </tableColumns>
  <tableStyleInfo name="TableStyleLight11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_EV_p3sp2" displayName="T_EV_p3sp2" ref="BQ15:BT21" totalsRowShown="0" tableBorderDxfId="21">
  <autoFilter ref="BQ15:BT21" xr:uid="{00000000-0009-0000-0100-00000E000000}"/>
  <tableColumns count="4">
    <tableColumn id="1" xr3:uid="{00000000-0010-0000-0C00-000001000000}" name="ICM" dataDxfId="20">
      <calculatedColumnFormula>p1sp2win*T_p3p1[[#This Row],[ICM]]+p2sp2win*T_p3p2[[#This Row],[ICM]]</calculatedColumnFormula>
    </tableColumn>
    <tableColumn id="2" xr3:uid="{00000000-0010-0000-0C00-000002000000}" name="KO" dataDxfId="19">
      <calculatedColumnFormula>bounty*(p1sp2win*T_p3p1[[#This Row],[KO]]+p2sp2win*T_p3p2[[#This Row],[KO]])</calculatedColumnFormula>
    </tableColumn>
    <tableColumn id="3" xr3:uid="{00000000-0010-0000-0C00-000003000000}" name="EV" dataDxfId="18">
      <calculatedColumnFormula>T_EV_p3sp2[[#This Row],[ICM]]+T_EV_p3sp2[[#This Row],[KO]]</calculatedColumnFormula>
    </tableColumn>
    <tableColumn id="4" xr3:uid="{00000000-0010-0000-0C00-000004000000}" name="chipEV" dataDxfId="17">
      <calculatedColumnFormula>p1sp2win*T_p3p1[[#This Row],[stack]]+p2sp2win*T_p3p2[[#This Row],[stack]]</calculatedColumnFormula>
    </tableColumn>
  </tableColumns>
  <tableStyleInfo name="TableStyleLight11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_EV_p4p3sp2" displayName="T_EV_p4p3sp2" ref="BW15:BZ21" totalsRowShown="0" tableBorderDxfId="16">
  <autoFilter ref="BW15:BZ21" xr:uid="{00000000-0009-0000-0100-00000F000000}"/>
  <tableColumns count="4">
    <tableColumn id="1" xr3:uid="{00000000-0010-0000-0D00-000001000000}" name="ICM" dataDxfId="15">
      <calculatedColumnFormula>p1sp2win*T_p4p3p1[[#This Row],[ICM]]+p2sp2win*T_p4p3p2[[#This Row],[ICM]]</calculatedColumnFormula>
    </tableColumn>
    <tableColumn id="2" xr3:uid="{00000000-0010-0000-0D00-000002000000}" name="KO" dataDxfId="14">
      <calculatedColumnFormula>bounty*(p1sp2win*T_p4p3p1[[#This Row],[KO]]+p2sp2win*T_p4p3p2[[#This Row],[KO]])</calculatedColumnFormula>
    </tableColumn>
    <tableColumn id="3" xr3:uid="{00000000-0010-0000-0D00-000003000000}" name="EV" dataDxfId="13">
      <calculatedColumnFormula>T_EV_p4p3sp2[[#This Row],[ICM]]+T_EV_p4p3sp2[[#This Row],[KO]]</calculatedColumnFormula>
    </tableColumn>
    <tableColumn id="4" xr3:uid="{00000000-0010-0000-0D00-000004000000}" name="chipEV" dataDxfId="12">
      <calculatedColumnFormula>p1sp2win*T_p4p3p1[[#This Row],[stack]]+p2sp2win*T_p4p3p2[[#This Row],[stack]]</calculatedColumnFormula>
    </tableColumn>
  </tableColumns>
  <tableStyleInfo name="TableStyleLight11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_EV_p4sp1" displayName="T_EV_p4sp1" ref="CC15:CF21" totalsRowShown="0" tableBorderDxfId="11">
  <autoFilter ref="CC15:CF21" xr:uid="{00000000-0009-0000-0100-000010000000}"/>
  <tableColumns count="4">
    <tableColumn id="1" xr3:uid="{00000000-0010-0000-0E00-000001000000}" name="ICM" dataDxfId="10">
      <calculatedColumnFormula>p1sp1win*T_p4p1[[#This Row],[ICM]]+p2sp1win*T_p4p2[[#This Row],[ICM]]+p3sp1win*T_EV_p4p3sp2[[#This Row],[ICM]]</calculatedColumnFormula>
    </tableColumn>
    <tableColumn id="2" xr3:uid="{00000000-0010-0000-0E00-000002000000}" name="KO" dataDxfId="9">
      <calculatedColumnFormula>bounty*(p1sp1win*T_p4p1[[#This Row],[KO]]+p2sp1win*T_p4p2[[#This Row],[KO]])+p3sp1win*T_EV_p4p3sp2[[#This Row],[KO]]</calculatedColumnFormula>
    </tableColumn>
    <tableColumn id="3" xr3:uid="{00000000-0010-0000-0E00-000003000000}" name="EV" dataDxfId="8">
      <calculatedColumnFormula>T_EV_p4sp1[[#This Row],[ICM]]+T_EV_p4sp1[[#This Row],[KO]]</calculatedColumnFormula>
    </tableColumn>
    <tableColumn id="4" xr3:uid="{00000000-0010-0000-0E00-000004000000}" name="chipEV" dataDxfId="7">
      <calculatedColumnFormula>p1sp1win*T_p4p1[[#This Row],[stack]]+p2sp1win*T_p4p2[[#This Row],[stack]]+p3sp1win*T_EV_p4p3sp2[[#This Row],[chipEV]]</calculatedColumnFormula>
    </tableColumn>
  </tableColumns>
  <tableStyleInfo name="TableStyleLight11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_EV" displayName="T_EV" ref="CI15:CN21" totalsRowShown="0" tableBorderDxfId="6">
  <autoFilter ref="CI15:CN21" xr:uid="{00000000-0009-0000-0100-000011000000}"/>
  <tableColumns count="6">
    <tableColumn id="1" xr3:uid="{00000000-0010-0000-0F00-000001000000}" name="ICM" dataDxfId="5">
      <calculatedColumnFormula>p4win*(T_EV_p4sp1[[#This Row],[ICM]])+'4way'!p3win*T_EV_p3sp2[[#This Row],[ICM]]+'4way'!p2win*T_p2[[#This Row],[ICM]]+'4way'!p1win*T_p1[[#This Row],[ICM]]</calculatedColumnFormula>
    </tableColumn>
    <tableColumn id="2" xr3:uid="{00000000-0010-0000-0F00-000002000000}" name="KO" dataDxfId="4">
      <calculatedColumnFormula>p4win*(T_EV_p4sp1[[#This Row],[KO]])+'4way'!p3win*T_EV_p3sp2[[#This Row],[KO]]+bounty*('4way'!p2win*T_p2[[#This Row],[KO]]+'4way'!p1win*T_p1[[#This Row],[KO]])</calculatedColumnFormula>
    </tableColumn>
    <tableColumn id="3" xr3:uid="{00000000-0010-0000-0F00-000003000000}" name="EV" dataDxfId="3">
      <calculatedColumnFormula>T_EV[[#This Row],[ICM]]+T_EV[[#This Row],[KO]]</calculatedColumnFormula>
    </tableColumn>
    <tableColumn id="4" xr3:uid="{00000000-0010-0000-0F00-000004000000}" name="chipEV" dataDxfId="2">
      <calculatedColumnFormula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calculatedColumnFormula>
    </tableColumn>
    <tableColumn id="5" xr3:uid="{00000000-0010-0000-0F00-000005000000}" name="cEVdiff" dataDxfId="1">
      <calculatedColumnFormula>T_EV[[#This Row],[chipEV]]-T_fact[[#This Row],[stack]]</calculatedColumnFormula>
    </tableColumn>
    <tableColumn id="6" xr3:uid="{00000000-0010-0000-0F00-000006000000}" name="Evdiff" dataDxfId="0">
      <calculatedColumnFormula>T_EV[[#This Row],[EV]]-(T_fact[[#This Row],[ICM]]+bounty*T_fact[[#This Row],[KO]])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0E1214E0-75C0-41E4-A45B-B09E00CD52CE}" name="T_p121351975546168151187" displayName="T_p121351975546168151187" ref="F16:K22" totalsRowShown="0" tableBorderDxfId="1470">
  <autoFilter ref="F16:K22" xr:uid="{00000000-0009-0000-0100-000022000000}"/>
  <tableColumns count="6">
    <tableColumn id="1" xr3:uid="{C49D8D8B-89DF-4EE8-A239-07D0CC638DE6}" name="players" dataDxfId="1469">
      <calculatedColumnFormula>COUNTIF(T_p121351975546168151187[stack],"&gt;0")</calculatedColumnFormula>
    </tableColumn>
    <tableColumn id="2" xr3:uid="{B2D2E2E4-FC00-4A96-BFAD-F9F7081BD424}" name="stack" dataDxfId="1468">
      <calculatedColumnFormula>IF(T_init2034474536067150186[[#This Row],[p]]=1,mainpot+sidepot1+sidepot2+uncalled,IF(T_init2034474536067150186[[#This Row],[p]]&gt;1,0,T_init2034474536067150186[[#This Row],[stack]]-T_init2034474536067150186[[#This Row],[anteblinds]]))</calculatedColumnFormula>
    </tableColumn>
    <tableColumn id="3" xr3:uid="{5F695E50-9946-428F-AAAC-8F2A9DA53C28}" name="EQ"/>
    <tableColumn id="4" xr3:uid="{1A05F28E-34A8-4A8B-B84B-EA09959FB88B}" name="ICM" dataDxfId="1467">
      <calculatedColumnFormula>T_p121351975546168151187[[#This Row],[EQ]]*prize</calculatedColumnFormula>
    </tableColumn>
    <tableColumn id="5" xr3:uid="{65AECFF9-400A-4F02-A05B-CDDD7E33F57C}" name="KO" dataDxfId="1466">
      <calculatedColumnFormula>IF(T_init2034474536067150186[[#This Row],[p]]=1,T_p121351975546168151187[[#This Row],[players]]*T_p121351975546168151187[[#This Row],[stack]]/chips+COUNTIF(T_p121351975546168151187[stack],0),T_p121351975546168151187[[#This Row],[players]]*T_p121351975546168151187[[#This Row],[stack]]/chips)</calculatedColumnFormula>
    </tableColumn>
    <tableColumn id="6" xr3:uid="{3C001600-E636-4448-9070-A8E0F71D8357}" name="$stack" dataDxfId="1465">
      <calculatedColumnFormula>T_p121351975546168151187[[#This Row],[ICM]]+bounty*T_p121351975546168151187[[#This Row],[KO]]</calculatedColumnFormula>
    </tableColumn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81F045F6-24C4-46F7-A0CE-6BE1BD0066DB}" name="T_p22236257655626974157181" displayName="T_p22236257655626974157181" ref="U16:Z22" totalsRowShown="0" tableBorderDxfId="1319">
  <autoFilter ref="U16:Z22" xr:uid="{CE38ABBA-F0F2-4A26-90AC-5B8D0B66446B}"/>
  <tableColumns count="6">
    <tableColumn id="1" xr3:uid="{DD9AEE07-F18C-41B9-9915-30A50A2B99CA}" name="players" dataDxfId="1318" totalsRowDxfId="1317">
      <calculatedColumnFormula>COUNTIF(T_p22236257655626974157181[stack],"&gt;0")</calculatedColumnFormula>
    </tableColumn>
    <tableColumn id="2" xr3:uid="{027F355A-CC3B-4DBC-8478-A02B838D5342}" name="stack" dataDxfId="1316" totalsRowDxfId="1315">
      <calculatedColumnFormula>IF(T_init2034474536067150174[[#This Row],[p]]=1,ROUND(uncalled + mainpot/3, 0) + ROUND(sidepot1/2,0),IF(T_init2034474536067150174[[#This Row],[p]]=2,ROUND(mainpot/3,0) + ROUND(sidepot1/2,0),IF(T_init2034474536067150174[[#This Row],[p]]=3, ROUNDUP(mainpot/3,0),T_init2034474536067150174[[#This Row],[stack]]-T_init2034474536067150174[[#This Row],[anteblinds]])))</calculatedColumnFormula>
    </tableColumn>
    <tableColumn id="3" xr3:uid="{BAAF922E-5EE9-4433-B2EB-A40ACFAC37A3}" name="EQ" totalsRowDxfId="1314"/>
    <tableColumn id="4" xr3:uid="{B8FB62A5-9EFB-4DD6-99EC-268D8461F2E9}" name="ICM" dataDxfId="1313" totalsRowDxfId="1312">
      <calculatedColumnFormula>T_p22236257655626974157181[[#This Row],[EQ]]*prize</calculatedColumnFormula>
    </tableColumn>
    <tableColumn id="5" xr3:uid="{B996B7B0-8A41-46B7-9FB7-908091A1D398}" name="KO" dataDxfId="1311" totalsRowDxfId="1310">
      <calculatedColumnFormula>IF(T_init2034474536067150174[[#This Row],[p]]=2,T_p22236257655626974157181[[#This Row],[players]]*T_p22236257655626974157181[[#This Row],[stack]]/chips+COUNTIF(T_p22236257655626974157181[stack],0),T_p22236257655626974157181[[#This Row],[players]]*T_p22236257655626974157181[[#This Row],[stack]]/chips)</calculatedColumnFormula>
    </tableColumn>
    <tableColumn id="6" xr3:uid="{D4915917-D23A-4955-B38E-87262E6645DE}" name="$stack" dataDxfId="1309">
      <calculatedColumnFormula>T_p22236257655626974157181[[#This Row],[ICM]]+bounty*T_p22236257655626974157181[[#This Row],[KO]]</calculatedColumnFormula>
    </tableColumn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78651876-28C2-4167-830B-4CF538F6B58C}" name="T_p3p22438277857647175158182" displayName="T_p3p22438277857647175158182" ref="BK16:BP22" totalsRowShown="0" tableBorderDxfId="1308">
  <autoFilter ref="BK16:BP22" xr:uid="{0E6963F0-4D2D-49F5-BA0C-CC131E0278C6}"/>
  <tableColumns count="6">
    <tableColumn id="1" xr3:uid="{E46CA02E-1319-40FF-9C07-3855F94837CD}" name="players" dataDxfId="1307" totalsRowDxfId="1306">
      <calculatedColumnFormula>COUNTIF(T_p3p22438277857647175158182[stack],"&gt;0")</calculatedColumnFormula>
    </tableColumn>
    <tableColumn id="2" xr3:uid="{5CEF428A-40C0-4970-B78A-6BCCCAA7E392}" name="stack" dataDxfId="1305" totalsRowDxfId="1304">
      <calculatedColumnFormula>IF(T_init2034474536067150174[[#This Row],[p]]=1,uncalled + ROUND(sidepot1/2,0),IF(T_init2034474536067150174[[#This Row],[p]]=2,ROUND(sidepot1/2,0),IF(T_init2034474536067150174[[#This Row],[p]]=3,mainpot,IF(ISBLANK(T_init2034474536067150174[[#This Row],[p]]),T_init2034474536067150174[[#This Row],[stack]]-T_init2034474536067150174[[#This Row],[anteblinds]],0))))</calculatedColumnFormula>
    </tableColumn>
    <tableColumn id="3" xr3:uid="{775A538F-2F48-4EF1-B88F-6C53082CE99A}" name="EQ" totalsRowDxfId="1303"/>
    <tableColumn id="4" xr3:uid="{3C3E7EC1-FA3E-43D5-9365-6418B297ED7C}" name="ICM" dataDxfId="1302" totalsRowDxfId="1301">
      <calculatedColumnFormula>T_p3p22438277857647175158182[[#This Row],[EQ]]*prize</calculatedColumnFormula>
    </tableColumn>
    <tableColumn id="5" xr3:uid="{746482FA-0BB0-4DAE-ACBE-066A8FA5601F}" name="KO" dataDxfId="1300" totalsRowDxfId="1299">
      <calculatedColumnFormula>IF(T_init2034474536067150174[[#This Row],[p]]=2,T_p3p22438277857647175158182[[#This Row],[players]]*T_p3p22438277857647175158182[[#This Row],[stack]]/chips+COUNTIF(T_p3p22438277857647175158182[stack],0),T_p3p22438277857647175158182[[#This Row],[players]]*T_p3p22438277857647175158182[[#This Row],[stack]]/chips)</calculatedColumnFormula>
    </tableColumn>
    <tableColumn id="6" xr3:uid="{01EEAA44-828A-47C5-9AA2-696C8E8900F9}" name="$stack" dataDxfId="1298">
      <calculatedColumnFormula>T_p3p22438277857647175158182[[#This Row],[ICM]]+bounty*T_p3p22438277857647175158182[[#This Row],[KO]]</calculatedColumnFormula>
    </tableColumn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8F37DDAF-FD8E-412F-8130-4C122A04729A}" name="T_p22236257655626974157159183" displayName="T_p22236257655626974157159183" ref="AB16:AG22" totalsRowShown="0" tableBorderDxfId="1297">
  <autoFilter ref="AB16:AG22" xr:uid="{65A7E52C-5FB7-4BB3-8A75-2B9A177732FF}"/>
  <tableColumns count="6">
    <tableColumn id="1" xr3:uid="{936FA70A-6C21-4C93-A6F2-A8AF3832674E}" name="players" dataDxfId="1296" totalsRowDxfId="1295">
      <calculatedColumnFormula>COUNTIF(T_p22236257655626974157159183[stack],"&gt;0")</calculatedColumnFormula>
    </tableColumn>
    <tableColumn id="2" xr3:uid="{1F3FD3C0-FED3-4649-9278-4B85D16B29E2}" name="stack" dataDxfId="1294" totalsRowDxfId="1293">
      <calculatedColumnFormula>IF(T_init2034474536067150174[[#This Row],[p]]=1,ROUNDDOWN(uncalled + mainpot/2, 0) + ROUNDDOWN(sidepot1/2,0),IF(T_init2034474536067150174[[#This Row],[p]]=2,ROUND(mainpot/2,0) + ROUND(sidepot1/2,0),IF(T_init2034474536067150174[[#This Row],[p]]=3, 0,T_init2034474536067150174[[#This Row],[stack]]-T_init2034474536067150174[[#This Row],[anteblinds]])))</calculatedColumnFormula>
    </tableColumn>
    <tableColumn id="3" xr3:uid="{15E54EC9-9B90-4F97-85F1-F36844D1D724}" name="EQ" totalsRowDxfId="1292"/>
    <tableColumn id="4" xr3:uid="{938FBC4E-C798-48EC-B966-5B3CF66E3FBA}" name="ICM" dataDxfId="1291" totalsRowDxfId="1290">
      <calculatedColumnFormula>T_p22236257655626974157159183[[#This Row],[EQ]]*prize</calculatedColumnFormula>
    </tableColumn>
    <tableColumn id="5" xr3:uid="{2ECD989E-2665-45A9-89FD-F1816FF8173E}" name="KO" dataDxfId="1289" totalsRowDxfId="1288">
      <calculatedColumnFormula>IF(T_init2034474536067150174[[#This Row],[p]]=2,T_p22236257655626974157159183[[#This Row],[players]]*T_p22236257655626974157159183[[#This Row],[stack]]/chips+COUNTIF(T_p22236257655626974157159183[stack],0),T_p22236257655626974157159183[[#This Row],[players]]*T_p22236257655626974157159183[[#This Row],[stack]]/chips)</calculatedColumnFormula>
    </tableColumn>
    <tableColumn id="6" xr3:uid="{72F602BB-8812-4D92-8A88-3B289396AC06}" name="$stack" dataDxfId="1287">
      <calculatedColumnFormula>T_p22236257655626974157159183[[#This Row],[ICM]]+bounty*T_p22236257655626974157159183[[#This Row],[KO]]</calculatedColumnFormula>
    </tableColumn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5967742B-373C-4D37-B582-4E3AE60A44BE}" name="T_p22236257655626974157159160184" displayName="T_p22236257655626974157159160184" ref="AI16:AN22" totalsRowShown="0" tableBorderDxfId="1286">
  <autoFilter ref="AI16:AN22" xr:uid="{22DD0C87-8B5C-4E2F-A7A6-3E4489B3D96B}"/>
  <tableColumns count="6">
    <tableColumn id="1" xr3:uid="{BFA5D4CB-8FF5-4ABB-8D0B-F05F335D465B}" name="players" dataDxfId="1285" totalsRowDxfId="1284">
      <calculatedColumnFormula>COUNTIF(T_p22236257655626974157159160184[stack],"&gt;0")</calculatedColumnFormula>
    </tableColumn>
    <tableColumn id="2" xr3:uid="{F1A737CB-2E7F-4CBE-A67C-30EFFBB93777}" name="stack" dataDxfId="1283" totalsRowDxfId="1282">
      <calculatedColumnFormula>IF(T_init2034474536067150174[[#This Row],[p]]=1,ROUNDDOWN(uncalled + mainpot/2, 0) + ROUNDDOWN(sidepot1,0),IF(T_init2034474536067150174[[#This Row],[p]]=2,0,IF(T_init2034474536067150174[[#This Row],[p]]=3, ROUNDUP(mainpot/2,0),T_init2034474536067150174[[#This Row],[stack]]-T_init2034474536067150174[[#This Row],[anteblinds]])))</calculatedColumnFormula>
    </tableColumn>
    <tableColumn id="3" xr3:uid="{F88FE2B6-E347-4D5D-B67D-4A709A2656FC}" name="EQ" totalsRowDxfId="1281"/>
    <tableColumn id="4" xr3:uid="{E659F61E-FD92-4D68-B61A-BDA4D799C8A9}" name="ICM" dataDxfId="1280" totalsRowDxfId="1279">
      <calculatedColumnFormula>T_p22236257655626974157159160184[[#This Row],[EQ]]*prize</calculatedColumnFormula>
    </tableColumn>
    <tableColumn id="5" xr3:uid="{22E3C57C-D758-4A2B-89DC-ACAA2F5147F7}" name="KO" dataDxfId="1278" totalsRowDxfId="1277">
      <calculatedColumnFormula>IF(T_init2034474536067150174[[#This Row],[p]]=2,T_p22236257655626974157159160184[[#This Row],[players]]*T_p22236257655626974157159160184[[#This Row],[stack]]/chips+COUNTIF(T_p22236257655626974157159160184[stack],0),T_p22236257655626974157159160184[[#This Row],[players]]*T_p22236257655626974157159160184[[#This Row],[stack]]/chips)</calculatedColumnFormula>
    </tableColumn>
    <tableColumn id="6" xr3:uid="{66437A63-BED7-4ADE-AC33-496616699107}" name="$stack" dataDxfId="1276">
      <calculatedColumnFormula>T_p22236257655626974157159160184[[#This Row],[ICM]]+bounty*T_p22236257655626974157159160184[[#This Row],[KO]]</calculatedColumnFormula>
    </tableColumn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98B772F1-45A4-4F20-AB9D-D326DB21F989}" name="T_p22236257655626974157159160161185" displayName="T_p22236257655626974157159160161185" ref="AP16:AU22" totalsRowShown="0" tableBorderDxfId="1275">
  <autoFilter ref="AP16:AU22" xr:uid="{85FE0BC8-7AC0-49B1-8516-7148FA962FFE}"/>
  <tableColumns count="6">
    <tableColumn id="1" xr3:uid="{FE34C4E7-EF8D-4A9B-98F3-8DF8B0ECB04E}" name="players" dataDxfId="1274" totalsRowDxfId="1273">
      <calculatedColumnFormula>COUNTIF(T_p22236257655626974157159160161185[stack],"&gt;0")</calculatedColumnFormula>
    </tableColumn>
    <tableColumn id="2" xr3:uid="{7E8454E1-14BF-433F-A0EA-38EB02FAAB67}" name="stack" dataDxfId="1272" totalsRowDxfId="1271">
      <calculatedColumnFormula>IF(T_init2034474536067150174[[#This Row],[p]]=1,uncalled,IF(T_init2034474536067150174[[#This Row],[p]]=2,ROUNDDOWN(mainpot/2,0) + ROUNDDOWN(sidepot1,0),IF(T_init2034474536067150174[[#This Row],[p]]=3, ROUNDUP(mainpot/2,0),T_init2034474536067150174[[#This Row],[stack]]-T_init2034474536067150174[[#This Row],[anteblinds]])))</calculatedColumnFormula>
    </tableColumn>
    <tableColumn id="3" xr3:uid="{E9F161AA-B3C5-40DC-B49E-CF3CD0979ED4}" name="EQ" totalsRowDxfId="1270"/>
    <tableColumn id="4" xr3:uid="{7E1CC93C-9999-4CC1-81B0-C3A1514FE27D}" name="ICM" dataDxfId="1269" totalsRowDxfId="1268">
      <calculatedColumnFormula>T_p22236257655626974157159160161185[[#This Row],[EQ]]*prize</calculatedColumnFormula>
    </tableColumn>
    <tableColumn id="5" xr3:uid="{4DE49394-3BAD-4FFE-A275-92484D760AFA}" name="KO" dataDxfId="1267" totalsRowDxfId="1266">
      <calculatedColumnFormula>IF(T_init2034474536067150174[[#This Row],[p]]=2,T_p22236257655626974157159160161185[[#This Row],[players]]*T_p22236257655626974157159160161185[[#This Row],[stack]]/chips+COUNTIF(T_p22236257655626974157159160161185[stack],0),T_p22236257655626974157159160161185[[#This Row],[players]]*T_p22236257655626974157159160161185[[#This Row],[stack]]/chips)</calculatedColumnFormula>
    </tableColumn>
    <tableColumn id="6" xr3:uid="{97C27D5E-3F04-4FE8-814B-E8EAB65CCA0A}" name="$stack" dataDxfId="1265">
      <calculatedColumnFormula>T_p22236257655626974157159160161185[[#This Row],[ICM]]+bounty*T_p22236257655626974157159160161185[[#This Row],[KO]]</calculatedColumnFormula>
    </tableColumn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191C5F56-C0C2-430F-B6A8-2784C3455F14}" name="T_init2034474536067150162" displayName="T_init2034474536067150162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4ADFC74B-8834-4EB7-8E23-23BFE76D103D}" name="p" totalsRowLabel="Total"/>
    <tableColumn id="2" xr3:uid="{3FCA4099-1554-43B0-AA7B-3F303261083E}" name="stack"/>
    <tableColumn id="3" xr3:uid="{E048018A-AEDA-4668-8912-CAD5A8DF32B5}" name="hand"/>
    <tableColumn id="4" xr3:uid="{4E93A205-2817-4F11-B2CF-15F5241A392F}" name="anteblinds" totalsRowFunction="sum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4C2DA0BD-9615-4862-BCF1-AB58428B814B}" name="T_p121351975546168151163" displayName="T_p121351975546168151163" ref="F16:K22" totalsRowShown="0" tableBorderDxfId="1264">
  <autoFilter ref="F16:K22" xr:uid="{00000000-0009-0000-0100-000022000000}"/>
  <tableColumns count="6">
    <tableColumn id="1" xr3:uid="{523F45BD-D9A1-43FE-9471-841F2D2ACA4F}" name="players" dataDxfId="1263">
      <calculatedColumnFormula>COUNTIF(T_p121351975546168151163[stack],"&gt;0")</calculatedColumnFormula>
    </tableColumn>
    <tableColumn id="2" xr3:uid="{1872D84E-93C2-46FC-936B-4A4F85A496A0}" name="stack" dataDxfId="1262">
      <calculatedColumnFormula>IF(T_init2034474536067150162[[#This Row],[p]]=1,mainpot+sidepot1+sidepot2+uncalled,IF(T_init2034474536067150162[[#This Row],[p]]&gt;1,0,T_init2034474536067150162[[#This Row],[stack]]-T_init2034474536067150162[[#This Row],[anteblinds]]))</calculatedColumnFormula>
    </tableColumn>
    <tableColumn id="3" xr3:uid="{DB53D7A1-0817-4D59-9368-A7B96E09C5D4}" name="EQ"/>
    <tableColumn id="4" xr3:uid="{91F078C0-9CDF-447E-B8F4-A358F00C4A50}" name="ICM" dataDxfId="1261">
      <calculatedColumnFormula>T_p121351975546168151163[[#This Row],[EQ]]*prize</calculatedColumnFormula>
    </tableColumn>
    <tableColumn id="5" xr3:uid="{C6828DF5-3026-4A4B-B749-04F4C86E9E89}" name="KO" dataDxfId="1260">
      <calculatedColumnFormula>IF(T_init2034474536067150162[[#This Row],[p]]=1,T_p121351975546168151163[[#This Row],[players]]*T_p121351975546168151163[[#This Row],[stack]]/chips+COUNTIF(T_p121351975546168151163[stack],0),T_p121351975546168151163[[#This Row],[players]]*T_p121351975546168151163[[#This Row],[stack]]/chips)</calculatedColumnFormula>
    </tableColumn>
    <tableColumn id="6" xr3:uid="{DF31F4C2-8B6A-47F9-9DBC-4C3A8061CAF3}" name="$stack" dataDxfId="1259">
      <calculatedColumnFormula>T_p121351975546168151163[[#This Row],[ICM]]+bounty*T_p121351975546168151163[[#This Row],[KO]]</calculatedColumnFormula>
    </tableColumn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34E5FF5-6DF1-448C-A6F5-DB2B94BD425D}" name="T_p222362576556269152164" displayName="T_p222362576556269152164" ref="M16:R22" totalsRowShown="0" tableBorderDxfId="1258">
  <autoFilter ref="M16:R22" xr:uid="{00000000-0009-0000-0100-000023000000}"/>
  <tableColumns count="6">
    <tableColumn id="1" xr3:uid="{15BA8B01-A014-4D83-A0FA-AEEC9AC766AC}" name="players" dataDxfId="1257" totalsRowDxfId="1256">
      <calculatedColumnFormula>COUNTIF(T_p222362576556269152164[stack],"&gt;0")</calculatedColumnFormula>
    </tableColumn>
    <tableColumn id="2" xr3:uid="{3D61E825-6D5B-494D-A457-05718044DF9D}" name="stack" dataDxfId="1255" totalsRowDxfId="1254">
      <calculatedColumnFormula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calculatedColumnFormula>
    </tableColumn>
    <tableColumn id="3" xr3:uid="{6E72933B-28AC-4552-B8E1-AE71AE872EF3}" name="EQ" totalsRowDxfId="1253"/>
    <tableColumn id="4" xr3:uid="{DBFD77C5-ECDE-470D-A7A0-D39D99E37195}" name="ICM" dataDxfId="1252" totalsRowDxfId="1251">
      <calculatedColumnFormula>T_p222362576556269152164[[#This Row],[EQ]]*prize</calculatedColumnFormula>
    </tableColumn>
    <tableColumn id="5" xr3:uid="{278FC45E-56F8-4386-AC30-820752AE147A}" name="KO" dataDxfId="1250" totalsRowDxfId="1249">
      <calculatedColumnFormula>IF(T_init2034474536067150162[[#This Row],[p]]=2,T_p222362576556269152164[[#This Row],[players]]*T_p222362576556269152164[[#This Row],[stack]]/chips+COUNTIF(T_p222362576556269152164[stack],0),T_p222362576556269152164[[#This Row],[players]]*T_p222362576556269152164[[#This Row],[stack]]/chips)</calculatedColumnFormula>
    </tableColumn>
    <tableColumn id="6" xr3:uid="{E6BFE171-1D40-462F-AC10-21040D25DC1C}" name="$stack" dataDxfId="1248">
      <calculatedColumnFormula>T_p222362576556269152164[[#This Row],[ICM]]+bounty*T_p222362576556269152164[[#This Row],[KO]]</calculatedColumnFormula>
    </tableColumn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B98D530C-09FC-4ACC-91B6-3FCDD782994F}" name="T_p3p123372677566370153165" displayName="T_p3p123372677566370153165" ref="AV16:BA22" totalsRowShown="0" tableBorderDxfId="1247">
  <autoFilter ref="AV16:BA22" xr:uid="{00000000-0009-0000-0100-000024000000}"/>
  <tableColumns count="6">
    <tableColumn id="1" xr3:uid="{86FDDAE2-55E1-4D83-AB98-A7EBFE646278}" name="players" dataDxfId="1246">
      <calculatedColumnFormula>COUNTIF(T_p3p123372677566370153165[stack],"&gt;0")</calculatedColumnFormula>
    </tableColumn>
    <tableColumn id="2" xr3:uid="{69032EBF-849C-447C-8E26-C19E6CFF7EE8}" name="stack" dataDxfId="1245">
      <calculatedColumnFormula>IF(T_init2034474536067150162[[#This Row],[p]]=1,sidepot1+uncalled,IF(T_init2034474536067150162[[#This Row],[p]]=3,mainpot,IF(ISBLANK(T_init2034474536067150162[[#This Row],[p]]),T_init2034474536067150162[[#This Row],[stack]]-T_init2034474536067150162[[#This Row],[anteblinds]],0)))</calculatedColumnFormula>
    </tableColumn>
    <tableColumn id="3" xr3:uid="{87F1D949-D361-4D1D-8F7E-0720EB83CA28}" name="EQ"/>
    <tableColumn id="4" xr3:uid="{474C5A81-BA6E-49D3-A8CE-755F0FC41978}" name="ICM" dataDxfId="1244">
      <calculatedColumnFormula>T_p3p123372677566370153165[[#This Row],[EQ]]*prize</calculatedColumnFormula>
    </tableColumn>
    <tableColumn id="5" xr3:uid="{495DD24D-C1B3-4AA3-983B-0EF84A61822B}" name="KO" dataDxfId="1243">
      <calculatedColumnFormula>IF(T_init2034474536067150162[[#This Row],[p]]=1,T_p3p123372677566370153165[[#This Row],[players]]*T_p3p123372677566370153165[[#This Row],[stack]]/chips+COUNTIF(T_p3p123372677566370153165[stack],0),T_p3p123372677566370153165[[#This Row],[players]]*T_p3p123372677566370153165[[#This Row],[stack]]/chips)</calculatedColumnFormula>
    </tableColumn>
    <tableColumn id="6" xr3:uid="{3C2708D0-D15A-4E59-AA15-87813E53845A}" name="$stack" dataDxfId="1242">
      <calculatedColumnFormula>T_p3p123372677566370153165[[#This Row],[ICM]]+bounty*T_p3p123372677566370153165[[#This Row],[KO]]</calculatedColumnFormula>
    </tableColumn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5EE29CD4-0FE7-4793-AEA0-7DE015D8762A}" name="T_p3p224382778576471154166" displayName="T_p3p224382778576471154166" ref="BC16:BH22" totalsRowShown="0" tableBorderDxfId="1241">
  <autoFilter ref="BC16:BH22" xr:uid="{00000000-0009-0000-0100-000025000000}"/>
  <tableColumns count="6">
    <tableColumn id="1" xr3:uid="{DB3E53EE-1822-4D27-BBAB-8F9AC6523E25}" name="players" dataDxfId="1240" totalsRowDxfId="1239">
      <calculatedColumnFormula>COUNTIF(T_p3p224382778576471154166[stack],"&gt;0")</calculatedColumnFormula>
    </tableColumn>
    <tableColumn id="2" xr3:uid="{F9E3C485-1E21-4F59-A783-FB48EED32EC8}" name="stack" dataDxfId="1238" totalsRowDxfId="1237">
      <calculatedColumnFormula>IF(T_init2034474536067150162[[#This Row],[p]]=1,uncalled,IF(T_init2034474536067150162[[#This Row],[p]]=2,sidepot1,IF(T_init2034474536067150162[[#This Row],[p]]=3,mainpot,IF(ISBLANK(T_init2034474536067150162[[#This Row],[p]]),T_init2034474536067150162[[#This Row],[stack]]-T_init2034474536067150162[[#This Row],[anteblinds]],0))))</calculatedColumnFormula>
    </tableColumn>
    <tableColumn id="3" xr3:uid="{58B33D4C-27A6-4092-8FF4-9E10712ADA98}" name="EQ" totalsRowDxfId="1236"/>
    <tableColumn id="4" xr3:uid="{E1288D0E-F236-407A-9CBE-AA4B59A659E1}" name="ICM" dataDxfId="1235" totalsRowDxfId="1234">
      <calculatedColumnFormula>T_p3p224382778576471154166[[#This Row],[EQ]]*prize</calculatedColumnFormula>
    </tableColumn>
    <tableColumn id="5" xr3:uid="{856F5FBE-232F-41AA-8BDC-DBF058A7393F}" name="KO" dataDxfId="1233" totalsRowDxfId="1232">
      <calculatedColumnFormula>IF(T_init2034474536067150162[[#This Row],[p]]=2,T_p3p224382778576471154166[[#This Row],[players]]*T_p3p224382778576471154166[[#This Row],[stack]]/chips+COUNTIF(T_p3p224382778576471154166[stack],0),T_p3p224382778576471154166[[#This Row],[players]]*T_p3p224382778576471154166[[#This Row],[stack]]/chips)</calculatedColumnFormula>
    </tableColumn>
    <tableColumn id="6" xr3:uid="{C2619F00-5DC9-453B-9908-FB9EAA5259ED}" name="$stack" dataDxfId="1231">
      <calculatedColumnFormula>T_p3p224382778576471154166[[#This Row],[ICM]]+bounty*T_p3p224382778576471154166[[#This Row],[KO]]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50242B88-8FD9-4BE7-A5CE-1BF1A6E9D66C}" name="T_p222362576556269152188" displayName="T_p222362576556269152188" ref="M16:R22" totalsRowShown="0" tableBorderDxfId="1464">
  <autoFilter ref="M16:R22" xr:uid="{00000000-0009-0000-0100-000023000000}"/>
  <tableColumns count="6">
    <tableColumn id="1" xr3:uid="{AC9396A1-599C-4400-A0B8-827DC04FC781}" name="players" dataDxfId="1463" totalsRowDxfId="1462">
      <calculatedColumnFormula>COUNTIF(T_p222362576556269152188[stack],"&gt;0")</calculatedColumnFormula>
    </tableColumn>
    <tableColumn id="2" xr3:uid="{1463E19E-4A05-45A9-8166-3E0DD8B9905D}" name="stack" dataDxfId="1461" totalsRowDxfId="1460">
      <calculatedColumnFormula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calculatedColumnFormula>
    </tableColumn>
    <tableColumn id="3" xr3:uid="{611E800E-37F8-468E-9517-D96B61C3A321}" name="EQ" totalsRowDxfId="1459"/>
    <tableColumn id="4" xr3:uid="{C859C458-9B43-4740-AD1E-4DCCA680162F}" name="ICM" dataDxfId="1458" totalsRowDxfId="1457">
      <calculatedColumnFormula>T_p222362576556269152188[[#This Row],[EQ]]*prize</calculatedColumnFormula>
    </tableColumn>
    <tableColumn id="5" xr3:uid="{47365EC7-05C4-4FB7-949B-23324DE305D7}" name="KO" dataDxfId="1456" totalsRowDxfId="1455">
      <calculatedColumnFormula>IF(T_init2034474536067150186[[#This Row],[p]]=2,T_p222362576556269152188[[#This Row],[players]]*T_p222362576556269152188[[#This Row],[stack]]/chips+COUNTIF(T_p222362576556269152188[stack],0),T_p222362576556269152188[[#This Row],[players]]*T_p222362576556269152188[[#This Row],[stack]]/chips)</calculatedColumnFormula>
    </tableColumn>
    <tableColumn id="6" xr3:uid="{7FB365AC-5250-41B8-B43C-3801D29CF3C2}" name="$stack" dataDxfId="1454">
      <calculatedColumnFormula>T_p222362576556269152188[[#This Row],[ICM]]+bounty*T_p222362576556269152188[[#This Row],[KO]]</calculatedColumnFormula>
    </tableColumn>
  </tableColumns>
  <tableStyleInfo name="TableStyleLight1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64B0512F-010F-40EA-B61C-A02223AD7B06}" name="T_fact29392879586572155167" displayName="T_fact29392879586572155167" ref="BQ16:BV22" totalsRowShown="0" tableBorderDxfId="1230">
  <autoFilter ref="BQ16:BV22" xr:uid="{00000000-0009-0000-0100-000026000000}"/>
  <tableColumns count="6">
    <tableColumn id="1" xr3:uid="{77A4A56D-02A8-40B8-986F-638395F93CE3}" name="players">
      <calculatedColumnFormula>COUNTIF(T_fact29392879586572155167[stack],"&gt;0")</calculatedColumnFormula>
    </tableColumn>
    <tableColumn id="2" xr3:uid="{35627EE9-7A21-4C39-BB94-FB143E0AF728}" name="stack" dataDxfId="1229">
      <calculatedColumnFormula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calculatedColumnFormula>
    </tableColumn>
    <tableColumn id="3" xr3:uid="{0FB463C4-356E-472C-B12B-E6F62E7179F7}" name="EQ"/>
    <tableColumn id="4" xr3:uid="{D518EDE5-379F-4FF3-8BD1-F6FBADB7CB47}" name="ICM" dataDxfId="1228">
      <calculatedColumnFormula>T_fact29392879586572155167[[#This Row],[EQ]]*prize</calculatedColumnFormula>
    </tableColumn>
    <tableColumn id="5" xr3:uid="{52A1E50C-1CCB-4B36-884D-394344E7926C}" name="KO" dataDxfId="1227">
      <calculatedColumnFormula>IF(T_init2034474536067150162[[#This Row],[p]]=1,T_fact29392879586572155167[[#This Row],[players]]*T_fact29392879586572155167[[#This Row],[stack]]/chips+COUNTIF(T_fact29392879586572155167[stack],0),T_fact29392879586572155167[[#This Row],[players]]*T_fact29392879586572155167[[#This Row],[stack]]/chips)</calculatedColumnFormula>
    </tableColumn>
    <tableColumn id="6" xr3:uid="{C7417EE7-C970-43D6-A682-235AA8892747}" name="$stack" dataDxfId="1226">
      <calculatedColumnFormula>T_fact29392879586572155167[[#This Row],[ICM]]+bounty*T_fact29392879586572155167[[#This Row],[KO]]</calculatedColumnFormula>
    </tableColumn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BDA56FD7-C6F3-4CD2-BBB6-1F40D858981A}" name="T_EV33403080596673156168" displayName="T_EV33403080596673156168" ref="BY16:CF22" totalsRowShown="0" tableBorderDxfId="1225">
  <autoFilter ref="BY16:CF22" xr:uid="{00000000-0009-0000-0100-000027000000}"/>
  <tableColumns count="8">
    <tableColumn id="1" xr3:uid="{D4B1BCB1-E817-4509-A739-017FEDCC0CF9}" name="ICM" dataDxfId="1224">
      <calculatedColumnFormula>'3way-ai-preflo разбивка'!p3win* ('3way-ai-preflo разбивка'!p1sp1win*T_p3p123372677566370153165[[#This Row],[ICM]] + '3way-ai-preflo разбивка'!p2sp1win*T_p3p224382778576471154166[[#This Row],[ICM]] + tiesp1*T_p3p22438277857647175158170[[#This Row],[ICM]])
+'3way-ai-preflo разбивка'!p2win*T_p222362576556269152164[[#This Row],[ICM]]
+'3way-ai-preflo разбивка'!p1win*T_p121351975546168151163[[#This Row],[ICM]]
+'3way-ai-preflo разбивка'!tie*T_p22236257655626974157169[[#This Row],[ICM]]</calculatedColumnFormula>
    </tableColumn>
    <tableColumn id="2" xr3:uid="{6953D92B-87D1-47B3-8F19-2CC13D320F3A}" name="KO" dataDxfId="1223">
      <calculatedColumnFormula>('3way-ai-preflo разбивка'!p3win* ('3way-ai-preflo разбивка'!p1sp1win*T_p3p123372677566370153165[[#This Row],[KO]] + '3way-ai-preflo разбивка'!p2sp1win*T_p3p224382778576471154166[[#This Row],[KO]])
+'3way-ai-preflo разбивка'!p2win*T_p222362576556269152164[[#This Row],[KO]]
+'3way-ai-preflo разбивка'!p1win*T_p121351975546168151163[[#This Row],[KO]])*bounty</calculatedColumnFormula>
    </tableColumn>
    <tableColumn id="3" xr3:uid="{81476280-E04B-473F-90D8-3056F02E3247}" name="EV" dataDxfId="1222">
      <calculatedColumnFormula>'3way-ai-preflo разбивка'!p3win* ('3way-ai-preflo разбивка'!p1sp1win*T_p3p123372677566370153165[[#This Row],[$stack]] + '3way-ai-preflo разбивка'!p2sp1win*T_p3p224382778576471154166[[#This Row],[$stack]])
+'3way-ai-preflo разбивка'!p2win*T_p222362576556269152164[[#This Row],[$stack]]
+'3way-ai-preflo разбивка'!p1win*T_p121351975546168151163[[#This Row],[$stack]]</calculatedColumnFormula>
    </tableColumn>
    <tableColumn id="4" xr3:uid="{7B4E0193-AA4D-4045-A7F4-44972A802E69}" name="chipEV" dataDxfId="1221">
      <calculatedColumnFormula>'3way-ai-preflo разбивка'!p3win* ('3way-ai-preflo разбивка'!p1sp1win*T_p3p123372677566370153165[[#This Row],[stack]] + '3way-ai-preflo разбивка'!p2sp1win*T_p3p224382778576471154166[[#This Row],[stack]] + tiesp1*T_p3p22438277857647175158170[[#This Row],[stack]])
+'3way-ai-preflo разбивка'!p2win*T_p222362576556269152164[[#This Row],[stack]]
+'3way-ai-preflo разбивка'!p1win*T_p121351975546168151163[[#This Row],[stack]]
+tie*T_p22236257655626974157169[[#This Row],[stack]]</calculatedColumnFormula>
    </tableColumn>
    <tableColumn id="8" xr3:uid="{4BA6A517-31D1-46F2-80F2-2CEFEDA18AAF}" name="netwon" dataDxfId="1220">
      <calculatedColumnFormula>T_fact29392879586572155167[[#This Row],[stack]]- T_init2034474536067150162[[#This Row],[stack]]</calculatedColumnFormula>
    </tableColumn>
    <tableColumn id="7" xr3:uid="{8EB21EFA-44AE-4C5C-978B-35ADAD752263}" name="netwon_adj" dataDxfId="1219">
      <calculatedColumnFormula>T_EV33403080596673156168[[#This Row],[netwon]]+T_EV33403080596673156168[[#This Row],[cEVdiff]]</calculatedColumnFormula>
    </tableColumn>
    <tableColumn id="5" xr3:uid="{85837375-3D80-4B76-B6F8-414ABF405729}" name="cEVdiff" dataDxfId="1218">
      <calculatedColumnFormula>T_EV33403080596673156168[[#This Row],[chipEV]]-T_fact29392879586572155167[[#This Row],[stack]]</calculatedColumnFormula>
    </tableColumn>
    <tableColumn id="6" xr3:uid="{E6E6A6E1-AA67-4DF1-9605-D5BD79FEAB5A}" name="Evdiff" dataDxfId="1217">
      <calculatedColumnFormula>T_EV33403080596673156168[[#This Row],[EV]]-(T_fact29392879586572155167[[#This Row],[ICM]])</calculatedColumnFormula>
    </tableColumn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20C84728-9395-4F11-9E39-E6AA81B44DD7}" name="T_p22236257655626974157169" displayName="T_p22236257655626974157169" ref="T16:Y22" totalsRowShown="0" tableBorderDxfId="1216">
  <autoFilter ref="T16:Y22" xr:uid="{CE38ABBA-F0F2-4A26-90AC-5B8D0B66446B}"/>
  <tableColumns count="6">
    <tableColumn id="1" xr3:uid="{8350386A-2336-4F5A-95F6-662BCF52A307}" name="players" dataDxfId="1215" totalsRowDxfId="1214">
      <calculatedColumnFormula>COUNTIF(T_p22236257655626974157169[stack],"&gt;0")</calculatedColumnFormula>
    </tableColumn>
    <tableColumn id="2" xr3:uid="{0AA8A54B-FF73-4A86-A2BB-C92560CED6D7}" name="stack" dataDxfId="1213" totalsRowDxfId="1212">
      <calculatedColumnFormula>IF(T_init2034474536067150162[[#This Row],[p]]=1,ROUND(uncalled + mainpot/3, 0) + ROUND(sidepot1/2,0),IF(T_init2034474536067150162[[#This Row],[p]]=2,ROUND(mainpot/3,0) + ROUND(sidepot1/2,0),IF(T_init2034474536067150162[[#This Row],[p]]=3, ROUNDUP(mainpot/3,0),T_init2034474536067150162[[#This Row],[stack]]-T_init2034474536067150162[[#This Row],[anteblinds]])))</calculatedColumnFormula>
    </tableColumn>
    <tableColumn id="3" xr3:uid="{056E4A90-F83F-4EA7-B002-ED64D0901A55}" name="EQ" totalsRowDxfId="1211"/>
    <tableColumn id="4" xr3:uid="{99E3FF51-8207-46FF-B236-E11B55237331}" name="ICM" dataDxfId="1210" totalsRowDxfId="1209">
      <calculatedColumnFormula>T_p22236257655626974157169[[#This Row],[EQ]]*prize</calculatedColumnFormula>
    </tableColumn>
    <tableColumn id="5" xr3:uid="{CCDBB71C-5D8D-423F-9168-E48D584E4E26}" name="KO" dataDxfId="1208" totalsRowDxfId="1207">
      <calculatedColumnFormula>IF(T_init2034474536067150162[[#This Row],[p]]=2,T_p22236257655626974157169[[#This Row],[players]]*T_p22236257655626974157169[[#This Row],[stack]]/chips+COUNTIF(T_p22236257655626974157169[stack],0),T_p22236257655626974157169[[#This Row],[players]]*T_p22236257655626974157169[[#This Row],[stack]]/chips)</calculatedColumnFormula>
    </tableColumn>
    <tableColumn id="6" xr3:uid="{F2F4D0C6-33C3-47C6-88CD-8C3DB90C32AE}" name="$stack" dataDxfId="1206">
      <calculatedColumnFormula>T_p22236257655626974157169[[#This Row],[ICM]]+bounty*T_p22236257655626974157169[[#This Row],[KO]]</calculatedColumnFormula>
    </tableColumn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ED308AA-0E9A-46EF-9151-F540A355EB29}" name="T_p3p22438277857647175158170" displayName="T_p3p22438277857647175158170" ref="BJ16:BO22" totalsRowShown="0" tableBorderDxfId="1205">
  <autoFilter ref="BJ16:BO22" xr:uid="{0E6963F0-4D2D-49F5-BA0C-CC131E0278C6}"/>
  <tableColumns count="6">
    <tableColumn id="1" xr3:uid="{3B5603E5-8B4C-4901-B85F-10CBBD727293}" name="players" dataDxfId="1204" totalsRowDxfId="1203">
      <calculatedColumnFormula>COUNTIF(T_p3p22438277857647175158170[stack],"&gt;0")</calculatedColumnFormula>
    </tableColumn>
    <tableColumn id="2" xr3:uid="{02AEA055-1F00-4C5C-A3D3-4991F0815208}" name="stack" dataDxfId="1202" totalsRowDxfId="1201">
      <calculatedColumnFormula>IF(T_init2034474536067150162[[#This Row],[p]]=1,uncalled + ROUND(sidepot1/2,0),IF(T_init2034474536067150162[[#This Row],[p]]=2,ROUND(sidepot1/2,0),IF(T_init2034474536067150162[[#This Row],[p]]=3,mainpot,IF(ISBLANK(T_init2034474536067150162[[#This Row],[p]]),T_init2034474536067150162[[#This Row],[stack]]-T_init2034474536067150162[[#This Row],[anteblinds]],0))))</calculatedColumnFormula>
    </tableColumn>
    <tableColumn id="3" xr3:uid="{DBABAF04-6800-426F-B8F3-C8034B6C4D4B}" name="EQ" totalsRowDxfId="1200"/>
    <tableColumn id="4" xr3:uid="{9D722CFF-689B-49B2-A7CD-4CFF8F5A7B9D}" name="ICM" dataDxfId="1199" totalsRowDxfId="1198">
      <calculatedColumnFormula>T_p3p22438277857647175158170[[#This Row],[EQ]]*prize</calculatedColumnFormula>
    </tableColumn>
    <tableColumn id="5" xr3:uid="{3E1DCA7B-4577-46F7-93FD-9F2FDBD73B1C}" name="KO" dataDxfId="1197" totalsRowDxfId="1196">
      <calculatedColumnFormula>IF(T_init2034474536067150162[[#This Row],[p]]=2,T_p3p22438277857647175158170[[#This Row],[players]]*T_p3p22438277857647175158170[[#This Row],[stack]]/chips+COUNTIF(T_p3p22438277857647175158170[stack],0),T_p3p22438277857647175158170[[#This Row],[players]]*T_p3p22438277857647175158170[[#This Row],[stack]]/chips)</calculatedColumnFormula>
    </tableColumn>
    <tableColumn id="6" xr3:uid="{EACAE793-A268-4C5E-B574-6E58B48ED1B2}" name="$stack" dataDxfId="1195">
      <calculatedColumnFormula>T_p3p22438277857647175158170[[#This Row],[ICM]]+bounty*T_p3p22438277857647175158170[[#This Row],[KO]]</calculatedColumnFormula>
    </tableColumn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B4994A1-014B-4FC3-B564-7F24C3BD6578}" name="T_p22236257655626974157159171" displayName="T_p22236257655626974157159171" ref="AA16:AF22" totalsRowShown="0" tableBorderDxfId="1194">
  <autoFilter ref="AA16:AF22" xr:uid="{65A7E52C-5FB7-4BB3-8A75-2B9A177732FF}"/>
  <tableColumns count="6">
    <tableColumn id="1" xr3:uid="{EF03C44F-B610-4DE7-A2DD-82E694176470}" name="players" dataDxfId="1193" totalsRowDxfId="1192">
      <calculatedColumnFormula>COUNTIF(T_p22236257655626974157159171[stack],"&gt;0")</calculatedColumnFormula>
    </tableColumn>
    <tableColumn id="2" xr3:uid="{B502DAA6-CC24-4694-9457-000000D20ED2}" name="stack" dataDxfId="1191" totalsRowDxfId="1190">
      <calculatedColumnFormula>IF(T_init2034474536067150162[[#This Row],[p]]=1,ROUNDDOWN(uncalled + mainpot/2, 0) + ROUNDDOWN(sidepot1/2,0),IF(T_init2034474536067150162[[#This Row],[p]]=2,ROUND(mainpot/2,0) + ROUND(sidepot1/2,0),IF(T_init2034474536067150162[[#This Row],[p]]=3, 0,T_init2034474536067150162[[#This Row],[stack]]-T_init2034474536067150162[[#This Row],[anteblinds]])))</calculatedColumnFormula>
    </tableColumn>
    <tableColumn id="3" xr3:uid="{3C0FCF5E-8D73-4106-808D-F6A52EE66786}" name="EQ" totalsRowDxfId="1189"/>
    <tableColumn id="4" xr3:uid="{AA28400A-C9E9-4FA3-BAB4-5D4C8D78C6A1}" name="ICM" dataDxfId="1188" totalsRowDxfId="1187">
      <calculatedColumnFormula>T_p22236257655626974157159171[[#This Row],[EQ]]*prize</calculatedColumnFormula>
    </tableColumn>
    <tableColumn id="5" xr3:uid="{25DBD93E-E0B3-423D-9729-FB52E88DECDF}" name="KO" dataDxfId="1186" totalsRowDxfId="1185">
      <calculatedColumnFormula>IF(T_init2034474536067150162[[#This Row],[p]]=2,T_p22236257655626974157159171[[#This Row],[players]]*T_p22236257655626974157159171[[#This Row],[stack]]/chips+COUNTIF(T_p22236257655626974157159171[stack],0),T_p22236257655626974157159171[[#This Row],[players]]*T_p22236257655626974157159171[[#This Row],[stack]]/chips)</calculatedColumnFormula>
    </tableColumn>
    <tableColumn id="6" xr3:uid="{DBBDA7AE-71A2-4E27-BE80-BDD80F42B320}" name="$stack" dataDxfId="1184">
      <calculatedColumnFormula>T_p22236257655626974157159171[[#This Row],[ICM]]+bounty*T_p22236257655626974157159171[[#This Row],[KO]]</calculatedColumnFormula>
    </tableColumn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143B2B29-AD0F-4F0B-B7CD-AF25404B7FD4}" name="T_p22236257655626974157159160172" displayName="T_p22236257655626974157159160172" ref="AH16:AM22" totalsRowShown="0" tableBorderDxfId="1183">
  <autoFilter ref="AH16:AM22" xr:uid="{22DD0C87-8B5C-4E2F-A7A6-3E4489B3D96B}"/>
  <tableColumns count="6">
    <tableColumn id="1" xr3:uid="{2F41ABBB-9D63-4477-9561-E34FFA6B86C2}" name="players" dataDxfId="1182" totalsRowDxfId="1181">
      <calculatedColumnFormula>COUNTIF(T_p22236257655626974157159160172[stack],"&gt;0")</calculatedColumnFormula>
    </tableColumn>
    <tableColumn id="2" xr3:uid="{76979899-48B7-43DB-82C8-569E99881963}" name="stack" dataDxfId="1180" totalsRowDxfId="1179">
      <calculatedColumnFormula>IF(T_init2034474536067150162[[#This Row],[p]]=1,ROUNDDOWN(uncalled + mainpot/2, 0) + ROUNDDOWN(sidepot1,0),IF(T_init2034474536067150162[[#This Row],[p]]=2,0,IF(T_init2034474536067150162[[#This Row],[p]]=3, ROUNDUP(mainpot/2,0),T_init2034474536067150162[[#This Row],[stack]]-T_init2034474536067150162[[#This Row],[anteblinds]])))</calculatedColumnFormula>
    </tableColumn>
    <tableColumn id="3" xr3:uid="{5F996F29-FAA3-488A-B5B9-F40B42FC0157}" name="EQ" totalsRowDxfId="1178"/>
    <tableColumn id="4" xr3:uid="{709F3397-D08A-4D64-989A-3AC02C988779}" name="ICM" dataDxfId="1177" totalsRowDxfId="1176">
      <calculatedColumnFormula>T_p22236257655626974157159160172[[#This Row],[EQ]]*prize</calculatedColumnFormula>
    </tableColumn>
    <tableColumn id="5" xr3:uid="{1E2DF3DF-9DB1-4365-8BF8-BE2AECEA100B}" name="KO" dataDxfId="1175" totalsRowDxfId="1174">
      <calculatedColumnFormula>IF(T_init2034474536067150162[[#This Row],[p]]=2,T_p22236257655626974157159160172[[#This Row],[players]]*T_p22236257655626974157159160172[[#This Row],[stack]]/chips+COUNTIF(T_p22236257655626974157159160172[stack],0),T_p22236257655626974157159160172[[#This Row],[players]]*T_p22236257655626974157159160172[[#This Row],[stack]]/chips)</calculatedColumnFormula>
    </tableColumn>
    <tableColumn id="6" xr3:uid="{0F1FB29A-60CE-48AC-A7BB-21B843F16E54}" name="$stack" dataDxfId="1173">
      <calculatedColumnFormula>T_p22236257655626974157159160172[[#This Row],[ICM]]+bounty*T_p22236257655626974157159160172[[#This Row],[KO]]</calculatedColumnFormula>
    </tableColumn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7162E051-A60E-4FF3-89E3-5831E9C3F4C4}" name="T_p22236257655626974157159160161173" displayName="T_p22236257655626974157159160161173" ref="AO16:AT22" totalsRowShown="0" tableBorderDxfId="1172">
  <autoFilter ref="AO16:AT22" xr:uid="{85FE0BC8-7AC0-49B1-8516-7148FA962FFE}"/>
  <tableColumns count="6">
    <tableColumn id="1" xr3:uid="{575A91BF-BA94-4B53-B2E3-D8F4252AB10F}" name="players" dataDxfId="1171" totalsRowDxfId="1170">
      <calculatedColumnFormula>COUNTIF(T_p22236257655626974157159160161173[stack],"&gt;0")</calculatedColumnFormula>
    </tableColumn>
    <tableColumn id="2" xr3:uid="{D7D134DC-3C13-4978-8FF0-EBC3CD0BE165}" name="stack" dataDxfId="1169" totalsRowDxfId="1168">
      <calculatedColumnFormula>IF(T_init2034474536067150162[[#This Row],[p]]=1,uncalled,IF(T_init2034474536067150162[[#This Row],[p]]=2,ROUNDDOWN(mainpot/2,0) + ROUNDDOWN(sidepot1,0),IF(T_init2034474536067150162[[#This Row],[p]]=3, ROUNDUP(mainpot/2,0),T_init2034474536067150162[[#This Row],[stack]]-T_init2034474536067150162[[#This Row],[anteblinds]])))</calculatedColumnFormula>
    </tableColumn>
    <tableColumn id="3" xr3:uid="{F738AFD4-AFCC-47D0-98EC-2252D9A203AA}" name="EQ" totalsRowDxfId="1167"/>
    <tableColumn id="4" xr3:uid="{B973CE29-4BA9-4650-8AAE-DC9A332AF58D}" name="ICM" dataDxfId="1166" totalsRowDxfId="1165">
      <calculatedColumnFormula>T_p22236257655626974157159160161173[[#This Row],[EQ]]*prize</calculatedColumnFormula>
    </tableColumn>
    <tableColumn id="5" xr3:uid="{C5AFBA56-C904-4017-BBD5-36BF55B44837}" name="KO" dataDxfId="1164" totalsRowDxfId="1163">
      <calculatedColumnFormula>IF(T_init2034474536067150162[[#This Row],[p]]=2,T_p22236257655626974157159160161173[[#This Row],[players]]*T_p22236257655626974157159160161173[[#This Row],[stack]]/chips+COUNTIF(T_p22236257655626974157159160161173[stack],0),T_p22236257655626974157159160161173[[#This Row],[players]]*T_p22236257655626974157159160161173[[#This Row],[stack]]/chips)</calculatedColumnFormula>
    </tableColumn>
    <tableColumn id="6" xr3:uid="{DE5BBD00-8C86-4163-89A5-CA2063E6B703}" name="$stack" dataDxfId="1162">
      <calculatedColumnFormula>T_p22236257655626974157159160161173[[#This Row],[ICM]]+bounty*T_p22236257655626974157159160161173[[#This Row],[KO]]</calculatedColumnFormula>
    </tableColumn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5CC85FA-D6DE-48A3-951A-E07128767240}" name="T_init2034474536067150" displayName="T_init2034474536067150" ref="A18:D25" totalsRowCount="1">
  <autoFilter ref="A18:D24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A9113F73-B7B4-43CC-B501-9916BAC851E3}" name="p" totalsRowLabel="Total"/>
    <tableColumn id="2" xr3:uid="{C6BEAFD7-6F77-465C-B764-965F17D21FE9}" name="stack"/>
    <tableColumn id="3" xr3:uid="{9D74B5B1-6131-47DC-BA5B-C310117103A0}" name="hand"/>
    <tableColumn id="4" xr3:uid="{67D6715B-9CA0-4E41-A62B-FD6B5CDB674C}" name="anteblinds" totalsRowFunction="sum"/>
  </tableColumns>
  <tableStyleInfo name="TableStyleLight1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695D5BB6-6DA0-46EB-9414-0ADAA726A73C}" name="T_p121351975546168151" displayName="T_p121351975546168151" ref="F18:K24" totalsRowShown="0" tableBorderDxfId="1161">
  <autoFilter ref="F18:K24" xr:uid="{00000000-0009-0000-0100-000022000000}"/>
  <tableColumns count="6">
    <tableColumn id="1" xr3:uid="{5A0BF100-A6E6-4B99-8124-EF8463F59465}" name="players" dataDxfId="1160">
      <calculatedColumnFormula>COUNTIF(T_p121351975546168151[stack],"&gt;0")</calculatedColumnFormula>
    </tableColumn>
    <tableColumn id="2" xr3:uid="{1717C1DA-AF93-45D2-B6B1-5DF341DB61A0}" name="stack" dataDxfId="1159">
      <calculatedColumnFormula>IF(T_init2034474536067150[[#This Row],[p]]=1,mainpot+sidepot1+sidepot2+uncalled,IF(T_init2034474536067150[[#This Row],[p]]&gt;1,0,T_init2034474536067150[[#This Row],[stack]]-T_init2034474536067150[[#This Row],[anteblinds]]))</calculatedColumnFormula>
    </tableColumn>
    <tableColumn id="3" xr3:uid="{DF330F83-9BAA-4A7B-863E-B5E9AB405F18}" name="EQ"/>
    <tableColumn id="4" xr3:uid="{8A4CE214-B706-453A-976F-6BBE653B655C}" name="ICM" dataDxfId="1158">
      <calculatedColumnFormula>T_p121351975546168151[[#This Row],[EQ]]*prize</calculatedColumnFormula>
    </tableColumn>
    <tableColumn id="5" xr3:uid="{82A0B893-F962-4639-BA70-6FC1FFB101C3}" name="KO" dataDxfId="1157">
      <calculatedColumnFormula>IF(T_init2034474536067150[[#This Row],[p]]=1,T_p121351975546168151[[#This Row],[players]]*T_p121351975546168151[[#This Row],[stack]]/chips+COUNTIF(T_p121351975546168151[stack],0),T_p121351975546168151[[#This Row],[players]]*T_p121351975546168151[[#This Row],[stack]]/chips)</calculatedColumnFormula>
    </tableColumn>
    <tableColumn id="6" xr3:uid="{ABC6DE40-663A-49A4-9446-59FCEB93C692}" name="$stack" dataDxfId="1156">
      <calculatedColumnFormula>T_p121351975546168151[[#This Row],[ICM]]+bounty*T_p121351975546168151[[#This Row],[KO]]</calculatedColumnFormula>
    </tableColumn>
  </tableColumns>
  <tableStyleInfo name="TableStyleLight1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E101C20C-A385-4615-ADDE-E49A7DCF7426}" name="T_p222362576556269152" displayName="T_p222362576556269152" ref="M18:R24" totalsRowShown="0" tableBorderDxfId="1155">
  <autoFilter ref="M18:R24" xr:uid="{00000000-0009-0000-0100-000023000000}"/>
  <tableColumns count="6">
    <tableColumn id="1" xr3:uid="{58A3C61C-74A1-44EC-958E-62D609150D14}" name="players" dataDxfId="1154" totalsRowDxfId="1153">
      <calculatedColumnFormula>COUNTIF(T_p222362576556269152[stack],"&gt;0")</calculatedColumnFormula>
    </tableColumn>
    <tableColumn id="2" xr3:uid="{F9590D41-AF1E-41E5-B8EA-4D7D602B17B8}" name="stack" dataDxfId="1152" totalsRowDxfId="1151">
      <calculatedColumnFormula>IF(T_init2034474536067150[[#This Row],[p]]=1,uncalled,IF(T_init2034474536067150[[#This Row],[p]]=2,mainpot+sidepot1+sidepot2,IF(T_init2034474536067150[[#This Row],[p]]&gt;2,0,T_init2034474536067150[[#This Row],[stack]]-T_init2034474536067150[[#This Row],[anteblinds]])))</calculatedColumnFormula>
    </tableColumn>
    <tableColumn id="3" xr3:uid="{241F17B9-1B80-4232-B998-A04ED4C0AF56}" name="EQ" totalsRowDxfId="1150"/>
    <tableColumn id="4" xr3:uid="{DB51546F-000B-4CD1-804B-20320B5730A0}" name="ICM" dataDxfId="1149" totalsRowDxfId="1148">
      <calculatedColumnFormula>T_p222362576556269152[[#This Row],[EQ]]*prize</calculatedColumnFormula>
    </tableColumn>
    <tableColumn id="5" xr3:uid="{114AF1CB-B954-414F-BE7B-1F18C8E74456}" name="KO" dataDxfId="1147" totalsRowDxfId="1146">
      <calculatedColumnFormula>IF(T_init2034474536067150[[#This Row],[p]]=2,T_p222362576556269152[[#This Row],[players]]*T_p222362576556269152[[#This Row],[stack]]/chips+COUNTIF(T_p222362576556269152[stack],0),T_p222362576556269152[[#This Row],[players]]*T_p222362576556269152[[#This Row],[stack]]/chips)</calculatedColumnFormula>
    </tableColumn>
    <tableColumn id="6" xr3:uid="{8ED384C1-F478-49DE-B45A-DCCB6F5B8929}" name="$stack" dataDxfId="1145">
      <calculatedColumnFormula>T_p222362576556269152[[#This Row],[ICM]]+bounty*T_p222362576556269152[[#This Row],[KO]]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B29E3F6A-C193-455B-A2CB-2BE70628BBE1}" name="T_p3p123372677566370153189" displayName="T_p3p123372677566370153189" ref="AV16:BA22" totalsRowShown="0" tableBorderDxfId="1453">
  <autoFilter ref="AV16:BA22" xr:uid="{00000000-0009-0000-0100-000024000000}"/>
  <tableColumns count="6">
    <tableColumn id="1" xr3:uid="{DB951F01-9947-486D-83B2-AE9EE911B66E}" name="players" dataDxfId="1452">
      <calculatedColumnFormula>COUNTIF(T_p3p123372677566370153189[stack],"&gt;0")</calculatedColumnFormula>
    </tableColumn>
    <tableColumn id="2" xr3:uid="{ECD49059-6B13-4C6F-BE7D-009BA40E1EAC}" name="stack" dataDxfId="1451">
      <calculatedColumnFormula>IF(T_init2034474536067150186[[#This Row],[p]]=1,sidepot1+uncalled,IF(T_init2034474536067150186[[#This Row],[p]]=3,mainpot,IF(ISBLANK(T_init2034474536067150186[[#This Row],[p]]),T_init2034474536067150186[[#This Row],[stack]]-T_init2034474536067150186[[#This Row],[anteblinds]],0)))</calculatedColumnFormula>
    </tableColumn>
    <tableColumn id="3" xr3:uid="{2B0E6C60-B32F-4EF5-BB98-C1C83AC369D1}" name="EQ"/>
    <tableColumn id="4" xr3:uid="{55AE055B-BFD9-4A28-9EC4-F11053C9AAD8}" name="ICM" dataDxfId="1450">
      <calculatedColumnFormula>T_p3p123372677566370153189[[#This Row],[EQ]]*prize</calculatedColumnFormula>
    </tableColumn>
    <tableColumn id="5" xr3:uid="{15A5A459-67A3-468F-8DAF-51910ECE66A5}" name="KO" dataDxfId="1449">
      <calculatedColumnFormula>IF(T_init2034474536067150186[[#This Row],[p]]=1,T_p3p123372677566370153189[[#This Row],[players]]*T_p3p123372677566370153189[[#This Row],[stack]]/chips+COUNTIF(T_p3p123372677566370153189[stack],0),T_p3p123372677566370153189[[#This Row],[players]]*T_p3p123372677566370153189[[#This Row],[stack]]/chips)</calculatedColumnFormula>
    </tableColumn>
    <tableColumn id="6" xr3:uid="{2D3455DA-99C0-4BBA-89E2-8520C2233052}" name="$stack" dataDxfId="1448">
      <calculatedColumnFormula>T_p3p123372677566370153189[[#This Row],[ICM]]+bounty*T_p3p123372677566370153189[[#This Row],[KO]]</calculatedColumnFormula>
    </tableColumn>
  </tableColumns>
  <tableStyleInfo name="TableStyleLight1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538A2E3-6090-43C2-AE2E-A6AF0A5AEAFA}" name="T_p3p123372677566370153" displayName="T_p3p123372677566370153" ref="AV18:BA24" totalsRowShown="0" tableBorderDxfId="1144">
  <autoFilter ref="AV18:BA24" xr:uid="{00000000-0009-0000-0100-000024000000}"/>
  <tableColumns count="6">
    <tableColumn id="1" xr3:uid="{995FD073-E56D-4AF2-9598-CCD7AA4167B6}" name="players" dataDxfId="1143">
      <calculatedColumnFormula>COUNTIF(T_p3p123372677566370153[stack],"&gt;0")</calculatedColumnFormula>
    </tableColumn>
    <tableColumn id="2" xr3:uid="{C7E0BD18-3FBB-4461-AECC-EA1EAF2ED794}" name="stack" dataDxfId="1142">
      <calculatedColumnFormula>IF(T_init2034474536067150[[#This Row],[p]]=1,sidepot1+uncalled,IF(T_init2034474536067150[[#This Row],[p]]=3,mainpot,IF(ISBLANK(T_init2034474536067150[[#This Row],[p]]),T_init2034474536067150[[#This Row],[stack]]-T_init2034474536067150[[#This Row],[anteblinds]],0)))</calculatedColumnFormula>
    </tableColumn>
    <tableColumn id="3" xr3:uid="{FCABD340-AF51-465F-BB99-C7296F9C57C6}" name="EQ"/>
    <tableColumn id="4" xr3:uid="{69C10F75-2034-4E26-BA61-293907011DDD}" name="ICM" dataDxfId="1141">
      <calculatedColumnFormula>T_p3p123372677566370153[[#This Row],[EQ]]*prize</calculatedColumnFormula>
    </tableColumn>
    <tableColumn id="5" xr3:uid="{22A1C734-24AA-4AE9-B09F-A51854F150F9}" name="KO" dataDxfId="1140">
      <calculatedColumnFormula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calculatedColumnFormula>
    </tableColumn>
    <tableColumn id="6" xr3:uid="{1965A972-9731-41CE-93EA-670F0A1A2B1F}" name="$stack" dataDxfId="1139">
      <calculatedColumnFormula>T_p3p123372677566370153[[#This Row],[ICM]]+bounty*T_p3p123372677566370153[[#This Row],[KO]]</calculatedColumnFormula>
    </tableColumn>
  </tableColumns>
  <tableStyleInfo name="TableStyleLight1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D530A799-15B7-459A-8093-316B9CCC04B9}" name="T_p3p224382778576471154" displayName="T_p3p224382778576471154" ref="BC18:BH24" totalsRowShown="0" tableBorderDxfId="1138">
  <autoFilter ref="BC18:BH24" xr:uid="{00000000-0009-0000-0100-000025000000}"/>
  <tableColumns count="6">
    <tableColumn id="1" xr3:uid="{9DE8A5C3-FFEC-4560-B50F-A4103C47DFFB}" name="players" dataDxfId="1137" totalsRowDxfId="1136">
      <calculatedColumnFormula>COUNTIF(T_p3p224382778576471154[stack],"&gt;0")</calculatedColumnFormula>
    </tableColumn>
    <tableColumn id="2" xr3:uid="{56A7DE52-7B10-4D2E-B649-A8D1743F183A}" name="stack" dataDxfId="1135" totalsRowDxfId="1134">
      <calculatedColumnFormula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calculatedColumnFormula>
    </tableColumn>
    <tableColumn id="3" xr3:uid="{18508B12-ADD7-4F6B-B8D5-325A97564F05}" name="EQ" totalsRowDxfId="1133"/>
    <tableColumn id="4" xr3:uid="{9D8D3569-635D-49C0-951B-B8F13FAA6959}" name="ICM" dataDxfId="1132" totalsRowDxfId="1131">
      <calculatedColumnFormula>T_p3p224382778576471154[[#This Row],[EQ]]*prize</calculatedColumnFormula>
    </tableColumn>
    <tableColumn id="5" xr3:uid="{29AB86B2-576D-4BA3-80EF-B98859496253}" name="KO" dataDxfId="1130" totalsRowDxfId="1129">
      <calculatedColumnFormula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calculatedColumnFormula>
    </tableColumn>
    <tableColumn id="6" xr3:uid="{D430BA17-651C-41F2-9133-AFD1A588E4D5}" name="$stack" dataDxfId="1128">
      <calculatedColumnFormula>T_p3p224382778576471154[[#This Row],[ICM]]+bounty*T_p3p224382778576471154[[#This Row],[KO]]</calculatedColumnFormula>
    </tableColumn>
  </tableColumns>
  <tableStyleInfo name="TableStyleLight1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A31CB84A-52B5-41CA-AF41-D494D18D27CF}" name="T_fact29392879586572155" displayName="T_fact29392879586572155" ref="BQ18:BV24" totalsRowShown="0" tableBorderDxfId="1127">
  <autoFilter ref="BQ18:BV24" xr:uid="{00000000-0009-0000-0100-000026000000}"/>
  <tableColumns count="6">
    <tableColumn id="1" xr3:uid="{3B997143-411A-421E-88F6-CD7B65D2CA51}" name="players">
      <calculatedColumnFormula>COUNTIF(T_fact29392879586572155[stack],"&gt;0")</calculatedColumnFormula>
    </tableColumn>
    <tableColumn id="2" xr3:uid="{0BACD59D-8C77-4392-8D28-AEB38339BD91}" name="stack" dataDxfId="1126">
      <calculatedColumnFormula>IF(T_init2034474536067150[[#This Row],[p]]=1,uncalled,IF(T_init2034474536067150[[#This Row],[p]]=2,mainpot+sidepot1+sidepot2,IF(T_init2034474536067150[[#This Row],[p]]&gt;2,0,T_init2034474536067150[[#This Row],[stack]]-T_init2034474536067150[[#This Row],[anteblinds]])))</calculatedColumnFormula>
    </tableColumn>
    <tableColumn id="3" xr3:uid="{9EDC4F43-327F-4C71-AC27-49FC2C05688F}" name="EQ"/>
    <tableColumn id="4" xr3:uid="{7A40344E-FF84-4D4B-B3DF-4A5287365A32}" name="ICM" dataDxfId="1125">
      <calculatedColumnFormula>T_fact29392879586572155[[#This Row],[EQ]]*prize</calculatedColumnFormula>
    </tableColumn>
    <tableColumn id="5" xr3:uid="{F9DA8F60-5160-4908-BDA2-D56BA95ACD1B}" name="KO" dataDxfId="1124">
      <calculatedColumnFormula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calculatedColumnFormula>
    </tableColumn>
    <tableColumn id="6" xr3:uid="{DC94A7B4-48EB-4032-BDD2-185A0BBF5945}" name="$stack" dataDxfId="1123">
      <calculatedColumnFormula>T_fact29392879586572155[[#This Row],[ICM]]+bounty*T_fact29392879586572155[[#This Row],[KO]]</calculatedColumnFormula>
    </tableColumn>
  </tableColumns>
  <tableStyleInfo name="TableStyleLight1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A1D1D886-C2D1-4B9B-A7BA-DC5B29C39692}" name="T_EV33403080596673156" displayName="T_EV33403080596673156" ref="BY18:CF24" totalsRowShown="0" tableBorderDxfId="1122">
  <autoFilter ref="BY18:CF24" xr:uid="{00000000-0009-0000-0100-000027000000}"/>
  <tableColumns count="8">
    <tableColumn id="1" xr3:uid="{FAC739E3-A920-42C8-9E08-7231167B5828}" name="ICM" dataDxfId="1121">
      <calculatedColumnFormula>'3way шаблон разбивка'!p3win* ('3way шаблон разбивка'!p1sp1win*T_p3p123372677566370153[[#This Row],[ICM]] + '3way шаблон разбивка'!p2sp1win*T_p3p224382778576471154[[#This Row],[ICM]] + tiesp1*T_p3p22438277857647175158[[#This Row],[ICM]])
+'3way шаблон разбивка'!p2win*T_p222362576556269152[[#This Row],[ICM]]
+'3way шаблон разбивка'!p1win*T_p121351975546168151[[#This Row],[ICM]]
+'3way шаблон разбивка'!tie*T_p22236257655626974157[[#This Row],[ICM]]</calculatedColumnFormula>
    </tableColumn>
    <tableColumn id="2" xr3:uid="{7412FC42-64EE-4E3D-9097-BD5E15DC73EB}" name="KO" dataDxfId="1120">
      <calculatedColumnFormula>('3way шаблон разбивка'!p3win* ('3way шаблон разбивка'!p1sp1win*T_p3p123372677566370153[[#This Row],[KO]] + '3way шаблон разбивка'!p2sp1win*T_p3p224382778576471154[[#This Row],[KO]])
+'3way шаблон разбивка'!p2win*T_p222362576556269152[[#This Row],[KO]]
+'3way шаблон разбивка'!p1win*T_p121351975546168151[[#This Row],[KO]])*bounty</calculatedColumnFormula>
    </tableColumn>
    <tableColumn id="3" xr3:uid="{A61B6D57-9E49-4D16-BA0F-8EB5578A1D01}" name="EV" dataDxfId="1119">
      <calculatedColumnFormula>'3way шаблон разбивка'!p3win* ('3way шаблон разбивка'!p1sp1win*T_p3p123372677566370153[[#This Row],[$stack]] + '3way шаблон разбивка'!p2sp1win*T_p3p224382778576471154[[#This Row],[$stack]])
+'3way шаблон разбивка'!p2win*T_p222362576556269152[[#This Row],[$stack]]
+'3way шаблон разбивка'!p1win*T_p121351975546168151[[#This Row],[$stack]]</calculatedColumnFormula>
    </tableColumn>
    <tableColumn id="4" xr3:uid="{0E899F34-2703-4D08-99CF-9DB4F33C647E}" name="chipEV" dataDxfId="1118">
      <calculatedColumnFormula>'3way шаблон разбивка'!p3win* ('3way шаблон разбивка'!p1sp1win*T_p3p123372677566370153[[#This Row],[stack]] + '3way шаблон разбивка'!p2sp1win*T_p3p224382778576471154[[#This Row],[stack]] + tiesp1*T_p3p22438277857647175158[[#This Row],[stack]])
+'3way шаблон разбивка'!p2win*T_p222362576556269152[[#This Row],[stack]]
+'3way шаблон разбивка'!p1win*T_p121351975546168151[[#This Row],[stack]]
+tie*T_p22236257655626974157[[#This Row],[stack]]</calculatedColumnFormula>
    </tableColumn>
    <tableColumn id="8" xr3:uid="{CDC3B35A-9F04-4C6C-A63E-5EB439BED604}" name="netwon" dataDxfId="1117">
      <calculatedColumnFormula>T_fact29392879586572155[[#This Row],[stack]]- T_init2034474536067150[[#This Row],[stack]]</calculatedColumnFormula>
    </tableColumn>
    <tableColumn id="7" xr3:uid="{05F95B98-5EE9-42AF-B0B0-F981D9948514}" name="netwon_adj" dataDxfId="1116">
      <calculatedColumnFormula>T_EV33403080596673156[[#This Row],[netwon]]+T_EV33403080596673156[[#This Row],[cEVdiff]]</calculatedColumnFormula>
    </tableColumn>
    <tableColumn id="5" xr3:uid="{D32A4AC1-2E9C-4B0C-BB7E-EF7D290E491E}" name="cEVdiff" dataDxfId="1115">
      <calculatedColumnFormula>T_EV33403080596673156[[#This Row],[chipEV]]-T_fact29392879586572155[[#This Row],[stack]]</calculatedColumnFormula>
    </tableColumn>
    <tableColumn id="6" xr3:uid="{B3878181-3F71-44A1-9BEC-F48EE77AE6F2}" name="Evdiff" dataDxfId="1114">
      <calculatedColumnFormula>T_EV33403080596673156[[#This Row],[EV]]-(T_fact29392879586572155[[#This Row],[ICM]])</calculatedColumnFormula>
    </tableColumn>
  </tableColumns>
  <tableStyleInfo name="TableStyleLight1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D6EF824A-C496-4CA8-992A-D16953E8976E}" name="T_p22236257655626974157" displayName="T_p22236257655626974157" ref="T18:Y24" totalsRowShown="0" tableBorderDxfId="1113">
  <autoFilter ref="T18:Y24" xr:uid="{CE38ABBA-F0F2-4A26-90AC-5B8D0B66446B}"/>
  <tableColumns count="6">
    <tableColumn id="1" xr3:uid="{E9C02DBD-E7F5-46DA-BDFD-E3924DF1F0E1}" name="players" dataDxfId="1112" totalsRowDxfId="1111">
      <calculatedColumnFormula>COUNTIF(T_p22236257655626974157[stack],"&gt;0")</calculatedColumnFormula>
    </tableColumn>
    <tableColumn id="2" xr3:uid="{AEFB736C-6675-4E54-B5AC-F4DCCE5B5587}" name="stack" dataDxfId="1110" totalsRowDxfId="1109">
      <calculatedColumnFormula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calculatedColumnFormula>
    </tableColumn>
    <tableColumn id="3" xr3:uid="{C3F3A0FC-8847-4F9A-AC3A-1905AA6E8B6B}" name="EQ" totalsRowDxfId="1108"/>
    <tableColumn id="4" xr3:uid="{B6A58378-F74E-473A-807A-34E7F2DC50B0}" name="ICM" dataDxfId="1107" totalsRowDxfId="1106">
      <calculatedColumnFormula>T_p22236257655626974157[[#This Row],[EQ]]*prize</calculatedColumnFormula>
    </tableColumn>
    <tableColumn id="5" xr3:uid="{26C46EA5-F655-4415-898B-8FDCF3514542}" name="KO" dataDxfId="1105" totalsRowDxfId="1104">
      <calculatedColumnFormula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calculatedColumnFormula>
    </tableColumn>
    <tableColumn id="6" xr3:uid="{53593EC2-5DDC-40F4-A88F-077709468EFE}" name="$stack" dataDxfId="1103">
      <calculatedColumnFormula>T_p22236257655626974157[[#This Row],[ICM]]+bounty*T_p22236257655626974157[[#This Row],[KO]]</calculatedColumnFormula>
    </tableColumn>
  </tableColumns>
  <tableStyleInfo name="TableStyleLight1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C51570AA-0C90-4B83-AF17-45F799D56B03}" name="T_p3p22438277857647175158" displayName="T_p3p22438277857647175158" ref="BJ18:BO24" totalsRowShown="0" tableBorderDxfId="1102">
  <autoFilter ref="BJ18:BO24" xr:uid="{0E6963F0-4D2D-49F5-BA0C-CC131E0278C6}"/>
  <tableColumns count="6">
    <tableColumn id="1" xr3:uid="{3BB6333F-7802-42D2-86CC-084E8FCAE36F}" name="players" dataDxfId="1101" totalsRowDxfId="1100">
      <calculatedColumnFormula>COUNTIF(T_p3p22438277857647175158[stack],"&gt;0")</calculatedColumnFormula>
    </tableColumn>
    <tableColumn id="2" xr3:uid="{895B7B6D-97C8-4EB2-977B-DB68CD93788D}" name="stack" dataDxfId="1099" totalsRowDxfId="1098">
      <calculatedColumnFormula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calculatedColumnFormula>
    </tableColumn>
    <tableColumn id="3" xr3:uid="{236AC6E0-18D8-403A-86B6-8C241DBC01B2}" name="EQ" totalsRowDxfId="1097"/>
    <tableColumn id="4" xr3:uid="{C87EFBAE-22A6-420A-9742-A11EE0CB755E}" name="ICM" dataDxfId="1096" totalsRowDxfId="1095">
      <calculatedColumnFormula>T_p3p22438277857647175158[[#This Row],[EQ]]*prize</calculatedColumnFormula>
    </tableColumn>
    <tableColumn id="5" xr3:uid="{E085674B-99B8-4111-8CB2-CE6AB53C4111}" name="KO" dataDxfId="1094" totalsRowDxfId="1093">
      <calculatedColumnFormula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calculatedColumnFormula>
    </tableColumn>
    <tableColumn id="6" xr3:uid="{55134297-7363-47F7-9A69-9C8109F3C8EC}" name="$stack" dataDxfId="1092">
      <calculatedColumnFormula>T_p3p22438277857647175158[[#This Row],[ICM]]+bounty*T_p3p22438277857647175158[[#This Row],[KO]]</calculatedColumnFormula>
    </tableColumn>
  </tableColumns>
  <tableStyleInfo name="TableStyleLight1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254882CA-5E66-4464-9F1A-E93582CCC293}" name="T_p22236257655626974157159" displayName="T_p22236257655626974157159" ref="AA18:AF24" totalsRowShown="0" tableBorderDxfId="1091">
  <autoFilter ref="AA18:AF24" xr:uid="{65A7E52C-5FB7-4BB3-8A75-2B9A177732FF}"/>
  <tableColumns count="6">
    <tableColumn id="1" xr3:uid="{7090536B-7169-4161-BD3B-7C54A33841B5}" name="players" dataDxfId="1090" totalsRowDxfId="1089">
      <calculatedColumnFormula>COUNTIF(T_p22236257655626974157159[stack],"&gt;0")</calculatedColumnFormula>
    </tableColumn>
    <tableColumn id="2" xr3:uid="{0B875DC0-2140-4BE5-9F0F-52A57A1F9434}" name="stack" dataDxfId="1088" totalsRowDxfId="1087">
      <calculatedColumnFormula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calculatedColumnFormula>
    </tableColumn>
    <tableColumn id="3" xr3:uid="{5B3F7063-C4C8-477E-86FB-70142F6E32E2}" name="EQ" totalsRowDxfId="1086"/>
    <tableColumn id="4" xr3:uid="{24F39F71-0EEA-459B-9951-FFA3DCD21D21}" name="ICM" dataDxfId="1085" totalsRowDxfId="1084">
      <calculatedColumnFormula>T_p22236257655626974157159[[#This Row],[EQ]]*prize</calculatedColumnFormula>
    </tableColumn>
    <tableColumn id="5" xr3:uid="{9C3B723F-B907-408D-BE3A-0676F3A3981C}" name="KO" dataDxfId="1083" totalsRowDxfId="1082">
      <calculatedColumnFormula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calculatedColumnFormula>
    </tableColumn>
    <tableColumn id="6" xr3:uid="{91E29DF6-89E9-47E9-88F0-D6C2A964CE56}" name="$stack" dataDxfId="1081">
      <calculatedColumnFormula>T_p22236257655626974157159[[#This Row],[ICM]]+bounty*T_p22236257655626974157159[[#This Row],[KO]]</calculatedColumnFormula>
    </tableColumn>
  </tableColumns>
  <tableStyleInfo name="TableStyleLight1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73794645-170B-4B74-93C4-4AC94C174F21}" name="T_p22236257655626974157159160" displayName="T_p22236257655626974157159160" ref="AH18:AM24" totalsRowShown="0" tableBorderDxfId="1080">
  <autoFilter ref="AH18:AM24" xr:uid="{22DD0C87-8B5C-4E2F-A7A6-3E4489B3D96B}"/>
  <tableColumns count="6">
    <tableColumn id="1" xr3:uid="{A3AA1ECD-477B-4AF2-A06B-992A5BDF7FBC}" name="players" dataDxfId="1079" totalsRowDxfId="1078">
      <calculatedColumnFormula>COUNTIF(T_p22236257655626974157159160[stack],"&gt;0")</calculatedColumnFormula>
    </tableColumn>
    <tableColumn id="2" xr3:uid="{A5A02123-14E5-4BBB-8AFB-6AC73467ED41}" name="stack" dataDxfId="1077" totalsRowDxfId="1076">
      <calculatedColumnFormula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calculatedColumnFormula>
    </tableColumn>
    <tableColumn id="3" xr3:uid="{37E2E95D-4114-47BA-9FE5-C7A2083ED5EB}" name="EQ" totalsRowDxfId="1075"/>
    <tableColumn id="4" xr3:uid="{4763384E-ED53-4680-A18F-9BF19A98F706}" name="ICM" dataDxfId="1074" totalsRowDxfId="1073">
      <calculatedColumnFormula>T_p22236257655626974157159160[[#This Row],[EQ]]*prize</calculatedColumnFormula>
    </tableColumn>
    <tableColumn id="5" xr3:uid="{A4D7AD40-8A23-449C-A9C4-A51230ED7C69}" name="KO" dataDxfId="1072" totalsRowDxfId="1071">
      <calculatedColumnFormula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calculatedColumnFormula>
    </tableColumn>
    <tableColumn id="6" xr3:uid="{98654B13-93C8-4A54-9F50-9530AA526FBC}" name="$stack" dataDxfId="1070">
      <calculatedColumnFormula>T_p22236257655626974157159160[[#This Row],[ICM]]+bounty*T_p22236257655626974157159160[[#This Row],[KO]]</calculatedColumnFormula>
    </tableColumn>
  </tableColumns>
  <tableStyleInfo name="TableStyleLight1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C6F3EFE6-AE86-450F-B101-E93EB0352107}" name="T_p22236257655626974157159160161" displayName="T_p22236257655626974157159160161" ref="AO18:AT24" totalsRowShown="0" tableBorderDxfId="1069">
  <autoFilter ref="AO18:AT24" xr:uid="{85FE0BC8-7AC0-49B1-8516-7148FA962FFE}"/>
  <tableColumns count="6">
    <tableColumn id="1" xr3:uid="{607BB411-B1DB-4A33-83C1-B3218CB183DF}" name="players" dataDxfId="1068" totalsRowDxfId="1067">
      <calculatedColumnFormula>COUNTIF(T_p22236257655626974157159160161[stack],"&gt;0")</calculatedColumnFormula>
    </tableColumn>
    <tableColumn id="2" xr3:uid="{1250F9AA-6DB3-4CCC-BBEF-AE73D3248BE7}" name="stack" dataDxfId="1066" totalsRowDxfId="1065">
      <calculatedColumnFormula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calculatedColumnFormula>
    </tableColumn>
    <tableColumn id="3" xr3:uid="{F7B52362-851E-48F4-BEE5-8C80A9AA8688}" name="EQ" totalsRowDxfId="1064"/>
    <tableColumn id="4" xr3:uid="{24FAEEC0-0D9B-4F02-9A15-6FAF1DEA9BFD}" name="ICM" dataDxfId="1063" totalsRowDxfId="1062">
      <calculatedColumnFormula>T_p22236257655626974157159160161[[#This Row],[EQ]]*prize</calculatedColumnFormula>
    </tableColumn>
    <tableColumn id="5" xr3:uid="{87D0CC0A-BCFB-4898-A721-F6E143E77321}" name="KO" dataDxfId="1061" totalsRowDxfId="1060">
      <calculatedColumnFormula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calculatedColumnFormula>
    </tableColumn>
    <tableColumn id="6" xr3:uid="{C0E055A5-A552-4F73-84CE-1A961C5E121C}" name="$stack" dataDxfId="1059">
      <calculatedColumnFormula>T_p22236257655626974157159160161[[#This Row],[ICM]]+bounty*T_p22236257655626974157159160161[[#This Row],[KO]]</calculatedColumnFormula>
    </tableColumn>
  </tableColumns>
  <tableStyleInfo name="TableStyleLight1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852C238B-40D6-4E90-96D5-AAE349B4822E}" name="T_init2034474536067" displayName="T_init2034474536067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022CBCCC-7E98-4631-8CC1-B2C4D356D241}" name="p" totalsRowLabel="Total"/>
    <tableColumn id="2" xr3:uid="{7AC6E346-9284-4382-A604-76EABFE9683E}" name="stack"/>
    <tableColumn id="3" xr3:uid="{FEE51338-3922-4F85-852F-118AEC9CE831}" name="hand"/>
    <tableColumn id="4" xr3:uid="{73B29780-687E-498A-ADA7-6E6194ED24EC}" name="anteblinds" totalsRowFunction="sum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8151CF5C-EDDC-4FB1-9421-543EF40D3379}" name="T_p3p224382778576471154190" displayName="T_p3p224382778576471154190" ref="BC16:BH22" totalsRowShown="0" tableBorderDxfId="1447">
  <autoFilter ref="BC16:BH22" xr:uid="{00000000-0009-0000-0100-000025000000}"/>
  <tableColumns count="6">
    <tableColumn id="1" xr3:uid="{E0903E28-D3C5-440B-B993-4F6C000A0C80}" name="players" dataDxfId="1446" totalsRowDxfId="1445">
      <calculatedColumnFormula>COUNTIF(T_p3p224382778576471154190[stack],"&gt;0")</calculatedColumnFormula>
    </tableColumn>
    <tableColumn id="2" xr3:uid="{57B698C9-FBFF-4DDE-AF94-0E7AC75657F9}" name="stack" dataDxfId="1444" totalsRowDxfId="1443">
      <calculatedColumnFormula>IF(T_init2034474536067150186[[#This Row],[p]]=1,uncalled,IF(T_init2034474536067150186[[#This Row],[p]]=2,sidepot1,IF(T_init2034474536067150186[[#This Row],[p]]=3,mainpot,IF(ISBLANK(T_init2034474536067150186[[#This Row],[p]]),T_init2034474536067150186[[#This Row],[stack]]-T_init2034474536067150186[[#This Row],[anteblinds]],0))))</calculatedColumnFormula>
    </tableColumn>
    <tableColumn id="3" xr3:uid="{397A3DC8-148F-4AF3-98C9-24A06DBCB7C1}" name="EQ" totalsRowDxfId="1442"/>
    <tableColumn id="4" xr3:uid="{E37D9224-A518-4F23-9D1F-9C59488C4A8F}" name="ICM" dataDxfId="1441" totalsRowDxfId="1440">
      <calculatedColumnFormula>T_p3p224382778576471154190[[#This Row],[EQ]]*prize</calculatedColumnFormula>
    </tableColumn>
    <tableColumn id="5" xr3:uid="{B045F1EC-5DF7-4BB3-8154-F6B5315C24FD}" name="KO" dataDxfId="1439" totalsRowDxfId="1438">
      <calculatedColumnFormula>IF(T_init2034474536067150186[[#This Row],[p]]=2,T_p3p224382778576471154190[[#This Row],[players]]*T_p3p224382778576471154190[[#This Row],[stack]]/chips+COUNTIF(T_p3p224382778576471154190[stack],0),T_p3p224382778576471154190[[#This Row],[players]]*T_p3p224382778576471154190[[#This Row],[stack]]/chips)</calculatedColumnFormula>
    </tableColumn>
    <tableColumn id="6" xr3:uid="{0ABD34C4-57B5-4B49-AF29-AA966B825422}" name="$stack" dataDxfId="1437">
      <calculatedColumnFormula>T_p3p224382778576471154190[[#This Row],[ICM]]+bounty*T_p3p224382778576471154190[[#This Row],[KO]]</calculatedColumnFormula>
    </tableColumn>
  </tableColumns>
  <tableStyleInfo name="TableStyleLight1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252FE962-7BBF-4A8B-A7EC-B1DAB26F5980}" name="T_p121351975546168" displayName="T_p121351975546168" ref="F16:K22" totalsRowShown="0" tableBorderDxfId="1058">
  <autoFilter ref="F16:K22" xr:uid="{00000000-0009-0000-0100-000022000000}"/>
  <tableColumns count="6">
    <tableColumn id="1" xr3:uid="{F89EC6FB-8C20-40F0-9005-DC237E3C2F6B}" name="players" dataDxfId="1057">
      <calculatedColumnFormula>COUNTIF(T_p121351975546168[stack],"&gt;0")</calculatedColumnFormula>
    </tableColumn>
    <tableColumn id="2" xr3:uid="{101F2EF3-00E6-48EE-86F2-BB8AC515F399}" name="stack" dataDxfId="1056">
      <calculatedColumnFormula>IF(T_init2034474536067[[#This Row],[p]]=1,mainpot+sidepot1+sidepot2+uncalled,IF(T_init2034474536067[[#This Row],[p]]&gt;1,0,T_init2034474536067[[#This Row],[stack]]-T_init2034474536067[[#This Row],[anteblinds]]))</calculatedColumnFormula>
    </tableColumn>
    <tableColumn id="3" xr3:uid="{E6BEF087-0FB0-44D4-80FF-6147DBE13962}" name="EQ"/>
    <tableColumn id="4" xr3:uid="{06324DF1-3B68-4914-B48E-3A81B616276D}" name="ICM" dataDxfId="1055">
      <calculatedColumnFormula>T_p121351975546168[[#This Row],[EQ]]*prize</calculatedColumnFormula>
    </tableColumn>
    <tableColumn id="5" xr3:uid="{8B42F650-FEE6-4115-BCDE-DB82D156443B}" name="KO" dataDxfId="1054">
      <calculatedColumnFormula>IF(T_init2034474536067[[#This Row],[p]]=1,T_p121351975546168[[#This Row],[players]]*T_p121351975546168[[#This Row],[stack]]/chips+COUNTIF(T_p121351975546168[stack],0),T_p121351975546168[[#This Row],[players]]*T_p121351975546168[[#This Row],[stack]]/chips)</calculatedColumnFormula>
    </tableColumn>
    <tableColumn id="6" xr3:uid="{51AF8213-A378-4A83-9118-25F2C9E4D9C7}" name="$stack" dataDxfId="1053">
      <calculatedColumnFormula>T_p121351975546168[[#This Row],[ICM]]+bounty*T_p121351975546168[[#This Row],[KO]]</calculatedColumnFormula>
    </tableColumn>
  </tableColumns>
  <tableStyleInfo name="TableStyleLight1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38FE5F80-235C-4D78-93F5-E8D080236F80}" name="T_p222362576556269" displayName="T_p222362576556269" ref="M16:R22" totalsRowShown="0" tableBorderDxfId="1052">
  <autoFilter ref="M16:R22" xr:uid="{00000000-0009-0000-0100-000023000000}"/>
  <tableColumns count="6">
    <tableColumn id="1" xr3:uid="{34F87B87-40D4-4306-B1B3-592A2E31AF8E}" name="players" dataDxfId="1051" totalsRowDxfId="1050">
      <calculatedColumnFormula>COUNTIF(T_p222362576556269[stack],"&gt;0")</calculatedColumnFormula>
    </tableColumn>
    <tableColumn id="2" xr3:uid="{4427E3C5-2689-401B-BF0B-89FD0DB5E609}" name="stack" dataDxfId="1049" totalsRowDxfId="1048">
      <calculatedColumnFormula>IF(T_init2034474536067[[#This Row],[p]]=1,uncalled,IF(T_init2034474536067[[#This Row],[p]]=2,mainpot+sidepot1+sidepot2,IF(T_init2034474536067[[#This Row],[p]]&gt;2,0,T_init2034474536067[[#This Row],[stack]]-T_init2034474536067[[#This Row],[anteblinds]])))</calculatedColumnFormula>
    </tableColumn>
    <tableColumn id="3" xr3:uid="{4404F8F8-51BC-4343-BFF7-D431C7997781}" name="EQ" totalsRowDxfId="1047"/>
    <tableColumn id="4" xr3:uid="{3F30663E-1987-41CA-88DA-C8754E433523}" name="ICM" dataDxfId="1046" totalsRowDxfId="1045">
      <calculatedColumnFormula>T_p222362576556269[[#This Row],[EQ]]*prize</calculatedColumnFormula>
    </tableColumn>
    <tableColumn id="5" xr3:uid="{1FA557F7-5690-4DCC-ADB7-C299FF43EAAD}" name="KO" dataDxfId="1044" totalsRowDxfId="1043">
      <calculatedColumnFormula>IF(T_init2034474536067[[#This Row],[p]]=2,T_p222362576556269[[#This Row],[players]]*T_p222362576556269[[#This Row],[stack]]/chips+COUNTIF(T_p222362576556269[stack],0),T_p222362576556269[[#This Row],[players]]*T_p222362576556269[[#This Row],[stack]]/chips)</calculatedColumnFormula>
    </tableColumn>
    <tableColumn id="6" xr3:uid="{ED83B105-30C1-48F4-B874-C00BFEA2EAE7}" name="$stack" dataDxfId="1042">
      <calculatedColumnFormula>T_p222362576556269[[#This Row],[ICM]]+bounty*T_p222362576556269[[#This Row],[KO]]</calculatedColumnFormula>
    </tableColumn>
  </tableColumns>
  <tableStyleInfo name="TableStyleLight1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FA2A115-9560-4B24-8AA7-F05896553521}" name="T_p3p123372677566370" displayName="T_p3p123372677566370" ref="AA16:AF22" totalsRowShown="0" tableBorderDxfId="1041">
  <autoFilter ref="AA16:AF22" xr:uid="{00000000-0009-0000-0100-000024000000}"/>
  <tableColumns count="6">
    <tableColumn id="1" xr3:uid="{26D7803F-5F43-4136-B39C-F06E445B1394}" name="players" dataDxfId="1040">
      <calculatedColumnFormula>COUNTIF(T_p3p123372677566370[stack],"&gt;0")</calculatedColumnFormula>
    </tableColumn>
    <tableColumn id="2" xr3:uid="{A5079BBD-3484-49FF-ADA8-AB224047158B}" name="stack" dataDxfId="1039">
      <calculatedColumnFormula>IF(T_init2034474536067[[#This Row],[p]]=1,sidepot1+uncalled,IF(T_init2034474536067[[#This Row],[p]]=3,mainpot,IF(ISBLANK(T_init2034474536067[[#This Row],[p]]),T_init2034474536067[[#This Row],[stack]]-T_init2034474536067[[#This Row],[anteblinds]],0)))</calculatedColumnFormula>
    </tableColumn>
    <tableColumn id="3" xr3:uid="{71AAD1D1-3D79-4D66-AE0B-374C123D0FBA}" name="EQ"/>
    <tableColumn id="4" xr3:uid="{2E421352-03EF-4813-98AE-74A272E10387}" name="ICM" dataDxfId="1038">
      <calculatedColumnFormula>T_p3p123372677566370[[#This Row],[EQ]]*prize</calculatedColumnFormula>
    </tableColumn>
    <tableColumn id="5" xr3:uid="{02308811-A401-4C6E-8146-1151F1465298}" name="KO" dataDxfId="1037">
      <calculatedColumnFormula>IF(T_init2034474536067[[#This Row],[p]]=1,T_p3p123372677566370[[#This Row],[players]]*T_p3p123372677566370[[#This Row],[stack]]/chips+COUNTIF(T_p3p123372677566370[stack],0),T_p3p123372677566370[[#This Row],[players]]*T_p3p123372677566370[[#This Row],[stack]]/chips)</calculatedColumnFormula>
    </tableColumn>
    <tableColumn id="6" xr3:uid="{6297DAA3-8BA6-4B0F-AD4C-D37190605ECB}" name="$stack" dataDxfId="1036">
      <calculatedColumnFormula>T_p3p123372677566370[[#This Row],[ICM]]+bounty*T_p3p123372677566370[[#This Row],[KO]]</calculatedColumnFormula>
    </tableColumn>
  </tableColumns>
  <tableStyleInfo name="TableStyleLight1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E5FABA2-A038-483D-97F4-B92429D75B93}" name="T_p3p224382778576471" displayName="T_p3p224382778576471" ref="AH16:AM22" totalsRowShown="0" tableBorderDxfId="1035">
  <autoFilter ref="AH16:AM22" xr:uid="{00000000-0009-0000-0100-000025000000}"/>
  <tableColumns count="6">
    <tableColumn id="1" xr3:uid="{928D27DD-F3CE-43E5-BD7B-3A0039965D49}" name="players" dataDxfId="1034" totalsRowDxfId="1033">
      <calculatedColumnFormula>COUNTIF(T_p3p224382778576471[stack],"&gt;0")</calculatedColumnFormula>
    </tableColumn>
    <tableColumn id="2" xr3:uid="{98EC63B4-2C62-4F2F-8625-067AC538E7CB}" name="stack" dataDxfId="1032" totalsRowDxfId="1031">
      <calculatedColumnFormula>IF(T_init2034474536067[[#This Row],[p]]=1,uncalled,IF(T_init2034474536067[[#This Row],[p]]=2,sidepot1,IF(T_init2034474536067[[#This Row],[p]]=3,mainpot,IF(ISBLANK(T_init2034474536067[[#This Row],[p]]),T_init2034474536067[[#This Row],[stack]]-T_init2034474536067[[#This Row],[anteblinds]],0))))</calculatedColumnFormula>
    </tableColumn>
    <tableColumn id="3" xr3:uid="{47E2B080-19F1-4EBF-8837-16FC4273958B}" name="EQ" totalsRowDxfId="1030"/>
    <tableColumn id="4" xr3:uid="{CD798111-8A40-4F84-A26D-04C441A7F03A}" name="ICM" dataDxfId="1029" totalsRowDxfId="1028">
      <calculatedColumnFormula>T_p3p224382778576471[[#This Row],[EQ]]*prize</calculatedColumnFormula>
    </tableColumn>
    <tableColumn id="5" xr3:uid="{F6F5C3F0-3978-4189-96CF-35B8D05BAE51}" name="KO" dataDxfId="1027" totalsRowDxfId="1026">
      <calculatedColumnFormula>IF(T_init2034474536067[[#This Row],[p]]=2,T_p3p224382778576471[[#This Row],[players]]*T_p3p224382778576471[[#This Row],[stack]]/chips+COUNTIF(T_p3p224382778576471[stack],0),T_p3p224382778576471[[#This Row],[players]]*T_p3p224382778576471[[#This Row],[stack]]/chips)</calculatedColumnFormula>
    </tableColumn>
    <tableColumn id="6" xr3:uid="{C3BE2D32-C88A-4821-9345-3BE1FBDD6FED}" name="$stack" dataDxfId="1025">
      <calculatedColumnFormula>T_p3p224382778576471[[#This Row],[ICM]]+bounty*T_p3p224382778576471[[#This Row],[KO]]</calculatedColumnFormula>
    </tableColumn>
  </tableColumns>
  <tableStyleInfo name="TableStyleLight1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281674D3-18D3-40D0-A713-EBF462BEC055}" name="T_fact29392879586572" displayName="T_fact29392879586572" ref="AV16:BA22" totalsRowShown="0" tableBorderDxfId="1024">
  <autoFilter ref="AV16:BA22" xr:uid="{00000000-0009-0000-0100-000026000000}"/>
  <tableColumns count="6">
    <tableColumn id="1" xr3:uid="{8A95CEF6-F95C-40A8-83CA-FF7669542B86}" name="players">
      <calculatedColumnFormula>COUNTIF(T_fact29392879586572[stack],"&gt;0")</calculatedColumnFormula>
    </tableColumn>
    <tableColumn id="2" xr3:uid="{4DF3709D-BE03-4DC3-871F-555A637E3603}" name="stack" dataDxfId="1023">
      <calculatedColumnFormula>IF(T_init2034474536067[[#This Row],[p]]=1,uncalled,IF(T_init2034474536067[[#This Row],[p]]=2,mainpot+sidepot1+sidepot2,IF(T_init2034474536067[[#This Row],[p]]&gt;2,0,T_init2034474536067[[#This Row],[stack]]-T_init2034474536067[[#This Row],[anteblinds]])))</calculatedColumnFormula>
    </tableColumn>
    <tableColumn id="3" xr3:uid="{CC06AD5D-9761-47D6-B816-A8662B33FA0E}" name="EQ"/>
    <tableColumn id="4" xr3:uid="{42712CA5-D491-4A59-B551-667CDCE74BE7}" name="ICM" dataDxfId="1022">
      <calculatedColumnFormula>T_fact29392879586572[[#This Row],[EQ]]*prize</calculatedColumnFormula>
    </tableColumn>
    <tableColumn id="5" xr3:uid="{7A3F27E3-84D6-40B2-8902-B17135BFC39C}" name="KO" dataDxfId="1021">
      <calculatedColumnFormula>IF(T_init2034474536067[[#This Row],[p]]=1,T_fact29392879586572[[#This Row],[players]]*T_fact29392879586572[[#This Row],[stack]]/chips+COUNTIF(T_fact29392879586572[stack],0),T_fact29392879586572[[#This Row],[players]]*T_fact29392879586572[[#This Row],[stack]]/chips)</calculatedColumnFormula>
    </tableColumn>
    <tableColumn id="6" xr3:uid="{FFF7054A-F123-4D58-886C-029736283572}" name="$stack" dataDxfId="1020">
      <calculatedColumnFormula>T_fact29392879586572[[#This Row],[ICM]]+bounty*T_fact29392879586572[[#This Row],[KO]]</calculatedColumnFormula>
    </tableColumn>
  </tableColumns>
  <tableStyleInfo name="TableStyleLight1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40CDC564-2523-4056-9E1B-97B374CACF3C}" name="T_EV33403080596673" displayName="T_EV33403080596673" ref="BD16:BK22" totalsRowShown="0" tableBorderDxfId="1019">
  <autoFilter ref="BD16:BK22" xr:uid="{00000000-0009-0000-0100-000027000000}"/>
  <tableColumns count="8">
    <tableColumn id="1" xr3:uid="{F8489E35-6DA1-42D1-83EB-F09E0316B29B}" name="ICM" dataDxfId="1018">
      <calculatedColumnFormula>'3way шаблон ничьи'!p3win* ('3way шаблон ничьи'!p1sp1win*T_p3p123372677566370[[#This Row],[ICM]] + '3way шаблон ничьи'!p2sp1win*T_p3p224382778576471[[#This Row],[ICM]] + tiesp1*T_p3p22438277857647175[[#This Row],[ICM]])
+'3way шаблон ничьи'!p2win*T_p222362576556269[[#This Row],[ICM]]
+'3way шаблон ничьи'!p1win*T_p121351975546168[[#This Row],[ICM]]
+[0]!tie*T_p22236257655626974[[#This Row],[ICM]]</calculatedColumnFormula>
    </tableColumn>
    <tableColumn id="2" xr3:uid="{126A84AC-0607-4F5C-90E0-B14565B66A16}" name="KO" dataDxfId="1017">
      <calculatedColumnFormula>('3way шаблон ничьи'!p3win* ('3way шаблон ничьи'!p1sp1win*T_p3p123372677566370[[#This Row],[KO]] + '3way шаблон ничьи'!p2sp1win*T_p3p224382778576471[[#This Row],[KO]])
+'3way шаблон ничьи'!p2win*T_p222362576556269[[#This Row],[KO]]
+'3way шаблон ничьи'!p1win*T_p121351975546168[[#This Row],[KO]])*bounty</calculatedColumnFormula>
    </tableColumn>
    <tableColumn id="3" xr3:uid="{ABD38501-BBBA-4327-A8BA-BC2DB2EF31A5}" name="EV" dataDxfId="1016">
      <calculatedColumnFormula>'3way шаблон ничьи'!p3win* ('3way шаблон ничьи'!p1sp1win*T_p3p123372677566370[[#This Row],[$stack]] + '3way шаблон ничьи'!p2sp1win*T_p3p224382778576471[[#This Row],[$stack]])
+'3way шаблон ничьи'!p2win*T_p222362576556269[[#This Row],[$stack]]
+'3way шаблон ничьи'!p1win*T_p121351975546168[[#This Row],[$stack]]</calculatedColumnFormula>
    </tableColumn>
    <tableColumn id="4" xr3:uid="{4E9246AF-3DAA-4D4D-9CD8-357134A64FE3}" name="chipEV" dataDxfId="1015">
      <calculatedColumnFormula>'3way шаблон ничьи'!p3win* ('3way шаблон ничьи'!p1sp1win*T_p3p123372677566370[[#This Row],[stack]] + '3way шаблон ничьи'!p2sp1win*T_p3p224382778576471[[#This Row],[stack]] + tiesp1*T_p3p22438277857647175[[#This Row],[stack]])
+'3way шаблон ничьи'!p2win*T_p222362576556269[[#This Row],[stack]]
+'3way шаблон ничьи'!p1win*T_p121351975546168[[#This Row],[stack]]
+tie*T_p22236257655626974[[#This Row],[stack]]</calculatedColumnFormula>
    </tableColumn>
    <tableColumn id="8" xr3:uid="{E3DF6D77-C666-4C03-8871-3FAAA28BD9D2}" name="netwon" dataDxfId="1014">
      <calculatedColumnFormula>T_fact29392879586572[[#This Row],[stack]]- T_init2034474536067[[#This Row],[stack]]</calculatedColumnFormula>
    </tableColumn>
    <tableColumn id="7" xr3:uid="{60A6A9EC-3435-49F6-8E97-3A016277FC07}" name="netwon_adj" dataDxfId="1013">
      <calculatedColumnFormula>T_EV33403080596673[[#This Row],[netwon]]+T_EV33403080596673[[#This Row],[cEVdiff]]</calculatedColumnFormula>
    </tableColumn>
    <tableColumn id="5" xr3:uid="{7F29E9B3-D95B-4443-816D-12EBD780D90B}" name="cEVdiff" dataDxfId="1012">
      <calculatedColumnFormula>T_EV33403080596673[[#This Row],[chipEV]]-T_fact29392879586572[[#This Row],[stack]]</calculatedColumnFormula>
    </tableColumn>
    <tableColumn id="6" xr3:uid="{9B09B115-8F88-4988-AA62-70FA2AA9D470}" name="Evdiff" dataDxfId="1011">
      <calculatedColumnFormula>T_EV33403080596673[[#This Row],[EV]]-(T_fact29392879586572[[#This Row],[ICM]])</calculatedColumnFormula>
    </tableColumn>
  </tableColumns>
  <tableStyleInfo name="TableStyleLight1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A07C6A90-A9EA-4C6F-8584-6543162DE416}" name="T_p22236257655626974" displayName="T_p22236257655626974" ref="T16:Y22" totalsRowShown="0" tableBorderDxfId="1010">
  <autoFilter ref="T16:Y22" xr:uid="{CE38ABBA-F0F2-4A26-90AC-5B8D0B66446B}"/>
  <tableColumns count="6">
    <tableColumn id="1" xr3:uid="{A5FCEF69-942B-4672-8A6E-1E954291AC0C}" name="players" dataDxfId="1009" totalsRowDxfId="1008">
      <calculatedColumnFormula>COUNTIF(T_p22236257655626974[stack],"&gt;0")</calculatedColumnFormula>
    </tableColumn>
    <tableColumn id="2" xr3:uid="{71C79BDB-FCAC-465D-A1F5-EDA8DE624C6C}" name="stack" dataDxfId="1007" totalsRowDxfId="1006">
      <calculatedColumnFormula>IF(T_init2034474536067[[#This Row],[p]]=1,ROUND(uncalled + mainpot/3, 0) + ROUND(sidepot1/2,0),IF(T_init2034474536067[[#This Row],[p]]=2,ROUND(mainpot/3,0) + ROUND(sidepot1/2,0),IF(T_init2034474536067[[#This Row],[p]]=3, ROUNDUP(mainpot/3,0),T_init2034474536067[[#This Row],[stack]]-T_init2034474536067[[#This Row],[anteblinds]])))</calculatedColumnFormula>
    </tableColumn>
    <tableColumn id="3" xr3:uid="{0D07ABD2-EB77-46F4-9605-FC989E5C7032}" name="EQ" totalsRowDxfId="1005"/>
    <tableColumn id="4" xr3:uid="{FF0CF3F7-BFEE-499F-9519-845C23CED8AC}" name="ICM" dataDxfId="1004" totalsRowDxfId="1003">
      <calculatedColumnFormula>T_p22236257655626974[[#This Row],[EQ]]*prize</calculatedColumnFormula>
    </tableColumn>
    <tableColumn id="5" xr3:uid="{E4FAE258-79C0-4E86-99D5-C29FA3060185}" name="KO" dataDxfId="1002" totalsRowDxfId="1001">
      <calculatedColumnFormula>IF(T_init2034474536067[[#This Row],[p]]=2,T_p22236257655626974[[#This Row],[players]]*T_p22236257655626974[[#This Row],[stack]]/chips+COUNTIF(T_p22236257655626974[stack],0),T_p22236257655626974[[#This Row],[players]]*T_p22236257655626974[[#This Row],[stack]]/chips)</calculatedColumnFormula>
    </tableColumn>
    <tableColumn id="6" xr3:uid="{F7C21C72-7AD8-423E-BC48-73226D948245}" name="$stack" dataDxfId="1000">
      <calculatedColumnFormula>T_p22236257655626974[[#This Row],[ICM]]+bounty*T_p22236257655626974[[#This Row],[KO]]</calculatedColumnFormula>
    </tableColumn>
  </tableColumns>
  <tableStyleInfo name="TableStyleLight11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AFAACA9-5676-4F99-B3A1-FE8DF1C5426C}" name="T_p3p22438277857647175" displayName="T_p3p22438277857647175" ref="AO16:AT22" totalsRowShown="0" tableBorderDxfId="999">
  <autoFilter ref="AO16:AT22" xr:uid="{0E6963F0-4D2D-49F5-BA0C-CC131E0278C6}"/>
  <tableColumns count="6">
    <tableColumn id="1" xr3:uid="{6D444DEC-2044-4643-B919-54F4628E6B73}" name="players" dataDxfId="998" totalsRowDxfId="997">
      <calculatedColumnFormula>COUNTIF(T_p3p22438277857647175[stack],"&gt;0")</calculatedColumnFormula>
    </tableColumn>
    <tableColumn id="2" xr3:uid="{73054AE1-1AB7-40A2-9DEC-D12473F632B2}" name="stack" dataDxfId="996" totalsRowDxfId="995">
      <calculatedColumnFormula>IF(T_init2034474536067[[#This Row],[p]]=1,uncalled + ROUND(sidepot1/2,0),IF(T_init2034474536067[[#This Row],[p]]=2,ROUND(sidepot1/2,0),IF(T_init2034474536067[[#This Row],[p]]=3,mainpot,IF(ISBLANK(T_init2034474536067[[#This Row],[p]]),T_init2034474536067[[#This Row],[stack]]-T_init2034474536067[[#This Row],[anteblinds]],0))))</calculatedColumnFormula>
    </tableColumn>
    <tableColumn id="3" xr3:uid="{71199558-7B56-41E2-993A-D900AD4773FE}" name="EQ" totalsRowDxfId="994"/>
    <tableColumn id="4" xr3:uid="{34CB5967-FD5E-42FD-AFE2-A2834C790D46}" name="ICM" dataDxfId="993" totalsRowDxfId="992">
      <calculatedColumnFormula>T_p3p22438277857647175[[#This Row],[EQ]]*prize</calculatedColumnFormula>
    </tableColumn>
    <tableColumn id="5" xr3:uid="{4182E837-6DAD-4B2E-A63D-D3D5AC3A04BB}" name="KO" dataDxfId="991" totalsRowDxfId="990">
      <calculatedColumnFormula>IF(T_init2034474536067[[#This Row],[p]]=2,T_p3p22438277857647175[[#This Row],[players]]*T_p3p22438277857647175[[#This Row],[stack]]/chips+COUNTIF(T_p3p22438277857647175[stack],0),T_p3p22438277857647175[[#This Row],[players]]*T_p3p22438277857647175[[#This Row],[stack]]/chips)</calculatedColumnFormula>
    </tableColumn>
    <tableColumn id="6" xr3:uid="{85FB4681-00EC-454A-9C31-E31AEAC63982}" name="$stack" dataDxfId="989">
      <calculatedColumnFormula>T_p3p22438277857647175[[#This Row],[ICM]]+bounty*T_p3p22438277857647175[[#This Row],[KO]]</calculatedColumnFormula>
    </tableColumn>
  </tableColumns>
  <tableStyleInfo name="TableStyleLight11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7069AA6-1997-42B6-BBCE-44AE3FA57221}" name="T_init20344745360" displayName="T_init20344745360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0C4FCDEC-D41E-461A-A5F1-526F6DD3B58D}" name="p" totalsRowLabel="Total"/>
    <tableColumn id="2" xr3:uid="{EEDCFA2F-AF56-4598-9271-E2968B90E6AC}" name="stack"/>
    <tableColumn id="3" xr3:uid="{C793B53E-706A-455C-88EF-DAD3BFCC769F}" name="hand"/>
    <tableColumn id="4" xr3:uid="{B316E906-96AC-4D74-B5EA-24AAA5BA670F}" name="anteblinds" totalsRowFunction="sum"/>
  </tableColumns>
  <tableStyleInfo name="TableStyleLight1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67F3297-7053-4333-917D-00002CE9051B}" name="T_p1213519755461" displayName="T_p1213519755461" ref="F16:K22" totalsRowShown="0" tableBorderDxfId="988">
  <autoFilter ref="F16:K22" xr:uid="{00000000-0009-0000-0100-000022000000}"/>
  <tableColumns count="6">
    <tableColumn id="1" xr3:uid="{7A299EA3-2119-42F5-9F73-356A7B47ED85}" name="players" dataDxfId="987">
      <calculatedColumnFormula>COUNTIF(T_p1213519755461[stack],"&gt;0")</calculatedColumnFormula>
    </tableColumn>
    <tableColumn id="2" xr3:uid="{4111BCE7-ECDD-469A-AA3C-4E406C857462}" name="stack" dataDxfId="986">
      <calculatedColumnFormula>IF(T_init20344745360[[#This Row],[p]]=1,mainpot+sidepot1+sidepot2+uncalled,IF(T_init20344745360[[#This Row],[p]]&gt;1,0,T_init20344745360[[#This Row],[stack]]-T_init20344745360[[#This Row],[anteblinds]]))</calculatedColumnFormula>
    </tableColumn>
    <tableColumn id="3" xr3:uid="{8CB88618-A47B-4761-9931-B6A9C3E58382}" name="EQ"/>
    <tableColumn id="4" xr3:uid="{26C49D5B-FD79-4E07-B3A3-7FAD848DF448}" name="ICM" dataDxfId="985">
      <calculatedColumnFormula>T_p1213519755461[[#This Row],[EQ]]*prize</calculatedColumnFormula>
    </tableColumn>
    <tableColumn id="5" xr3:uid="{4C620745-181D-4DE7-9827-221F50BCB844}" name="KO" dataDxfId="984">
      <calculatedColumnFormula>IF(T_init20344745360[[#This Row],[p]]=1,T_p1213519755461[[#This Row],[players]]*T_p1213519755461[[#This Row],[stack]]/chips+COUNTIF(T_p1213519755461[stack],0),T_p1213519755461[[#This Row],[players]]*T_p1213519755461[[#This Row],[stack]]/chips)</calculatedColumnFormula>
    </tableColumn>
    <tableColumn id="6" xr3:uid="{ABE7AB48-88A4-40C3-B269-E689EE1AC636}" name="$stack" dataDxfId="983">
      <calculatedColumnFormula>T_p1213519755461[[#This Row],[ICM]]+bounty*T_p1213519755461[[#This Row],[KO]]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475B55C8-0BB5-4695-94D4-D599E7B65CB9}" name="T_fact29392879586572155191" displayName="T_fact29392879586572155191" ref="BQ16:BV22" totalsRowShown="0" tableBorderDxfId="1436">
  <autoFilter ref="BQ16:BV22" xr:uid="{00000000-0009-0000-0100-000026000000}"/>
  <tableColumns count="6">
    <tableColumn id="1" xr3:uid="{7E608421-300B-4B1D-8BE7-BDFE60B51F40}" name="players">
      <calculatedColumnFormula>COUNTIF(T_fact29392879586572155191[stack],"&gt;0")</calculatedColumnFormula>
    </tableColumn>
    <tableColumn id="2" xr3:uid="{8A4EAD37-7C18-4AE8-8900-286F8FEEA028}" name="stack" dataDxfId="1435">
      <calculatedColumnFormula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calculatedColumnFormula>
    </tableColumn>
    <tableColumn id="3" xr3:uid="{67032ECA-7CAD-4F18-A96B-EE4A28AB3399}" name="EQ"/>
    <tableColumn id="4" xr3:uid="{916A9B45-9F3E-45CD-9543-4373B6B52509}" name="ICM" dataDxfId="1434">
      <calculatedColumnFormula>T_fact29392879586572155191[[#This Row],[EQ]]*prize</calculatedColumnFormula>
    </tableColumn>
    <tableColumn id="5" xr3:uid="{A66F2945-2073-47AF-A1F9-263F8813DA95}" name="KO" dataDxfId="1433">
      <calculatedColumnFormula>IF(T_init2034474536067150186[[#This Row],[p]]=1,T_fact29392879586572155191[[#This Row],[players]]*T_fact29392879586572155191[[#This Row],[stack]]/chips+COUNTIF(T_fact29392879586572155191[stack],0),T_fact29392879586572155191[[#This Row],[players]]*T_fact29392879586572155191[[#This Row],[stack]]/chips)</calculatedColumnFormula>
    </tableColumn>
    <tableColumn id="6" xr3:uid="{D0AD1081-B63A-4055-AD78-4D4D3D40361C}" name="$stack" dataDxfId="1432">
      <calculatedColumnFormula>T_fact29392879586572155191[[#This Row],[ICM]]+bounty*T_fact29392879586572155191[[#This Row],[KO]]</calculatedColumnFormula>
    </tableColumn>
  </tableColumns>
  <tableStyleInfo name="TableStyleLight11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236A8575-DCB3-4CCF-A8C6-569018BD0B6D}" name="T_p2223625765562" displayName="T_p2223625765562" ref="M16:R22" totalsRowShown="0" tableBorderDxfId="982">
  <autoFilter ref="M16:R22" xr:uid="{00000000-0009-0000-0100-000023000000}"/>
  <tableColumns count="6">
    <tableColumn id="1" xr3:uid="{A82B980B-38F6-46AE-8A32-6264674EE26A}" name="players" dataDxfId="981" totalsRowDxfId="980">
      <calculatedColumnFormula>COUNTIF(T_p2223625765562[stack],"&gt;0")</calculatedColumnFormula>
    </tableColumn>
    <tableColumn id="2" xr3:uid="{52CE8D25-BBA5-41BD-A811-43EA819F32DC}" name="stack" dataDxfId="979" totalsRowDxfId="978">
      <calculatedColumnFormula>IF(T_init20344745360[[#This Row],[p]]=1,uncalled,IF(T_init20344745360[[#This Row],[p]]=2,mainpot+sidepot1+sidepot2,IF(T_init20344745360[[#This Row],[p]]&gt;2,0,T_init20344745360[[#This Row],[stack]]-T_init20344745360[[#This Row],[anteblinds]])))</calculatedColumnFormula>
    </tableColumn>
    <tableColumn id="3" xr3:uid="{C8B782D7-EB60-43BA-A854-32C7331DF0F1}" name="EQ" totalsRowDxfId="977"/>
    <tableColumn id="4" xr3:uid="{655BDF72-7DA2-418B-9E3E-B72E90D7C357}" name="ICM" dataDxfId="976" totalsRowDxfId="975">
      <calculatedColumnFormula>T_p2223625765562[[#This Row],[EQ]]*prize</calculatedColumnFormula>
    </tableColumn>
    <tableColumn id="5" xr3:uid="{83284059-AB46-45BF-97D5-72A211FDB334}" name="KO" dataDxfId="974" totalsRowDxfId="973">
      <calculatedColumnFormula>IF(T_init20344745360[[#This Row],[p]]=2,T_p2223625765562[[#This Row],[players]]*T_p2223625765562[[#This Row],[stack]]/chips+COUNTIF(T_p2223625765562[stack],0),T_p2223625765562[[#This Row],[players]]*T_p2223625765562[[#This Row],[stack]]/chips)</calculatedColumnFormula>
    </tableColumn>
    <tableColumn id="6" xr3:uid="{4DF374FE-7D8F-4E2B-A6A8-D0F90C66322F}" name="$stack" dataDxfId="972">
      <calculatedColumnFormula>T_p2223625765562[[#This Row],[ICM]]+bounty*T_p2223625765562[[#This Row],[KO]]</calculatedColumnFormula>
    </tableColumn>
  </tableColumns>
  <tableStyleInfo name="TableStyleLight11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9AE446B-9517-4492-96A1-F4A8901A74D9}" name="T_p3p1233726775663" displayName="T_p3p1233726775663" ref="T16:Y22" totalsRowShown="0" tableBorderDxfId="971">
  <autoFilter ref="T16:Y22" xr:uid="{00000000-0009-0000-0100-000024000000}"/>
  <tableColumns count="6">
    <tableColumn id="1" xr3:uid="{673C8C6D-E726-42A6-868F-C9E605013290}" name="players" dataDxfId="970">
      <calculatedColumnFormula>COUNTIF(T_p3p1233726775663[stack],"&gt;0")</calculatedColumnFormula>
    </tableColumn>
    <tableColumn id="2" xr3:uid="{954C08D7-950E-4A97-9791-DF10C70F76D6}" name="stack" dataDxfId="969">
      <calculatedColumnFormula>IF(T_init20344745360[[#This Row],[p]]=1,sidepot1+uncalled,IF(T_init20344745360[[#This Row],[p]]=3,mainpot,IF(ISBLANK(T_init20344745360[[#This Row],[p]]),T_init20344745360[[#This Row],[stack]]-T_init20344745360[[#This Row],[anteblinds]],0)))</calculatedColumnFormula>
    </tableColumn>
    <tableColumn id="3" xr3:uid="{17DC6475-3204-4940-A4DF-E4179E8B5B9B}" name="EQ"/>
    <tableColumn id="4" xr3:uid="{9C8C145C-1652-40C7-AF7D-84C5CDE4785F}" name="ICM" dataDxfId="968">
      <calculatedColumnFormula>T_p3p1233726775663[[#This Row],[EQ]]*prize</calculatedColumnFormula>
    </tableColumn>
    <tableColumn id="5" xr3:uid="{E7C2A454-A3BF-4DEB-B41D-939D7574F1AC}" name="KO" dataDxfId="967">
      <calculatedColumnFormula>IF(T_init20344745360[[#This Row],[p]]=1,T_p3p1233726775663[[#This Row],[players]]*T_p3p1233726775663[[#This Row],[stack]]/chips+COUNTIF(T_p3p1233726775663[stack],0),T_p3p1233726775663[[#This Row],[players]]*T_p3p1233726775663[[#This Row],[stack]]/chips)</calculatedColumnFormula>
    </tableColumn>
    <tableColumn id="6" xr3:uid="{8FB0B8E1-FEED-4699-B611-59FB5615E8C3}" name="$stack" dataDxfId="966">
      <calculatedColumnFormula>T_p3p1233726775663[[#This Row],[ICM]]+bounty*T_p3p1233726775663[[#This Row],[KO]]</calculatedColumnFormula>
    </tableColumn>
  </tableColumns>
  <tableStyleInfo name="TableStyleLight11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8D2EBFDD-0ABD-48C8-B60F-D4453023A5F7}" name="T_p3p2243827785764" displayName="T_p3p2243827785764" ref="AA16:AF22" totalsRowShown="0" tableBorderDxfId="965">
  <autoFilter ref="AA16:AF22" xr:uid="{00000000-0009-0000-0100-000025000000}"/>
  <tableColumns count="6">
    <tableColumn id="1" xr3:uid="{5A027194-F771-495B-BFD9-5EF1F5872984}" name="players" dataDxfId="964" totalsRowDxfId="963">
      <calculatedColumnFormula>COUNTIF(T_p3p2243827785764[stack],"&gt;0")</calculatedColumnFormula>
    </tableColumn>
    <tableColumn id="2" xr3:uid="{5129B2DA-320F-456F-8C02-B433FB097BDB}" name="stack" dataDxfId="962" totalsRowDxfId="961">
      <calculatedColumnFormula>IF(T_init20344745360[[#This Row],[p]]=1,uncalled,IF(T_init20344745360[[#This Row],[p]]=2,sidepot1,IF(T_init20344745360[[#This Row],[p]]=3,mainpot,IF(ISBLANK(T_init20344745360[[#This Row],[p]]),T_init20344745360[[#This Row],[stack]]-T_init20344745360[[#This Row],[anteblinds]],0))))</calculatedColumnFormula>
    </tableColumn>
    <tableColumn id="3" xr3:uid="{549EE2A4-6B1F-4DBC-BF98-79FA595C4E28}" name="EQ" totalsRowDxfId="960"/>
    <tableColumn id="4" xr3:uid="{D2415D33-C5EA-4909-B94F-9B4E24E89591}" name="ICM" dataDxfId="959" totalsRowDxfId="958">
      <calculatedColumnFormula>T_p3p2243827785764[[#This Row],[EQ]]*prize</calculatedColumnFormula>
    </tableColumn>
    <tableColumn id="5" xr3:uid="{E315B843-2128-452A-9073-EC0A22D6FF19}" name="KO" dataDxfId="957" totalsRowDxfId="956">
      <calculatedColumnFormula>IF(T_init20344745360[[#This Row],[p]]=2,T_p3p2243827785764[[#This Row],[players]]*T_p3p2243827785764[[#This Row],[stack]]/chips+COUNTIF(T_p3p2243827785764[stack],0),T_p3p2243827785764[[#This Row],[players]]*T_p3p2243827785764[[#This Row],[stack]]/chips)</calculatedColumnFormula>
    </tableColumn>
    <tableColumn id="6" xr3:uid="{A9E648B7-E521-4516-80BB-DE4DE54A3E95}" name="$stack" dataDxfId="955">
      <calculatedColumnFormula>T_p3p2243827785764[[#This Row],[ICM]]+bounty*T_p3p2243827785764[[#This Row],[KO]]</calculatedColumnFormula>
    </tableColumn>
  </tableColumns>
  <tableStyleInfo name="TableStyleLight11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BE4995A-16EA-4E8A-BC88-8BD2648EEC26}" name="T_fact293928795865" displayName="T_fact293928795865" ref="AI16:AN22" totalsRowShown="0" tableBorderDxfId="954">
  <autoFilter ref="AI16:AN22" xr:uid="{00000000-0009-0000-0100-000026000000}"/>
  <tableColumns count="6">
    <tableColumn id="1" xr3:uid="{9F09E41E-ACC5-4F1E-A960-DD7EB0A26450}" name="players">
      <calculatedColumnFormula>COUNTIF(T_fact293928795865[stack],"&gt;0")</calculatedColumnFormula>
    </tableColumn>
    <tableColumn id="2" xr3:uid="{FE7DE9DC-31DC-41FA-B9F8-2D169BDF4564}" name="stack" dataDxfId="953"/>
    <tableColumn id="3" xr3:uid="{05895C87-3BDA-456C-827B-2AEFD6CCE167}" name="EQ"/>
    <tableColumn id="4" xr3:uid="{3706C166-97D5-40C4-A343-F54C70960924}" name="ICM" dataDxfId="952">
      <calculatedColumnFormula>T_fact293928795865[[#This Row],[EQ]]*prize</calculatedColumnFormula>
    </tableColumn>
    <tableColumn id="5" xr3:uid="{8B4AF43F-44D4-4A43-AC6D-A240C929C1E1}" name="KO" dataDxfId="951">
      <calculatedColumnFormula>IF(T_init20344745360[[#This Row],[p]]=1,T_fact293928795865[[#This Row],[players]]*T_fact293928795865[[#This Row],[stack]]/chips+COUNTIF(T_fact293928795865[stack],0),T_fact293928795865[[#This Row],[players]]*T_fact293928795865[[#This Row],[stack]]/chips)</calculatedColumnFormula>
    </tableColumn>
    <tableColumn id="6" xr3:uid="{71079785-C1DF-4ADF-B08F-3EC29A817D23}" name="$stack" dataDxfId="950">
      <calculatedColumnFormula>T_fact293928795865[[#This Row],[ICM]]+bounty*T_fact293928795865[[#This Row],[KO]]</calculatedColumnFormula>
    </tableColumn>
  </tableColumns>
  <tableStyleInfo name="TableStyleLight1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5595393-0A50-4F48-B241-D67EC4D602A6}" name="T_EV334030805966" displayName="T_EV334030805966" ref="AQ16:AX22" totalsRowShown="0" tableBorderDxfId="949">
  <autoFilter ref="AQ16:AX22" xr:uid="{00000000-0009-0000-0100-000027000000}"/>
  <tableColumns count="8">
    <tableColumn id="1" xr3:uid="{EAE3554E-CF19-406F-9EB3-83B4D7FC5555}" name="ICM" dataDxfId="948">
      <calculatedColumnFormula>'3way шаблон'!p3win* ('3way шаблон'!p1sp1win*T_p3p1233726775663[[#This Row],[ICM]] + '3way шаблон'!p2sp1win*T_p3p2243827785764[[#This Row],[ICM]])
+'3way шаблон'!p2win*T_p2223625765562[[#This Row],[ICM]]
+'3way шаблон'!p1win*T_p1213519755461[[#This Row],[ICM]]</calculatedColumnFormula>
    </tableColumn>
    <tableColumn id="2" xr3:uid="{A17AD2C5-53C5-4C07-9E27-679C6F934AAC}" name="KO" dataDxfId="947">
      <calculatedColumnFormula>('3way шаблон'!p3win* ('3way шаблон'!p1sp1win*T_p3p1233726775663[[#This Row],[KO]] + '3way шаблон'!p2sp1win*T_p3p2243827785764[[#This Row],[KO]])
+'3way шаблон'!p2win*T_p2223625765562[[#This Row],[KO]]
+'3way шаблон'!p1win*T_p1213519755461[[#This Row],[KO]])*bounty</calculatedColumnFormula>
    </tableColumn>
    <tableColumn id="3" xr3:uid="{53EC946B-D8E7-474C-9D8F-D2A8CCD9975C}" name="EV" dataDxfId="946">
      <calculatedColumnFormula>'3way шаблон'!p3win* ('3way шаблон'!p1sp1win*T_p3p1233726775663[[#This Row],[$stack]] + '3way шаблон'!p2sp1win*T_p3p2243827785764[[#This Row],[$stack]])
+'3way шаблон'!p2win*T_p2223625765562[[#This Row],[$stack]]
+'3way шаблон'!p1win*T_p1213519755461[[#This Row],[$stack]]</calculatedColumnFormula>
    </tableColumn>
    <tableColumn id="4" xr3:uid="{61E94315-DBCE-4964-9AAF-FC5FD2426D03}" name="chipEV" dataDxfId="945">
      <calculatedColumnFormula>'3way шаблон'!p3win* ('3way шаблон'!p1sp1win*T_p3p1233726775663[[#This Row],[stack]] + '3way шаблон'!p2sp1win*T_p3p2243827785764[[#This Row],[stack]])
+'3way шаблон'!p2win*T_p2223625765562[[#This Row],[stack]]
+'3way шаблон'!p1win*T_p1213519755461[[#This Row],[stack]]</calculatedColumnFormula>
    </tableColumn>
    <tableColumn id="8" xr3:uid="{E82C85B5-6F9C-4D6B-95E4-0787B332A58B}" name="netwon" dataDxfId="944">
      <calculatedColumnFormula>T_fact293928795865[[#This Row],[stack]]- T_init20344745360[[#This Row],[stack]]</calculatedColumnFormula>
    </tableColumn>
    <tableColumn id="7" xr3:uid="{AD2F6F55-93E7-4CAD-B1F0-3B2E3638892C}" name="netwon_adj" dataDxfId="943">
      <calculatedColumnFormula>T_EV334030805966[[#This Row],[netwon]]+T_EV334030805966[[#This Row],[cEVdiff]]</calculatedColumnFormula>
    </tableColumn>
    <tableColumn id="5" xr3:uid="{51C0EBC5-6BA5-4EE4-98F5-A57899F0E1F4}" name="cEVdiff" dataDxfId="942">
      <calculatedColumnFormula>T_EV334030805966[[#This Row],[chipEV]]-T_fact293928795865[[#This Row],[stack]]</calculatedColumnFormula>
    </tableColumn>
    <tableColumn id="6" xr3:uid="{2572AF45-B3F9-45D4-BADD-86C50F850D46}" name="Evdiff" dataDxfId="941">
      <calculatedColumnFormula>T_EV334030805966[[#This Row],[EV]]-(T_fact293928795865[[#This Row],[ICM]])</calculatedColumnFormula>
    </tableColumn>
  </tableColumns>
  <tableStyleInfo name="TableStyleLight11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1D0AF773-F58D-4B5F-A43F-3E7CD9FF52E6}" name="T_init2034474536067113" displayName="T_init2034474536067113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1BDCBD05-C9AE-4AD4-8DCF-6721E1C1AED1}" name="p" totalsRowLabel="Total"/>
    <tableColumn id="2" xr3:uid="{7C0051CE-2E76-4956-9B4B-9CAD0B1285F6}" name="stack"/>
    <tableColumn id="3" xr3:uid="{55E86BE5-9728-42B2-8876-E21588E5D27F}" name="hand"/>
    <tableColumn id="4" xr3:uid="{55937CB7-0518-4966-8344-01ACE8D3C1B8}" name="anteblinds" totalsRowFunction="sum"/>
  </tableColumns>
  <tableStyleInfo name="TableStyleLight11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3A5F4045-D35D-4137-8589-A9561EB25C67}" name="T_p121351975546168114" displayName="T_p121351975546168114" ref="F16:K22" totalsRowShown="0" tableBorderDxfId="940">
  <autoFilter ref="F16:K22" xr:uid="{00000000-0009-0000-0100-000022000000}"/>
  <tableColumns count="6">
    <tableColumn id="1" xr3:uid="{4E9E0ADF-3825-48F0-9BC8-D5C09E9A2E1F}" name="players" dataDxfId="939">
      <calculatedColumnFormula>COUNTIF(T_p121351975546168114[stack],"&gt;0")</calculatedColumnFormula>
    </tableColumn>
    <tableColumn id="2" xr3:uid="{55289C4B-F93C-4F3E-A24A-DCD55A0B5AE1}" name="stack" dataDxfId="938">
      <calculatedColumnFormula>IF(T_init2034474536067113[[#This Row],[p]]=1,mainpot+sidepot1+sidepot2+uncalled,IF(T_init2034474536067113[[#This Row],[p]]&gt;1,0,T_init2034474536067113[[#This Row],[stack]]-T_init2034474536067113[[#This Row],[anteblinds]]))</calculatedColumnFormula>
    </tableColumn>
    <tableColumn id="3" xr3:uid="{E4E27E98-3F6C-4175-AA5D-14E0737F6812}" name="EQ"/>
    <tableColumn id="4" xr3:uid="{ABBFDF0D-E944-49E4-B90E-F68273F17997}" name="ICM" dataDxfId="937">
      <calculatedColumnFormula>T_p121351975546168114[[#This Row],[EQ]]*prize</calculatedColumnFormula>
    </tableColumn>
    <tableColumn id="5" xr3:uid="{C27CC5D1-CBB5-4B9C-B69B-7C7C47210D2F}" name="KO" dataDxfId="936">
      <calculatedColumnFormula>IF(T_init2034474536067113[[#This Row],[p]]=1,T_p121351975546168114[[#This Row],[players]]*T_p121351975546168114[[#This Row],[stack]]/chips+COUNTIF(T_p121351975546168114[stack],0),T_p121351975546168114[[#This Row],[players]]*T_p121351975546168114[[#This Row],[stack]]/chips)</calculatedColumnFormula>
    </tableColumn>
    <tableColumn id="6" xr3:uid="{235C4895-4FA4-4737-834C-6FF6C58DECE6}" name="$stack" dataDxfId="935">
      <calculatedColumnFormula>T_p121351975546168114[[#This Row],[ICM]]+bounty*T_p121351975546168114[[#This Row],[KO]]</calculatedColumnFormula>
    </tableColumn>
  </tableColumns>
  <tableStyleInfo name="TableStyleLight11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602301A6-738A-403C-9D75-6C5A4960AF67}" name="T_p222362576556269115" displayName="T_p222362576556269115" ref="M16:R22" totalsRowShown="0" tableBorderDxfId="934">
  <autoFilter ref="M16:R22" xr:uid="{00000000-0009-0000-0100-000023000000}"/>
  <tableColumns count="6">
    <tableColumn id="1" xr3:uid="{81F7AE2F-D554-4B5D-8A21-DF16BD736423}" name="players" dataDxfId="933" totalsRowDxfId="932">
      <calculatedColumnFormula>COUNTIF(T_p222362576556269115[stack],"&gt;0")</calculatedColumnFormula>
    </tableColumn>
    <tableColumn id="2" xr3:uid="{E0947D32-1BF5-4B8C-A012-D861EB21C95F}" name="stack" dataDxfId="931" totalsRowDxfId="930">
      <calculatedColumnFormula>IF(T_init2034474536067113[[#This Row],[p]]=1,uncalled,IF(T_init2034474536067113[[#This Row],[p]]=2,mainpot+sidepot1+sidepot2,IF(T_init2034474536067113[[#This Row],[p]]&gt;2,0,T_init2034474536067113[[#This Row],[stack]]-T_init2034474536067113[[#This Row],[anteblinds]])))</calculatedColumnFormula>
    </tableColumn>
    <tableColumn id="3" xr3:uid="{531F967D-1E12-4EAA-80EA-5CA58FA4B615}" name="EQ" totalsRowDxfId="929"/>
    <tableColumn id="4" xr3:uid="{D739BB7E-AB49-4EC4-8638-9B756FECD44C}" name="ICM" dataDxfId="928" totalsRowDxfId="927">
      <calculatedColumnFormula>T_p222362576556269115[[#This Row],[EQ]]*prize</calculatedColumnFormula>
    </tableColumn>
    <tableColumn id="5" xr3:uid="{AFEB595D-1480-464B-94C0-983E2128BA10}" name="KO" dataDxfId="926" totalsRowDxfId="925">
      <calculatedColumnFormula>IF(T_init2034474536067113[[#This Row],[p]]=2,T_p222362576556269115[[#This Row],[players]]*T_p222362576556269115[[#This Row],[stack]]/chips+COUNTIF(T_p222362576556269115[stack],0),T_p222362576556269115[[#This Row],[players]]*T_p222362576556269115[[#This Row],[stack]]/chips)</calculatedColumnFormula>
    </tableColumn>
    <tableColumn id="6" xr3:uid="{A7478A69-1837-46C6-8A56-B76CCEF01700}" name="$stack" dataDxfId="924">
      <calculatedColumnFormula>T_p222362576556269115[[#This Row],[ICM]]+bounty*T_p222362576556269115[[#This Row],[KO]]</calculatedColumnFormula>
    </tableColumn>
  </tableColumns>
  <tableStyleInfo name="TableStyleLight11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DE80652-D2C6-4191-88DE-31CFBBD62F4A}" name="T_p3p123372677566370144" displayName="T_p3p123372677566370144" ref="AA16:AF22" totalsRowShown="0" tableBorderDxfId="923">
  <autoFilter ref="AA16:AF22" xr:uid="{00000000-0009-0000-0100-000024000000}"/>
  <tableColumns count="6">
    <tableColumn id="1" xr3:uid="{ED3364B9-B99C-43CA-9EF6-103BDDF9E74C}" name="players" dataDxfId="922">
      <calculatedColumnFormula>COUNTIF(T_p3p123372677566370144[stack],"&gt;0")</calculatedColumnFormula>
    </tableColumn>
    <tableColumn id="2" xr3:uid="{039E826A-2FD1-4F6E-AA18-21994A1C95C2}" name="stack" dataDxfId="921">
      <calculatedColumnFormula>IF(T_init2034474536067113[[#This Row],[p]]=1,sidepot1+uncalled,IF(T_init2034474536067113[[#This Row],[p]]=3,mainpot,IF(ISBLANK(T_init2034474536067113[[#This Row],[p]]),T_init2034474536067113[[#This Row],[stack]]-T_init2034474536067113[[#This Row],[anteblinds]],0)))</calculatedColumnFormula>
    </tableColumn>
    <tableColumn id="3" xr3:uid="{891C77D5-175A-4E0D-BF48-87E53BD95DA9}" name="EQ"/>
    <tableColumn id="4" xr3:uid="{D56A4F4B-7744-4270-A47C-6CF04CDBC07A}" name="ICM" dataDxfId="920">
      <calculatedColumnFormula>T_p3p123372677566370144[[#This Row],[EQ]]*prize</calculatedColumnFormula>
    </tableColumn>
    <tableColumn id="5" xr3:uid="{B03B6E2B-CF4D-4626-87DB-EF27B119B8C2}" name="KO" dataDxfId="919">
      <calculatedColumnFormula>IF(T_init2034474536067113[[#This Row],[p]]=1,T_p3p123372677566370144[[#This Row],[players]]*T_p3p123372677566370144[[#This Row],[stack]]/chips+COUNTIF(T_p3p123372677566370144[stack],0),T_p3p123372677566370144[[#This Row],[players]]*T_p3p123372677566370144[[#This Row],[stack]]/chips)</calculatedColumnFormula>
    </tableColumn>
    <tableColumn id="6" xr3:uid="{0768438A-D028-436F-8074-F4EC87D8B5A1}" name="$stack" dataDxfId="918">
      <calculatedColumnFormula>T_p3p123372677566370144[[#This Row],[ICM]]+bounty*T_p3p123372677566370144[[#This Row],[KO]]</calculatedColumnFormula>
    </tableColumn>
  </tableColumns>
  <tableStyleInfo name="TableStyleLight1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57605B9D-08E9-49ED-BFA0-D35866571B25}" name="T_p3p224382778576471145" displayName="T_p3p224382778576471145" ref="AH16:AM22" totalsRowShown="0" tableBorderDxfId="917">
  <autoFilter ref="AH16:AM22" xr:uid="{00000000-0009-0000-0100-000025000000}"/>
  <tableColumns count="6">
    <tableColumn id="1" xr3:uid="{4C5B985A-69AB-42DD-AB9A-5686D5521046}" name="players" dataDxfId="916" totalsRowDxfId="915">
      <calculatedColumnFormula>COUNTIF(T_p3p224382778576471145[stack],"&gt;0")</calculatedColumnFormula>
    </tableColumn>
    <tableColumn id="2" xr3:uid="{A2BEEEBD-6BEC-47B4-A4FF-7CCA9460C5B5}" name="stack" dataDxfId="914" totalsRowDxfId="913">
      <calculatedColumnFormula>IF(T_init2034474536067113[[#This Row],[p]]=1,uncalled,IF(T_init2034474536067113[[#This Row],[p]]=2,sidepot1,IF(T_init2034474536067113[[#This Row],[p]]=3,mainpot,IF(ISBLANK(T_init2034474536067113[[#This Row],[p]]),T_init2034474536067113[[#This Row],[stack]]-T_init2034474536067113[[#This Row],[anteblinds]],0))))</calculatedColumnFormula>
    </tableColumn>
    <tableColumn id="3" xr3:uid="{F5AC4843-BCF5-4BF1-8BEF-380E9EFE92BB}" name="EQ" totalsRowDxfId="912"/>
    <tableColumn id="4" xr3:uid="{73094259-B086-4D86-BEDB-5D56030F7AA7}" name="ICM" dataDxfId="911" totalsRowDxfId="910">
      <calculatedColumnFormula>T_p3p224382778576471145[[#This Row],[EQ]]*prize</calculatedColumnFormula>
    </tableColumn>
    <tableColumn id="5" xr3:uid="{B6E8E212-25D7-456C-9194-E073656980F1}" name="KO" dataDxfId="909" totalsRowDxfId="908">
      <calculatedColumnFormula>IF(T_init2034474536067113[[#This Row],[p]]=2,T_p3p224382778576471145[[#This Row],[players]]*T_p3p224382778576471145[[#This Row],[stack]]/chips+COUNTIF(T_p3p224382778576471145[stack],0),T_p3p224382778576471145[[#This Row],[players]]*T_p3p224382778576471145[[#This Row],[stack]]/chips)</calculatedColumnFormula>
    </tableColumn>
    <tableColumn id="6" xr3:uid="{0EE47383-2ECA-4CEB-B91F-F3F012221095}" name="$stack" dataDxfId="907">
      <calculatedColumnFormula>T_p3p224382778576471145[[#This Row],[ICM]]+bounty*T_p3p224382778576471145[[#This Row],[KO]]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F439E26-3C14-4B63-845C-A63C84902FE2}" name="T_EV33403080596673156192" displayName="T_EV33403080596673156192" ref="BY16:CF22" totalsRowShown="0" tableBorderDxfId="1431">
  <autoFilter ref="BY16:CF22" xr:uid="{00000000-0009-0000-0100-000027000000}"/>
  <tableColumns count="8">
    <tableColumn id="1" xr3:uid="{76B07E13-19B5-428F-8103-434F489A50BD}" name="ICM" dataDxfId="1430">
      <calculatedColumnFormula>'7d Jd разбивка'!p3win* ('7d Jd разбивка'!p1sp1win*T_p3p123372677566370153189[[#This Row],[ICM]] + '7d Jd разбивка'!p2sp1win*T_p3p224382778576471154190[[#This Row],[ICM]] + tiesp1*T_p3p22438277857647175158194[[#This Row],[ICM]])
+'7d Jd разбивка'!p2win*T_p222362576556269152188[[#This Row],[ICM]]
+'7d Jd разбивка'!p1win*T_p121351975546168151187[[#This Row],[ICM]]
+'7d Jd разбивка'!tie*T_p22236257655626974157193[[#This Row],[ICM]]</calculatedColumnFormula>
    </tableColumn>
    <tableColumn id="2" xr3:uid="{71C02929-F359-4D75-9EDC-57F86512A942}" name="KO" dataDxfId="1429">
      <calculatedColumnFormula>('7d Jd разбивка'!p3win* ('7d Jd разбивка'!p1sp1win*T_p3p123372677566370153189[[#This Row],[KO]] + '7d Jd разбивка'!p2sp1win*T_p3p224382778576471154190[[#This Row],[KO]])
+'7d Jd разбивка'!p2win*T_p222362576556269152188[[#This Row],[KO]]
+'7d Jd разбивка'!p1win*T_p121351975546168151187[[#This Row],[KO]])*bounty</calculatedColumnFormula>
    </tableColumn>
    <tableColumn id="3" xr3:uid="{AE266AF8-AADC-46E9-A0DF-5C16CF73B6F3}" name="EV" dataDxfId="1428">
      <calculatedColumnFormula>'7d Jd разбивка'!p3win* ('7d Jd разбивка'!p1sp1win*T_p3p123372677566370153189[[#This Row],[$stack]] + '7d Jd разбивка'!p2sp1win*T_p3p224382778576471154190[[#This Row],[$stack]])
+'7d Jd разбивка'!p2win*T_p222362576556269152188[[#This Row],[$stack]]
+'7d Jd разбивка'!p1win*T_p121351975546168151187[[#This Row],[$stack]]</calculatedColumnFormula>
    </tableColumn>
    <tableColumn id="4" xr3:uid="{EEED6765-B5F9-4A4F-B6A0-4E3E70BDCF54}" name="chipEV" dataDxfId="1427">
      <calculatedColumnFormula>'7d Jd разбивка'!p3win* ('7d Jd разбивка'!p1sp1win*T_p3p123372677566370153189[[#This Row],[stack]] + '7d Jd разбивка'!p2sp1win*T_p3p224382778576471154190[[#This Row],[stack]] + tiesp1*T_p3p22438277857647175158194[[#This Row],[stack]])
+'7d Jd разбивка'!p2win*T_p222362576556269152188[[#This Row],[stack]]
+'7d Jd разбивка'!p1win*T_p121351975546168151187[[#This Row],[stack]]
+tie*T_p22236257655626974157193[[#This Row],[stack]]</calculatedColumnFormula>
    </tableColumn>
    <tableColumn id="8" xr3:uid="{BA3A4530-57DF-473B-9A46-6764CC0E9CFB}" name="netwon" dataDxfId="1426">
      <calculatedColumnFormula>T_fact29392879586572155191[[#This Row],[stack]]- T_init2034474536067150186[[#This Row],[stack]]</calculatedColumnFormula>
    </tableColumn>
    <tableColumn id="7" xr3:uid="{D1842E31-065D-4D6C-8D22-B3B37E2F740F}" name="netwon_adj" dataDxfId="1425">
      <calculatedColumnFormula>T_EV33403080596673156192[[#This Row],[netwon]]+T_EV33403080596673156192[[#This Row],[cEVdiff]]</calculatedColumnFormula>
    </tableColumn>
    <tableColumn id="5" xr3:uid="{44C4EB6A-20A1-4728-B445-230076282873}" name="cEVdiff" dataDxfId="1424">
      <calculatedColumnFormula>T_EV33403080596673156192[[#This Row],[chipEV]]-T_fact29392879586572155191[[#This Row],[stack]]</calculatedColumnFormula>
    </tableColumn>
    <tableColumn id="6" xr3:uid="{CDD14B8A-177E-433F-8946-F783A4EF17E3}" name="Evdiff" dataDxfId="1423">
      <calculatedColumnFormula>T_EV33403080596673156192[[#This Row],[EV]]-(T_fact29392879586572155191[[#This Row],[ICM]])</calculatedColumnFormula>
    </tableColumn>
  </tableColumns>
  <tableStyleInfo name="TableStyleLight11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7672BABA-CC4D-4FD4-94D3-ECF95F7532E2}" name="T_fact29392879586572146" displayName="T_fact29392879586572146" ref="AV16:BA22" totalsRowShown="0" tableBorderDxfId="906">
  <autoFilter ref="AV16:BA22" xr:uid="{00000000-0009-0000-0100-000026000000}"/>
  <tableColumns count="6">
    <tableColumn id="1" xr3:uid="{EEE71538-B51E-4D48-BCB5-78D7ADE702DA}" name="players">
      <calculatedColumnFormula>COUNTIF(T_fact29392879586572146[stack],"&gt;0")</calculatedColumnFormula>
    </tableColumn>
    <tableColumn id="2" xr3:uid="{E876F7BC-0211-445F-A5E3-D1E6E3C88014}" name="stack" dataDxfId="905">
      <calculatedColumnFormula>IF(T_init2034474536067113[[#This Row],[p]]=1,uncalled,IF(T_init2034474536067113[[#This Row],[p]]=2,mainpot+sidepot1+sidepot2,IF(T_init2034474536067113[[#This Row],[p]]&gt;2,0,T_init2034474536067113[[#This Row],[stack]]-T_init2034474536067113[[#This Row],[anteblinds]])))</calculatedColumnFormula>
    </tableColumn>
    <tableColumn id="3" xr3:uid="{D70341FE-4BF9-42AD-9BAC-C9B14EBD61E6}" name="EQ"/>
    <tableColumn id="4" xr3:uid="{D40E3433-DA84-4C55-A358-5AF43F33C9E8}" name="ICM" dataDxfId="904">
      <calculatedColumnFormula>T_fact29392879586572146[[#This Row],[EQ]]*prize</calculatedColumnFormula>
    </tableColumn>
    <tableColumn id="5" xr3:uid="{47B9C27B-67E8-4497-9001-2634E4468E7A}" name="KO" dataDxfId="903">
      <calculatedColumnFormula>IF(T_init2034474536067113[[#This Row],[p]]=1,T_fact29392879586572146[[#This Row],[players]]*T_fact29392879586572146[[#This Row],[stack]]/chips+COUNTIF(T_fact29392879586572146[stack],0),T_fact29392879586572146[[#This Row],[players]]*T_fact29392879586572146[[#This Row],[stack]]/chips)</calculatedColumnFormula>
    </tableColumn>
    <tableColumn id="6" xr3:uid="{5BEE8AF4-4720-4E7E-86BF-6AE84D31FA13}" name="$stack" dataDxfId="902">
      <calculatedColumnFormula>T_fact29392879586572146[[#This Row],[ICM]]+bounty*T_fact29392879586572146[[#This Row],[KO]]</calculatedColumnFormula>
    </tableColumn>
  </tableColumns>
  <tableStyleInfo name="TableStyleLight11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168C62E1-ABA5-4E35-B327-1A903F2C9CFC}" name="T_EV33403080596673147" displayName="T_EV33403080596673147" ref="BD16:BK22" totalsRowShown="0" tableBorderDxfId="901">
  <autoFilter ref="BD16:BK22" xr:uid="{00000000-0009-0000-0100-000027000000}"/>
  <tableColumns count="8">
    <tableColumn id="1" xr3:uid="{D5B1461E-D9C0-4232-80F3-4C7E6380896A}" name="ICM" dataDxfId="900">
      <calculatedColumnFormula>'3way 8c Kh ничьи'!p3win* ('3way 8c Kh ничьи'!p1sp1win*T_p3p123372677566370144[[#This Row],[ICM]] + '3way 8c Kh ничьи'!p2sp1win*T_p3p224382778576471145[[#This Row],[ICM]] + tiesp1*T_p3p22438277857647175149[[#This Row],[ICM]])
+'3way 8c Kh ничьи'!p2win*T_p222362576556269115[[#This Row],[ICM]]
+'3way 8c Kh ничьи'!p1win*T_p121351975546168114[[#This Row],[ICM]]
+'3way 8c Kh ничьи'!tie*T_p22236257655626974148[[#This Row],[ICM]]</calculatedColumnFormula>
    </tableColumn>
    <tableColumn id="2" xr3:uid="{FE0E9590-5990-47AE-8ED8-E22968811E95}" name="KO" dataDxfId="899">
      <calculatedColumnFormula>('3way 8c Kh ничьи'!p3win* ('3way 8c Kh ничьи'!p1sp1win*T_p3p123372677566370144[[#This Row],[KO]] + '3way 8c Kh ничьи'!p2sp1win*T_p3p224382778576471145[[#This Row],[KO]])
+'3way 8c Kh ничьи'!p2win*T_p222362576556269115[[#This Row],[KO]]
+'3way 8c Kh ничьи'!p1win*T_p121351975546168114[[#This Row],[KO]])*bounty</calculatedColumnFormula>
    </tableColumn>
    <tableColumn id="3" xr3:uid="{016D6C1C-4C46-4AC6-9294-F56C179C4E6B}" name="EV" dataDxfId="898">
      <calculatedColumnFormula>'3way 8c Kh ничьи'!p3win* ('3way 8c Kh ничьи'!p1sp1win*T_p3p123372677566370144[[#This Row],[$stack]] + '3way 8c Kh ничьи'!p2sp1win*T_p3p224382778576471145[[#This Row],[$stack]])
+'3way 8c Kh ничьи'!p2win*T_p222362576556269115[[#This Row],[$stack]]
+'3way 8c Kh ничьи'!p1win*T_p121351975546168114[[#This Row],[$stack]]</calculatedColumnFormula>
    </tableColumn>
    <tableColumn id="4" xr3:uid="{04D4FB9B-F149-4044-80CF-50FEC1BC70FB}" name="chipEV" dataDxfId="897">
      <calculatedColumnFormula>'3way 8c Kh ничьи'!p3win* ('3way 8c Kh ничьи'!p1sp1win*T_p3p123372677566370144[[#This Row],[stack]] + '3way 8c Kh ничьи'!p2sp1win*T_p3p224382778576471145[[#This Row],[stack]] + tiesp1*T_p3p22438277857647175149[[#This Row],[stack]])
+'3way 8c Kh ничьи'!p2win*T_p222362576556269115[[#This Row],[stack]]
+'3way 8c Kh ничьи'!p1win*T_p121351975546168114[[#This Row],[stack]]
+tie*T_p22236257655626974148[[#This Row],[stack]]</calculatedColumnFormula>
    </tableColumn>
    <tableColumn id="8" xr3:uid="{3C7A8DAB-D1C2-44EC-B0C9-181575C4E972}" name="netwon" dataDxfId="896">
      <calculatedColumnFormula>T_fact29392879586572146[[#This Row],[stack]]- T_init2034474536067113[[#This Row],[stack]]</calculatedColumnFormula>
    </tableColumn>
    <tableColumn id="7" xr3:uid="{0214BC86-C71F-4037-BE8C-25C4A4A7CACE}" name="netwon_adj" dataDxfId="895">
      <calculatedColumnFormula>T_EV33403080596673147[[#This Row],[netwon]]+T_EV33403080596673147[[#This Row],[cEVdiff]]</calculatedColumnFormula>
    </tableColumn>
    <tableColumn id="5" xr3:uid="{B94A8F38-C8A6-4249-94A8-D9B3E2083A0F}" name="cEVdiff" dataDxfId="894">
      <calculatedColumnFormula>T_EV33403080596673147[[#This Row],[chipEV]]-T_fact29392879586572146[[#This Row],[stack]]</calculatedColumnFormula>
    </tableColumn>
    <tableColumn id="6" xr3:uid="{DA27316D-C9A8-4A58-B125-413FE9137F49}" name="Evdiff" dataDxfId="893">
      <calculatedColumnFormula>T_EV33403080596673147[[#This Row],[EV]]-(T_fact29392879586572146[[#This Row],[ICM]])</calculatedColumnFormula>
    </tableColumn>
  </tableColumns>
  <tableStyleInfo name="TableStyleLight11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C35492E2-D48A-484D-9176-04877BA811CD}" name="T_p22236257655626974148" displayName="T_p22236257655626974148" ref="T16:Y22" totalsRowShown="0" tableBorderDxfId="892">
  <autoFilter ref="T16:Y22" xr:uid="{CE38ABBA-F0F2-4A26-90AC-5B8D0B66446B}"/>
  <tableColumns count="6">
    <tableColumn id="1" xr3:uid="{16B4AD77-DCB3-4E53-9837-9C0B3C9EA6DB}" name="players" dataDxfId="891" totalsRowDxfId="890">
      <calculatedColumnFormula>COUNTIF(T_p22236257655626974148[stack],"&gt;0")</calculatedColumnFormula>
    </tableColumn>
    <tableColumn id="2" xr3:uid="{00B0E029-69B2-448E-AE0F-B3BEFB3FED06}" name="stack" dataDxfId="889" totalsRowDxfId="888">
      <calculatedColumnFormula>IF(T_init2034474536067113[[#This Row],[p]]=1,ROUND(uncalled + mainpot/3, 0) + ROUND(sidepot1/2,0),IF(T_init2034474536067113[[#This Row],[p]]=2,ROUND(mainpot/3,0) + ROUND(sidepot1/2,0),IF(T_init2034474536067113[[#This Row],[p]]=3, ROUNDUP(mainpot/3,0),T_init2034474536067113[[#This Row],[stack]]-T_init2034474536067113[[#This Row],[anteblinds]])))</calculatedColumnFormula>
    </tableColumn>
    <tableColumn id="3" xr3:uid="{F0CB60DC-5593-4F6E-8E22-ED6F8FB09C58}" name="EQ" totalsRowDxfId="887"/>
    <tableColumn id="4" xr3:uid="{1524ACC4-4404-49FC-B9D4-5C07E49E34AD}" name="ICM" dataDxfId="886" totalsRowDxfId="885">
      <calculatedColumnFormula>T_p22236257655626974148[[#This Row],[EQ]]*prize</calculatedColumnFormula>
    </tableColumn>
    <tableColumn id="5" xr3:uid="{944139E7-D12E-4B13-9BE5-F303C2DAE1DF}" name="KO" dataDxfId="884" totalsRowDxfId="883">
      <calculatedColumnFormula>IF(T_init2034474536067113[[#This Row],[p]]=2,T_p22236257655626974148[[#This Row],[players]]*T_p22236257655626974148[[#This Row],[stack]]/chips+COUNTIF(T_p22236257655626974148[stack],0),T_p22236257655626974148[[#This Row],[players]]*T_p22236257655626974148[[#This Row],[stack]]/chips)</calculatedColumnFormula>
    </tableColumn>
    <tableColumn id="6" xr3:uid="{2EE440AF-0157-4894-95AE-2CDE8BEFFA53}" name="$stack" dataDxfId="882">
      <calculatedColumnFormula>T_p22236257655626974148[[#This Row],[ICM]]+bounty*T_p22236257655626974148[[#This Row],[KO]]</calculatedColumnFormula>
    </tableColumn>
  </tableColumns>
  <tableStyleInfo name="TableStyleLight11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C08FAE2B-E4B0-4402-8404-BD77460BD1CD}" name="T_p3p22438277857647175149" displayName="T_p3p22438277857647175149" ref="AO16:AT22" totalsRowShown="0" tableBorderDxfId="881">
  <autoFilter ref="AO16:AT22" xr:uid="{0E6963F0-4D2D-49F5-BA0C-CC131E0278C6}"/>
  <tableColumns count="6">
    <tableColumn id="1" xr3:uid="{067E7347-821D-4377-97C4-FE0A7A0D5330}" name="players" dataDxfId="880" totalsRowDxfId="879">
      <calculatedColumnFormula>COUNTIF(T_p3p22438277857647175149[stack],"&gt;0")</calculatedColumnFormula>
    </tableColumn>
    <tableColumn id="2" xr3:uid="{0B5A1D59-524E-4193-B2D8-1C1192D52994}" name="stack" dataDxfId="878" totalsRowDxfId="877">
      <calculatedColumnFormula>IF(T_init2034474536067113[[#This Row],[p]]=1,uncalled + ROUND(sidepot1/2,0),IF(T_init2034474536067113[[#This Row],[p]]=2,ROUND(sidepot1/2,0),IF(T_init2034474536067113[[#This Row],[p]]=3,mainpot,IF(ISBLANK(T_init2034474536067113[[#This Row],[p]]),T_init2034474536067113[[#This Row],[stack]]-T_init2034474536067113[[#This Row],[anteblinds]],0))))</calculatedColumnFormula>
    </tableColumn>
    <tableColumn id="3" xr3:uid="{C7FA4D59-3BFE-4130-8C99-67DA6EDCA3CD}" name="EQ" totalsRowDxfId="876"/>
    <tableColumn id="4" xr3:uid="{6FA59BCF-4D52-4DA9-92D9-1AFC29F1A3EA}" name="ICM" dataDxfId="875" totalsRowDxfId="874">
      <calculatedColumnFormula>T_p3p22438277857647175149[[#This Row],[EQ]]*prize</calculatedColumnFormula>
    </tableColumn>
    <tableColumn id="5" xr3:uid="{D6820DDB-5B79-45D9-B552-286E0E211E32}" name="KO" dataDxfId="873" totalsRowDxfId="872">
      <calculatedColumnFormula>IF(T_init2034474536067113[[#This Row],[p]]=2,T_p3p22438277857647175149[[#This Row],[players]]*T_p3p22438277857647175149[[#This Row],[stack]]/chips+COUNTIF(T_p3p22438277857647175149[stack],0),T_p3p22438277857647175149[[#This Row],[players]]*T_p3p22438277857647175149[[#This Row],[stack]]/chips)</calculatedColumnFormula>
    </tableColumn>
    <tableColumn id="6" xr3:uid="{2CE3E86F-CC3D-47B1-AF03-3CC8D8B522B8}" name="$stack" dataDxfId="871">
      <calculatedColumnFormula>T_p3p22438277857647175149[[#This Row],[ICM]]+bounty*T_p3p22438277857647175149[[#This Row],[KO]]</calculatedColumnFormula>
    </tableColumn>
  </tableColumns>
  <tableStyleInfo name="TableStyleLight1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C6EC87B5-206D-42B1-A83E-78EC03E36FD3}" name="T_init203447453606776" displayName="T_init203447453606776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5597CB6B-B3E3-4C68-AEF2-1E4A3AB0E1AE}" name="p" totalsRowLabel="Total"/>
    <tableColumn id="2" xr3:uid="{81B818AD-7481-4FE1-9762-D958895C1B24}" name="stack"/>
    <tableColumn id="3" xr3:uid="{BBE16F93-FD36-45B7-BFC2-E4FE2BC8758C}" name="hand"/>
    <tableColumn id="4" xr3:uid="{75F36134-CA2B-4435-BFEB-86B8521986C1}" name="anteblinds" totalsRowFunction="sum"/>
  </tableColumns>
  <tableStyleInfo name="TableStyleLight11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F78561E6-245A-4371-8F91-375482848F7B}" name="T_p12135197554616877" displayName="T_p12135197554616877" ref="F16:K22" totalsRowShown="0" tableBorderDxfId="870">
  <autoFilter ref="F16:K22" xr:uid="{00000000-0009-0000-0100-000022000000}"/>
  <tableColumns count="6">
    <tableColumn id="1" xr3:uid="{8C6834CE-7E89-419E-9632-7A46C17F0275}" name="players" dataDxfId="869">
      <calculatedColumnFormula>COUNTIF(T_p12135197554616877[stack],"&gt;0")</calculatedColumnFormula>
    </tableColumn>
    <tableColumn id="2" xr3:uid="{1532D7B3-C3D2-42B5-B653-0FEFB937EED9}" name="stack" dataDxfId="868">
      <calculatedColumnFormula>IF(T_init203447453606776[[#This Row],[p]]=1,mainpot+sidepot1+sidepot2+uncalled,IF(T_init203447453606776[[#This Row],[p]]&gt;1,0,T_init203447453606776[[#This Row],[stack]]-T_init203447453606776[[#This Row],[anteblinds]]))</calculatedColumnFormula>
    </tableColumn>
    <tableColumn id="3" xr3:uid="{01D3DB9B-FB7A-4096-A57A-A41BF14A2504}" name="EQ"/>
    <tableColumn id="4" xr3:uid="{DB3A619C-D495-41CB-8367-DECF92748E29}" name="ICM" dataDxfId="867">
      <calculatedColumnFormula>T_p12135197554616877[[#This Row],[EQ]]*prize</calculatedColumnFormula>
    </tableColumn>
    <tableColumn id="5" xr3:uid="{75DAC605-1BAA-4209-82D1-1CB0DD9C1D35}" name="KO" dataDxfId="866">
      <calculatedColumnFormula>IF(T_init203447453606776[[#This Row],[p]]=1,T_p12135197554616877[[#This Row],[players]]*T_p12135197554616877[[#This Row],[stack]]/chips+COUNTIF(T_p12135197554616877[stack],0),T_p12135197554616877[[#This Row],[players]]*T_p12135197554616877[[#This Row],[stack]]/chips)</calculatedColumnFormula>
    </tableColumn>
    <tableColumn id="6" xr3:uid="{5E454353-E0BC-4A7E-AF25-846A1CA17122}" name="$stack" dataDxfId="865">
      <calculatedColumnFormula>T_p12135197554616877[[#This Row],[ICM]]+bounty*T_p12135197554616877[[#This Row],[KO]]</calculatedColumnFormula>
    </tableColumn>
  </tableColumns>
  <tableStyleInfo name="TableStyleLight11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E75F71F1-9D37-4945-899D-6587BB0C7766}" name="T_p22236257655626978" displayName="T_p22236257655626978" ref="M16:R22" totalsRowShown="0" tableBorderDxfId="864">
  <autoFilter ref="M16:R22" xr:uid="{00000000-0009-0000-0100-000023000000}"/>
  <tableColumns count="6">
    <tableColumn id="1" xr3:uid="{BB6C6982-A14B-4A0A-93DD-17DE51FF5532}" name="players" dataDxfId="863" totalsRowDxfId="862">
      <calculatedColumnFormula>COUNTIF(T_p22236257655626978[stack],"&gt;0")</calculatedColumnFormula>
    </tableColumn>
    <tableColumn id="2" xr3:uid="{82A504C0-8237-4711-B57E-8F83607BE33F}" name="stack" dataDxfId="861" totalsRowDxfId="860">
      <calculatedColumnFormula>IF(T_init203447453606776[[#This Row],[p]]=1,uncalled,IF(T_init203447453606776[[#This Row],[p]]=2,mainpot+sidepot1+sidepot2,IF(T_init203447453606776[[#This Row],[p]]&gt;2,0,T_init203447453606776[[#This Row],[stack]]-T_init203447453606776[[#This Row],[anteblinds]])))</calculatedColumnFormula>
    </tableColumn>
    <tableColumn id="3" xr3:uid="{16102B2E-1A62-4D8C-AC73-B98F79BB01AF}" name="EQ" totalsRowDxfId="859"/>
    <tableColumn id="4" xr3:uid="{CDB3BF24-F278-4346-A060-56B9CC3648B2}" name="ICM" dataDxfId="858" totalsRowDxfId="857">
      <calculatedColumnFormula>T_p22236257655626978[[#This Row],[EQ]]*prize</calculatedColumnFormula>
    </tableColumn>
    <tableColumn id="5" xr3:uid="{E89CCFFC-BDCB-47B6-BEB1-5225C9294512}" name="KO" dataDxfId="856" totalsRowDxfId="855">
      <calculatedColumnFormula>IF(T_init203447453606776[[#This Row],[p]]=2,T_p22236257655626978[[#This Row],[players]]*T_p22236257655626978[[#This Row],[stack]]/chips+COUNTIF(T_p22236257655626978[stack],0),T_p22236257655626978[[#This Row],[players]]*T_p22236257655626978[[#This Row],[stack]]/chips)</calculatedColumnFormula>
    </tableColumn>
    <tableColumn id="6" xr3:uid="{5FF15419-F6DE-4225-B6ED-609AFBC73B70}" name="$stack" dataDxfId="854">
      <calculatedColumnFormula>T_p22236257655626978[[#This Row],[ICM]]+bounty*T_p22236257655626978[[#This Row],[KO]]</calculatedColumnFormula>
    </tableColumn>
  </tableColumns>
  <tableStyleInfo name="TableStyleLight11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8F18671D-13E6-422F-8FC4-5BBC952C43C1}" name="T_p3p12337267756637079" displayName="T_p3p12337267756637079" ref="AA16:AF22" totalsRowShown="0" tableBorderDxfId="853">
  <autoFilter ref="AA16:AF22" xr:uid="{00000000-0009-0000-0100-000024000000}"/>
  <tableColumns count="6">
    <tableColumn id="1" xr3:uid="{8AACC538-2745-483D-82CC-4940122219D0}" name="players" dataDxfId="852">
      <calculatedColumnFormula>COUNTIF(T_p3p12337267756637079[stack],"&gt;0")</calculatedColumnFormula>
    </tableColumn>
    <tableColumn id="2" xr3:uid="{F2E01C69-92B9-4B05-8BD2-3A709F0AE269}" name="stack" dataDxfId="851">
      <calculatedColumnFormula>IF(T_init203447453606776[[#This Row],[p]]=1,sidepot1+uncalled,IF(T_init203447453606776[[#This Row],[p]]=3,mainpot,IF(ISBLANK(T_init203447453606776[[#This Row],[p]]),T_init203447453606776[[#This Row],[stack]]-T_init203447453606776[[#This Row],[anteblinds]],0)))</calculatedColumnFormula>
    </tableColumn>
    <tableColumn id="3" xr3:uid="{46F94B49-395F-4E57-82A7-289B033A73D6}" name="EQ"/>
    <tableColumn id="4" xr3:uid="{6031CDDF-08D6-49A8-8C6E-AEC85ACA40FF}" name="ICM" dataDxfId="850">
      <calculatedColumnFormula>T_p3p12337267756637079[[#This Row],[EQ]]*prize</calculatedColumnFormula>
    </tableColumn>
    <tableColumn id="5" xr3:uid="{6025055E-231D-460E-BDF4-EA1E99D8EECF}" name="KO" dataDxfId="849">
      <calculatedColumnFormula>IF(T_init203447453606776[[#This Row],[p]]=1,T_p3p12337267756637079[[#This Row],[players]]*T_p3p12337267756637079[[#This Row],[stack]]/chips+COUNTIF(T_p3p12337267756637079[stack],0),T_p3p12337267756637079[[#This Row],[players]]*T_p3p12337267756637079[[#This Row],[stack]]/chips)</calculatedColumnFormula>
    </tableColumn>
    <tableColumn id="6" xr3:uid="{F73BD8CB-8B9A-42C6-B9D2-04B07F823829}" name="$stack" dataDxfId="848">
      <calculatedColumnFormula>T_p3p12337267756637079[[#This Row],[ICM]]+bounty*T_p3p12337267756637079[[#This Row],[KO]]</calculatedColumnFormula>
    </tableColumn>
  </tableColumns>
  <tableStyleInfo name="TableStyleLight11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C4EEE561-29D0-4764-8955-F2ABAC6EE823}" name="T_p3p22438277857647180" displayName="T_p3p22438277857647180" ref="AH16:AM22" totalsRowShown="0" tableBorderDxfId="847">
  <autoFilter ref="AH16:AM22" xr:uid="{00000000-0009-0000-0100-000025000000}"/>
  <tableColumns count="6">
    <tableColumn id="1" xr3:uid="{79AF766B-8445-4E13-9040-B7F6DEE0E23E}" name="players" dataDxfId="846" totalsRowDxfId="845">
      <calculatedColumnFormula>COUNTIF(T_p3p22438277857647180[stack],"&gt;0")</calculatedColumnFormula>
    </tableColumn>
    <tableColumn id="2" xr3:uid="{F5055194-02C2-4236-8D7F-692A57600691}" name="stack" dataDxfId="844" totalsRowDxfId="843">
      <calculatedColumnFormula>IF(T_init203447453606776[[#This Row],[p]]=1,uncalled,IF(T_init203447453606776[[#This Row],[p]]=2,sidepot1,IF(T_init203447453606776[[#This Row],[p]]=3,mainpot,IF(ISBLANK(T_init203447453606776[[#This Row],[p]]),T_init203447453606776[[#This Row],[stack]]-T_init203447453606776[[#This Row],[anteblinds]],0))))</calculatedColumnFormula>
    </tableColumn>
    <tableColumn id="3" xr3:uid="{AEFCB9D9-C12F-4A90-970C-46A8BE5B6922}" name="EQ" totalsRowDxfId="842"/>
    <tableColumn id="4" xr3:uid="{E4E12AA6-A0B0-4822-9D04-AB1B41D2F01A}" name="ICM" dataDxfId="841" totalsRowDxfId="840">
      <calculatedColumnFormula>T_p3p22438277857647180[[#This Row],[EQ]]*prize</calculatedColumnFormula>
    </tableColumn>
    <tableColumn id="5" xr3:uid="{22CA9720-3E3C-4179-9160-30B8D0A24F9C}" name="KO" dataDxfId="839" totalsRowDxfId="838">
      <calculatedColumnFormula>IF(T_init203447453606776[[#This Row],[p]]=2,T_p3p22438277857647180[[#This Row],[players]]*T_p3p22438277857647180[[#This Row],[stack]]/chips+COUNTIF(T_p3p22438277857647180[stack],0),T_p3p22438277857647180[[#This Row],[players]]*T_p3p22438277857647180[[#This Row],[stack]]/chips)</calculatedColumnFormula>
    </tableColumn>
    <tableColumn id="6" xr3:uid="{C1C84CEB-3FF7-41B1-80D3-8BA32578D685}" name="$stack" dataDxfId="837">
      <calculatedColumnFormula>T_p3p22438277857647180[[#This Row],[ICM]]+bounty*T_p3p22438277857647180[[#This Row],[KO]]</calculatedColumnFormula>
    </tableColumn>
  </tableColumns>
  <tableStyleInfo name="TableStyleLight11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5CA6328F-86B4-4ADC-8BA6-0D8B8439FDDE}" name="T_fact29392879586572109" displayName="T_fact29392879586572109" ref="AV16:BA22" totalsRowShown="0" tableBorderDxfId="836">
  <autoFilter ref="AV16:BA22" xr:uid="{00000000-0009-0000-0100-000026000000}"/>
  <tableColumns count="6">
    <tableColumn id="1" xr3:uid="{8FEFE79E-1F42-42D6-944D-397FCA5B9781}" name="players" dataDxfId="835">
      <calculatedColumnFormula>COUNTIF(T_fact29392879586572109[stack],"&gt;0")</calculatedColumnFormula>
    </tableColumn>
    <tableColumn id="2" xr3:uid="{CBF9A1D8-F7F1-4FAB-99E6-3FF766932014}" name="stack" dataDxfId="834"/>
    <tableColumn id="3" xr3:uid="{934653B7-7C05-404B-A452-9E597B54D0A4}" name="EQ"/>
    <tableColumn id="4" xr3:uid="{85775F97-3D0B-4420-B37B-8B6B00E55463}" name="ICM" dataDxfId="833">
      <calculatedColumnFormula>T_fact29392879586572109[[#This Row],[EQ]]*prize</calculatedColumnFormula>
    </tableColumn>
    <tableColumn id="5" xr3:uid="{E4258F6E-BF8D-4818-B0DE-262BCC71C8B1}" name="KO" dataDxfId="832">
      <calculatedColumnFormula>IF(T_init203447453606776[[#This Row],[p]]=1,T_fact29392879586572109[[#This Row],[players]]*T_fact29392879586572109[[#This Row],[stack]]/chips+COUNTIF(T_fact29392879586572109[stack],0),T_fact29392879586572109[[#This Row],[players]]*T_fact29392879586572109[[#This Row],[stack]]/chips)</calculatedColumnFormula>
    </tableColumn>
    <tableColumn id="6" xr3:uid="{E68E6463-E820-4129-B775-C26C278440B9}" name="$stack" dataDxfId="831">
      <calculatedColumnFormula>T_fact29392879586572109[[#This Row],[ICM]]+bounty*T_fact29392879586572109[[#This Row],[KO]]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8F806F78-9603-4E81-B8E5-2095A9861C10}" name="T_p22236257655626974157193" displayName="T_p22236257655626974157193" ref="T16:Y22" totalsRowShown="0" tableBorderDxfId="1422">
  <autoFilter ref="T16:Y22" xr:uid="{CE38ABBA-F0F2-4A26-90AC-5B8D0B66446B}"/>
  <tableColumns count="6">
    <tableColumn id="1" xr3:uid="{9D39213F-0D29-4C7D-9F62-75550ADC177C}" name="players" dataDxfId="1421" totalsRowDxfId="1420">
      <calculatedColumnFormula>COUNTIF(T_p22236257655626974157193[stack],"&gt;0")</calculatedColumnFormula>
    </tableColumn>
    <tableColumn id="2" xr3:uid="{69882245-52DD-4437-A725-51FFFC7D0002}" name="stack" dataDxfId="1419" totalsRowDxfId="1418">
      <calculatedColumnFormula>IF(T_init2034474536067150186[[#This Row],[p]]=1,ROUND(uncalled + mainpot/3, 0) + ROUND(sidepot1/2,0),IF(T_init2034474536067150186[[#This Row],[p]]=2,ROUND(mainpot/3,0) + ROUND(sidepot1/2,0),IF(T_init2034474536067150186[[#This Row],[p]]=3, ROUNDUP(mainpot/3,0),T_init2034474536067150186[[#This Row],[stack]]-T_init2034474536067150186[[#This Row],[anteblinds]])))</calculatedColumnFormula>
    </tableColumn>
    <tableColumn id="3" xr3:uid="{D3004BE6-1AEA-4797-91B2-B7233C2BF2CB}" name="EQ" totalsRowDxfId="1417"/>
    <tableColumn id="4" xr3:uid="{5B6DDC7A-B510-423F-85D9-290A469A2A7B}" name="ICM" dataDxfId="1416" totalsRowDxfId="1415">
      <calculatedColumnFormula>T_p22236257655626974157193[[#This Row],[EQ]]*prize</calculatedColumnFormula>
    </tableColumn>
    <tableColumn id="5" xr3:uid="{45F2C3A8-16B4-4DBA-A360-B7D7A63FE347}" name="KO" dataDxfId="1414" totalsRowDxfId="1413">
      <calculatedColumnFormula>IF(T_init2034474536067150186[[#This Row],[p]]=2,T_p22236257655626974157193[[#This Row],[players]]*T_p22236257655626974157193[[#This Row],[stack]]/chips+COUNTIF(T_p22236257655626974157193[stack],0),T_p22236257655626974157193[[#This Row],[players]]*T_p22236257655626974157193[[#This Row],[stack]]/chips)</calculatedColumnFormula>
    </tableColumn>
    <tableColumn id="6" xr3:uid="{812652E3-B89F-4B74-8A14-28CCF6738576}" name="$stack" dataDxfId="1412">
      <calculatedColumnFormula>T_p22236257655626974157193[[#This Row],[ICM]]+bounty*T_p22236257655626974157193[[#This Row],[KO]]</calculatedColumnFormula>
    </tableColumn>
  </tableColumns>
  <tableStyleInfo name="TableStyleLight11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C6DF3FA7-E528-44B3-B729-DC4CE2FE17A4}" name="T_EV33403080596673110" displayName="T_EV33403080596673110" ref="BD16:BK22" totalsRowShown="0" tableBorderDxfId="830">
  <autoFilter ref="BD16:BK22" xr:uid="{00000000-0009-0000-0100-000027000000}"/>
  <tableColumns count="8">
    <tableColumn id="1" xr3:uid="{799F2C75-0308-44A6-AF93-EDD448437F55}" name="ICM" dataDxfId="829">
      <calculatedColumnFormula>'3way 7d Jd ничьи'!p3win* ('3way 7d Jd ничьи'!p1sp1win*T_p3p12337267756637079[[#This Row],[ICM]] + '3way 7d Jd ничьи'!p2sp1win*T_p3p22438277857647180[[#This Row],[ICM]] + tiesp1*T_p3p22438277857647175112[[#This Row],[ICM]])
+'3way 7d Jd ничьи'!p2win*T_p22236257655626978[[#This Row],[ICM]]
+'3way 7d Jd ничьи'!p1win*T_p12135197554616877[[#This Row],[ICM]]
+'3way 7d Jd ничьи'!tie*T_p22236257655626974111[[#This Row],[ICM]]</calculatedColumnFormula>
    </tableColumn>
    <tableColumn id="2" xr3:uid="{897FBECF-A2FB-4131-A719-7AC50EC03716}" name="KO" dataDxfId="828">
      <calculatedColumnFormula>('3way 7d Jd ничьи'!p3win* ('3way 7d Jd ничьи'!p1sp1win*T_p3p12337267756637079[[#This Row],[KO]] + '3way 7d Jd ничьи'!p2sp1win*T_p3p22438277857647180[[#This Row],[KO]])
+'3way 7d Jd ничьи'!p2win*T_p22236257655626978[[#This Row],[KO]]
+'3way 7d Jd ничьи'!p1win*T_p12135197554616877[[#This Row],[KO]])*bounty</calculatedColumnFormula>
    </tableColumn>
    <tableColumn id="3" xr3:uid="{AAFE6115-2C8F-4F70-9271-30EBF5CEAE46}" name="EV" dataDxfId="827">
      <calculatedColumnFormula>'3way 7d Jd ничьи'!p3win* ('3way 7d Jd ничьи'!p1sp1win*T_p3p12337267756637079[[#This Row],[$stack]] + '3way 7d Jd ничьи'!p2sp1win*T_p3p22438277857647180[[#This Row],[$stack]])
+'3way 7d Jd ничьи'!p2win*T_p22236257655626978[[#This Row],[$stack]]
+'3way 7d Jd ничьи'!p1win*T_p12135197554616877[[#This Row],[$stack]]</calculatedColumnFormula>
    </tableColumn>
    <tableColumn id="4" xr3:uid="{851FDD29-98AA-44AA-B181-8C0DFB295F63}" name="chipEV" dataDxfId="826">
      <calculatedColumnFormula>'3way 7d Jd ничьи'!p3win* ('3way 7d Jd ничьи'!p1sp1win*T_p3p12337267756637079[[#This Row],[stack]] + '3way 7d Jd ничьи'!p2sp1win*T_p3p22438277857647180[[#This Row],[stack]] + tiesp1*T_p3p22438277857647175112[[#This Row],[stack]])
+'3way 7d Jd ничьи'!p2win*T_p22236257655626978[[#This Row],[stack]]
+'3way 7d Jd ничьи'!p1win*T_p12135197554616877[[#This Row],[stack]]
+tie*T_p22236257655626974111[[#This Row],[stack]]</calculatedColumnFormula>
    </tableColumn>
    <tableColumn id="8" xr3:uid="{8072A649-00C4-447F-98E3-49C6B7EC22FF}" name="netwon" dataDxfId="825">
      <calculatedColumnFormula>T_fact29392879586572109[[#This Row],[stack]]- T_init203447453606776[[#This Row],[stack]]</calculatedColumnFormula>
    </tableColumn>
    <tableColumn id="7" xr3:uid="{DACACBC2-5B02-4D24-8B49-5A417C876B35}" name="netwon_adj" dataDxfId="824">
      <calculatedColumnFormula>T_EV33403080596673110[[#This Row],[netwon]]+T_EV33403080596673110[[#This Row],[cEVdiff]]</calculatedColumnFormula>
    </tableColumn>
    <tableColumn id="5" xr3:uid="{C5169BB2-55B0-4905-A735-396D51772EC2}" name="cEVdiff" dataDxfId="823">
      <calculatedColumnFormula>T_EV33403080596673110[[#This Row],[chipEV]]-T_fact29392879586572109[[#This Row],[stack]]</calculatedColumnFormula>
    </tableColumn>
    <tableColumn id="6" xr3:uid="{344FCB62-6485-4CB9-8ADB-B0E95B881030}" name="Evdiff" dataDxfId="822">
      <calculatedColumnFormula>T_EV33403080596673110[[#This Row],[EV]]-(T_fact29392879586572109[[#This Row],[ICM]])</calculatedColumnFormula>
    </tableColumn>
  </tableColumns>
  <tableStyleInfo name="TableStyleLight11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4A1207AC-A9C2-47F3-8B56-C4EEF8F8776D}" name="T_p22236257655626974111" displayName="T_p22236257655626974111" ref="T16:Y22" totalsRowShown="0" tableBorderDxfId="821">
  <autoFilter ref="T16:Y22" xr:uid="{CE38ABBA-F0F2-4A26-90AC-5B8D0B66446B}"/>
  <tableColumns count="6">
    <tableColumn id="1" xr3:uid="{52C644F6-ED3B-4F85-BC8C-C76EE8594737}" name="players" dataDxfId="820" totalsRowDxfId="819">
      <calculatedColumnFormula>COUNTIF(T_p22236257655626974111[stack],"&gt;0")</calculatedColumnFormula>
    </tableColumn>
    <tableColumn id="2" xr3:uid="{8D21DA3A-E935-4AB7-A31B-BEDE2AB0714B}" name="stack" dataDxfId="818" totalsRowDxfId="817">
      <calculatedColumnFormula>IF(T_init203447453606776[[#This Row],[p]]=1,ROUND(uncalled + mainpot/3, 0) + ROUND(sidepot1/2,0),IF(T_init203447453606776[[#This Row],[p]]=2,ROUND(mainpot/3,0) + ROUND(sidepot1/2,0),IF(T_init203447453606776[[#This Row],[p]]=3, ROUNDUP(mainpot/3,0),T_init203447453606776[[#This Row],[stack]]-T_init203447453606776[[#This Row],[anteblinds]])))</calculatedColumnFormula>
    </tableColumn>
    <tableColumn id="3" xr3:uid="{2B918791-0E4B-4E81-94B6-09F934E0F522}" name="EQ" totalsRowDxfId="816"/>
    <tableColumn id="4" xr3:uid="{133FC8EE-C5FB-4672-B081-CD742495EC95}" name="ICM" dataDxfId="815" totalsRowDxfId="814">
      <calculatedColumnFormula>T_p22236257655626974111[[#This Row],[EQ]]*prize</calculatedColumnFormula>
    </tableColumn>
    <tableColumn id="5" xr3:uid="{3A7C8A7A-F980-4064-8B59-1CCA25E54323}" name="KO" dataDxfId="813" totalsRowDxfId="812">
      <calculatedColumnFormula>IF(T_init203447453606776[[#This Row],[p]]=2,T_p22236257655626974111[[#This Row],[players]]*T_p22236257655626974111[[#This Row],[stack]]/chips+COUNTIF(T_p22236257655626974111[stack],0),T_p22236257655626974111[[#This Row],[players]]*T_p22236257655626974111[[#This Row],[stack]]/chips)</calculatedColumnFormula>
    </tableColumn>
    <tableColumn id="6" xr3:uid="{D8C74889-4C2B-4C73-9F0B-444C8E675032}" name="$stack" dataDxfId="811">
      <calculatedColumnFormula>T_p22236257655626974111[[#This Row],[ICM]]+bounty*T_p22236257655626974111[[#This Row],[KO]]</calculatedColumnFormula>
    </tableColumn>
  </tableColumns>
  <tableStyleInfo name="TableStyleLight11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EB8D755F-BCA4-4826-94EA-045EC7F3EB06}" name="T_p3p22438277857647175112" displayName="T_p3p22438277857647175112" ref="AO16:AT22" totalsRowShown="0" tableBorderDxfId="810">
  <autoFilter ref="AO16:AT22" xr:uid="{0E6963F0-4D2D-49F5-BA0C-CC131E0278C6}"/>
  <tableColumns count="6">
    <tableColumn id="1" xr3:uid="{A9DFFE5D-9097-484B-9D73-D3AA897C26A6}" name="players" dataDxfId="809" totalsRowDxfId="808">
      <calculatedColumnFormula>COUNTIF(T_p3p22438277857647175112[stack],"&gt;0")</calculatedColumnFormula>
    </tableColumn>
    <tableColumn id="2" xr3:uid="{E0ACF8A8-5619-4095-B68F-6EA09A433FEC}" name="stack" dataDxfId="807" totalsRowDxfId="806">
      <calculatedColumnFormula>IF(T_init203447453606776[[#This Row],[p]]=1,uncalled + ROUND(sidepot1/2,0),IF(T_init203447453606776[[#This Row],[p]]=2,ROUND(sidepot1/2,0),IF(T_init203447453606776[[#This Row],[p]]=3,mainpot,IF(ISBLANK(T_init203447453606776[[#This Row],[p]]),T_init203447453606776[[#This Row],[stack]]-T_init203447453606776[[#This Row],[anteblinds]],0))))</calculatedColumnFormula>
    </tableColumn>
    <tableColumn id="3" xr3:uid="{4E5BE279-B5A5-48A2-9318-37377D585F6A}" name="EQ" totalsRowDxfId="805"/>
    <tableColumn id="4" xr3:uid="{1BC51F0C-BE44-4EF2-B26C-C4A28DCFA388}" name="ICM" dataDxfId="804" totalsRowDxfId="803">
      <calculatedColumnFormula>T_p3p22438277857647175112[[#This Row],[EQ]]*prize</calculatedColumnFormula>
    </tableColumn>
    <tableColumn id="5" xr3:uid="{9DFB6C1E-4511-453D-9EFB-6941C07B6DAD}" name="KO" dataDxfId="802" totalsRowDxfId="801">
      <calculatedColumnFormula>IF(T_init203447453606776[[#This Row],[p]]=2,T_p3p22438277857647175112[[#This Row],[players]]*T_p3p22438277857647175112[[#This Row],[stack]]/chips+COUNTIF(T_p3p22438277857647175112[stack],0),T_p3p22438277857647175112[[#This Row],[players]]*T_p3p22438277857647175112[[#This Row],[stack]]/chips)</calculatedColumnFormula>
    </tableColumn>
    <tableColumn id="6" xr3:uid="{8673A828-3571-4F97-AD05-C0D87E6CFDA0}" name="$stack" dataDxfId="800">
      <calculatedColumnFormula>T_p3p22438277857647175112[[#This Row],[ICM]]+bounty*T_p3p22438277857647175112[[#This Row],[KO]]</calculatedColumnFormula>
    </tableColumn>
  </tableColumns>
  <tableStyleInfo name="TableStyleLight11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7:V87" totalsRowCount="1">
  <autoFilter ref="A7:V86" xr:uid="{00000000-0009-0000-0100-000002000000}"/>
  <tableColumns count="22">
    <tableColumn id="22" xr3:uid="{606BE3B6-146B-4D73-A0DB-38DC0878C8F6}" name="stack"/>
    <tableColumn id="1" xr3:uid="{00000000-0010-0000-0000-000001000000}" name="hand"/>
    <tableColumn id="2" xr3:uid="{00000000-0010-0000-0000-000002000000}" name="pWin"/>
    <tableColumn id="3" xr3:uid="{00000000-0010-0000-0000-000003000000}" name="stackwin" dataDxfId="799" totalsRowDxfId="798"/>
    <tableColumn id="4" xr3:uid="{00000000-0010-0000-0000-000004000000}" name="EQwin"/>
    <tableColumn id="5" xr3:uid="{00000000-0010-0000-0000-000005000000}" name="ICMwin" dataDxfId="797" totalsRowDxfId="796">
      <calculatedColumnFormula>Table2[[#This Row],[EQwin]]*$E$1</calculatedColumnFormula>
    </tableColumn>
    <tableColumn id="6" xr3:uid="{00000000-0010-0000-0000-000006000000}" name="Kowin" dataDxfId="795" totalsRowDxfId="794">
      <calculatedColumnFormula>2*Table2[[#This Row],[stackwin]]/3000</calculatedColumnFormula>
    </tableColumn>
    <tableColumn id="7" xr3:uid="{00000000-0010-0000-0000-000007000000}" name="stacklose" dataDxfId="793" totalsRowDxfId="792"/>
    <tableColumn id="8" xr3:uid="{00000000-0010-0000-0000-000008000000}" name="EQlose"/>
    <tableColumn id="9" xr3:uid="{00000000-0010-0000-0000-000009000000}" name="ICMlose" dataDxfId="791" totalsRowDxfId="790">
      <calculatedColumnFormula>I8*$E$1</calculatedColumnFormula>
    </tableColumn>
    <tableColumn id="10" xr3:uid="{00000000-0010-0000-0000-00000A000000}" name="Kolose" dataDxfId="789" totalsRowDxfId="788">
      <calculatedColumnFormula>5*Table2[[#This Row],[stacklose]]/3000</calculatedColumnFormula>
    </tableColumn>
    <tableColumn id="11" xr3:uid="{00000000-0010-0000-0000-00000B000000}" name=" 2"/>
    <tableColumn id="12" xr3:uid="{00000000-0010-0000-0000-00000C000000}" name="stackfact" dataDxfId="787" totalsRowDxfId="786"/>
    <tableColumn id="13" xr3:uid="{00000000-0010-0000-0000-00000D000000}" name="Eqfact"/>
    <tableColumn id="14" xr3:uid="{00000000-0010-0000-0000-00000E000000}" name="ICMFact" dataDxfId="785" totalsRowDxfId="784">
      <calculatedColumnFormula>N8*$E$1</calculatedColumnFormula>
    </tableColumn>
    <tableColumn id="15" xr3:uid="{00000000-0010-0000-0000-00000F000000}" name="KOFact" dataDxfId="783" totalsRowDxfId="782">
      <calculatedColumnFormula>5*Table2[[#This Row],[stackfact]]/3000</calculatedColumnFormula>
    </tableColumn>
    <tableColumn id="16" xr3:uid="{00000000-0010-0000-0000-000010000000}" name="eqdiff" dataDxfId="781">
      <calculatedColumnFormula>Table2[[#This Row],[EQwin]]*Table2[[#This Row],[pWin]] + Table2[[#This Row],[EQlose]]*(1-Table2[[#This Row],[pWin]]) - Table2[[#This Row],[Eqfact]]</calculatedColumnFormula>
    </tableColumn>
    <tableColumn id="17" xr3:uid="{00000000-0010-0000-0000-000011000000}" name="ICMdiff" dataDxfId="780" totalsRowDxfId="779">
      <calculatedColumnFormula>Table2[[#This Row],[pWin]]*Table2[[#This Row],[ICMwin]]+(1-Table2[[#This Row],[pWin]])*Table2[[#This Row],[ICMlose]]-Table2[[#This Row],[ICMFact]]</calculatedColumnFormula>
    </tableColumn>
    <tableColumn id="18" xr3:uid="{00000000-0010-0000-0000-000012000000}" name="KODiff" dataDxfId="778" totalsRowDxfId="777">
      <calculatedColumnFormula>Table2[[#This Row],[Kowin]]*Table2[[#This Row],[pWin]]+Table2[[#This Row],[Kolose]]*(1-Table2[[#This Row],[pWin]])-Table2[[#This Row],[KOFact]]</calculatedColumnFormula>
    </tableColumn>
    <tableColumn id="19" xr3:uid="{00000000-0010-0000-0000-000013000000}" name="KOmoneyDiff" dataDxfId="776" totalsRowDxfId="775">
      <calculatedColumnFormula>Table2[[#This Row],[KODiff]]*bounty</calculatedColumnFormula>
    </tableColumn>
    <tableColumn id="20" xr3:uid="{00000000-0010-0000-0000-000014000000}" name="totalDiff" dataDxfId="774" totalsRowDxfId="773">
      <calculatedColumnFormula>Table2[[#This Row],[ICMdiff]]+Table2[[#This Row],[KOmoneyDiff]]</calculatedColumnFormula>
    </tableColumn>
    <tableColumn id="21" xr3:uid="{00000000-0010-0000-0000-000015000000}" name="cEVDiff" dataDxfId="772">
      <calculatedColumnFormula>Table2[[#This Row],[pWin]]*Table2[[#This Row],[stackwin]]+(1-Table2[[#This Row],[pWin]])*Table2[[#This Row],[stacklose]]-Table2[[#This Row],[stackfact]]</calculatedColumnFormula>
    </tableColumn>
  </tableColumns>
  <tableStyleInfo name="TableStyleLight11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F6BF37F-3663-4B34-AA3F-F7551B4CF987}" name="T_init203447453" displayName="T_init203447453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7B1B94AD-36CD-44DA-A89A-6EB0FE111051}" name="p" totalsRowLabel="Total"/>
    <tableColumn id="2" xr3:uid="{C4AB90FF-2FC7-48D2-9540-6AD638E4B326}" name="stack"/>
    <tableColumn id="3" xr3:uid="{43912866-51F0-43D7-91D9-7F8D1F9EF6E0}" name="hand"/>
    <tableColumn id="4" xr3:uid="{AF8E675B-70FF-4105-8542-0981C028EE8C}" name="anteblinds" totalsRowFunction="sum"/>
  </tableColumns>
  <tableStyleInfo name="TableStyleLight1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1385035-D5F2-403D-BB1E-CA9D5A3F4E20}" name="T_p12135197554" displayName="T_p12135197554" ref="F16:K22" totalsRowShown="0" tableBorderDxfId="771">
  <autoFilter ref="F16:K22" xr:uid="{00000000-0009-0000-0100-000022000000}"/>
  <tableColumns count="6">
    <tableColumn id="1" xr3:uid="{ADF242F0-D37E-4844-B1C6-AC4B8997D7DD}" name="players" dataDxfId="770">
      <calculatedColumnFormula>COUNTIF(T_p12135197554[stack],"&gt;0")</calculatedColumnFormula>
    </tableColumn>
    <tableColumn id="2" xr3:uid="{DF099240-ADEA-4DF8-9291-6C510AF8F789}" name="stack" dataDxfId="769">
      <calculatedColumnFormula>IF(T_init203447453[[#This Row],[p]]=1,mainpot+sidepot1+sidepot2+uncalled,IF(T_init203447453[[#This Row],[p]]&gt;1,0,T_init203447453[[#This Row],[stack]]-T_init203447453[[#This Row],[anteblinds]]))</calculatedColumnFormula>
    </tableColumn>
    <tableColumn id="3" xr3:uid="{4242782F-2DAE-4EBF-B1ED-171E343DBD15}" name="EQ"/>
    <tableColumn id="4" xr3:uid="{4FC680E8-E46A-42DF-A2AA-8F9B76E84908}" name="ICM" dataDxfId="768">
      <calculatedColumnFormula>T_p12135197554[[#This Row],[EQ]]*prize</calculatedColumnFormula>
    </tableColumn>
    <tableColumn id="5" xr3:uid="{E1919C13-2565-477E-9C0F-F8EB104FDBDE}" name="KO" dataDxfId="767">
      <calculatedColumnFormula>IF(T_init203447453[[#This Row],[p]]=1,T_p12135197554[[#This Row],[players]]*T_p12135197554[[#This Row],[stack]]/chips+COUNTIF(T_p12135197554[stack],0),T_p12135197554[[#This Row],[players]]*T_p12135197554[[#This Row],[stack]]/chips)</calculatedColumnFormula>
    </tableColumn>
    <tableColumn id="6" xr3:uid="{40B3A8E1-8BFD-4529-9677-47CFE2D1A6FB}" name="$stack" dataDxfId="766">
      <calculatedColumnFormula>T_p12135197554[[#This Row],[ICM]]+bounty*T_p12135197554[[#This Row],[KO]]</calculatedColumnFormula>
    </tableColumn>
  </tableColumns>
  <tableStyleInfo name="TableStyleLight11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4A1B9A0-0DD8-42B2-9EC4-906949B37BDE}" name="T_p22236257655" displayName="T_p22236257655" ref="M16:R22" totalsRowShown="0" tableBorderDxfId="765">
  <autoFilter ref="M16:R22" xr:uid="{00000000-0009-0000-0100-000023000000}"/>
  <tableColumns count="6">
    <tableColumn id="1" xr3:uid="{3DD04D03-FE16-447F-B359-4774A905D274}" name="players" dataDxfId="764" totalsRowDxfId="763">
      <calculatedColumnFormula>COUNTIF(T_p22236257655[stack],"&gt;0")</calculatedColumnFormula>
    </tableColumn>
    <tableColumn id="2" xr3:uid="{0BAA1D3F-B437-49F2-8E58-7BCA33942334}" name="stack" dataDxfId="762" totalsRowDxfId="761">
      <calculatedColumnFormula>IF(T_init203447453[[#This Row],[p]]=1,uncalled,IF(T_init203447453[[#This Row],[p]]=2,mainpot+sidepot1+sidepot2,IF(T_init203447453[[#This Row],[p]]&gt;2,0,T_init203447453[[#This Row],[stack]]-T_init203447453[[#This Row],[anteblinds]])))</calculatedColumnFormula>
    </tableColumn>
    <tableColumn id="3" xr3:uid="{D1CFE28B-E01F-4D85-9A2D-392E32F9F6C1}" name="EQ" totalsRowDxfId="760"/>
    <tableColumn id="4" xr3:uid="{447B788A-2108-476E-A745-7994B3B7A50F}" name="ICM" dataDxfId="759" totalsRowDxfId="758">
      <calculatedColumnFormula>T_p22236257655[[#This Row],[EQ]]*prize</calculatedColumnFormula>
    </tableColumn>
    <tableColumn id="5" xr3:uid="{BFE81F82-25C9-4A33-8786-1444A8935CED}" name="KO" dataDxfId="757" totalsRowDxfId="756">
      <calculatedColumnFormula>IF(T_init203447453[[#This Row],[p]]=2,T_p22236257655[[#This Row],[players]]*T_p22236257655[[#This Row],[stack]]/chips+COUNTIF(T_p22236257655[stack],0),T_p22236257655[[#This Row],[players]]*T_p22236257655[[#This Row],[stack]]/chips)</calculatedColumnFormula>
    </tableColumn>
    <tableColumn id="6" xr3:uid="{99D32108-1A22-45CE-950D-883EA464E1F3}" name="$stack" dataDxfId="755">
      <calculatedColumnFormula>T_p22236257655[[#This Row],[ICM]]+bounty*T_p22236257655[[#This Row],[KO]]</calculatedColumnFormula>
    </tableColumn>
  </tableColumns>
  <tableStyleInfo name="TableStyleLight11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9335749E-E5C0-4884-B920-C7EE5800DF5B}" name="T_p3p12337267756" displayName="T_p3p12337267756" ref="T16:Y22" totalsRowShown="0" tableBorderDxfId="754">
  <autoFilter ref="T16:Y22" xr:uid="{00000000-0009-0000-0100-000024000000}"/>
  <tableColumns count="6">
    <tableColumn id="1" xr3:uid="{7242FB1D-5431-4585-B14E-01948B53EFE2}" name="players" dataDxfId="753">
      <calculatedColumnFormula>COUNTIF(T_p3p12337267756[stack],"&gt;0")</calculatedColumnFormula>
    </tableColumn>
    <tableColumn id="2" xr3:uid="{F0AA2260-9D28-43E6-BD73-E3CF62839F83}" name="stack" dataDxfId="752">
      <calculatedColumnFormula>IF(T_init203447453[[#This Row],[p]]=1,sidepot1+uncalled,IF(T_init203447453[[#This Row],[p]]=3,mainpot,IF(ISBLANK(T_init203447453[[#This Row],[p]]),T_init203447453[[#This Row],[stack]]-T_init203447453[[#This Row],[anteblinds]],0)))</calculatedColumnFormula>
    </tableColumn>
    <tableColumn id="3" xr3:uid="{AD97DFB6-BA5F-41DE-A8A4-4936306C6711}" name="EQ"/>
    <tableColumn id="4" xr3:uid="{71D942ED-04F2-4A87-8C54-1510E80729D3}" name="ICM" dataDxfId="751">
      <calculatedColumnFormula>T_p3p12337267756[[#This Row],[EQ]]*prize</calculatedColumnFormula>
    </tableColumn>
    <tableColumn id="5" xr3:uid="{A130639A-0536-438D-830E-8FBB87A4F5EB}" name="KO" dataDxfId="750">
      <calculatedColumnFormula>IF(T_init203447453[[#This Row],[p]]=1,T_p3p12337267756[[#This Row],[players]]*T_p3p12337267756[[#This Row],[stack]]/chips+COUNTIF(T_p3p12337267756[stack],0),T_p3p12337267756[[#This Row],[players]]*T_p3p12337267756[[#This Row],[stack]]/chips)</calculatedColumnFormula>
    </tableColumn>
    <tableColumn id="6" xr3:uid="{FC738E96-7CFE-489F-A5B5-8711C95FAED6}" name="$stack" dataDxfId="749">
      <calculatedColumnFormula>T_p3p12337267756[[#This Row],[ICM]]+bounty*T_p3p12337267756[[#This Row],[KO]]</calculatedColumnFormula>
    </tableColumn>
  </tableColumns>
  <tableStyleInfo name="TableStyleLight11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B1C7DF6-0ECF-473F-AF6F-CB11E49AD328}" name="T_p3p22438277857" displayName="T_p3p22438277857" ref="AA16:AF22" totalsRowShown="0" tableBorderDxfId="748">
  <autoFilter ref="AA16:AF22" xr:uid="{00000000-0009-0000-0100-000025000000}"/>
  <tableColumns count="6">
    <tableColumn id="1" xr3:uid="{AAA4D541-49C1-4A04-BAF1-7D34D982D1FF}" name="players" dataDxfId="747" totalsRowDxfId="746">
      <calculatedColumnFormula>COUNTIF(T_p3p22438277857[stack],"&gt;0")</calculatedColumnFormula>
    </tableColumn>
    <tableColumn id="2" xr3:uid="{52291611-61F6-4F8E-BF3D-613DEE0E56B6}" name="stack" dataDxfId="745" totalsRowDxfId="744">
      <calculatedColumnFormula>IF(T_init203447453[[#This Row],[p]]=1,uncalled,IF(T_init203447453[[#This Row],[p]]=2,sidepot1,IF(T_init203447453[[#This Row],[p]]=3,mainpot,IF(ISBLANK(T_init203447453[[#This Row],[p]]),T_init203447453[[#This Row],[stack]]-T_init203447453[[#This Row],[anteblinds]],0))))</calculatedColumnFormula>
    </tableColumn>
    <tableColumn id="3" xr3:uid="{78FBB7EB-DEF1-43D8-B897-534B90800241}" name="EQ" totalsRowDxfId="743"/>
    <tableColumn id="4" xr3:uid="{7DD797CE-23DA-4ED0-88BA-88E4F3C2AF65}" name="ICM" dataDxfId="742" totalsRowDxfId="741">
      <calculatedColumnFormula>T_p3p22438277857[[#This Row],[EQ]]*prize</calculatedColumnFormula>
    </tableColumn>
    <tableColumn id="5" xr3:uid="{3D0723C0-F209-4B57-B1E6-51485E8B7D8F}" name="KO" dataDxfId="740" totalsRowDxfId="739">
      <calculatedColumnFormula>IF(T_init203447453[[#This Row],[p]]=2,T_p3p22438277857[[#This Row],[players]]*T_p3p22438277857[[#This Row],[stack]]/chips+COUNTIF(T_p3p22438277857[stack],0),T_p3p22438277857[[#This Row],[players]]*T_p3p22438277857[[#This Row],[stack]]/chips)</calculatedColumnFormula>
    </tableColumn>
    <tableColumn id="6" xr3:uid="{145674A5-6AB3-4057-8111-4E47BD5E1378}" name="$stack" dataDxfId="738">
      <calculatedColumnFormula>T_p3p22438277857[[#This Row],[ICM]]+bounty*T_p3p22438277857[[#This Row],[KO]]</calculatedColumnFormula>
    </tableColumn>
  </tableColumns>
  <tableStyleInfo name="TableStyleLight11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505A9ED2-6E8B-48CF-A744-BA46504548C1}" name="T_fact2939287958" displayName="T_fact2939287958" ref="AI16:AN22" totalsRowShown="0" tableBorderDxfId="737">
  <autoFilter ref="AI16:AN22" xr:uid="{00000000-0009-0000-0100-000026000000}"/>
  <tableColumns count="6">
    <tableColumn id="1" xr3:uid="{95A9EFB9-5085-4896-93D2-2F32C778074A}" name="players">
      <calculatedColumnFormula>COUNTIF(T_fact2939287958[stack],"&gt;0")</calculatedColumnFormula>
    </tableColumn>
    <tableColumn id="2" xr3:uid="{815A5EC4-1AB5-49E8-86DD-A39075263648}" name="stack" dataDxfId="736"/>
    <tableColumn id="3" xr3:uid="{AD218E69-5BCE-456C-B548-695379BAC921}" name="EQ"/>
    <tableColumn id="4" xr3:uid="{91664D92-6DB5-41C2-8809-933CD4373240}" name="ICM" dataDxfId="735">
      <calculatedColumnFormula>T_fact2939287958[[#This Row],[EQ]]*prize</calculatedColumnFormula>
    </tableColumn>
    <tableColumn id="5" xr3:uid="{B420C427-547F-4D63-9E2D-8FB9C3C62AFE}" name="KO" dataDxfId="734">
      <calculatedColumnFormula>IF(T_init203447453[[#This Row],[p]]=1,T_fact2939287958[[#This Row],[players]]*T_fact2939287958[[#This Row],[stack]]/chips+COUNTIF(T_fact2939287958[stack],0),T_fact2939287958[[#This Row],[players]]*T_fact2939287958[[#This Row],[stack]]/chips)</calculatedColumnFormula>
    </tableColumn>
    <tableColumn id="6" xr3:uid="{EC75B7D3-80DA-4408-AF47-BE7513A12988}" name="$stack" dataDxfId="733">
      <calculatedColumnFormula>T_fact2939287958[[#This Row],[ICM]]+bounty*T_fact2939287958[[#This Row],[KO]]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D514379D-3EBA-4D60-B058-B07C35E52F19}" name="T_p3p22438277857647175158194" displayName="T_p3p22438277857647175158194" ref="BJ16:BO22" totalsRowShown="0" tableBorderDxfId="1411">
  <autoFilter ref="BJ16:BO22" xr:uid="{0E6963F0-4D2D-49F5-BA0C-CC131E0278C6}"/>
  <tableColumns count="6">
    <tableColumn id="1" xr3:uid="{D24299D3-8A2A-4F4D-B1E9-C4C290092FC8}" name="players" dataDxfId="1410" totalsRowDxfId="1409">
      <calculatedColumnFormula>COUNTIF(T_p3p22438277857647175158194[stack],"&gt;0")</calculatedColumnFormula>
    </tableColumn>
    <tableColumn id="2" xr3:uid="{80C7CC47-97A0-494F-9B0B-1A6F0AC89B67}" name="stack" dataDxfId="1408" totalsRowDxfId="1407">
      <calculatedColumnFormula>IF(T_init2034474536067150186[[#This Row],[p]]=1,uncalled + ROUND(sidepot1/2,0),IF(T_init2034474536067150186[[#This Row],[p]]=2,ROUND(sidepot1/2,0),IF(T_init2034474536067150186[[#This Row],[p]]=3,mainpot,IF(ISBLANK(T_init2034474536067150186[[#This Row],[p]]),T_init2034474536067150186[[#This Row],[stack]]-T_init2034474536067150186[[#This Row],[anteblinds]],0))))</calculatedColumnFormula>
    </tableColumn>
    <tableColumn id="3" xr3:uid="{DC1F7804-AB83-4095-9446-7ADCA510AAC8}" name="EQ" totalsRowDxfId="1406"/>
    <tableColumn id="4" xr3:uid="{999A7640-A68F-4A0B-A067-27980386AFC8}" name="ICM" dataDxfId="1405" totalsRowDxfId="1404">
      <calculatedColumnFormula>T_p3p22438277857647175158194[[#This Row],[EQ]]*prize</calculatedColumnFormula>
    </tableColumn>
    <tableColumn id="5" xr3:uid="{81CA0443-B0B3-4E8A-889F-DC15037BDFC3}" name="KO" dataDxfId="1403" totalsRowDxfId="1402">
      <calculatedColumnFormula>IF(T_init2034474536067150186[[#This Row],[p]]=2,T_p3p22438277857647175158194[[#This Row],[players]]*T_p3p22438277857647175158194[[#This Row],[stack]]/chips+COUNTIF(T_p3p22438277857647175158194[stack],0),T_p3p22438277857647175158194[[#This Row],[players]]*T_p3p22438277857647175158194[[#This Row],[stack]]/chips)</calculatedColumnFormula>
    </tableColumn>
    <tableColumn id="6" xr3:uid="{6389CD8E-4047-4B83-AC7A-EEF404829B9E}" name="$stack" dataDxfId="1401">
      <calculatedColumnFormula>T_p3p22438277857647175158194[[#This Row],[ICM]]+bounty*T_p3p22438277857647175158194[[#This Row],[KO]]</calculatedColumnFormula>
    </tableColumn>
  </tableColumns>
  <tableStyleInfo name="TableStyleLight11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7E7BE90-FE3D-413C-9787-D89A4599F52C}" name="T_EV3340308059" displayName="T_EV3340308059" ref="AQ16:AX22" totalsRowShown="0" tableBorderDxfId="732">
  <autoFilter ref="AQ16:AX22" xr:uid="{00000000-0009-0000-0100-000027000000}"/>
  <tableColumns count="8">
    <tableColumn id="1" xr3:uid="{2BD05C41-E727-4D56-8DBC-3468E8B15726}" name="ICM" dataDxfId="731">
      <calculatedColumnFormula>'3wKs7h'!p3win* ('3wKs7h'!p1sp1win*T_p3p12337267756[[#This Row],[ICM]] + '3wKs7h'!p2sp1win*T_p3p22438277857[[#This Row],[ICM]])
+'3wKs7h'!p2win*T_p22236257655[[#This Row],[ICM]]
+'3wKs7h'!p1win*T_p12135197554[[#This Row],[ICM]]</calculatedColumnFormula>
    </tableColumn>
    <tableColumn id="2" xr3:uid="{BC322A8B-C5A9-4DDA-A7D3-41BB6D7142E6}" name="KO" dataDxfId="730">
      <calculatedColumnFormula>('3wKs7h'!p3win* ('3wKs7h'!p1sp1win*T_p3p12337267756[[#This Row],[KO]] + '3wKs7h'!p2sp1win*T_p3p22438277857[[#This Row],[KO]])
+'3wKs7h'!p2win*T_p22236257655[[#This Row],[KO]]
+'3wKs7h'!p1win*T_p12135197554[[#This Row],[KO]])*bounty</calculatedColumnFormula>
    </tableColumn>
    <tableColumn id="3" xr3:uid="{E2D6C58E-D045-4A76-AA26-72460929B1EF}" name="EV" dataDxfId="729">
      <calculatedColumnFormula>'3wKs7h'!p3win* ('3wKs7h'!p1sp1win*T_p3p12337267756[[#This Row],[$stack]] + '3wKs7h'!p2sp1win*T_p3p22438277857[[#This Row],[$stack]])
+'3wKs7h'!p2win*T_p22236257655[[#This Row],[$stack]]
+'3wKs7h'!p1win*T_p12135197554[[#This Row],[$stack]]</calculatedColumnFormula>
    </tableColumn>
    <tableColumn id="4" xr3:uid="{2835BB02-5EBB-44FC-B877-8E176B60BD63}" name="chipEV" dataDxfId="728">
      <calculatedColumnFormula>'3wKs7h'!p3win* ('3wKs7h'!p1sp1win*T_p3p12337267756[[#This Row],[stack]] + '3wKs7h'!p2sp1win*T_p3p22438277857[[#This Row],[stack]])
+'3wKs7h'!p2win*T_p22236257655[[#This Row],[stack]]
+'3wKs7h'!p1win*T_p12135197554[[#This Row],[stack]]</calculatedColumnFormula>
    </tableColumn>
    <tableColumn id="8" xr3:uid="{F92F79B0-639E-4EAB-B379-966D02CC858B}" name="netwon" dataDxfId="727">
      <calculatedColumnFormula>T_fact2939287958[[#This Row],[stack]]- T_init203447453[[#This Row],[stack]]</calculatedColumnFormula>
    </tableColumn>
    <tableColumn id="7" xr3:uid="{D1DD7F04-C06C-4A33-9671-9FFAA4998421}" name="netwon_adj" dataDxfId="726">
      <calculatedColumnFormula>T_EV3340308059[[#This Row],[netwon]]+T_EV3340308059[[#This Row],[cEVdiff]]</calculatedColumnFormula>
    </tableColumn>
    <tableColumn id="5" xr3:uid="{E4817372-458F-411D-AC6E-7936D5ABED6E}" name="cEVdiff" dataDxfId="725">
      <calculatedColumnFormula>T_EV3340308059[[#This Row],[chipEV]]-T_fact2939287958[[#This Row],[stack]]</calculatedColumnFormula>
    </tableColumn>
    <tableColumn id="6" xr3:uid="{79AB0FF3-A70D-4A0E-AAB3-E1720996B8BB}" name="Evdiff" dataDxfId="724">
      <calculatedColumnFormula>T_EV3340308059[[#This Row],[EV]]-(T_fact2939287958[[#This Row],[ICM]])</calculatedColumnFormula>
    </tableColumn>
  </tableColumns>
  <tableStyleInfo name="TableStyleLight11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DF9EAB-A6B1-49DC-9ADA-AB0B7649FC99}" name="T_init203447431" displayName="T_init203447431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F2375424-C660-417E-8CDE-B4A95D9BDDFA}" name="p" totalsRowLabel="Total"/>
    <tableColumn id="2" xr3:uid="{AC6981AD-E3B8-4373-9295-25B6CB4BA14C}" name="stack"/>
    <tableColumn id="3" xr3:uid="{7831A312-BBEF-4212-9DBE-0ABD4093E9AE}" name="hand"/>
    <tableColumn id="4" xr3:uid="{C93A4CCE-7FBA-4A8B-9B5A-5A65DECB2E6D}" name="anteblinds" totalsRowFunction="sum"/>
  </tableColumns>
  <tableStyleInfo name="TableStyleLight11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98F721C-B137-4E64-A3F6-D982B8EC780B}" name="T_p12135197532" displayName="T_p12135197532" ref="F16:K22" totalsRowShown="0" tableBorderDxfId="723">
  <autoFilter ref="F16:K22" xr:uid="{00000000-0009-0000-0100-000022000000}"/>
  <tableColumns count="6">
    <tableColumn id="1" xr3:uid="{55DD7658-3567-4736-A20D-F77011F28825}" name="players" dataDxfId="722">
      <calculatedColumnFormula>COUNTIF(T_p12135197532[stack],"&gt;0")</calculatedColumnFormula>
    </tableColumn>
    <tableColumn id="2" xr3:uid="{5456D6BD-1F72-4C01-A3A9-BDBD4A06C31B}" name="stack" dataDxfId="721">
      <calculatedColumnFormula>IF(T_init203447431[[#This Row],[p]]=1,mainpot+sidepot1+sidepot2+uncalled,IF(T_init203447431[[#This Row],[p]]&gt;1,0,T_init203447431[[#This Row],[stack]]-T_init203447431[[#This Row],[anteblinds]]))</calculatedColumnFormula>
    </tableColumn>
    <tableColumn id="3" xr3:uid="{631FC48C-1563-452E-9050-74A6536CD47A}" name="EQ"/>
    <tableColumn id="4" xr3:uid="{CCD62984-00D9-41C1-8486-4DCEFE6F5D21}" name="ICM" dataDxfId="720">
      <calculatedColumnFormula>T_p12135197532[[#This Row],[EQ]]*prize</calculatedColumnFormula>
    </tableColumn>
    <tableColumn id="5" xr3:uid="{D5A8ED45-FF78-4DC4-8A9D-79C48C1CB26C}" name="KO" dataDxfId="719">
      <calculatedColumnFormula>IF(T_init203447431[[#This Row],[p]]=1,T_p12135197532[[#This Row],[players]]*T_p12135197532[[#This Row],[stack]]/chips+COUNTIF(T_p12135197532[stack],0),T_p12135197532[[#This Row],[players]]*T_p12135197532[[#This Row],[stack]]/chips)</calculatedColumnFormula>
    </tableColumn>
    <tableColumn id="6" xr3:uid="{A3264DFA-1455-4B5A-B281-EEB6FC0F36D0}" name="$stack" dataDxfId="718">
      <calculatedColumnFormula>T_p12135197532[[#This Row],[ICM]]+bounty*T_p12135197532[[#This Row],[KO]]</calculatedColumnFormula>
    </tableColumn>
  </tableColumns>
  <tableStyleInfo name="TableStyleLight11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B6E4E13-9667-47C6-AE57-1C5497D76A86}" name="T_p22236257648" displayName="T_p22236257648" ref="M16:R22" totalsRowShown="0" tableBorderDxfId="717">
  <autoFilter ref="M16:R22" xr:uid="{00000000-0009-0000-0100-000023000000}"/>
  <tableColumns count="6">
    <tableColumn id="1" xr3:uid="{B920E759-2D3D-444C-AD55-FDF1AAFA657A}" name="players" dataDxfId="716" totalsRowDxfId="715">
      <calculatedColumnFormula>COUNTIF(T_p22236257648[stack],"&gt;0")</calculatedColumnFormula>
    </tableColumn>
    <tableColumn id="2" xr3:uid="{E3BE65BC-5EA4-4A1B-AB5E-BE7E4E78729E}" name="stack" dataDxfId="714" totalsRowDxfId="713">
      <calculatedColumnFormula>IF(T_init203447431[[#This Row],[p]]=1,uncalled,IF(T_init203447431[[#This Row],[p]]=2,mainpot+sidepot1+sidepot2,IF(T_init203447431[[#This Row],[p]]&gt;2,0,T_init203447431[[#This Row],[stack]]-T_init203447431[[#This Row],[anteblinds]])))</calculatedColumnFormula>
    </tableColumn>
    <tableColumn id="3" xr3:uid="{5EAFA179-20C0-412E-A81F-FCA5DB1D8E24}" name="EQ" totalsRowDxfId="712"/>
    <tableColumn id="4" xr3:uid="{56C1CEE0-0E4D-41C7-AB76-7857E5B2385D}" name="ICM" dataDxfId="711" totalsRowDxfId="710">
      <calculatedColumnFormula>T_p22236257648[[#This Row],[EQ]]*prize</calculatedColumnFormula>
    </tableColumn>
    <tableColumn id="5" xr3:uid="{945275CF-2BC0-453E-B9C7-40DAA3E5259A}" name="KO" dataDxfId="709" totalsRowDxfId="708">
      <calculatedColumnFormula>IF(T_init203447431[[#This Row],[p]]=2,T_p22236257648[[#This Row],[players]]*T_p22236257648[[#This Row],[stack]]/chips+COUNTIF(T_p22236257648[stack],0),T_p22236257648[[#This Row],[players]]*T_p22236257648[[#This Row],[stack]]/chips)</calculatedColumnFormula>
    </tableColumn>
    <tableColumn id="6" xr3:uid="{EC88C365-ADFD-4528-B137-298C88A52D2A}" name="$stack" dataDxfId="707">
      <calculatedColumnFormula>T_p22236257648[[#This Row],[ICM]]+bounty*T_p22236257648[[#This Row],[KO]]</calculatedColumnFormula>
    </tableColumn>
  </tableColumns>
  <tableStyleInfo name="TableStyleLight11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33635AA-80EB-489C-A9E1-06DE50A4553C}" name="T_p3p12337267749" displayName="T_p3p12337267749" ref="T16:Y22" totalsRowShown="0" tableBorderDxfId="706">
  <autoFilter ref="T16:Y22" xr:uid="{00000000-0009-0000-0100-000024000000}"/>
  <tableColumns count="6">
    <tableColumn id="1" xr3:uid="{AD663E80-D2A0-45DC-A043-7565B50B280F}" name="players" dataDxfId="705">
      <calculatedColumnFormula>COUNTIF(T_p3p12337267749[stack],"&gt;0")</calculatedColumnFormula>
    </tableColumn>
    <tableColumn id="2" xr3:uid="{1B76050D-846D-403A-B03D-9E86CF74CA1F}" name="stack" dataDxfId="704">
      <calculatedColumnFormula>IF(T_init203447431[[#This Row],[p]]=1,sidepot1+uncalled,IF(T_init203447431[[#This Row],[p]]=3,mainpot,IF(ISBLANK(T_init203447431[[#This Row],[p]]),T_init203447431[[#This Row],[stack]]-T_init203447431[[#This Row],[anteblinds]],0)))</calculatedColumnFormula>
    </tableColumn>
    <tableColumn id="3" xr3:uid="{97F4BE79-A2C0-42BD-A295-5821439B3E5F}" name="EQ"/>
    <tableColumn id="4" xr3:uid="{F565A270-522B-4F65-9CCD-985E1A7C6D05}" name="ICM" dataDxfId="703">
      <calculatedColumnFormula>T_p3p12337267749[[#This Row],[EQ]]*prize</calculatedColumnFormula>
    </tableColumn>
    <tableColumn id="5" xr3:uid="{52FCE0E0-3A6E-45BD-BA25-DC21AE4F7F08}" name="KO" dataDxfId="702">
      <calculatedColumnFormula>IF(T_init203447431[[#This Row],[p]]=1,T_p3p12337267749[[#This Row],[players]]*T_p3p12337267749[[#This Row],[stack]]/chips+COUNTIF(T_p3p12337267749[stack],0),T_p3p12337267749[[#This Row],[players]]*T_p3p12337267749[[#This Row],[stack]]/chips)</calculatedColumnFormula>
    </tableColumn>
    <tableColumn id="6" xr3:uid="{D670B116-BBE8-42D3-9249-B186727837FD}" name="$stack" dataDxfId="701">
      <calculatedColumnFormula>T_p3p12337267749[[#This Row],[ICM]]+bounty*T_p3p12337267749[[#This Row],[KO]]</calculatedColumnFormula>
    </tableColumn>
  </tableColumns>
  <tableStyleInfo name="TableStyleLight1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E2093B6-1893-434C-BC5C-6E7D4C507238}" name="T_p3p22438277850" displayName="T_p3p22438277850" ref="AA16:AF22" totalsRowShown="0" tableBorderDxfId="700">
  <autoFilter ref="AA16:AF22" xr:uid="{00000000-0009-0000-0100-000025000000}"/>
  <tableColumns count="6">
    <tableColumn id="1" xr3:uid="{FE60355D-1052-4BBA-B026-62AF2855B34F}" name="players" dataDxfId="699" totalsRowDxfId="698">
      <calculatedColumnFormula>COUNTIF(T_p3p22438277850[stack],"&gt;0")</calculatedColumnFormula>
    </tableColumn>
    <tableColumn id="2" xr3:uid="{870BEA17-8376-401B-90CD-2DA5A9519A03}" name="stack" dataDxfId="697" totalsRowDxfId="696">
      <calculatedColumnFormula>IF(T_init203447431[[#This Row],[p]]=1,uncalled,IF(T_init203447431[[#This Row],[p]]=2,sidepot1,IF(T_init203447431[[#This Row],[p]]=3,mainpot,IF(ISBLANK(T_init203447431[[#This Row],[p]]),T_init203447431[[#This Row],[stack]]-T_init203447431[[#This Row],[anteblinds]],0))))</calculatedColumnFormula>
    </tableColumn>
    <tableColumn id="3" xr3:uid="{42484CF2-2104-4678-A39F-A01FCDA7DE8E}" name="EQ" totalsRowDxfId="695"/>
    <tableColumn id="4" xr3:uid="{5C552217-7E62-422D-AA3F-76A378487B5A}" name="ICM" dataDxfId="694" totalsRowDxfId="693">
      <calculatedColumnFormula>T_p3p22438277850[[#This Row],[EQ]]*prize</calculatedColumnFormula>
    </tableColumn>
    <tableColumn id="5" xr3:uid="{5F1A944B-DEFE-45F0-AE25-86E52BF0BC02}" name="KO" dataDxfId="692" totalsRowDxfId="691">
      <calculatedColumnFormula>IF(T_init203447431[[#This Row],[p]]=2,T_p3p22438277850[[#This Row],[players]]*T_p3p22438277850[[#This Row],[stack]]/chips+COUNTIF(T_p3p22438277850[stack],0),T_p3p22438277850[[#This Row],[players]]*T_p3p22438277850[[#This Row],[stack]]/chips)</calculatedColumnFormula>
    </tableColumn>
    <tableColumn id="6" xr3:uid="{51C7D1FA-3255-475C-A121-3659CA4F3E69}" name="$stack" dataDxfId="690">
      <calculatedColumnFormula>T_p3p22438277850[[#This Row],[ICM]]+bounty*T_p3p22438277850[[#This Row],[KO]]</calculatedColumnFormula>
    </tableColumn>
  </tableColumns>
  <tableStyleInfo name="TableStyleLight11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BE6B33D4-07B2-4F2D-B5EE-E9FB143BCCF9}" name="T_fact2939287951" displayName="T_fact2939287951" ref="AI16:AN22" totalsRowShown="0" tableBorderDxfId="689">
  <autoFilter ref="AI16:AN22" xr:uid="{00000000-0009-0000-0100-000026000000}"/>
  <tableColumns count="6">
    <tableColumn id="1" xr3:uid="{DD99891B-6B26-4E7E-8C9A-A75B79F3251C}" name="players">
      <calculatedColumnFormula>COUNTIF(T_fact2939287951[stack],"&gt;0")</calculatedColumnFormula>
    </tableColumn>
    <tableColumn id="2" xr3:uid="{6114816E-5198-4E28-81D7-895D6924513B}" name="stack" dataDxfId="688"/>
    <tableColumn id="3" xr3:uid="{A1AE4299-13D1-4A7F-A11E-DFFB33598B24}" name="EQ"/>
    <tableColumn id="4" xr3:uid="{711A6CF3-BD09-44AE-8131-147CD86A08AE}" name="ICM" dataDxfId="687">
      <calculatedColumnFormula>T_fact2939287951[[#This Row],[EQ]]*prize</calculatedColumnFormula>
    </tableColumn>
    <tableColumn id="5" xr3:uid="{827ACF80-D459-4E66-9814-0DFBC6B6D838}" name="KO" dataDxfId="686">
      <calculatedColumnFormula>IF(T_init203447431[[#This Row],[p]]=1,T_fact2939287951[[#This Row],[players]]*T_fact2939287951[[#This Row],[stack]]/chips+COUNTIF(T_fact2939287951[stack],0),T_fact2939287951[[#This Row],[players]]*T_fact2939287951[[#This Row],[stack]]/chips)</calculatedColumnFormula>
    </tableColumn>
    <tableColumn id="6" xr3:uid="{1D2AC9AD-CA5A-4333-86AA-E2E026ED3A4E}" name="$stack" dataDxfId="685">
      <calculatedColumnFormula>T_fact2939287951[[#This Row],[ICM]]+bounty*T_fact2939287951[[#This Row],[KO]]</calculatedColumnFormula>
    </tableColumn>
  </tableColumns>
  <tableStyleInfo name="TableStyleLight11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E457BCB7-74A5-49D5-968F-7575ED5A7563}" name="T_EV3340308052" displayName="T_EV3340308052" ref="AQ16:AV22" totalsRowShown="0" tableBorderDxfId="684">
  <autoFilter ref="AQ16:AV22" xr:uid="{00000000-0009-0000-0100-000027000000}"/>
  <tableColumns count="6">
    <tableColumn id="1" xr3:uid="{4AA02C37-F598-426D-808C-4985A27D072F}" name="ICM" dataDxfId="683">
      <calculatedColumnFormula>'3wAsQc'!p3win* ('3wAsQc'!p1sp1win*T_p3p12337267749[[#This Row],[ICM]] + '3wAsQc'!p2sp1win*T_p3p22438277850[[#This Row],[ICM]])
+'3wAsQc'!p2win*T_p22236257648[[#This Row],[ICM]]
+'3wAsQc'!p1win*T_p12135197532[[#This Row],[ICM]]</calculatedColumnFormula>
    </tableColumn>
    <tableColumn id="2" xr3:uid="{F8435C6F-FD8A-480E-BA1C-2CA4E567C900}" name="KO" dataDxfId="682">
      <calculatedColumnFormula>('3wAsQc'!p3win* ('3wAsQc'!p1sp1win*T_p3p12337267749[[#This Row],[KO]] + '3wAsQc'!p2sp1win*T_p3p22438277850[[#This Row],[KO]])
+'3wAsQc'!p2win*T_p22236257648[[#This Row],[KO]]
+'3wAsQc'!p1win*T_p12135197532[[#This Row],[KO]])*bounty</calculatedColumnFormula>
    </tableColumn>
    <tableColumn id="3" xr3:uid="{FCC1E861-D971-4E7D-81E2-B51E71079468}" name="EV" dataDxfId="681">
      <calculatedColumnFormula>'3wAsQc'!p3win* ('3wAsQc'!p1sp1win*T_p3p12337267749[[#This Row],[$stack]] + '3wAsQc'!p2sp1win*T_p3p22438277850[[#This Row],[$stack]])
+'3wAsQc'!p2win*T_p22236257648[[#This Row],[$stack]]
+'3wAsQc'!p1win*T_p12135197532[[#This Row],[$stack]]</calculatedColumnFormula>
    </tableColumn>
    <tableColumn id="4" xr3:uid="{65EFA3B5-5E06-4587-A625-F611F7FFE7DB}" name="chipEV" dataDxfId="680">
      <calculatedColumnFormula>'3wAsQc'!p3win* ('3wAsQc'!p1sp1win*T_p3p12337267749[[#This Row],[stack]] + '3wAsQc'!p2sp1win*T_p3p22438277850[[#This Row],[stack]])
+'3wAsQc'!p2win*T_p22236257648[[#This Row],[stack]]
+'3wAsQc'!p1win*T_p12135197532[[#This Row],[stack]]</calculatedColumnFormula>
    </tableColumn>
    <tableColumn id="5" xr3:uid="{E4FAB9E2-AB1E-4F73-B263-44680FD9CECE}" name="cEVdiff" dataDxfId="679">
      <calculatedColumnFormula>T_EV3340308052[[#This Row],[chipEV]]-T_fact2939287951[[#This Row],[stack]]</calculatedColumnFormula>
    </tableColumn>
    <tableColumn id="6" xr3:uid="{1AAE6446-8782-4F61-9A8D-E6D7003BCF47}" name="Evdiff" dataDxfId="678">
      <calculatedColumnFormula>T_EV3340308052[[#This Row],[EV]]-(T_fact2939287951[[#This Row],[ICM]])</calculatedColumnFormula>
    </tableColumn>
  </tableColumns>
  <tableStyleInfo name="TableStyleLight11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19833-29DC-49CD-94CC-2A0E47CFCCA3}" name="T_init20344" displayName="T_init20344" ref="A16:D23" totalsRowCount="1">
  <autoFilter ref="A16:D22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A7F9D984-FE4F-441A-A9B5-A17826A8F976}" name="p" totalsRowLabel="Total"/>
    <tableColumn id="2" xr3:uid="{8A4D07BE-0915-452D-AFB6-F83796E9A18A}" name="stack"/>
    <tableColumn id="3" xr3:uid="{3E26AC01-94C3-492A-B313-AB798E3F4667}" name="hand"/>
    <tableColumn id="4" xr3:uid="{238F2B1C-5CC5-4195-BB44-63B9A85BADED}" name="anteblinds" totalsRowFunction="sum"/>
  </tableColumns>
  <tableStyleInfo name="TableStyleLight11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B9566E-A9E2-4FF4-B584-34D0E36E5582}" name="T_p1213519" displayName="T_p1213519" ref="F16:K22" totalsRowShown="0" tableBorderDxfId="677">
  <autoFilter ref="F16:K22" xr:uid="{00000000-0009-0000-0100-000022000000}"/>
  <tableColumns count="6">
    <tableColumn id="1" xr3:uid="{1595FEB4-DB0C-4D8E-BEFB-63517CD3084A}" name="players" dataDxfId="676">
      <calculatedColumnFormula>COUNTIF(T_p1213519[stack],"&gt;0")</calculatedColumnFormula>
    </tableColumn>
    <tableColumn id="2" xr3:uid="{199A23D2-DCBD-4D42-9D81-D57F40C7B543}" name="stack" dataDxfId="675">
      <calculatedColumnFormula>IF(T_init20344[[#This Row],[p]]=1,mainpot+sidepot1+sidepot2+uncalled,IF(T_init20344[[#This Row],[p]]&gt;1,0,T_init20344[[#This Row],[stack]]-T_init20344[[#This Row],[anteblinds]]))</calculatedColumnFormula>
    </tableColumn>
    <tableColumn id="3" xr3:uid="{3A547EEF-01FA-484D-93F7-F2093B5E9C6C}" name="EQ"/>
    <tableColumn id="4" xr3:uid="{4B0E555E-B14F-42B6-8568-7D41009862C6}" name="ICM" dataDxfId="674">
      <calculatedColumnFormula>T_p1213519[[#This Row],[EQ]]*prize</calculatedColumnFormula>
    </tableColumn>
    <tableColumn id="5" xr3:uid="{A3B83548-4E2F-4CB9-A09F-0A3DCEB6A118}" name="KO" dataDxfId="673">
      <calculatedColumnFormula>IF(T_init20344[[#This Row],[p]]=1,T_p1213519[[#This Row],[players]]*T_p1213519[[#This Row],[stack]]/chips+COUNTIF(T_p1213519[stack],0),T_p1213519[[#This Row],[players]]*T_p1213519[[#This Row],[stack]]/chips)</calculatedColumnFormula>
    </tableColumn>
    <tableColumn id="6" xr3:uid="{EE485C58-26F2-4D70-90FF-F8B5DAAF4587}" name="$stack" dataDxfId="672">
      <calculatedColumnFormula>T_p1213519[[#This Row],[ICM]]+bounty*T_p1213519[[#This Row],[KO]]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Q16" dT="2021-02-04T09:46:00.81" personId="{0C5F49D5-88B0-41CC-A937-EEEF53E42B8D}" id="{7B760882-EE0A-4E7E-B3E6-DCD9C1EC36C3}">
    <text>Заполнить вручную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R16" dT="2021-02-04T09:46:00.81" personId="{0C5F49D5-88B0-41CC-A937-EEEF53E42B8D}" id="{EEC7C014-E589-454E-9B5B-EBBE591B6AF8}">
    <text>Заполнить вручную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Q16" dT="2021-02-04T09:46:00.81" personId="{0C5F49D5-88B0-41CC-A937-EEEF53E42B8D}" id="{60F5E0A2-A95B-41AD-8558-3CEAD428AF7B}">
    <text>Заполнить вручную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Q18" dT="2021-02-04T09:46:00.81" personId="{0C5F49D5-88B0-41CC-A937-EEEF53E42B8D}" id="{2370B6AB-DEFF-45F1-AB77-FD6B76C0D1DE}">
    <text>Заполнить вручную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V16" dT="2021-02-04T09:46:00.81" personId="{0C5F49D5-88B0-41CC-A937-EEEF53E42B8D}" id="{234B77C9-DCE9-4FCF-8A47-F674DEA31893}">
    <text>Заполнить вручную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V16" dT="2021-02-04T09:46:00.81" personId="{0C5F49D5-88B0-41CC-A937-EEEF53E42B8D}" id="{AFDFB16B-9979-40C4-88F8-63E81099241F}">
    <text>Заполнить вручную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6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comments" Target="../comments1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9.xml"/><Relationship Id="rId3" Type="http://schemas.openxmlformats.org/officeDocument/2006/relationships/table" Target="../tables/table84.xml"/><Relationship Id="rId7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87.xml"/><Relationship Id="rId5" Type="http://schemas.openxmlformats.org/officeDocument/2006/relationships/table" Target="../tables/table86.xml"/><Relationship Id="rId10" Type="http://schemas.openxmlformats.org/officeDocument/2006/relationships/comments" Target="../comments10.xml"/><Relationship Id="rId4" Type="http://schemas.openxmlformats.org/officeDocument/2006/relationships/table" Target="../tables/table85.xml"/><Relationship Id="rId9" Type="http://schemas.openxmlformats.org/officeDocument/2006/relationships/table" Target="../tables/table9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6.xml"/><Relationship Id="rId3" Type="http://schemas.openxmlformats.org/officeDocument/2006/relationships/table" Target="../tables/table91.xml"/><Relationship Id="rId7" Type="http://schemas.openxmlformats.org/officeDocument/2006/relationships/table" Target="../tables/table95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94.xml"/><Relationship Id="rId5" Type="http://schemas.openxmlformats.org/officeDocument/2006/relationships/table" Target="../tables/table93.xml"/><Relationship Id="rId10" Type="http://schemas.openxmlformats.org/officeDocument/2006/relationships/comments" Target="../comments11.xml"/><Relationship Id="rId4" Type="http://schemas.openxmlformats.org/officeDocument/2006/relationships/table" Target="../tables/table92.xml"/><Relationship Id="rId9" Type="http://schemas.openxmlformats.org/officeDocument/2006/relationships/table" Target="../tables/table9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3.xml"/><Relationship Id="rId3" Type="http://schemas.openxmlformats.org/officeDocument/2006/relationships/table" Target="../tables/table98.xml"/><Relationship Id="rId7" Type="http://schemas.openxmlformats.org/officeDocument/2006/relationships/table" Target="../tables/table10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101.xml"/><Relationship Id="rId5" Type="http://schemas.openxmlformats.org/officeDocument/2006/relationships/table" Target="../tables/table100.xml"/><Relationship Id="rId10" Type="http://schemas.openxmlformats.org/officeDocument/2006/relationships/comments" Target="../comments12.xml"/><Relationship Id="rId4" Type="http://schemas.openxmlformats.org/officeDocument/2006/relationships/table" Target="../tables/table99.xml"/><Relationship Id="rId9" Type="http://schemas.openxmlformats.org/officeDocument/2006/relationships/table" Target="../tables/table10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0.xml"/><Relationship Id="rId3" Type="http://schemas.openxmlformats.org/officeDocument/2006/relationships/table" Target="../tables/table105.xml"/><Relationship Id="rId7" Type="http://schemas.openxmlformats.org/officeDocument/2006/relationships/table" Target="../tables/table109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108.xml"/><Relationship Id="rId5" Type="http://schemas.openxmlformats.org/officeDocument/2006/relationships/table" Target="../tables/table107.xml"/><Relationship Id="rId10" Type="http://schemas.openxmlformats.org/officeDocument/2006/relationships/comments" Target="../comments13.xml"/><Relationship Id="rId4" Type="http://schemas.openxmlformats.org/officeDocument/2006/relationships/table" Target="../tables/table106.xml"/><Relationship Id="rId9" Type="http://schemas.openxmlformats.org/officeDocument/2006/relationships/table" Target="../tables/table1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7.xml"/><Relationship Id="rId3" Type="http://schemas.openxmlformats.org/officeDocument/2006/relationships/table" Target="../tables/table112.xml"/><Relationship Id="rId7" Type="http://schemas.openxmlformats.org/officeDocument/2006/relationships/table" Target="../tables/table116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115.xml"/><Relationship Id="rId5" Type="http://schemas.openxmlformats.org/officeDocument/2006/relationships/table" Target="../tables/table114.xml"/><Relationship Id="rId10" Type="http://schemas.openxmlformats.org/officeDocument/2006/relationships/comments" Target="../comments14.xml"/><Relationship Id="rId4" Type="http://schemas.openxmlformats.org/officeDocument/2006/relationships/table" Target="../tables/table113.xml"/><Relationship Id="rId9" Type="http://schemas.openxmlformats.org/officeDocument/2006/relationships/table" Target="../tables/table11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4.xml"/><Relationship Id="rId3" Type="http://schemas.openxmlformats.org/officeDocument/2006/relationships/table" Target="../tables/table119.xml"/><Relationship Id="rId7" Type="http://schemas.openxmlformats.org/officeDocument/2006/relationships/table" Target="../tables/table12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122.xml"/><Relationship Id="rId5" Type="http://schemas.openxmlformats.org/officeDocument/2006/relationships/table" Target="../tables/table121.xml"/><Relationship Id="rId10" Type="http://schemas.openxmlformats.org/officeDocument/2006/relationships/comments" Target="../comments15.xml"/><Relationship Id="rId4" Type="http://schemas.openxmlformats.org/officeDocument/2006/relationships/table" Target="../tables/table120.xml"/><Relationship Id="rId9" Type="http://schemas.openxmlformats.org/officeDocument/2006/relationships/table" Target="../tables/table12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1.xml"/><Relationship Id="rId3" Type="http://schemas.openxmlformats.org/officeDocument/2006/relationships/table" Target="../tables/table126.xml"/><Relationship Id="rId7" Type="http://schemas.openxmlformats.org/officeDocument/2006/relationships/table" Target="../tables/table130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129.xml"/><Relationship Id="rId5" Type="http://schemas.openxmlformats.org/officeDocument/2006/relationships/table" Target="../tables/table128.xml"/><Relationship Id="rId10" Type="http://schemas.openxmlformats.org/officeDocument/2006/relationships/comments" Target="../comments16.xml"/><Relationship Id="rId4" Type="http://schemas.openxmlformats.org/officeDocument/2006/relationships/table" Target="../tables/table127.xml"/><Relationship Id="rId9" Type="http://schemas.openxmlformats.org/officeDocument/2006/relationships/table" Target="../tables/table132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8.xml"/><Relationship Id="rId3" Type="http://schemas.openxmlformats.org/officeDocument/2006/relationships/table" Target="../tables/table133.xml"/><Relationship Id="rId7" Type="http://schemas.openxmlformats.org/officeDocument/2006/relationships/table" Target="../tables/table13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136.xml"/><Relationship Id="rId5" Type="http://schemas.openxmlformats.org/officeDocument/2006/relationships/table" Target="../tables/table135.xml"/><Relationship Id="rId10" Type="http://schemas.openxmlformats.org/officeDocument/2006/relationships/comments" Target="../comments17.xml"/><Relationship Id="rId4" Type="http://schemas.openxmlformats.org/officeDocument/2006/relationships/table" Target="../tables/table134.xml"/><Relationship Id="rId9" Type="http://schemas.openxmlformats.org/officeDocument/2006/relationships/table" Target="../tables/table139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5.xml"/><Relationship Id="rId3" Type="http://schemas.openxmlformats.org/officeDocument/2006/relationships/table" Target="../tables/table140.xml"/><Relationship Id="rId7" Type="http://schemas.openxmlformats.org/officeDocument/2006/relationships/table" Target="../tables/table144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143.xml"/><Relationship Id="rId5" Type="http://schemas.openxmlformats.org/officeDocument/2006/relationships/table" Target="../tables/table142.xml"/><Relationship Id="rId10" Type="http://schemas.openxmlformats.org/officeDocument/2006/relationships/comments" Target="../comments18.xml"/><Relationship Id="rId4" Type="http://schemas.openxmlformats.org/officeDocument/2006/relationships/table" Target="../tables/table141.xml"/><Relationship Id="rId9" Type="http://schemas.openxmlformats.org/officeDocument/2006/relationships/table" Target="../tables/table14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vmlDrawing" Target="../drawings/vmlDrawing2.vml"/><Relationship Id="rId16" Type="http://schemas.microsoft.com/office/2017/10/relationships/threadedComment" Target="../threadedComments/threadedComment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comments" Target="../comments2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2.xml"/><Relationship Id="rId3" Type="http://schemas.openxmlformats.org/officeDocument/2006/relationships/table" Target="../tables/table147.xml"/><Relationship Id="rId7" Type="http://schemas.openxmlformats.org/officeDocument/2006/relationships/table" Target="../tables/table151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150.xml"/><Relationship Id="rId5" Type="http://schemas.openxmlformats.org/officeDocument/2006/relationships/table" Target="../tables/table149.xml"/><Relationship Id="rId10" Type="http://schemas.openxmlformats.org/officeDocument/2006/relationships/comments" Target="../comments19.xml"/><Relationship Id="rId4" Type="http://schemas.openxmlformats.org/officeDocument/2006/relationships/table" Target="../tables/table148.xml"/><Relationship Id="rId9" Type="http://schemas.openxmlformats.org/officeDocument/2006/relationships/table" Target="../tables/table153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9.xml"/><Relationship Id="rId3" Type="http://schemas.openxmlformats.org/officeDocument/2006/relationships/table" Target="../tables/table154.xml"/><Relationship Id="rId7" Type="http://schemas.openxmlformats.org/officeDocument/2006/relationships/table" Target="../tables/table158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157.xml"/><Relationship Id="rId5" Type="http://schemas.openxmlformats.org/officeDocument/2006/relationships/table" Target="../tables/table156.xml"/><Relationship Id="rId10" Type="http://schemas.openxmlformats.org/officeDocument/2006/relationships/comments" Target="../comments20.xml"/><Relationship Id="rId4" Type="http://schemas.openxmlformats.org/officeDocument/2006/relationships/table" Target="../tables/table155.xml"/><Relationship Id="rId9" Type="http://schemas.openxmlformats.org/officeDocument/2006/relationships/table" Target="../tables/table160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6.xml"/><Relationship Id="rId3" Type="http://schemas.openxmlformats.org/officeDocument/2006/relationships/table" Target="../tables/table161.xml"/><Relationship Id="rId7" Type="http://schemas.openxmlformats.org/officeDocument/2006/relationships/table" Target="../tables/table165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2.bin"/><Relationship Id="rId6" Type="http://schemas.openxmlformats.org/officeDocument/2006/relationships/table" Target="../tables/table164.xml"/><Relationship Id="rId5" Type="http://schemas.openxmlformats.org/officeDocument/2006/relationships/table" Target="../tables/table163.xml"/><Relationship Id="rId10" Type="http://schemas.openxmlformats.org/officeDocument/2006/relationships/comments" Target="../comments21.xml"/><Relationship Id="rId4" Type="http://schemas.openxmlformats.org/officeDocument/2006/relationships/table" Target="../tables/table162.xml"/><Relationship Id="rId9" Type="http://schemas.openxmlformats.org/officeDocument/2006/relationships/table" Target="../tables/table167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3.xml"/><Relationship Id="rId3" Type="http://schemas.openxmlformats.org/officeDocument/2006/relationships/table" Target="../tables/table168.xml"/><Relationship Id="rId7" Type="http://schemas.openxmlformats.org/officeDocument/2006/relationships/table" Target="../tables/table17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3.bin"/><Relationship Id="rId6" Type="http://schemas.openxmlformats.org/officeDocument/2006/relationships/table" Target="../tables/table171.xml"/><Relationship Id="rId5" Type="http://schemas.openxmlformats.org/officeDocument/2006/relationships/table" Target="../tables/table170.xml"/><Relationship Id="rId10" Type="http://schemas.openxmlformats.org/officeDocument/2006/relationships/comments" Target="../comments22.xml"/><Relationship Id="rId4" Type="http://schemas.openxmlformats.org/officeDocument/2006/relationships/table" Target="../tables/table169.xml"/><Relationship Id="rId9" Type="http://schemas.openxmlformats.org/officeDocument/2006/relationships/table" Target="../tables/table174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0.xml"/><Relationship Id="rId3" Type="http://schemas.openxmlformats.org/officeDocument/2006/relationships/table" Target="../tables/table175.xml"/><Relationship Id="rId7" Type="http://schemas.openxmlformats.org/officeDocument/2006/relationships/table" Target="../tables/table179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4.bin"/><Relationship Id="rId6" Type="http://schemas.openxmlformats.org/officeDocument/2006/relationships/table" Target="../tables/table178.xml"/><Relationship Id="rId5" Type="http://schemas.openxmlformats.org/officeDocument/2006/relationships/table" Target="../tables/table177.xml"/><Relationship Id="rId10" Type="http://schemas.openxmlformats.org/officeDocument/2006/relationships/comments" Target="../comments23.xml"/><Relationship Id="rId4" Type="http://schemas.openxmlformats.org/officeDocument/2006/relationships/table" Target="../tables/table176.xml"/><Relationship Id="rId9" Type="http://schemas.openxmlformats.org/officeDocument/2006/relationships/table" Target="../tables/table18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table" Target="../tables/table182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8.xml"/><Relationship Id="rId13" Type="http://schemas.openxmlformats.org/officeDocument/2006/relationships/table" Target="../tables/table193.xml"/><Relationship Id="rId3" Type="http://schemas.openxmlformats.org/officeDocument/2006/relationships/table" Target="../tables/table183.xml"/><Relationship Id="rId7" Type="http://schemas.openxmlformats.org/officeDocument/2006/relationships/table" Target="../tables/table187.xml"/><Relationship Id="rId12" Type="http://schemas.openxmlformats.org/officeDocument/2006/relationships/table" Target="../tables/table192.xml"/><Relationship Id="rId17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6" Type="http://schemas.openxmlformats.org/officeDocument/2006/relationships/table" Target="../tables/table196.xml"/><Relationship Id="rId1" Type="http://schemas.openxmlformats.org/officeDocument/2006/relationships/printerSettings" Target="../printerSettings/printerSettings25.bin"/><Relationship Id="rId6" Type="http://schemas.openxmlformats.org/officeDocument/2006/relationships/table" Target="../tables/table186.xml"/><Relationship Id="rId11" Type="http://schemas.openxmlformats.org/officeDocument/2006/relationships/table" Target="../tables/table191.xml"/><Relationship Id="rId5" Type="http://schemas.openxmlformats.org/officeDocument/2006/relationships/table" Target="../tables/table185.xml"/><Relationship Id="rId15" Type="http://schemas.openxmlformats.org/officeDocument/2006/relationships/table" Target="../tables/table195.xml"/><Relationship Id="rId10" Type="http://schemas.openxmlformats.org/officeDocument/2006/relationships/table" Target="../tables/table190.xml"/><Relationship Id="rId4" Type="http://schemas.openxmlformats.org/officeDocument/2006/relationships/table" Target="../tables/table184.xml"/><Relationship Id="rId9" Type="http://schemas.openxmlformats.org/officeDocument/2006/relationships/table" Target="../tables/table189.xml"/><Relationship Id="rId14" Type="http://schemas.openxmlformats.org/officeDocument/2006/relationships/table" Target="../tables/table19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vmlDrawing" Target="../drawings/vmlDrawing3.vml"/><Relationship Id="rId16" Type="http://schemas.microsoft.com/office/2017/10/relationships/threadedComment" Target="../threadedComments/threadedComment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comments" Target="../comments3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2.xml"/><Relationship Id="rId13" Type="http://schemas.openxmlformats.org/officeDocument/2006/relationships/table" Target="../tables/table47.xml"/><Relationship Id="rId3" Type="http://schemas.openxmlformats.org/officeDocument/2006/relationships/table" Target="../tables/table37.xml"/><Relationship Id="rId7" Type="http://schemas.openxmlformats.org/officeDocument/2006/relationships/table" Target="../tables/table41.xml"/><Relationship Id="rId12" Type="http://schemas.openxmlformats.org/officeDocument/2006/relationships/table" Target="../tables/table46.xml"/><Relationship Id="rId2" Type="http://schemas.openxmlformats.org/officeDocument/2006/relationships/vmlDrawing" Target="../drawings/vmlDrawing4.vml"/><Relationship Id="rId16" Type="http://schemas.microsoft.com/office/2017/10/relationships/threadedComment" Target="../threadedComments/threadedComment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0.xml"/><Relationship Id="rId11" Type="http://schemas.openxmlformats.org/officeDocument/2006/relationships/table" Target="../tables/table45.xml"/><Relationship Id="rId5" Type="http://schemas.openxmlformats.org/officeDocument/2006/relationships/table" Target="../tables/table39.xml"/><Relationship Id="rId15" Type="http://schemas.openxmlformats.org/officeDocument/2006/relationships/comments" Target="../comments4.xml"/><Relationship Id="rId10" Type="http://schemas.openxmlformats.org/officeDocument/2006/relationships/table" Target="../tables/table44.xml"/><Relationship Id="rId4" Type="http://schemas.openxmlformats.org/officeDocument/2006/relationships/table" Target="../tables/table38.xml"/><Relationship Id="rId9" Type="http://schemas.openxmlformats.org/officeDocument/2006/relationships/table" Target="../tables/table43.xml"/><Relationship Id="rId14" Type="http://schemas.openxmlformats.org/officeDocument/2006/relationships/table" Target="../tables/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4.xml"/><Relationship Id="rId13" Type="http://schemas.microsoft.com/office/2017/10/relationships/threadedComment" Target="../threadedComments/threadedComment5.xml"/><Relationship Id="rId3" Type="http://schemas.openxmlformats.org/officeDocument/2006/relationships/table" Target="../tables/table49.xml"/><Relationship Id="rId7" Type="http://schemas.openxmlformats.org/officeDocument/2006/relationships/table" Target="../tables/table53.xml"/><Relationship Id="rId12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2.xml"/><Relationship Id="rId11" Type="http://schemas.openxmlformats.org/officeDocument/2006/relationships/table" Target="../tables/table57.xml"/><Relationship Id="rId5" Type="http://schemas.openxmlformats.org/officeDocument/2006/relationships/table" Target="../tables/table51.xml"/><Relationship Id="rId10" Type="http://schemas.openxmlformats.org/officeDocument/2006/relationships/table" Target="../tables/table56.xml"/><Relationship Id="rId4" Type="http://schemas.openxmlformats.org/officeDocument/2006/relationships/table" Target="../tables/table50.xml"/><Relationship Id="rId9" Type="http://schemas.openxmlformats.org/officeDocument/2006/relationships/table" Target="../tables/table5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3.xml"/><Relationship Id="rId3" Type="http://schemas.openxmlformats.org/officeDocument/2006/relationships/table" Target="../tables/table58.xml"/><Relationship Id="rId7" Type="http://schemas.openxmlformats.org/officeDocument/2006/relationships/table" Target="../tables/table6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61.xml"/><Relationship Id="rId5" Type="http://schemas.openxmlformats.org/officeDocument/2006/relationships/table" Target="../tables/table60.xml"/><Relationship Id="rId10" Type="http://schemas.openxmlformats.org/officeDocument/2006/relationships/comments" Target="../comments6.xml"/><Relationship Id="rId4" Type="http://schemas.openxmlformats.org/officeDocument/2006/relationships/table" Target="../tables/table59.xml"/><Relationship Id="rId9" Type="http://schemas.openxmlformats.org/officeDocument/2006/relationships/table" Target="../tables/table6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13" Type="http://schemas.microsoft.com/office/2017/10/relationships/threadedComment" Target="../threadedComments/threadedComment6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12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68.xml"/><Relationship Id="rId11" Type="http://schemas.openxmlformats.org/officeDocument/2006/relationships/table" Target="../tables/table73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9.xml"/><Relationship Id="rId3" Type="http://schemas.openxmlformats.org/officeDocument/2006/relationships/table" Target="../tables/table74.xml"/><Relationship Id="rId7" Type="http://schemas.openxmlformats.org/officeDocument/2006/relationships/table" Target="../tables/table78.xml"/><Relationship Id="rId12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77.xml"/><Relationship Id="rId11" Type="http://schemas.openxmlformats.org/officeDocument/2006/relationships/table" Target="../tables/table82.xml"/><Relationship Id="rId5" Type="http://schemas.openxmlformats.org/officeDocument/2006/relationships/table" Target="../tables/table76.xml"/><Relationship Id="rId10" Type="http://schemas.openxmlformats.org/officeDocument/2006/relationships/table" Target="../tables/table81.xml"/><Relationship Id="rId4" Type="http://schemas.openxmlformats.org/officeDocument/2006/relationships/table" Target="../tables/table75.xml"/><Relationship Id="rId9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304A-4AAF-45A8-964D-1003E00A59CE}">
  <dimension ref="A1:CF64"/>
  <sheetViews>
    <sheetView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I25" sqref="I25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3.7109375" customWidth="1"/>
    <col min="20" max="20" width="6.7109375" customWidth="1"/>
    <col min="21" max="21" width="9.5703125" bestFit="1" customWidth="1"/>
    <col min="22" max="22" width="10.28515625" customWidth="1"/>
    <col min="26" max="26" width="6.42578125" customWidth="1"/>
    <col min="27" max="27" width="6.7109375" customWidth="1"/>
    <col min="28" max="28" width="9.5703125" bestFit="1" customWidth="1"/>
    <col min="29" max="29" width="10.28515625" customWidth="1"/>
    <col min="34" max="34" width="6.7109375" customWidth="1"/>
    <col min="35" max="35" width="9.5703125" bestFit="1" customWidth="1"/>
    <col min="36" max="36" width="10.28515625" customWidth="1"/>
    <col min="40" max="40" width="4.7109375" customWidth="1"/>
    <col min="41" max="41" width="6.7109375" customWidth="1"/>
    <col min="42" max="42" width="9.5703125" bestFit="1" customWidth="1"/>
    <col min="43" max="43" width="10.28515625" customWidth="1"/>
    <col min="47" max="47" width="4.7109375" customWidth="1"/>
    <col min="48" max="48" width="5.5703125" customWidth="1"/>
    <col min="49" max="49" width="7.7109375" customWidth="1"/>
    <col min="50" max="51" width="8.5703125" customWidth="1"/>
    <col min="52" max="52" width="9.85546875" customWidth="1"/>
    <col min="53" max="53" width="8.42578125" customWidth="1"/>
    <col min="55" max="55" width="7.28515625" customWidth="1"/>
    <col min="56" max="56" width="8.5703125" customWidth="1"/>
    <col min="57" max="57" width="10" customWidth="1"/>
    <col min="61" max="61" width="4.7109375" customWidth="1"/>
    <col min="62" max="62" width="7.28515625" customWidth="1"/>
    <col min="63" max="63" width="8.5703125" customWidth="1"/>
    <col min="64" max="64" width="10" customWidth="1"/>
    <col min="68" max="68" width="2.85546875" customWidth="1"/>
    <col min="69" max="69" width="5.85546875" customWidth="1"/>
    <col min="70" max="70" width="6.7109375" customWidth="1"/>
    <col min="74" max="74" width="10.7109375" customWidth="1"/>
    <col min="75" max="75" width="2.42578125" customWidth="1"/>
    <col min="76" max="76" width="1" customWidth="1"/>
    <col min="77" max="77" width="9.140625" customWidth="1"/>
    <col min="78" max="78" width="7.42578125" customWidth="1"/>
    <col min="79" max="79" width="10.28515625" customWidth="1"/>
  </cols>
  <sheetData>
    <row r="1" spans="1:84" ht="15.75" x14ac:dyDescent="0.25">
      <c r="A1" t="s">
        <v>644</v>
      </c>
      <c r="B1">
        <v>26.96</v>
      </c>
      <c r="C1" s="80" t="s">
        <v>0</v>
      </c>
      <c r="D1">
        <f>B1*4</f>
        <v>107.84</v>
      </c>
      <c r="F1" s="80" t="s">
        <v>71</v>
      </c>
      <c r="G1">
        <v>0.1759</v>
      </c>
      <c r="I1" s="80" t="s">
        <v>72</v>
      </c>
      <c r="J1">
        <v>0.2248</v>
      </c>
      <c r="K1">
        <v>0.2248</v>
      </c>
      <c r="M1" s="80" t="s">
        <v>73</v>
      </c>
      <c r="N1">
        <v>355</v>
      </c>
    </row>
    <row r="2" spans="1:84" ht="15.75" x14ac:dyDescent="0.25">
      <c r="C2" s="80" t="s">
        <v>1</v>
      </c>
      <c r="D2">
        <f>bounty</f>
        <v>0</v>
      </c>
      <c r="F2" s="80" t="s">
        <v>74</v>
      </c>
      <c r="G2">
        <v>0.214</v>
      </c>
      <c r="I2" s="80" t="s">
        <v>75</v>
      </c>
      <c r="J2">
        <v>0.56179999999999997</v>
      </c>
      <c r="K2">
        <v>0.56179999999999997</v>
      </c>
      <c r="M2" s="80" t="s">
        <v>76</v>
      </c>
      <c r="N2">
        <v>750</v>
      </c>
    </row>
    <row r="3" spans="1:84" ht="15.75" x14ac:dyDescent="0.25">
      <c r="C3" s="80" t="s">
        <v>77</v>
      </c>
      <c r="D3">
        <v>2000</v>
      </c>
      <c r="F3" s="80" t="s">
        <v>78</v>
      </c>
      <c r="G3">
        <v>0.54830000000000001</v>
      </c>
      <c r="M3" s="80" t="s">
        <v>79</v>
      </c>
      <c r="N3">
        <v>0</v>
      </c>
    </row>
    <row r="4" spans="1:84" ht="15.75" x14ac:dyDescent="0.25">
      <c r="F4" s="80" t="s">
        <v>80</v>
      </c>
      <c r="G4">
        <v>0</v>
      </c>
      <c r="I4" s="80" t="s">
        <v>639</v>
      </c>
      <c r="J4">
        <v>0.1067</v>
      </c>
      <c r="K4">
        <f>0.1067*2</f>
        <v>0.21340000000000001</v>
      </c>
      <c r="M4" s="80" t="s">
        <v>81</v>
      </c>
      <c r="N4">
        <v>325</v>
      </c>
    </row>
    <row r="5" spans="1:84" ht="17.25" customHeight="1" x14ac:dyDescent="0.25">
      <c r="F5" s="80" t="s">
        <v>640</v>
      </c>
      <c r="G5">
        <f>0.0206*3</f>
        <v>6.1800000000000001E-2</v>
      </c>
    </row>
    <row r="6" spans="1:84" ht="21" customHeight="1" x14ac:dyDescent="0.25">
      <c r="C6" t="s">
        <v>82</v>
      </c>
      <c r="D6" s="104" t="s">
        <v>645</v>
      </c>
    </row>
    <row r="7" spans="1:84" ht="22.5" customHeight="1" x14ac:dyDescent="0.25">
      <c r="C7" t="s">
        <v>84</v>
      </c>
      <c r="D7" s="105" t="s">
        <v>717</v>
      </c>
    </row>
    <row r="8" spans="1:84" ht="18.75" customHeight="1" x14ac:dyDescent="0.25">
      <c r="C8" t="s">
        <v>86</v>
      </c>
      <c r="D8" s="104" t="s">
        <v>87</v>
      </c>
    </row>
    <row r="9" spans="1:84" ht="6" customHeight="1" x14ac:dyDescent="0.25"/>
    <row r="10" spans="1:84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84" ht="18.75" x14ac:dyDescent="0.3">
      <c r="F11" s="128"/>
      <c r="G11" s="81">
        <v>1</v>
      </c>
      <c r="H11" s="81">
        <v>0</v>
      </c>
      <c r="I11" s="82">
        <v>0</v>
      </c>
      <c r="J11" s="116"/>
      <c r="K11" s="116"/>
    </row>
    <row r="12" spans="1:84" ht="19.5" thickBot="1" x14ac:dyDescent="0.35">
      <c r="F12" s="116"/>
      <c r="G12" s="116"/>
      <c r="H12" s="116"/>
      <c r="I12" s="116"/>
      <c r="J12" s="116"/>
      <c r="K12" s="116"/>
      <c r="AV12" t="s">
        <v>92</v>
      </c>
      <c r="BC12" t="s">
        <v>93</v>
      </c>
    </row>
    <row r="13" spans="1:84" ht="19.5" thickBot="1" x14ac:dyDescent="0.35">
      <c r="F13" s="116"/>
      <c r="G13" s="116"/>
      <c r="H13" s="116"/>
      <c r="I13" s="116"/>
      <c r="J13" s="116"/>
      <c r="K13" s="116"/>
      <c r="AV13" s="129" t="s">
        <v>723</v>
      </c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1"/>
      <c r="BW13" s="99"/>
      <c r="BX13" s="99"/>
    </row>
    <row r="14" spans="1:84" ht="22.5" thickTop="1" thickBot="1" x14ac:dyDescent="0.4">
      <c r="F14" s="116"/>
      <c r="G14" s="116"/>
      <c r="H14" s="109" t="s">
        <v>725</v>
      </c>
      <c r="I14" s="116"/>
      <c r="J14" s="116"/>
      <c r="K14" s="116"/>
      <c r="O14" s="79" t="s">
        <v>724</v>
      </c>
      <c r="V14" s="110">
        <v>111</v>
      </c>
      <c r="AC14" s="110">
        <v>113</v>
      </c>
      <c r="AJ14" s="110">
        <v>131</v>
      </c>
      <c r="AQ14" s="110">
        <v>311</v>
      </c>
      <c r="AV14" s="111"/>
      <c r="AW14" s="112"/>
      <c r="AX14" s="112">
        <v>231</v>
      </c>
      <c r="AY14" s="112"/>
      <c r="AZ14" s="112"/>
      <c r="BA14" s="112"/>
      <c r="BB14" s="112"/>
      <c r="BC14" s="112"/>
      <c r="BD14" s="112"/>
      <c r="BE14" s="112">
        <v>321</v>
      </c>
      <c r="BF14" s="112"/>
      <c r="BG14" s="112"/>
      <c r="BH14" s="112"/>
      <c r="BI14" s="112"/>
      <c r="BJ14" s="112"/>
      <c r="BK14" s="112"/>
      <c r="BL14" s="112">
        <v>221</v>
      </c>
      <c r="BM14" s="112"/>
      <c r="BN14" s="112"/>
      <c r="BO14" s="113"/>
      <c r="BS14" t="s">
        <v>99</v>
      </c>
      <c r="BY14" s="132" t="s">
        <v>95</v>
      </c>
      <c r="BZ14" s="133"/>
      <c r="CA14" s="133"/>
      <c r="CB14" s="133"/>
      <c r="CC14" s="99"/>
      <c r="CD14" s="99"/>
    </row>
    <row r="15" spans="1:84" ht="19.5" thickTop="1" x14ac:dyDescent="0.3">
      <c r="F15" s="134" t="s">
        <v>100</v>
      </c>
      <c r="G15" s="135"/>
      <c r="H15" s="135"/>
      <c r="I15" s="135"/>
      <c r="J15" s="136"/>
      <c r="K15" s="116"/>
      <c r="M15" s="134" t="s">
        <v>101</v>
      </c>
      <c r="N15" s="135"/>
      <c r="O15" s="135"/>
      <c r="P15" s="135"/>
      <c r="Q15" s="136"/>
      <c r="R15" s="116"/>
      <c r="S15" s="116"/>
      <c r="T15" s="134" t="s">
        <v>642</v>
      </c>
      <c r="U15" s="135"/>
      <c r="V15" s="135"/>
      <c r="W15" s="135"/>
      <c r="X15" s="136"/>
      <c r="Y15" s="116"/>
      <c r="Z15" s="116"/>
      <c r="AA15" s="134" t="s">
        <v>642</v>
      </c>
      <c r="AB15" s="135"/>
      <c r="AC15" s="135"/>
      <c r="AD15" s="135"/>
      <c r="AE15" s="136"/>
      <c r="AF15" s="116"/>
      <c r="AG15" s="116"/>
      <c r="AH15" s="134" t="s">
        <v>642</v>
      </c>
      <c r="AI15" s="135"/>
      <c r="AJ15" s="135"/>
      <c r="AK15" s="135"/>
      <c r="AL15" s="136"/>
      <c r="AM15" s="116"/>
      <c r="AO15" s="134" t="s">
        <v>642</v>
      </c>
      <c r="AP15" s="135"/>
      <c r="AQ15" s="135"/>
      <c r="AR15" s="135"/>
      <c r="AS15" s="136"/>
      <c r="AT15" s="116"/>
      <c r="AV15" s="118" t="s">
        <v>102</v>
      </c>
      <c r="AW15" s="119"/>
      <c r="AX15" s="119"/>
      <c r="AY15" s="119"/>
      <c r="AZ15" s="120"/>
      <c r="BA15" s="116"/>
      <c r="BC15" s="118" t="s">
        <v>103</v>
      </c>
      <c r="BD15" s="119"/>
      <c r="BE15" s="119"/>
      <c r="BF15" s="119"/>
      <c r="BG15" s="120"/>
      <c r="BJ15" s="118" t="s">
        <v>643</v>
      </c>
      <c r="BK15" s="119"/>
      <c r="BL15" s="119"/>
      <c r="BM15" s="119"/>
      <c r="BN15" s="120"/>
      <c r="BQ15" s="121" t="s">
        <v>10</v>
      </c>
      <c r="BR15" s="122"/>
      <c r="BS15" s="122"/>
      <c r="BT15" s="122"/>
      <c r="BU15" s="123"/>
      <c r="BY15" s="124" t="s">
        <v>104</v>
      </c>
      <c r="BZ15" s="125"/>
      <c r="CA15" s="125"/>
      <c r="CB15" s="126"/>
      <c r="CC15" s="116"/>
      <c r="CD15" s="116"/>
    </row>
    <row r="16" spans="1:84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S16" s="5"/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Z16" s="5"/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s="5" t="s">
        <v>110</v>
      </c>
      <c r="AG16" s="5"/>
      <c r="AH16" s="5" t="s">
        <v>107</v>
      </c>
      <c r="AI16" s="5" t="s">
        <v>12</v>
      </c>
      <c r="AJ16" s="5" t="s">
        <v>108</v>
      </c>
      <c r="AK16" s="5" t="s">
        <v>109</v>
      </c>
      <c r="AL16" s="5" t="s">
        <v>1</v>
      </c>
      <c r="AM16" s="5" t="s">
        <v>110</v>
      </c>
      <c r="AO16" s="5" t="s">
        <v>107</v>
      </c>
      <c r="AP16" s="5" t="s">
        <v>12</v>
      </c>
      <c r="AQ16" s="5" t="s">
        <v>108</v>
      </c>
      <c r="AR16" s="5" t="s">
        <v>109</v>
      </c>
      <c r="AS16" s="5" t="s">
        <v>1</v>
      </c>
      <c r="AT16" s="5" t="s">
        <v>110</v>
      </c>
      <c r="AV16" s="5" t="s">
        <v>107</v>
      </c>
      <c r="AW16" s="5" t="s">
        <v>12</v>
      </c>
      <c r="AX16" s="5" t="s">
        <v>108</v>
      </c>
      <c r="AY16" s="5" t="s">
        <v>109</v>
      </c>
      <c r="AZ16" s="5" t="s">
        <v>1</v>
      </c>
      <c r="BA16" s="5" t="s">
        <v>110</v>
      </c>
      <c r="BC16" s="5" t="s">
        <v>107</v>
      </c>
      <c r="BD16" s="5" t="s">
        <v>12</v>
      </c>
      <c r="BE16" s="5" t="s">
        <v>108</v>
      </c>
      <c r="BF16" s="5" t="s">
        <v>109</v>
      </c>
      <c r="BG16" s="5" t="s">
        <v>1</v>
      </c>
      <c r="BH16" t="s">
        <v>110</v>
      </c>
      <c r="BJ16" s="5" t="s">
        <v>107</v>
      </c>
      <c r="BK16" s="5" t="s">
        <v>12</v>
      </c>
      <c r="BL16" s="5" t="s">
        <v>108</v>
      </c>
      <c r="BM16" s="5" t="s">
        <v>109</v>
      </c>
      <c r="BN16" s="5" t="s">
        <v>1</v>
      </c>
      <c r="BO16" t="s">
        <v>110</v>
      </c>
      <c r="BQ16" s="5" t="s">
        <v>107</v>
      </c>
      <c r="BR16" s="5" t="s">
        <v>12</v>
      </c>
      <c r="BS16" s="5" t="s">
        <v>108</v>
      </c>
      <c r="BT16" s="5" t="s">
        <v>109</v>
      </c>
      <c r="BU16" s="5" t="s">
        <v>1</v>
      </c>
      <c r="BV16" t="s">
        <v>110</v>
      </c>
      <c r="BY16" s="5" t="s">
        <v>109</v>
      </c>
      <c r="BZ16" s="5" t="s">
        <v>1</v>
      </c>
      <c r="CA16" s="5" t="s">
        <v>104</v>
      </c>
      <c r="CB16" s="5" t="s">
        <v>111</v>
      </c>
      <c r="CC16" s="5" t="s">
        <v>634</v>
      </c>
      <c r="CD16" s="5" t="s">
        <v>635</v>
      </c>
      <c r="CE16" t="s">
        <v>112</v>
      </c>
      <c r="CF16" t="s">
        <v>113</v>
      </c>
    </row>
    <row r="17" spans="1:84" x14ac:dyDescent="0.25">
      <c r="A17" s="26">
        <v>3</v>
      </c>
      <c r="B17" s="26">
        <v>115</v>
      </c>
      <c r="C17" s="26" t="s">
        <v>633</v>
      </c>
      <c r="D17" s="26">
        <v>10</v>
      </c>
      <c r="F17" s="73">
        <f>COUNTIF(T_p121351975546168151187[stack],"&gt;0")</f>
        <v>2</v>
      </c>
      <c r="G17" s="26">
        <f>IF(T_init2034474536067150186[[#This Row],[p]]=1,mainpot+sidepot1+sidepot2+uncalled,IF(T_init2034474536067150186[[#This Row],[p]]&gt;1,0,T_init2034474536067150186[[#This Row],[stack]]-T_init2034474536067150186[[#This Row],[anteblinds]]))</f>
        <v>0</v>
      </c>
      <c r="H17" s="26"/>
      <c r="I17" s="27">
        <f>T_p121351975546168151187[[#This Row],[EQ]]*prize</f>
        <v>0</v>
      </c>
      <c r="J17" s="71">
        <f>IF(T_init2034474536067150186[[#This Row],[p]]=1,T_p121351975546168151187[[#This Row],[players]]*T_p121351975546168151187[[#This Row],[stack]]/chips+COUNTIF(T_p121351975546168151187[stack],0),T_p121351975546168151187[[#This Row],[players]]*T_p121351975546168151187[[#This Row],[stack]]/chips)</f>
        <v>0</v>
      </c>
      <c r="K17" s="71">
        <f>T_p121351975546168151187[[#This Row],[ICM]]+bounty*T_p121351975546168151187[[#This Row],[KO]]</f>
        <v>0</v>
      </c>
      <c r="M17" s="29">
        <f>COUNTIF(T_p222362576556269152188[stack],"&gt;0")</f>
        <v>3</v>
      </c>
      <c r="N17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0</v>
      </c>
      <c r="O17" s="26"/>
      <c r="P17" s="27">
        <f>T_p222362576556269152188[[#This Row],[EQ]]*prize</f>
        <v>0</v>
      </c>
      <c r="Q17" s="71">
        <f>IF(T_init2034474536067150186[[#This Row],[p]]=2,T_p222362576556269152188[[#This Row],[players]]*T_p222362576556269152188[[#This Row],[stack]]/chips+COUNTIF(T_p222362576556269152188[stack],0),T_p222362576556269152188[[#This Row],[players]]*T_p222362576556269152188[[#This Row],[stack]]/chips)</f>
        <v>0</v>
      </c>
      <c r="R17" s="71">
        <f>T_p222362576556269152188[[#This Row],[ICM]]+bounty*T_p222362576556269152188[[#This Row],[KO]]</f>
        <v>0</v>
      </c>
      <c r="S17" s="71"/>
      <c r="T17" s="29">
        <f>COUNTIF(T_p22236257655626974157193[stack],"&gt;0")</f>
        <v>4</v>
      </c>
      <c r="U17" s="26">
        <f>IF(T_init2034474536067150186[[#This Row],[p]]=1,ROUND(uncalled + mainpot/3, 0) + ROUND(sidepot1/2,0),IF(T_init2034474536067150186[[#This Row],[p]]=2,ROUND(mainpot/3,0) + ROUND(sidepot1/2,0),IF(T_init2034474536067150186[[#This Row],[p]]=3, ROUNDUP(mainpot/3,0),T_init2034474536067150186[[#This Row],[stack]]-T_init2034474536067150186[[#This Row],[anteblinds]])))</f>
        <v>119</v>
      </c>
      <c r="V17" s="26">
        <v>5.9499999999999997E-2</v>
      </c>
      <c r="W17" s="27">
        <f>T_p22236257655626974157193[[#This Row],[EQ]]*prize</f>
        <v>6.41648</v>
      </c>
      <c r="X17" s="71">
        <f>IF(T_init2034474536067150186[[#This Row],[p]]=2,T_p22236257655626974157193[[#This Row],[players]]*T_p22236257655626974157193[[#This Row],[stack]]/chips+COUNTIF(T_p22236257655626974157193[stack],0),T_p22236257655626974157193[[#This Row],[players]]*T_p22236257655626974157193[[#This Row],[stack]]/chips)</f>
        <v>0.23799999999999999</v>
      </c>
      <c r="Y17" s="71">
        <f>T_p22236257655626974157193[[#This Row],[ICM]]+bounty*T_p22236257655626974157193[[#This Row],[KO]]</f>
        <v>6.41648</v>
      </c>
      <c r="Z17" s="71"/>
      <c r="AA17" s="29">
        <f>COUNTIF(T_p22236257655626974157159195[stack],"&gt;0")</f>
        <v>3</v>
      </c>
      <c r="AB17" s="26">
        <f>IF(T_init2034474536067150186[[#This Row],[p]]=1,ROUNDDOWN(uncalled + mainpot/2, 0) + ROUNDDOWN(sidepot1/2,0),IF(T_init2034474536067150186[[#This Row],[p]]=2,ROUND(mainpot/2,0) + ROUND(sidepot1/2,0),IF(T_init2034474536067150186[[#This Row],[p]]=3, 0,T_init2034474536067150186[[#This Row],[stack]]-T_init2034474536067150186[[#This Row],[anteblinds]])))</f>
        <v>0</v>
      </c>
      <c r="AC17" s="26">
        <v>5.9499999999999997E-2</v>
      </c>
      <c r="AD17" s="27">
        <f>T_p22236257655626974157159195[[#This Row],[EQ]]*prize</f>
        <v>6.41648</v>
      </c>
      <c r="AE17" s="71">
        <f>IF(T_init2034474536067150186[[#This Row],[p]]=2,T_p22236257655626974157159195[[#This Row],[players]]*T_p22236257655626974157159195[[#This Row],[stack]]/chips+COUNTIF(T_p22236257655626974157159195[stack],0),T_p22236257655626974157159195[[#This Row],[players]]*T_p22236257655626974157159195[[#This Row],[stack]]/chips)</f>
        <v>0</v>
      </c>
      <c r="AF17" s="71">
        <f>T_p22236257655626974157159195[[#This Row],[ICM]]+bounty*T_p22236257655626974157159195[[#This Row],[KO]]</f>
        <v>6.41648</v>
      </c>
      <c r="AG17" s="71"/>
      <c r="AH17" s="29">
        <f>COUNTIF(T_p22236257655626974157159160196[stack],"&gt;0")</f>
        <v>3</v>
      </c>
      <c r="AI17" s="26">
        <f>IF(T_init2034474536067150186[[#This Row],[p]]=1,ROUNDDOWN(uncalled + mainpot/2, 0) + ROUNDDOWN(sidepot1,0),IF(T_init2034474536067150186[[#This Row],[p]]=2,0,IF(T_init2034474536067150186[[#This Row],[p]]=3, ROUNDUP(mainpot/2,0),T_init2034474536067150186[[#This Row],[stack]]-T_init2034474536067150186[[#This Row],[anteblinds]])))</f>
        <v>178</v>
      </c>
      <c r="AJ17" s="26">
        <v>5.9499999999999997E-2</v>
      </c>
      <c r="AK17" s="27">
        <f>T_p22236257655626974157159160196[[#This Row],[EQ]]*prize</f>
        <v>6.41648</v>
      </c>
      <c r="AL17" s="71">
        <f>IF(T_init2034474536067150186[[#This Row],[p]]=2,T_p22236257655626974157159160196[[#This Row],[players]]*T_p22236257655626974157159160196[[#This Row],[stack]]/chips+COUNTIF(T_p22236257655626974157159160196[stack],0),T_p22236257655626974157159160196[[#This Row],[players]]*T_p22236257655626974157159160196[[#This Row],[stack]]/chips)</f>
        <v>0.26700000000000002</v>
      </c>
      <c r="AM17" s="71">
        <f>T_p22236257655626974157159160196[[#This Row],[ICM]]+bounty*T_p22236257655626974157159160196[[#This Row],[KO]]</f>
        <v>6.41648</v>
      </c>
      <c r="AO17" s="29">
        <f>COUNTIF(T_p22236257655626974157159160161197[stack],"&gt;0")</f>
        <v>4</v>
      </c>
      <c r="AP17" s="26">
        <f>IF(T_init2034474536067150186[[#This Row],[p]]=1,uncalled,IF(T_init2034474536067150186[[#This Row],[p]]=2,ROUNDDOWN(mainpot/2,0) + ROUNDDOWN(sidepot1,0),IF(T_init2034474536067150186[[#This Row],[p]]=3, ROUNDUP(mainpot/2,0),T_init2034474536067150186[[#This Row],[stack]]-T_init2034474536067150186[[#This Row],[anteblinds]])))</f>
        <v>178</v>
      </c>
      <c r="AQ17" s="26">
        <v>5.9499999999999997E-2</v>
      </c>
      <c r="AR17" s="27">
        <f>T_p22236257655626974157159160161197[[#This Row],[EQ]]*prize</f>
        <v>6.41648</v>
      </c>
      <c r="AS17" s="71">
        <f>IF(T_init2034474536067150186[[#This Row],[p]]=2,T_p22236257655626974157159160161197[[#This Row],[players]]*T_p22236257655626974157159160161197[[#This Row],[stack]]/chips+COUNTIF(T_p22236257655626974157159160161197[stack],0),T_p22236257655626974157159160161197[[#This Row],[players]]*T_p22236257655626974157159160161197[[#This Row],[stack]]/chips)</f>
        <v>0.35599999999999998</v>
      </c>
      <c r="AT17" s="71">
        <f>T_p22236257655626974157159160161197[[#This Row],[ICM]]+bounty*T_p22236257655626974157159160161197[[#This Row],[KO]]</f>
        <v>6.41648</v>
      </c>
      <c r="AV17" s="73">
        <f>COUNTIF(T_p3p123372677566370153189[stack],"&gt;0")</f>
        <v>3</v>
      </c>
      <c r="AW17" s="26">
        <f>IF(T_init2034474536067150186[[#This Row],[p]]=1,sidepot1+uncalled,IF(T_init2034474536067150186[[#This Row],[p]]=3,mainpot,IF(ISBLANK(T_init2034474536067150186[[#This Row],[p]]),T_init2034474536067150186[[#This Row],[stack]]-T_init2034474536067150186[[#This Row],[anteblinds]],0)))</f>
        <v>355</v>
      </c>
      <c r="AX17" s="26">
        <v>0.17749999999999999</v>
      </c>
      <c r="AY17" s="27">
        <f>T_p3p123372677566370153189[[#This Row],[EQ]]*prize</f>
        <v>19.1416</v>
      </c>
      <c r="AZ17" s="71">
        <f>IF(T_init2034474536067150186[[#This Row],[p]]=1,T_p3p123372677566370153189[[#This Row],[players]]*T_p3p123372677566370153189[[#This Row],[stack]]/chips+COUNTIF(T_p3p123372677566370153189[stack],0),T_p3p123372677566370153189[[#This Row],[players]]*T_p3p123372677566370153189[[#This Row],[stack]]/chips)</f>
        <v>0.53249999999999997</v>
      </c>
      <c r="BA17" s="71">
        <f>T_p3p123372677566370153189[[#This Row],[ICM]]+bounty*T_p3p123372677566370153189[[#This Row],[KO]]</f>
        <v>19.1416</v>
      </c>
      <c r="BC17" s="73">
        <f>COUNTIF(T_p3p224382778576471154190[stack],"&gt;0")</f>
        <v>4</v>
      </c>
      <c r="BD17" s="26">
        <f>IF(T_init2034474536067150186[[#This Row],[p]]=1,uncalled,IF(T_init2034474536067150186[[#This Row],[p]]=2,sidepot1,IF(T_init2034474536067150186[[#This Row],[p]]=3,mainpot,IF(ISBLANK(T_init2034474536067150186[[#This Row],[p]]),T_init2034474536067150186[[#This Row],[stack]]-T_init2034474536067150186[[#This Row],[anteblinds]],0))))</f>
        <v>355</v>
      </c>
      <c r="BE17" s="26">
        <v>0.17749999999999999</v>
      </c>
      <c r="BF17" s="27">
        <f>T_p3p224382778576471154190[[#This Row],[EQ]]*prize</f>
        <v>19.1416</v>
      </c>
      <c r="BG17" s="71">
        <f>IF(T_init2034474536067150186[[#This Row],[p]]=2,T_p3p224382778576471154190[[#This Row],[players]]*T_p3p224382778576471154190[[#This Row],[stack]]/chips+COUNTIF(T_p3p224382778576471154190[stack],0),T_p3p224382778576471154190[[#This Row],[players]]*T_p3p224382778576471154190[[#This Row],[stack]]/chips)</f>
        <v>0.71</v>
      </c>
      <c r="BH17" s="71">
        <f>T_p3p224382778576471154190[[#This Row],[ICM]]+bounty*T_p3p224382778576471154190[[#This Row],[KO]]</f>
        <v>19.1416</v>
      </c>
      <c r="BJ17" s="73">
        <f>COUNTIF(T_p3p22438277857647175158194[stack],"&gt;0")</f>
        <v>4</v>
      </c>
      <c r="BK17" s="26">
        <f>IF(T_init2034474536067150186[[#This Row],[p]]=1,uncalled + ROUND(sidepot1/2,0),IF(T_init2034474536067150186[[#This Row],[p]]=2,ROUND(sidepot1/2,0),IF(T_init2034474536067150186[[#This Row],[p]]=3,mainpot,IF(ISBLANK(T_init2034474536067150186[[#This Row],[p]]),T_init2034474536067150186[[#This Row],[stack]]-T_init2034474536067150186[[#This Row],[anteblinds]],0))))</f>
        <v>355</v>
      </c>
      <c r="BL17" s="26">
        <v>0.17749999999999999</v>
      </c>
      <c r="BM17" s="27">
        <f>T_p3p22438277857647175158194[[#This Row],[EQ]]*prize</f>
        <v>19.1416</v>
      </c>
      <c r="BN17" s="71">
        <f>IF(T_init2034474536067150186[[#This Row],[p]]=2,T_p3p22438277857647175158194[[#This Row],[players]]*T_p3p22438277857647175158194[[#This Row],[stack]]/chips+COUNTIF(T_p3p22438277857647175158194[stack],0),T_p3p22438277857647175158194[[#This Row],[players]]*T_p3p22438277857647175158194[[#This Row],[stack]]/chips)</f>
        <v>0.71</v>
      </c>
      <c r="BO17" s="71">
        <f>T_p3p22438277857647175158194[[#This Row],[ICM]]+bounty*T_p3p22438277857647175158194[[#This Row],[KO]]</f>
        <v>19.1416</v>
      </c>
      <c r="BQ17" s="73">
        <v>3</v>
      </c>
      <c r="BR17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0</v>
      </c>
      <c r="BS17" s="26"/>
      <c r="BT17" s="27">
        <f>T_fact29392879586572155191[[#This Row],[EQ]]*prize</f>
        <v>0</v>
      </c>
      <c r="BU17" s="71">
        <f>IF(T_init2034474536067150186[[#This Row],[p]]=1,T_fact29392879586572155191[[#This Row],[players]]*T_fact29392879586572155191[[#This Row],[stack]]/chips+COUNTIF(T_fact29392879586572155191[stack],0),T_fact29392879586572155191[[#This Row],[players]]*T_fact29392879586572155191[[#This Row],[stack]]/chips)</f>
        <v>0</v>
      </c>
      <c r="BV17" s="71">
        <f>T_fact29392879586572155191[[#This Row],[ICM]]+bounty*T_fact29392879586572155191[[#This Row],[KO]]</f>
        <v>0</v>
      </c>
      <c r="BY17" s="72">
        <f>'7d Jd разбивка'!p3win* ('7d Jd разбивка'!p1sp1win*T_p3p123372677566370153189[[#This Row],[ICM]] + '7d Jd разбивка'!p2sp1win*T_p3p224382778576471154190[[#This Row],[ICM]] + tiesp1*T_p3p22438277857647175158194[[#This Row],[ICM]])
+'7d Jd разбивка'!p2win*T_p222362576556269152188[[#This Row],[ICM]]
+'7d Jd разбивка'!p1win*T_p121351975546168151187[[#This Row],[ICM]]
+'7d Jd разбивка'!tie*T_p22236257655626974157193[[#This Row],[ICM]]</f>
        <v>9.7720250428240014</v>
      </c>
      <c r="BZ17" s="33">
        <f>('7d Jd разбивка'!p3win* ('7d Jd разбивка'!p1sp1win*T_p3p123372677566370153189[[#This Row],[KO]] + '7d Jd разбивка'!p2sp1win*T_p3p224382778576471154190[[#This Row],[KO]])
+'7d Jd разбивка'!p2win*T_p222362576556269152188[[#This Row],[KO]]
+'7d Jd разбивка'!p1win*T_p121351975546168151187[[#This Row],[KO]])*bounty</f>
        <v>0</v>
      </c>
      <c r="CA17" s="72">
        <f>'7d Jd разбивка'!p3win* ('7d Jd разбивка'!p1sp1win*T_p3p123372677566370153189[[#This Row],[$stack]] + '7d Jd разбивка'!p2sp1win*T_p3p224382778576471154190[[#This Row],[$stack]])
+'7d Jd разбивка'!p2win*T_p222362576556269152188[[#This Row],[$stack]]
+'7d Jd разбивка'!p1win*T_p121351975546168151187[[#This Row],[$stack]]</f>
        <v>8.2556338776480001</v>
      </c>
      <c r="CB17" s="33">
        <f>'7d Jd разбивка'!p3win* ('7d Jd разбивка'!p1sp1win*T_p3p123372677566370153189[[#This Row],[stack]] + '7d Jd разбивка'!p2sp1win*T_p3p224382778576471154190[[#This Row],[stack]] + tiesp1*T_p3p22438277857647175158194[[#This Row],[stack]])
+'7d Jd разбивка'!p2win*T_p222362576556269152188[[#This Row],[stack]]
+'7d Jd разбивка'!p1win*T_p121351975546168151187[[#This Row],[stack]]
+tie*T_p22236257655626974157193[[#This Row],[stack]]</f>
        <v>181.23191844999997</v>
      </c>
      <c r="CC17" s="72">
        <f>T_fact29392879586572155191[[#This Row],[stack]]- T_init2034474536067150186[[#This Row],[stack]]</f>
        <v>-115</v>
      </c>
      <c r="CD17" s="72">
        <f>T_EV33403080596673156192[[#This Row],[netwon]]+T_EV33403080596673156192[[#This Row],[cEVdiff]]</f>
        <v>66.231918449999966</v>
      </c>
      <c r="CE17" s="2">
        <f>T_EV33403080596673156192[[#This Row],[chipEV]]-T_fact29392879586572155191[[#This Row],[stack]]</f>
        <v>181.23191844999997</v>
      </c>
      <c r="CF17" s="2">
        <f>T_EV33403080596673156192[[#This Row],[EV]]-(T_fact29392879586572155191[[#This Row],[ICM]])</f>
        <v>8.2556338776480001</v>
      </c>
    </row>
    <row r="18" spans="1:84" x14ac:dyDescent="0.25">
      <c r="B18">
        <v>580</v>
      </c>
      <c r="D18">
        <v>10</v>
      </c>
      <c r="F18" s="5">
        <f>COUNTIF(T_p121351975546168151187[stack],"&gt;0")</f>
        <v>2</v>
      </c>
      <c r="G18">
        <f>IF(T_init2034474536067150186[[#This Row],[p]]=1,mainpot+sidepot1+sidepot2+uncalled,IF(T_init2034474536067150186[[#This Row],[p]]&gt;1,0,T_init2034474536067150186[[#This Row],[stack]]-T_init2034474536067150186[[#This Row],[anteblinds]]))</f>
        <v>570</v>
      </c>
      <c r="H18">
        <v>0.28499999999999998</v>
      </c>
      <c r="I18" s="2">
        <f>T_p121351975546168151187[[#This Row],[EQ]]*prize</f>
        <v>30.734399999999997</v>
      </c>
      <c r="J18" s="66">
        <f>IF(T_init2034474536067150186[[#This Row],[p]]=1,T_p121351975546168151187[[#This Row],[players]]*T_p121351975546168151187[[#This Row],[stack]]/chips+COUNTIF(T_p121351975546168151187[stack],0),T_p121351975546168151187[[#This Row],[players]]*T_p121351975546168151187[[#This Row],[stack]]/chips)</f>
        <v>0.56999999999999995</v>
      </c>
      <c r="K18" s="66">
        <f>T_p121351975546168151187[[#This Row],[ICM]]+bounty*T_p121351975546168151187[[#This Row],[KO]]</f>
        <v>30.734399999999997</v>
      </c>
      <c r="M18" s="10">
        <f>COUNTIF(T_p222362576556269152188[stack],"&gt;0")</f>
        <v>3</v>
      </c>
      <c r="N18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570</v>
      </c>
      <c r="O18">
        <v>0.28499999999999998</v>
      </c>
      <c r="P18" s="2">
        <f>T_p222362576556269152188[[#This Row],[EQ]]*prize</f>
        <v>30.734399999999997</v>
      </c>
      <c r="Q18" s="66">
        <f>IF(T_init2034474536067150186[[#This Row],[p]]=2,T_p222362576556269152188[[#This Row],[players]]*T_p222362576556269152188[[#This Row],[stack]]/chips+COUNTIF(T_p222362576556269152188[stack],0),T_p222362576556269152188[[#This Row],[players]]*T_p222362576556269152188[[#This Row],[stack]]/chips)</f>
        <v>0.85499999999999998</v>
      </c>
      <c r="R18" s="66">
        <f>T_p222362576556269152188[[#This Row],[ICM]]+bounty*T_p222362576556269152188[[#This Row],[KO]]</f>
        <v>30.734399999999997</v>
      </c>
      <c r="S18" s="66"/>
      <c r="T18" s="10">
        <f>COUNTIF(T_p22236257655626974157193[stack],"&gt;0")</f>
        <v>4</v>
      </c>
      <c r="U18" s="26">
        <f>IF(T_init2034474536067150186[[#This Row],[p]]=1,ROUND(uncalled + mainpot/3, 0) + ROUND(sidepot1/2,0),IF(T_init2034474536067150186[[#This Row],[p]]=2,ROUND(mainpot/3,0) + ROUND(sidepot1/2,0),IF(T_init2034474536067150186[[#This Row],[p]]=3, ROUNDUP(mainpot/3,0),T_init2034474536067150186[[#This Row],[stack]]-T_init2034474536067150186[[#This Row],[anteblinds]])))</f>
        <v>570</v>
      </c>
      <c r="V18">
        <v>0.28499999999999998</v>
      </c>
      <c r="W18" s="2">
        <f>T_p22236257655626974157193[[#This Row],[EQ]]*prize</f>
        <v>30.734399999999997</v>
      </c>
      <c r="X18" s="66">
        <f>IF(T_init2034474536067150186[[#This Row],[p]]=2,T_p22236257655626974157193[[#This Row],[players]]*T_p22236257655626974157193[[#This Row],[stack]]/chips+COUNTIF(T_p22236257655626974157193[stack],0),T_p22236257655626974157193[[#This Row],[players]]*T_p22236257655626974157193[[#This Row],[stack]]/chips)</f>
        <v>1.1399999999999999</v>
      </c>
      <c r="Y18" s="66">
        <f>T_p22236257655626974157193[[#This Row],[ICM]]+bounty*T_p22236257655626974157193[[#This Row],[KO]]</f>
        <v>30.734399999999997</v>
      </c>
      <c r="Z18" s="66"/>
      <c r="AA18" s="10">
        <f>COUNTIF(T_p22236257655626974157159195[stack],"&gt;0")</f>
        <v>3</v>
      </c>
      <c r="AB18" s="26">
        <f>IF(T_init2034474536067150186[[#This Row],[p]]=1,ROUNDDOWN(uncalled + mainpot/2, 0) + ROUNDDOWN(sidepot1/2,0),IF(T_init2034474536067150186[[#This Row],[p]]=2,ROUND(mainpot/2,0) + ROUND(sidepot1/2,0),IF(T_init2034474536067150186[[#This Row],[p]]=3, 0,T_init2034474536067150186[[#This Row],[stack]]-T_init2034474536067150186[[#This Row],[anteblinds]])))</f>
        <v>570</v>
      </c>
      <c r="AC18">
        <v>0.28499999999999998</v>
      </c>
      <c r="AD18" s="2">
        <f>T_p22236257655626974157159195[[#This Row],[EQ]]*prize</f>
        <v>30.734399999999997</v>
      </c>
      <c r="AE18" s="66">
        <f>IF(T_init2034474536067150186[[#This Row],[p]]=2,T_p22236257655626974157159195[[#This Row],[players]]*T_p22236257655626974157159195[[#This Row],[stack]]/chips+COUNTIF(T_p22236257655626974157159195[stack],0),T_p22236257655626974157159195[[#This Row],[players]]*T_p22236257655626974157159195[[#This Row],[stack]]/chips)</f>
        <v>0.85499999999999998</v>
      </c>
      <c r="AF18" s="66">
        <f>T_p22236257655626974157159195[[#This Row],[ICM]]+bounty*T_p22236257655626974157159195[[#This Row],[KO]]</f>
        <v>30.734399999999997</v>
      </c>
      <c r="AG18" s="66"/>
      <c r="AH18" s="10">
        <f>COUNTIF(T_p22236257655626974157159160196[stack],"&gt;0")</f>
        <v>3</v>
      </c>
      <c r="AI18" s="26">
        <f>IF(T_init2034474536067150186[[#This Row],[p]]=1,ROUNDDOWN(uncalled + mainpot/2, 0) + ROUNDDOWN(sidepot1,0),IF(T_init2034474536067150186[[#This Row],[p]]=2,0,IF(T_init2034474536067150186[[#This Row],[p]]=3, ROUNDUP(mainpot/2,0),T_init2034474536067150186[[#This Row],[stack]]-T_init2034474536067150186[[#This Row],[anteblinds]])))</f>
        <v>570</v>
      </c>
      <c r="AJ18">
        <v>0.28499999999999998</v>
      </c>
      <c r="AK18" s="2">
        <f>T_p22236257655626974157159160196[[#This Row],[EQ]]*prize</f>
        <v>30.734399999999997</v>
      </c>
      <c r="AL18" s="66">
        <f>IF(T_init2034474536067150186[[#This Row],[p]]=2,T_p22236257655626974157159160196[[#This Row],[players]]*T_p22236257655626974157159160196[[#This Row],[stack]]/chips+COUNTIF(T_p22236257655626974157159160196[stack],0),T_p22236257655626974157159160196[[#This Row],[players]]*T_p22236257655626974157159160196[[#This Row],[stack]]/chips)</f>
        <v>0.85499999999999998</v>
      </c>
      <c r="AM18" s="66">
        <f>T_p22236257655626974157159160196[[#This Row],[ICM]]+bounty*T_p22236257655626974157159160196[[#This Row],[KO]]</f>
        <v>30.734399999999997</v>
      </c>
      <c r="AO18" s="10">
        <f>COUNTIF(T_p22236257655626974157159160161197[stack],"&gt;0")</f>
        <v>4</v>
      </c>
      <c r="AP18" s="26">
        <f>IF(T_init2034474536067150186[[#This Row],[p]]=1,uncalled,IF(T_init2034474536067150186[[#This Row],[p]]=2,ROUNDDOWN(mainpot/2,0) + ROUNDDOWN(sidepot1,0),IF(T_init2034474536067150186[[#This Row],[p]]=3, ROUNDUP(mainpot/2,0),T_init2034474536067150186[[#This Row],[stack]]-T_init2034474536067150186[[#This Row],[anteblinds]])))</f>
        <v>570</v>
      </c>
      <c r="AQ18">
        <v>0.28499999999999998</v>
      </c>
      <c r="AR18" s="2">
        <f>T_p22236257655626974157159160161197[[#This Row],[EQ]]*prize</f>
        <v>30.734399999999997</v>
      </c>
      <c r="AS18" s="66">
        <f>IF(T_init2034474536067150186[[#This Row],[p]]=2,T_p22236257655626974157159160161197[[#This Row],[players]]*T_p22236257655626974157159160161197[[#This Row],[stack]]/chips+COUNTIF(T_p22236257655626974157159160161197[stack],0),T_p22236257655626974157159160161197[[#This Row],[players]]*T_p22236257655626974157159160161197[[#This Row],[stack]]/chips)</f>
        <v>1.1399999999999999</v>
      </c>
      <c r="AT18" s="66">
        <f>T_p22236257655626974157159160161197[[#This Row],[ICM]]+bounty*T_p22236257655626974157159160161197[[#This Row],[KO]]</f>
        <v>30.734399999999997</v>
      </c>
      <c r="AV18" s="5">
        <f>COUNTIF(T_p3p123372677566370153189[stack],"&gt;0")</f>
        <v>3</v>
      </c>
      <c r="AW18" s="26">
        <f>IF(T_init2034474536067150186[[#This Row],[p]]=1,sidepot1+uncalled,IF(T_init2034474536067150186[[#This Row],[p]]=3,mainpot,IF(ISBLANK(T_init2034474536067150186[[#This Row],[p]]),T_init2034474536067150186[[#This Row],[stack]]-T_init2034474536067150186[[#This Row],[anteblinds]],0)))</f>
        <v>570</v>
      </c>
      <c r="AX18">
        <v>0.28499999999999998</v>
      </c>
      <c r="AY18" s="2">
        <f>T_p3p123372677566370153189[[#This Row],[EQ]]*prize</f>
        <v>30.734399999999997</v>
      </c>
      <c r="AZ18" s="66">
        <f>IF(T_init2034474536067150186[[#This Row],[p]]=1,T_p3p123372677566370153189[[#This Row],[players]]*T_p3p123372677566370153189[[#This Row],[stack]]/chips+COUNTIF(T_p3p123372677566370153189[stack],0),T_p3p123372677566370153189[[#This Row],[players]]*T_p3p123372677566370153189[[#This Row],[stack]]/chips)</f>
        <v>0.85499999999999998</v>
      </c>
      <c r="BA18" s="66">
        <f>T_p3p123372677566370153189[[#This Row],[ICM]]+bounty*T_p3p123372677566370153189[[#This Row],[KO]]</f>
        <v>30.734399999999997</v>
      </c>
      <c r="BC18" s="5">
        <f>COUNTIF(T_p3p224382778576471154190[stack],"&gt;0")</f>
        <v>4</v>
      </c>
      <c r="BD18">
        <f>IF(T_init2034474536067150186[[#This Row],[p]]=1,uncalled,IF(T_init2034474536067150186[[#This Row],[p]]=2,sidepot1,IF(T_init2034474536067150186[[#This Row],[p]]=3,mainpot,IF(ISBLANK(T_init2034474536067150186[[#This Row],[p]]),T_init2034474536067150186[[#This Row],[stack]]-T_init2034474536067150186[[#This Row],[anteblinds]],0))))</f>
        <v>570</v>
      </c>
      <c r="BE18">
        <v>0.28499999999999998</v>
      </c>
      <c r="BF18" s="2">
        <f>T_p3p224382778576471154190[[#This Row],[EQ]]*prize</f>
        <v>30.734399999999997</v>
      </c>
      <c r="BG18" s="66">
        <f>IF(T_init2034474536067150186[[#This Row],[p]]=2,T_p3p224382778576471154190[[#This Row],[players]]*T_p3p224382778576471154190[[#This Row],[stack]]/chips+COUNTIF(T_p3p224382778576471154190[stack],0),T_p3p224382778576471154190[[#This Row],[players]]*T_p3p224382778576471154190[[#This Row],[stack]]/chips)</f>
        <v>1.1399999999999999</v>
      </c>
      <c r="BH18" s="16">
        <f>T_p3p224382778576471154190[[#This Row],[ICM]]+bounty*T_p3p224382778576471154190[[#This Row],[KO]]</f>
        <v>30.734399999999997</v>
      </c>
      <c r="BJ18" s="5">
        <f>COUNTIF(T_p3p22438277857647175158194[stack],"&gt;0")</f>
        <v>4</v>
      </c>
      <c r="BK18">
        <f>IF(T_init2034474536067150186[[#This Row],[p]]=1,uncalled + ROUND(sidepot1/2,0),IF(T_init2034474536067150186[[#This Row],[p]]=2,ROUND(sidepot1/2,0),IF(T_init2034474536067150186[[#This Row],[p]]=3,mainpot,IF(ISBLANK(T_init2034474536067150186[[#This Row],[p]]),T_init2034474536067150186[[#This Row],[stack]]-T_init2034474536067150186[[#This Row],[anteblinds]],0))))</f>
        <v>570</v>
      </c>
      <c r="BL18">
        <v>0.28499999999999998</v>
      </c>
      <c r="BM18" s="2">
        <f>T_p3p22438277857647175158194[[#This Row],[EQ]]*prize</f>
        <v>30.734399999999997</v>
      </c>
      <c r="BN18" s="66">
        <f>IF(T_init2034474536067150186[[#This Row],[p]]=2,T_p3p22438277857647175158194[[#This Row],[players]]*T_p3p22438277857647175158194[[#This Row],[stack]]/chips+COUNTIF(T_p3p22438277857647175158194[stack],0),T_p3p22438277857647175158194[[#This Row],[players]]*T_p3p22438277857647175158194[[#This Row],[stack]]/chips)</f>
        <v>1.1399999999999999</v>
      </c>
      <c r="BO18" s="16">
        <f>T_p3p22438277857647175158194[[#This Row],[ICM]]+bounty*T_p3p22438277857647175158194[[#This Row],[KO]]</f>
        <v>30.734399999999997</v>
      </c>
      <c r="BQ18" s="73">
        <v>3</v>
      </c>
      <c r="BR18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570</v>
      </c>
      <c r="BS18">
        <v>0.28499999999999998</v>
      </c>
      <c r="BT18" s="2">
        <f>T_fact29392879586572155191[[#This Row],[EQ]]*prize</f>
        <v>30.734399999999997</v>
      </c>
      <c r="BU18" s="66">
        <f>IF(T_init2034474536067150186[[#This Row],[p]]=1,T_fact29392879586572155191[[#This Row],[players]]*T_fact29392879586572155191[[#This Row],[stack]]/chips+COUNTIF(T_fact29392879586572155191[stack],0),T_fact29392879586572155191[[#This Row],[players]]*T_fact29392879586572155191[[#This Row],[stack]]/chips)</f>
        <v>0.85499999999999998</v>
      </c>
      <c r="BV18" s="16">
        <f>T_fact29392879586572155191[[#This Row],[ICM]]+bounty*T_fact29392879586572155191[[#This Row],[KO]]</f>
        <v>30.734399999999997</v>
      </c>
      <c r="BY18" s="68">
        <f>'7d Jd разбивка'!p3win* ('7d Jd разбивка'!p1sp1win*T_p3p123372677566370153189[[#This Row],[ICM]] + '7d Jd разбивка'!p2sp1win*T_p3p224382778576471154190[[#This Row],[ICM]] + tiesp1*T_p3p22438277857647175158194[[#This Row],[ICM]])
+'7d Jd разбивка'!p2win*T_p222362576556269152188[[#This Row],[ICM]]
+'7d Jd разбивка'!p1win*T_p121351975546168151187[[#This Row],[ICM]]
+'7d Jd разбивка'!tie*T_p22236257655626974157193[[#This Row],[ICM]]</f>
        <v>28.936326648815999</v>
      </c>
      <c r="BZ18" s="68">
        <f>('7d Jd разбивка'!p3win* ('7d Jd разбивка'!p1sp1win*T_p3p123372677566370153189[[#This Row],[KO]] + '7d Jd разбивка'!p2sp1win*T_p3p224382778576471154190[[#This Row],[KO]])
+'7d Jd разбивка'!p2win*T_p222362576556269152188[[#This Row],[KO]]
+'7d Jd разбивка'!p1win*T_p121351975546168151187[[#This Row],[KO]])*bounty</f>
        <v>0</v>
      </c>
      <c r="CA18" s="68">
        <f>'7d Jd разбивка'!p3win* ('7d Jd разбивка'!p1sp1win*T_p3p123372677566370153189[[#This Row],[$stack]] + '7d Jd разбивка'!p2sp1win*T_p3p224382778576471154190[[#This Row],[$stack]])
+'7d Jd разбивка'!p2win*T_p222362576556269152188[[#This Row],[$stack]]
+'7d Jd разбивка'!p1win*T_p121351975546168151187[[#This Row],[$stack]]</f>
        <v>25.238867377631998</v>
      </c>
      <c r="CB18" s="68">
        <f>'7d Jd разбивка'!p3win* ('7d Jd разбивка'!p1sp1win*T_p3p123372677566370153189[[#This Row],[stack]] + '7d Jd разбивка'!p2sp1win*T_p3p224382778576471154190[[#This Row],[stack]] + tiesp1*T_p3p22438277857647175158194[[#This Row],[stack]])
+'7d Jd разбивка'!p2win*T_p222362576556269152188[[#This Row],[stack]]
+'7d Jd разбивка'!p1win*T_p121351975546168151187[[#This Row],[stack]]
+tie*T_p22236257655626974157193[[#This Row],[stack]]</f>
        <v>536.65294230000006</v>
      </c>
      <c r="CC18" s="68">
        <f>T_fact29392879586572155191[[#This Row],[stack]]- T_init2034474536067150186[[#This Row],[stack]]</f>
        <v>-10</v>
      </c>
      <c r="CD18" s="68">
        <f>T_EV33403080596673156192[[#This Row],[netwon]]+T_EV33403080596673156192[[#This Row],[cEVdiff]]</f>
        <v>-43.347057699999937</v>
      </c>
      <c r="CE18" s="2">
        <f>T_EV33403080596673156192[[#This Row],[chipEV]]-T_fact29392879586572155191[[#This Row],[stack]]</f>
        <v>-33.347057699999937</v>
      </c>
      <c r="CF18" s="2">
        <f>T_EV33403080596673156192[[#This Row],[EV]]-(T_fact29392879586572155191[[#This Row],[ICM]])</f>
        <v>-5.4955326223679997</v>
      </c>
    </row>
    <row r="19" spans="1:84" s="17" customFormat="1" x14ac:dyDescent="0.25">
      <c r="A19" s="17">
        <v>1</v>
      </c>
      <c r="B19" s="17">
        <v>815</v>
      </c>
      <c r="C19" s="17" t="s">
        <v>631</v>
      </c>
      <c r="D19" s="17">
        <v>35</v>
      </c>
      <c r="F19" s="83">
        <f>COUNTIF(T_p121351975546168151187[stack],"&gt;0")</f>
        <v>2</v>
      </c>
      <c r="G19" s="17">
        <f>IF(T_init2034474536067150186[[#This Row],[p]]=1,mainpot+sidepot1+sidepot2+uncalled,IF(T_init2034474536067150186[[#This Row],[p]]&gt;1,0,T_init2034474536067150186[[#This Row],[stack]]-T_init2034474536067150186[[#This Row],[anteblinds]]))</f>
        <v>1430</v>
      </c>
      <c r="H19" s="17">
        <v>0.71499999999999997</v>
      </c>
      <c r="I19" s="18">
        <f>T_p121351975546168151187[[#This Row],[EQ]]*prize</f>
        <v>77.105599999999995</v>
      </c>
      <c r="J19" s="67">
        <f>IF(T_init2034474536067150186[[#This Row],[p]]=1,T_p121351975546168151187[[#This Row],[players]]*T_p121351975546168151187[[#This Row],[stack]]/chips+COUNTIF(T_p121351975546168151187[stack],0),T_p121351975546168151187[[#This Row],[players]]*T_p121351975546168151187[[#This Row],[stack]]/chips)</f>
        <v>5.43</v>
      </c>
      <c r="K19" s="67">
        <f>T_p121351975546168151187[[#This Row],[ICM]]+bounty*T_p121351975546168151187[[#This Row],[KO]]</f>
        <v>77.105599999999995</v>
      </c>
      <c r="M19" s="19">
        <f>COUNTIF(T_p222362576556269152188[stack],"&gt;0")</f>
        <v>3</v>
      </c>
      <c r="N19" s="17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325</v>
      </c>
      <c r="O19" s="17">
        <v>0.16250000000000001</v>
      </c>
      <c r="P19" s="18">
        <f>T_p222362576556269152188[[#This Row],[EQ]]*prize</f>
        <v>17.524000000000001</v>
      </c>
      <c r="Q19" s="67">
        <f>IF(T_init2034474536067150186[[#This Row],[p]]=2,T_p222362576556269152188[[#This Row],[players]]*T_p222362576556269152188[[#This Row],[stack]]/chips+COUNTIF(T_p222362576556269152188[stack],0),T_p222362576556269152188[[#This Row],[players]]*T_p222362576556269152188[[#This Row],[stack]]/chips)</f>
        <v>0.48749999999999999</v>
      </c>
      <c r="R19" s="67">
        <f>T_p222362576556269152188[[#This Row],[ICM]]+bounty*T_p222362576556269152188[[#This Row],[KO]]</f>
        <v>17.524000000000001</v>
      </c>
      <c r="S19" s="67"/>
      <c r="T19" s="19">
        <f>COUNTIF(T_p22236257655626974157193[stack],"&gt;0")</f>
        <v>4</v>
      </c>
      <c r="U19" s="17">
        <f>IF(T_init2034474536067150186[[#This Row],[p]]=1,ROUND(uncalled + mainpot/3, 0) + ROUND(sidepot1/2,0),IF(T_init2034474536067150186[[#This Row],[p]]=2,ROUND(mainpot/3,0) + ROUND(sidepot1/2,0),IF(T_init2034474536067150186[[#This Row],[p]]=3, ROUNDUP(mainpot/3,0),T_init2034474536067150186[[#This Row],[stack]]-T_init2034474536067150186[[#This Row],[anteblinds]])))</f>
        <v>818</v>
      </c>
      <c r="V19" s="17">
        <v>0.40899999999999997</v>
      </c>
      <c r="W19" s="18">
        <f>T_p22236257655626974157193[[#This Row],[EQ]]*prize</f>
        <v>44.106560000000002</v>
      </c>
      <c r="X19" s="67">
        <f>IF(T_init2034474536067150186[[#This Row],[p]]=2,T_p22236257655626974157193[[#This Row],[players]]*T_p22236257655626974157193[[#This Row],[stack]]/chips+COUNTIF(T_p22236257655626974157193[stack],0),T_p22236257655626974157193[[#This Row],[players]]*T_p22236257655626974157193[[#This Row],[stack]]/chips)</f>
        <v>1.6359999999999999</v>
      </c>
      <c r="Y19" s="67">
        <f>T_p22236257655626974157193[[#This Row],[ICM]]+bounty*T_p22236257655626974157193[[#This Row],[KO]]</f>
        <v>44.106560000000002</v>
      </c>
      <c r="Z19" s="67"/>
      <c r="AA19" s="19">
        <f>COUNTIF(T_p22236257655626974157159195[stack],"&gt;0")</f>
        <v>3</v>
      </c>
      <c r="AB19" s="17">
        <f>IF(T_init2034474536067150186[[#This Row],[p]]=1,ROUNDDOWN(uncalled + mainpot/2, 0) + ROUNDDOWN(sidepot1/2,0),IF(T_init2034474536067150186[[#This Row],[p]]=2,ROUND(mainpot/2,0) + ROUND(sidepot1/2,0),IF(T_init2034474536067150186[[#This Row],[p]]=3, 0,T_init2034474536067150186[[#This Row],[stack]]-T_init2034474536067150186[[#This Row],[anteblinds]])))</f>
        <v>877</v>
      </c>
      <c r="AC19" s="17">
        <v>0.40899999999999997</v>
      </c>
      <c r="AD19" s="18">
        <f>T_p22236257655626974157159195[[#This Row],[EQ]]*prize</f>
        <v>44.106560000000002</v>
      </c>
      <c r="AE19" s="67">
        <f>IF(T_init2034474536067150186[[#This Row],[p]]=2,T_p22236257655626974157159195[[#This Row],[players]]*T_p22236257655626974157159195[[#This Row],[stack]]/chips+COUNTIF(T_p22236257655626974157159195[stack],0),T_p22236257655626974157159195[[#This Row],[players]]*T_p22236257655626974157159195[[#This Row],[stack]]/chips)</f>
        <v>1.3154999999999999</v>
      </c>
      <c r="AF19" s="67">
        <f>T_p22236257655626974157159195[[#This Row],[ICM]]+bounty*T_p22236257655626974157159195[[#This Row],[KO]]</f>
        <v>44.106560000000002</v>
      </c>
      <c r="AG19" s="67"/>
      <c r="AH19" s="19">
        <f>COUNTIF(T_p22236257655626974157159160196[stack],"&gt;0")</f>
        <v>3</v>
      </c>
      <c r="AI19" s="17">
        <f>IF(T_init2034474536067150186[[#This Row],[p]]=1,ROUNDDOWN(uncalled + mainpot/2, 0) + ROUNDDOWN(sidepot1,0),IF(T_init2034474536067150186[[#This Row],[p]]=2,0,IF(T_init2034474536067150186[[#This Row],[p]]=3, ROUNDUP(mainpot/2,0),T_init2034474536067150186[[#This Row],[stack]]-T_init2034474536067150186[[#This Row],[anteblinds]])))</f>
        <v>1252</v>
      </c>
      <c r="AJ19" s="17">
        <v>0.40899999999999997</v>
      </c>
      <c r="AK19" s="18">
        <f>T_p22236257655626974157159160196[[#This Row],[EQ]]*prize</f>
        <v>44.106560000000002</v>
      </c>
      <c r="AL19" s="67">
        <f>IF(T_init2034474536067150186[[#This Row],[p]]=2,T_p22236257655626974157159160196[[#This Row],[players]]*T_p22236257655626974157159160196[[#This Row],[stack]]/chips+COUNTIF(T_p22236257655626974157159160196[stack],0),T_p22236257655626974157159160196[[#This Row],[players]]*T_p22236257655626974157159160196[[#This Row],[stack]]/chips)</f>
        <v>1.8779999999999999</v>
      </c>
      <c r="AM19" s="67">
        <f>T_p22236257655626974157159160196[[#This Row],[ICM]]+bounty*T_p22236257655626974157159160196[[#This Row],[KO]]</f>
        <v>44.106560000000002</v>
      </c>
      <c r="AO19" s="19">
        <f>COUNTIF(T_p22236257655626974157159160161197[stack],"&gt;0")</f>
        <v>4</v>
      </c>
      <c r="AP19" s="17">
        <f>IF(T_init2034474536067150186[[#This Row],[p]]=1,uncalled,IF(T_init2034474536067150186[[#This Row],[p]]=2,ROUNDDOWN(mainpot/2,0) + ROUNDDOWN(sidepot1,0),IF(T_init2034474536067150186[[#This Row],[p]]=3, ROUNDUP(mainpot/2,0),T_init2034474536067150186[[#This Row],[stack]]-T_init2034474536067150186[[#This Row],[anteblinds]])))</f>
        <v>325</v>
      </c>
      <c r="AQ19" s="17">
        <v>0.40899999999999997</v>
      </c>
      <c r="AR19" s="18">
        <f>T_p22236257655626974157159160161197[[#This Row],[EQ]]*prize</f>
        <v>44.106560000000002</v>
      </c>
      <c r="AS19" s="67">
        <f>IF(T_init2034474536067150186[[#This Row],[p]]=2,T_p22236257655626974157159160161197[[#This Row],[players]]*T_p22236257655626974157159160161197[[#This Row],[stack]]/chips+COUNTIF(T_p22236257655626974157159160161197[stack],0),T_p22236257655626974157159160161197[[#This Row],[players]]*T_p22236257655626974157159160161197[[#This Row],[stack]]/chips)</f>
        <v>0.65</v>
      </c>
      <c r="AT19" s="67">
        <f>T_p22236257655626974157159160161197[[#This Row],[ICM]]+bounty*T_p22236257655626974157159160161197[[#This Row],[KO]]</f>
        <v>44.106560000000002</v>
      </c>
      <c r="AV19" s="83">
        <f>COUNTIF(T_p3p123372677566370153189[stack],"&gt;0")</f>
        <v>3</v>
      </c>
      <c r="AW19" s="17">
        <f>IF(T_init2034474536067150186[[#This Row],[p]]=1,sidepot1+uncalled,IF(T_init2034474536067150186[[#This Row],[p]]=3,mainpot,IF(ISBLANK(T_init2034474536067150186[[#This Row],[p]]),T_init2034474536067150186[[#This Row],[stack]]-T_init2034474536067150186[[#This Row],[anteblinds]],0)))</f>
        <v>1075</v>
      </c>
      <c r="AX19" s="17">
        <v>0.53749999999999998</v>
      </c>
      <c r="AY19" s="18">
        <f>T_p3p123372677566370153189[[#This Row],[EQ]]*prize</f>
        <v>57.963999999999999</v>
      </c>
      <c r="AZ19" s="67">
        <f>IF(T_init2034474536067150186[[#This Row],[p]]=1,T_p3p123372677566370153189[[#This Row],[players]]*T_p3p123372677566370153189[[#This Row],[stack]]/chips+COUNTIF(T_p3p123372677566370153189[stack],0),T_p3p123372677566370153189[[#This Row],[players]]*T_p3p123372677566370153189[[#This Row],[stack]]/chips)</f>
        <v>4.6124999999999998</v>
      </c>
      <c r="BA19" s="67">
        <f>T_p3p123372677566370153189[[#This Row],[ICM]]+bounty*T_p3p123372677566370153189[[#This Row],[KO]]</f>
        <v>57.963999999999999</v>
      </c>
      <c r="BC19" s="83">
        <f>COUNTIF(T_p3p224382778576471154190[stack],"&gt;0")</f>
        <v>4</v>
      </c>
      <c r="BD19" s="17">
        <f>IF(T_init2034474536067150186[[#This Row],[p]]=1,uncalled,IF(T_init2034474536067150186[[#This Row],[p]]=2,sidepot1,IF(T_init2034474536067150186[[#This Row],[p]]=3,mainpot,IF(ISBLANK(T_init2034474536067150186[[#This Row],[p]]),T_init2034474536067150186[[#This Row],[stack]]-T_init2034474536067150186[[#This Row],[anteblinds]],0))))</f>
        <v>325</v>
      </c>
      <c r="BE19" s="17">
        <v>0.16250000000000001</v>
      </c>
      <c r="BF19" s="18">
        <f>T_p3p224382778576471154190[[#This Row],[EQ]]*prize</f>
        <v>17.524000000000001</v>
      </c>
      <c r="BG19" s="67">
        <f>IF(T_init2034474536067150186[[#This Row],[p]]=2,T_p3p224382778576471154190[[#This Row],[players]]*T_p3p224382778576471154190[[#This Row],[stack]]/chips+COUNTIF(T_p3p224382778576471154190[stack],0),T_p3p224382778576471154190[[#This Row],[players]]*T_p3p224382778576471154190[[#This Row],[stack]]/chips)</f>
        <v>0.65</v>
      </c>
      <c r="BH19" s="24">
        <f>T_p3p224382778576471154190[[#This Row],[ICM]]+bounty*T_p3p224382778576471154190[[#This Row],[KO]]</f>
        <v>17.524000000000001</v>
      </c>
      <c r="BJ19" s="83">
        <f>COUNTIF(T_p3p22438277857647175158194[stack],"&gt;0")</f>
        <v>4</v>
      </c>
      <c r="BK19" s="17">
        <f>IF(T_init2034474536067150186[[#This Row],[p]]=1,uncalled + ROUND(sidepot1/2,0),IF(T_init2034474536067150186[[#This Row],[p]]=2,ROUND(sidepot1/2,0),IF(T_init2034474536067150186[[#This Row],[p]]=3,mainpot,IF(ISBLANK(T_init2034474536067150186[[#This Row],[p]]),T_init2034474536067150186[[#This Row],[stack]]-T_init2034474536067150186[[#This Row],[anteblinds]],0))))</f>
        <v>700</v>
      </c>
      <c r="BL19" s="17">
        <v>0.35</v>
      </c>
      <c r="BM19" s="18">
        <f>T_p3p22438277857647175158194[[#This Row],[EQ]]*prize</f>
        <v>37.744</v>
      </c>
      <c r="BN19" s="67">
        <f>IF(T_init2034474536067150186[[#This Row],[p]]=2,T_p3p22438277857647175158194[[#This Row],[players]]*T_p3p22438277857647175158194[[#This Row],[stack]]/chips+COUNTIF(T_p3p22438277857647175158194[stack],0),T_p3p22438277857647175158194[[#This Row],[players]]*T_p3p22438277857647175158194[[#This Row],[stack]]/chips)</f>
        <v>1.4</v>
      </c>
      <c r="BO19" s="24">
        <f>T_p3p22438277857647175158194[[#This Row],[ICM]]+bounty*T_p3p22438277857647175158194[[#This Row],[KO]]</f>
        <v>37.744</v>
      </c>
      <c r="BQ19" s="83">
        <v>3</v>
      </c>
      <c r="BR19" s="17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325</v>
      </c>
      <c r="BS19" s="17">
        <v>0.16250000000000001</v>
      </c>
      <c r="BT19" s="18">
        <f>T_fact29392879586572155191[[#This Row],[EQ]]*prize</f>
        <v>17.524000000000001</v>
      </c>
      <c r="BU19" s="67">
        <f>IF(T_init2034474536067150186[[#This Row],[p]]=1,T_fact29392879586572155191[[#This Row],[players]]*T_fact29392879586572155191[[#This Row],[stack]]/chips+COUNTIF(T_fact29392879586572155191[stack],0),T_fact29392879586572155191[[#This Row],[players]]*T_fact29392879586572155191[[#This Row],[stack]]/chips)</f>
        <v>3.4874999999999998</v>
      </c>
      <c r="BV19" s="24">
        <f>T_fact29392879586572155191[[#This Row],[ICM]]+bounty*T_fact29392879586572155191[[#This Row],[KO]]</f>
        <v>17.524000000000001</v>
      </c>
      <c r="BY19" s="69">
        <f>'7d Jd разбивка'!p3win* ('7d Jd разбивка'!p1sp1win*T_p3p123372677566370153189[[#This Row],[ICM]] + '7d Jd разбивка'!p2sp1win*T_p3p224382778576471154190[[#This Row],[ICM]] + tiesp1*T_p3p22438277857647175158194[[#This Row],[ICM]])
+'7d Jd разбивка'!p2win*T_p222362576556269152188[[#This Row],[ICM]]
+'7d Jd разбивка'!p1win*T_p121351975546168151187[[#This Row],[ICM]]
+'7d Jd разбивка'!tie*T_p22236257655626974157193[[#This Row],[ICM]]</f>
        <v>34.789478430160003</v>
      </c>
      <c r="BZ19" s="69">
        <f>('7d Jd разбивка'!p3win* ('7d Jd разбивка'!p1sp1win*T_p3p123372677566370153189[[#This Row],[KO]] + '7d Jd разбивка'!p2sp1win*T_p3p224382778576471154190[[#This Row],[KO]])
+'7d Jd разбивка'!p2win*T_p222362576556269152188[[#This Row],[KO]]
+'7d Jd разбивка'!p1win*T_p121351975546168151187[[#This Row],[KO]])*bounty</f>
        <v>0</v>
      </c>
      <c r="CA19" s="69">
        <f>'7d Jd разбивка'!p3win* ('7d Jd разбивка'!p1sp1win*T_p3p123372677566370153189[[#This Row],[$stack]] + '7d Jd разбивка'!p2sp1win*T_p3p224382778576471154190[[#This Row],[$stack]])
+'7d Jd разбивка'!p2win*T_p222362576556269152188[[#This Row],[$stack]]
+'7d Jd разбивка'!p1win*T_p121351975546168151187[[#This Row],[$stack]]</f>
        <v>29.855532766319996</v>
      </c>
      <c r="CB19" s="69">
        <f>'7d Jd разбивка'!p3win* ('7d Jd разбивка'!p1sp1win*T_p3p123372677566370153189[[#This Row],[stack]] + '7d Jd разбивка'!p2sp1win*T_p3p224382778576471154190[[#This Row],[stack]] + tiesp1*T_p3p22438277857647175158194[[#This Row],[stack]])
+'7d Jd разбивка'!p2win*T_p222362576556269152188[[#This Row],[stack]]
+'7d Jd разбивка'!p1win*T_p121351975546168151187[[#This Row],[stack]]
+tie*T_p22236257655626974157193[[#This Row],[stack]]</f>
        <v>645.20546050000007</v>
      </c>
      <c r="CC19" s="69">
        <f>T_fact29392879586572155191[[#This Row],[stack]]- T_init2034474536067150186[[#This Row],[stack]]</f>
        <v>-490</v>
      </c>
      <c r="CD19" s="69">
        <f>T_EV33403080596673156192[[#This Row],[netwon]]+T_EV33403080596673156192[[#This Row],[cEVdiff]]</f>
        <v>-169.79453949999993</v>
      </c>
      <c r="CE19" s="18">
        <f>T_EV33403080596673156192[[#This Row],[chipEV]]-T_fact29392879586572155191[[#This Row],[stack]]</f>
        <v>320.20546050000007</v>
      </c>
      <c r="CF19" s="18">
        <f>T_EV33403080596673156192[[#This Row],[EV]]-(T_fact29392879586572155191[[#This Row],[ICM]])</f>
        <v>12.331532766319995</v>
      </c>
    </row>
    <row r="20" spans="1:84" x14ac:dyDescent="0.25">
      <c r="A20" s="26">
        <v>2</v>
      </c>
      <c r="B20" s="26">
        <v>490</v>
      </c>
      <c r="C20" t="s">
        <v>632</v>
      </c>
      <c r="D20" s="26">
        <v>60</v>
      </c>
      <c r="F20" s="73">
        <f>COUNTIF(T_p121351975546168151187[stack],"&gt;0")</f>
        <v>2</v>
      </c>
      <c r="G20" s="26">
        <f>IF(T_init2034474536067150186[[#This Row],[p]]=1,mainpot+sidepot1+sidepot2+uncalled,IF(T_init2034474536067150186[[#This Row],[p]]&gt;1,0,T_init2034474536067150186[[#This Row],[stack]]-T_init2034474536067150186[[#This Row],[anteblinds]]))</f>
        <v>0</v>
      </c>
      <c r="H20" s="26"/>
      <c r="I20" s="27">
        <f>T_p121351975546168151187[[#This Row],[EQ]]*prize</f>
        <v>0</v>
      </c>
      <c r="J20" s="71">
        <f>IF(T_init2034474536067150186[[#This Row],[p]]=1,T_p121351975546168151187[[#This Row],[players]]*T_p121351975546168151187[[#This Row],[stack]]/chips+COUNTIF(T_p121351975546168151187[stack],0),T_p121351975546168151187[[#This Row],[players]]*T_p121351975546168151187[[#This Row],[stack]]/chips)</f>
        <v>0</v>
      </c>
      <c r="K20" s="71">
        <f>T_p121351975546168151187[[#This Row],[ICM]]+bounty*T_p121351975546168151187[[#This Row],[KO]]</f>
        <v>0</v>
      </c>
      <c r="M20" s="29">
        <f>COUNTIF(T_p222362576556269152188[stack],"&gt;0")</f>
        <v>3</v>
      </c>
      <c r="N20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1105</v>
      </c>
      <c r="O20" s="26">
        <v>0.55249999999999999</v>
      </c>
      <c r="P20" s="27">
        <f>T_p222362576556269152188[[#This Row],[EQ]]*prize</f>
        <v>59.581600000000002</v>
      </c>
      <c r="Q20" s="71">
        <f>IF(T_init2034474536067150186[[#This Row],[p]]=2,T_p222362576556269152188[[#This Row],[players]]*T_p222362576556269152188[[#This Row],[stack]]/chips+COUNTIF(T_p222362576556269152188[stack],0),T_p222362576556269152188[[#This Row],[players]]*T_p222362576556269152188[[#This Row],[stack]]/chips)</f>
        <v>4.6574999999999998</v>
      </c>
      <c r="R20" s="71">
        <f>T_p222362576556269152188[[#This Row],[ICM]]+bounty*T_p222362576556269152188[[#This Row],[KO]]</f>
        <v>59.581600000000002</v>
      </c>
      <c r="S20" s="71"/>
      <c r="T20" s="29">
        <f>COUNTIF(T_p22236257655626974157193[stack],"&gt;0")</f>
        <v>4</v>
      </c>
      <c r="U20" s="26">
        <f>IF(T_init2034474536067150186[[#This Row],[p]]=1,ROUND(uncalled + mainpot/3, 0) + ROUND(sidepot1/2,0),IF(T_init2034474536067150186[[#This Row],[p]]=2,ROUND(mainpot/3,0) + ROUND(sidepot1/2,0),IF(T_init2034474536067150186[[#This Row],[p]]=3, ROUNDUP(mainpot/3,0),T_init2034474536067150186[[#This Row],[stack]]-T_init2034474536067150186[[#This Row],[anteblinds]])))</f>
        <v>493</v>
      </c>
      <c r="V20" s="26">
        <v>0.2465</v>
      </c>
      <c r="W20" s="27">
        <f>T_p22236257655626974157193[[#This Row],[EQ]]*prize</f>
        <v>26.582560000000001</v>
      </c>
      <c r="X20" s="71">
        <f>IF(T_init2034474536067150186[[#This Row],[p]]=2,T_p22236257655626974157193[[#This Row],[players]]*T_p22236257655626974157193[[#This Row],[stack]]/chips+COUNTIF(T_p22236257655626974157193[stack],0),T_p22236257655626974157193[[#This Row],[players]]*T_p22236257655626974157193[[#This Row],[stack]]/chips)</f>
        <v>2.9859999999999998</v>
      </c>
      <c r="Y20" s="71">
        <f>T_p22236257655626974157193[[#This Row],[ICM]]+bounty*T_p22236257655626974157193[[#This Row],[KO]]</f>
        <v>26.582560000000001</v>
      </c>
      <c r="Z20" s="71"/>
      <c r="AA20" s="29">
        <f>COUNTIF(T_p22236257655626974157159195[stack],"&gt;0")</f>
        <v>3</v>
      </c>
      <c r="AB20" s="26">
        <f>IF(T_init2034474536067150186[[#This Row],[p]]=1,ROUNDDOWN(uncalled + mainpot/2, 0) + ROUNDDOWN(sidepot1/2,0),IF(T_init2034474536067150186[[#This Row],[p]]=2,ROUND(mainpot/2,0) + ROUND(sidepot1/2,0),IF(T_init2034474536067150186[[#This Row],[p]]=3, 0,T_init2034474536067150186[[#This Row],[stack]]-T_init2034474536067150186[[#This Row],[anteblinds]])))</f>
        <v>553</v>
      </c>
      <c r="AC20" s="26">
        <v>0.2465</v>
      </c>
      <c r="AD20" s="27">
        <f>T_p22236257655626974157159195[[#This Row],[EQ]]*prize</f>
        <v>26.582560000000001</v>
      </c>
      <c r="AE20" s="71">
        <f>IF(T_init2034474536067150186[[#This Row],[p]]=2,T_p22236257655626974157159195[[#This Row],[players]]*T_p22236257655626974157159195[[#This Row],[stack]]/chips+COUNTIF(T_p22236257655626974157159195[stack],0),T_p22236257655626974157159195[[#This Row],[players]]*T_p22236257655626974157159195[[#This Row],[stack]]/chips)</f>
        <v>3.8294999999999999</v>
      </c>
      <c r="AF20" s="71">
        <f>T_p22236257655626974157159195[[#This Row],[ICM]]+bounty*T_p22236257655626974157159195[[#This Row],[KO]]</f>
        <v>26.582560000000001</v>
      </c>
      <c r="AG20" s="71"/>
      <c r="AH20" s="29">
        <f>COUNTIF(T_p22236257655626974157159160196[stack],"&gt;0")</f>
        <v>3</v>
      </c>
      <c r="AI20" s="26">
        <f>IF(T_init2034474536067150186[[#This Row],[p]]=1,ROUNDDOWN(uncalled + mainpot/2, 0) + ROUNDDOWN(sidepot1,0),IF(T_init2034474536067150186[[#This Row],[p]]=2,0,IF(T_init2034474536067150186[[#This Row],[p]]=3, ROUNDUP(mainpot/2,0),T_init2034474536067150186[[#This Row],[stack]]-T_init2034474536067150186[[#This Row],[anteblinds]])))</f>
        <v>0</v>
      </c>
      <c r="AJ20" s="26">
        <v>0.2465</v>
      </c>
      <c r="AK20" s="27">
        <f>T_p22236257655626974157159160196[[#This Row],[EQ]]*prize</f>
        <v>26.582560000000001</v>
      </c>
      <c r="AL20" s="71">
        <f>IF(T_init2034474536067150186[[#This Row],[p]]=2,T_p22236257655626974157159160196[[#This Row],[players]]*T_p22236257655626974157159160196[[#This Row],[stack]]/chips+COUNTIF(T_p22236257655626974157159160196[stack],0),T_p22236257655626974157159160196[[#This Row],[players]]*T_p22236257655626974157159160196[[#This Row],[stack]]/chips)</f>
        <v>3</v>
      </c>
      <c r="AM20" s="71">
        <f>T_p22236257655626974157159160196[[#This Row],[ICM]]+bounty*T_p22236257655626974157159160196[[#This Row],[KO]]</f>
        <v>26.582560000000001</v>
      </c>
      <c r="AO20" s="29">
        <f>COUNTIF(T_p22236257655626974157159160161197[stack],"&gt;0")</f>
        <v>4</v>
      </c>
      <c r="AP20" s="26">
        <f>IF(T_init2034474536067150186[[#This Row],[p]]=1,uncalled,IF(T_init2034474536067150186[[#This Row],[p]]=2,ROUNDDOWN(mainpot/2,0) + ROUNDDOWN(sidepot1,0),IF(T_init2034474536067150186[[#This Row],[p]]=3, ROUNDUP(mainpot/2,0),T_init2034474536067150186[[#This Row],[stack]]-T_init2034474536067150186[[#This Row],[anteblinds]])))</f>
        <v>927</v>
      </c>
      <c r="AQ20" s="26">
        <v>0.2465</v>
      </c>
      <c r="AR20" s="27">
        <f>T_p22236257655626974157159160161197[[#This Row],[EQ]]*prize</f>
        <v>26.582560000000001</v>
      </c>
      <c r="AS20" s="71">
        <f>IF(T_init2034474536067150186[[#This Row],[p]]=2,T_p22236257655626974157159160161197[[#This Row],[players]]*T_p22236257655626974157159160161197[[#This Row],[stack]]/chips+COUNTIF(T_p22236257655626974157159160161197[stack],0),T_p22236257655626974157159160161197[[#This Row],[players]]*T_p22236257655626974157159160161197[[#This Row],[stack]]/chips)</f>
        <v>3.8540000000000001</v>
      </c>
      <c r="AT20" s="71">
        <f>T_p22236257655626974157159160161197[[#This Row],[ICM]]+bounty*T_p22236257655626974157159160161197[[#This Row],[KO]]</f>
        <v>26.582560000000001</v>
      </c>
      <c r="AV20" s="73">
        <f>COUNTIF(T_p3p123372677566370153189[stack],"&gt;0")</f>
        <v>3</v>
      </c>
      <c r="AW20" s="26">
        <f>IF(T_init2034474536067150186[[#This Row],[p]]=1,sidepot1+uncalled,IF(T_init2034474536067150186[[#This Row],[p]]=3,mainpot,IF(ISBLANK(T_init2034474536067150186[[#This Row],[p]]),T_init2034474536067150186[[#This Row],[stack]]-T_init2034474536067150186[[#This Row],[anteblinds]],0)))</f>
        <v>0</v>
      </c>
      <c r="AX20" s="26">
        <v>0</v>
      </c>
      <c r="AY20" s="27">
        <f>T_p3p123372677566370153189[[#This Row],[EQ]]*prize</f>
        <v>0</v>
      </c>
      <c r="AZ20" s="71">
        <f>IF(T_init2034474536067150186[[#This Row],[p]]=1,T_p3p123372677566370153189[[#This Row],[players]]*T_p3p123372677566370153189[[#This Row],[stack]]/chips+COUNTIF(T_p3p123372677566370153189[stack],0),T_p3p123372677566370153189[[#This Row],[players]]*T_p3p123372677566370153189[[#This Row],[stack]]/chips)</f>
        <v>0</v>
      </c>
      <c r="BA20" s="71">
        <f>T_p3p123372677566370153189[[#This Row],[ICM]]+bounty*T_p3p123372677566370153189[[#This Row],[KO]]</f>
        <v>0</v>
      </c>
      <c r="BC20" s="73">
        <f>COUNTIF(T_p3p224382778576471154190[stack],"&gt;0")</f>
        <v>4</v>
      </c>
      <c r="BD20" s="26">
        <f>IF(T_init2034474536067150186[[#This Row],[p]]=1,uncalled,IF(T_init2034474536067150186[[#This Row],[p]]=2,sidepot1,IF(T_init2034474536067150186[[#This Row],[p]]=3,mainpot,IF(ISBLANK(T_init2034474536067150186[[#This Row],[p]]),T_init2034474536067150186[[#This Row],[stack]]-T_init2034474536067150186[[#This Row],[anteblinds]],0))))</f>
        <v>750</v>
      </c>
      <c r="BE20" s="26">
        <v>0.375</v>
      </c>
      <c r="BF20" s="27">
        <f>T_p3p224382778576471154190[[#This Row],[EQ]]*prize</f>
        <v>40.44</v>
      </c>
      <c r="BG20" s="71">
        <f>IF(T_init2034474536067150186[[#This Row],[p]]=2,T_p3p224382778576471154190[[#This Row],[players]]*T_p3p224382778576471154190[[#This Row],[stack]]/chips+COUNTIF(T_p3p224382778576471154190[stack],0),T_p3p224382778576471154190[[#This Row],[players]]*T_p3p224382778576471154190[[#This Row],[stack]]/chips)</f>
        <v>3.5</v>
      </c>
      <c r="BH20" s="16">
        <f>T_p3p224382778576471154190[[#This Row],[ICM]]+bounty*T_p3p224382778576471154190[[#This Row],[KO]]</f>
        <v>40.44</v>
      </c>
      <c r="BJ20" s="73">
        <f>COUNTIF(T_p3p22438277857647175158194[stack],"&gt;0")</f>
        <v>4</v>
      </c>
      <c r="BK20" s="26">
        <f>IF(T_init2034474536067150186[[#This Row],[p]]=1,uncalled + ROUND(sidepot1/2,0),IF(T_init2034474536067150186[[#This Row],[p]]=2,ROUND(sidepot1/2,0),IF(T_init2034474536067150186[[#This Row],[p]]=3,mainpot,IF(ISBLANK(T_init2034474536067150186[[#This Row],[p]]),T_init2034474536067150186[[#This Row],[stack]]-T_init2034474536067150186[[#This Row],[anteblinds]],0))))</f>
        <v>375</v>
      </c>
      <c r="BL20" s="26">
        <v>0.1875</v>
      </c>
      <c r="BM20" s="27">
        <f>T_p3p22438277857647175158194[[#This Row],[EQ]]*prize</f>
        <v>20.22</v>
      </c>
      <c r="BN20" s="71">
        <f>IF(T_init2034474536067150186[[#This Row],[p]]=2,T_p3p22438277857647175158194[[#This Row],[players]]*T_p3p22438277857647175158194[[#This Row],[stack]]/chips+COUNTIF(T_p3p22438277857647175158194[stack],0),T_p3p22438277857647175158194[[#This Row],[players]]*T_p3p22438277857647175158194[[#This Row],[stack]]/chips)</f>
        <v>2.75</v>
      </c>
      <c r="BO20" s="16">
        <f>T_p3p22438277857647175158194[[#This Row],[ICM]]+bounty*T_p3p22438277857647175158194[[#This Row],[KO]]</f>
        <v>20.22</v>
      </c>
      <c r="BQ20" s="73">
        <v>3</v>
      </c>
      <c r="BR20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1105</v>
      </c>
      <c r="BS20" s="26">
        <v>0.55249999999999999</v>
      </c>
      <c r="BT20" s="27">
        <f>T_fact29392879586572155191[[#This Row],[EQ]]*prize</f>
        <v>59.581600000000002</v>
      </c>
      <c r="BU20" s="71">
        <f>IF(T_init2034474536067150186[[#This Row],[p]]=1,T_fact29392879586572155191[[#This Row],[players]]*T_fact29392879586572155191[[#This Row],[stack]]/chips+COUNTIF(T_fact29392879586572155191[stack],0),T_fact29392879586572155191[[#This Row],[players]]*T_fact29392879586572155191[[#This Row],[stack]]/chips)</f>
        <v>1.6575</v>
      </c>
      <c r="BV20" s="16">
        <f>T_fact29392879586572155191[[#This Row],[ICM]]+bounty*T_fact29392879586572155191[[#This Row],[KO]]</f>
        <v>59.581600000000002</v>
      </c>
      <c r="BY20" s="68">
        <f>'7d Jd разбивка'!p3win* ('7d Jd разбивка'!p1sp1win*T_p3p123372677566370153189[[#This Row],[ICM]] + '7d Jd разбивка'!p2sp1win*T_p3p224382778576471154190[[#This Row],[ICM]] + tiesp1*T_p3p22438277857647175158194[[#This Row],[ICM]])
+'7d Jd разбивка'!p2win*T_p222362576556269152188[[#This Row],[ICM]]
+'7d Jd разбивка'!p1win*T_p121351975546168151187[[#This Row],[ICM]]
+'7d Jd разбивка'!tie*T_p22236257655626974157193[[#This Row],[ICM]]</f>
        <v>28.033140575799997</v>
      </c>
      <c r="BZ20" s="72">
        <f>('7d Jd разбивка'!p3win* ('7d Jd разбивка'!p1sp1win*T_p3p123372677566370153189[[#This Row],[KO]] + '7d Jd разбивка'!p2sp1win*T_p3p224382778576471154190[[#This Row],[KO]])
+'7d Jd разбивка'!p2win*T_p222362576556269152188[[#This Row],[KO]]
+'7d Jd разбивка'!p1win*T_p121351975546168151187[[#This Row],[KO]])*bounty</f>
        <v>0</v>
      </c>
      <c r="CA20" s="72">
        <f>'7d Jd разбивка'!p3win* ('7d Jd разбивка'!p1sp1win*T_p3p123372677566370153189[[#This Row],[$stack]] + '7d Jd разбивка'!p2sp1win*T_p3p224382778576471154190[[#This Row],[$stack]])
+'7d Jd разбивка'!p2win*T_p222362576556269152188[[#This Row],[$stack]]
+'7d Jd разбивка'!p1win*T_p121351975546168151187[[#This Row],[$stack]]</f>
        <v>25.207395373599997</v>
      </c>
      <c r="CB20" s="72">
        <f>'7d Jd разбивка'!p3win* ('7d Jd разбивка'!p1sp1win*T_p3p123372677566370153189[[#This Row],[stack]] + '7d Jd разбивка'!p2sp1win*T_p3p224382778576471154190[[#This Row],[stack]] + tiesp1*T_p3p22438277857647175158194[[#This Row],[stack]])
+'7d Jd разбивка'!p2win*T_p222362576556269152188[[#This Row],[stack]]
+'7d Jd разбивка'!p1win*T_p121351975546168151187[[#This Row],[stack]]
+tie*T_p22236257655626974157193[[#This Row],[stack]]</f>
        <v>519.90245874999994</v>
      </c>
      <c r="CC20" s="72">
        <f>T_fact29392879586572155191[[#This Row],[stack]]- T_init2034474536067150186[[#This Row],[stack]]</f>
        <v>615</v>
      </c>
      <c r="CD20" s="72">
        <f>T_EV33403080596673156192[[#This Row],[netwon]]+T_EV33403080596673156192[[#This Row],[cEVdiff]]</f>
        <v>29.902458749999937</v>
      </c>
      <c r="CE20" s="2">
        <f>T_EV33403080596673156192[[#This Row],[chipEV]]-T_fact29392879586572155191[[#This Row],[stack]]</f>
        <v>-585.09754125000006</v>
      </c>
      <c r="CF20" s="2">
        <f>T_EV33403080596673156192[[#This Row],[EV]]-(T_fact29392879586572155191[[#This Row],[ICM]])</f>
        <v>-34.374204626400001</v>
      </c>
    </row>
    <row r="21" spans="1:84" x14ac:dyDescent="0.25">
      <c r="B21">
        <v>0</v>
      </c>
      <c r="F21" s="5">
        <f>COUNTIF(T_p121351975546168151187[stack],"&gt;0")</f>
        <v>2</v>
      </c>
      <c r="G21">
        <f>IF(T_init2034474536067150186[[#This Row],[p]]=1,mainpot+sidepot1+sidepot2+uncalled,IF(T_init2034474536067150186[[#This Row],[p]]&gt;1,0,T_init2034474536067150186[[#This Row],[stack]]-T_init2034474536067150186[[#This Row],[anteblinds]]))</f>
        <v>0</v>
      </c>
      <c r="I21" s="2">
        <f>T_p121351975546168151187[[#This Row],[EQ]]*prize</f>
        <v>0</v>
      </c>
      <c r="J21" s="66">
        <f>IF(T_init2034474536067150186[[#This Row],[p]]=1,T_p121351975546168151187[[#This Row],[players]]*T_p121351975546168151187[[#This Row],[stack]]/chips+COUNTIF(T_p121351975546168151187[stack],0),T_p121351975546168151187[[#This Row],[players]]*T_p121351975546168151187[[#This Row],[stack]]/chips)</f>
        <v>0</v>
      </c>
      <c r="K21" s="66">
        <f>T_p121351975546168151187[[#This Row],[ICM]]+bounty*T_p121351975546168151187[[#This Row],[KO]]</f>
        <v>0</v>
      </c>
      <c r="M21" s="10">
        <f>COUNTIF(T_p222362576556269152188[stack],"&gt;0")</f>
        <v>3</v>
      </c>
      <c r="N21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0</v>
      </c>
      <c r="O21">
        <v>0</v>
      </c>
      <c r="P21" s="2">
        <f>T_p222362576556269152188[[#This Row],[EQ]]*prize</f>
        <v>0</v>
      </c>
      <c r="Q21" s="66">
        <f>IF(T_init2034474536067150186[[#This Row],[p]]=2,T_p222362576556269152188[[#This Row],[players]]*T_p222362576556269152188[[#This Row],[stack]]/chips+COUNTIF(T_p222362576556269152188[stack],0),T_p222362576556269152188[[#This Row],[players]]*T_p222362576556269152188[[#This Row],[stack]]/chips)</f>
        <v>0</v>
      </c>
      <c r="R21" s="66">
        <f>T_p222362576556269152188[[#This Row],[ICM]]+bounty*T_p222362576556269152188[[#This Row],[KO]]</f>
        <v>0</v>
      </c>
      <c r="S21" s="66"/>
      <c r="T21" s="10">
        <f>COUNTIF(T_p22236257655626974157193[stack],"&gt;0")</f>
        <v>4</v>
      </c>
      <c r="U21" s="26">
        <f>IF(T_init2034474536067150186[[#This Row],[p]]=1,ROUND(uncalled + mainpot/3, 0) + ROUND(sidepot1/2,0),IF(T_init2034474536067150186[[#This Row],[p]]=2,ROUND(mainpot/3,0) + ROUND(sidepot1/2,0),IF(T_init2034474536067150186[[#This Row],[p]]=3, ROUNDUP(mainpot/3,0),T_init2034474536067150186[[#This Row],[stack]]-T_init2034474536067150186[[#This Row],[anteblinds]])))</f>
        <v>0</v>
      </c>
      <c r="V21">
        <v>0</v>
      </c>
      <c r="W21" s="2">
        <f>T_p22236257655626974157193[[#This Row],[EQ]]*prize</f>
        <v>0</v>
      </c>
      <c r="X21" s="66">
        <f>IF(T_init2034474536067150186[[#This Row],[p]]=2,T_p22236257655626974157193[[#This Row],[players]]*T_p22236257655626974157193[[#This Row],[stack]]/chips+COUNTIF(T_p22236257655626974157193[stack],0),T_p22236257655626974157193[[#This Row],[players]]*T_p22236257655626974157193[[#This Row],[stack]]/chips)</f>
        <v>0</v>
      </c>
      <c r="Y21" s="66">
        <f>T_p22236257655626974157193[[#This Row],[ICM]]+bounty*T_p22236257655626974157193[[#This Row],[KO]]</f>
        <v>0</v>
      </c>
      <c r="Z21" s="66"/>
      <c r="AA21" s="10">
        <f>COUNTIF(T_p22236257655626974157159195[stack],"&gt;0")</f>
        <v>3</v>
      </c>
      <c r="AB21" s="26">
        <f>IF(T_init2034474536067150186[[#This Row],[p]]=1,ROUNDDOWN(uncalled + mainpot/2, 0) + ROUNDDOWN(sidepot1/2,0),IF(T_init2034474536067150186[[#This Row],[p]]=2,ROUND(mainpot/2,0) + ROUND(sidepot1/2,0),IF(T_init2034474536067150186[[#This Row],[p]]=3, 0,T_init2034474536067150186[[#This Row],[stack]]-T_init2034474536067150186[[#This Row],[anteblinds]])))</f>
        <v>0</v>
      </c>
      <c r="AC21">
        <v>0</v>
      </c>
      <c r="AD21" s="2">
        <f>T_p22236257655626974157159195[[#This Row],[EQ]]*prize</f>
        <v>0</v>
      </c>
      <c r="AE21" s="66">
        <f>IF(T_init2034474536067150186[[#This Row],[p]]=2,T_p22236257655626974157159195[[#This Row],[players]]*T_p22236257655626974157159195[[#This Row],[stack]]/chips+COUNTIF(T_p22236257655626974157159195[stack],0),T_p22236257655626974157159195[[#This Row],[players]]*T_p22236257655626974157159195[[#This Row],[stack]]/chips)</f>
        <v>0</v>
      </c>
      <c r="AF21" s="66">
        <f>T_p22236257655626974157159195[[#This Row],[ICM]]+bounty*T_p22236257655626974157159195[[#This Row],[KO]]</f>
        <v>0</v>
      </c>
      <c r="AG21" s="66"/>
      <c r="AH21" s="10">
        <f>COUNTIF(T_p22236257655626974157159160196[stack],"&gt;0")</f>
        <v>3</v>
      </c>
      <c r="AI21" s="26">
        <f>IF(T_init2034474536067150186[[#This Row],[p]]=1,ROUNDDOWN(uncalled + mainpot/2, 0) + ROUNDDOWN(sidepot1,0),IF(T_init2034474536067150186[[#This Row],[p]]=2,0,IF(T_init2034474536067150186[[#This Row],[p]]=3, ROUNDUP(mainpot/2,0),T_init2034474536067150186[[#This Row],[stack]]-T_init2034474536067150186[[#This Row],[anteblinds]])))</f>
        <v>0</v>
      </c>
      <c r="AJ21">
        <v>0</v>
      </c>
      <c r="AK21" s="2">
        <f>T_p22236257655626974157159160196[[#This Row],[EQ]]*prize</f>
        <v>0</v>
      </c>
      <c r="AL21" s="66">
        <f>IF(T_init2034474536067150186[[#This Row],[p]]=2,T_p22236257655626974157159160196[[#This Row],[players]]*T_p22236257655626974157159160196[[#This Row],[stack]]/chips+COUNTIF(T_p22236257655626974157159160196[stack],0),T_p22236257655626974157159160196[[#This Row],[players]]*T_p22236257655626974157159160196[[#This Row],[stack]]/chips)</f>
        <v>0</v>
      </c>
      <c r="AM21" s="66">
        <f>T_p22236257655626974157159160196[[#This Row],[ICM]]+bounty*T_p22236257655626974157159160196[[#This Row],[KO]]</f>
        <v>0</v>
      </c>
      <c r="AO21" s="10">
        <f>COUNTIF(T_p22236257655626974157159160161197[stack],"&gt;0")</f>
        <v>4</v>
      </c>
      <c r="AP21" s="26">
        <f>IF(T_init2034474536067150186[[#This Row],[p]]=1,uncalled,IF(T_init2034474536067150186[[#This Row],[p]]=2,ROUNDDOWN(mainpot/2,0) + ROUNDDOWN(sidepot1,0),IF(T_init2034474536067150186[[#This Row],[p]]=3, ROUNDUP(mainpot/2,0),T_init2034474536067150186[[#This Row],[stack]]-T_init2034474536067150186[[#This Row],[anteblinds]])))</f>
        <v>0</v>
      </c>
      <c r="AQ21">
        <v>0</v>
      </c>
      <c r="AR21" s="2">
        <f>T_p22236257655626974157159160161197[[#This Row],[EQ]]*prize</f>
        <v>0</v>
      </c>
      <c r="AS21" s="66">
        <f>IF(T_init2034474536067150186[[#This Row],[p]]=2,T_p22236257655626974157159160161197[[#This Row],[players]]*T_p22236257655626974157159160161197[[#This Row],[stack]]/chips+COUNTIF(T_p22236257655626974157159160161197[stack],0),T_p22236257655626974157159160161197[[#This Row],[players]]*T_p22236257655626974157159160161197[[#This Row],[stack]]/chips)</f>
        <v>0</v>
      </c>
      <c r="AT21" s="66">
        <f>T_p22236257655626974157159160161197[[#This Row],[ICM]]+bounty*T_p22236257655626974157159160161197[[#This Row],[KO]]</f>
        <v>0</v>
      </c>
      <c r="AV21" s="5">
        <f>COUNTIF(T_p3p123372677566370153189[stack],"&gt;0")</f>
        <v>3</v>
      </c>
      <c r="AW21" s="26">
        <f>IF(T_init2034474536067150186[[#This Row],[p]]=1,sidepot1+uncalled,IF(T_init2034474536067150186[[#This Row],[p]]=3,mainpot,IF(ISBLANK(T_init2034474536067150186[[#This Row],[p]]),T_init2034474536067150186[[#This Row],[stack]]-T_init2034474536067150186[[#This Row],[anteblinds]],0)))</f>
        <v>0</v>
      </c>
      <c r="AX21">
        <v>0</v>
      </c>
      <c r="AY21" s="2">
        <f>T_p3p123372677566370153189[[#This Row],[EQ]]*prize</f>
        <v>0</v>
      </c>
      <c r="AZ21" s="66">
        <f>IF(T_init2034474536067150186[[#This Row],[p]]=1,T_p3p123372677566370153189[[#This Row],[players]]*T_p3p123372677566370153189[[#This Row],[stack]]/chips+COUNTIF(T_p3p123372677566370153189[stack],0),T_p3p123372677566370153189[[#This Row],[players]]*T_p3p123372677566370153189[[#This Row],[stack]]/chips)</f>
        <v>0</v>
      </c>
      <c r="BA21" s="66">
        <f>T_p3p123372677566370153189[[#This Row],[ICM]]+bounty*T_p3p123372677566370153189[[#This Row],[KO]]</f>
        <v>0</v>
      </c>
      <c r="BC21" s="5">
        <f>COUNTIF(T_p3p224382778576471154190[stack],"&gt;0")</f>
        <v>4</v>
      </c>
      <c r="BD21">
        <f>IF(T_init2034474536067150186[[#This Row],[p]]=1,uncalled,IF(T_init2034474536067150186[[#This Row],[p]]=2,sidepot1,IF(T_init2034474536067150186[[#This Row],[p]]=3,mainpot,IF(ISBLANK(T_init2034474536067150186[[#This Row],[p]]),T_init2034474536067150186[[#This Row],[stack]]-T_init2034474536067150186[[#This Row],[anteblinds]],0))))</f>
        <v>0</v>
      </c>
      <c r="BE21">
        <v>0</v>
      </c>
      <c r="BF21" s="2">
        <f>T_p3p224382778576471154190[[#This Row],[EQ]]*prize</f>
        <v>0</v>
      </c>
      <c r="BG21" s="66">
        <f>IF(T_init2034474536067150186[[#This Row],[p]]=2,T_p3p224382778576471154190[[#This Row],[players]]*T_p3p224382778576471154190[[#This Row],[stack]]/chips+COUNTIF(T_p3p224382778576471154190[stack],0),T_p3p224382778576471154190[[#This Row],[players]]*T_p3p224382778576471154190[[#This Row],[stack]]/chips)</f>
        <v>0</v>
      </c>
      <c r="BH21" s="16">
        <f>T_p3p224382778576471154190[[#This Row],[ICM]]+bounty*T_p3p224382778576471154190[[#This Row],[KO]]</f>
        <v>0</v>
      </c>
      <c r="BJ21" s="5">
        <f>COUNTIF(T_p3p22438277857647175158194[stack],"&gt;0")</f>
        <v>4</v>
      </c>
      <c r="BK21">
        <f>IF(T_init2034474536067150186[[#This Row],[p]]=1,uncalled + ROUND(sidepot1/2,0),IF(T_init2034474536067150186[[#This Row],[p]]=2,ROUND(sidepot1/2,0),IF(T_init2034474536067150186[[#This Row],[p]]=3,mainpot,IF(ISBLANK(T_init2034474536067150186[[#This Row],[p]]),T_init2034474536067150186[[#This Row],[stack]]-T_init2034474536067150186[[#This Row],[anteblinds]],0))))</f>
        <v>0</v>
      </c>
      <c r="BL21">
        <v>0</v>
      </c>
      <c r="BM21" s="2">
        <f>T_p3p22438277857647175158194[[#This Row],[EQ]]*prize</f>
        <v>0</v>
      </c>
      <c r="BN21" s="66">
        <f>IF(T_init2034474536067150186[[#This Row],[p]]=2,T_p3p22438277857647175158194[[#This Row],[players]]*T_p3p22438277857647175158194[[#This Row],[stack]]/chips+COUNTIF(T_p3p22438277857647175158194[stack],0),T_p3p22438277857647175158194[[#This Row],[players]]*T_p3p22438277857647175158194[[#This Row],[stack]]/chips)</f>
        <v>0</v>
      </c>
      <c r="BO21" s="16">
        <f>T_p3p22438277857647175158194[[#This Row],[ICM]]+bounty*T_p3p22438277857647175158194[[#This Row],[KO]]</f>
        <v>0</v>
      </c>
      <c r="BQ21" s="73">
        <v>3</v>
      </c>
      <c r="BR21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0</v>
      </c>
      <c r="BS21">
        <v>0</v>
      </c>
      <c r="BT21" s="2">
        <f>T_fact29392879586572155191[[#This Row],[EQ]]*prize</f>
        <v>0</v>
      </c>
      <c r="BU21" s="66">
        <f>IF(T_init2034474536067150186[[#This Row],[p]]=1,T_fact29392879586572155191[[#This Row],[players]]*T_fact29392879586572155191[[#This Row],[stack]]/chips+COUNTIF(T_fact29392879586572155191[stack],0),T_fact29392879586572155191[[#This Row],[players]]*T_fact29392879586572155191[[#This Row],[stack]]/chips)</f>
        <v>0</v>
      </c>
      <c r="BV21" s="16">
        <f>T_fact29392879586572155191[[#This Row],[ICM]]+bounty*T_fact29392879586572155191[[#This Row],[KO]]</f>
        <v>0</v>
      </c>
      <c r="BY21" s="68">
        <f>'7d Jd разбивка'!p3win* ('7d Jd разбивка'!p1sp1win*T_p3p123372677566370153189[[#This Row],[ICM]] + '7d Jd разбивка'!p2sp1win*T_p3p224382778576471154190[[#This Row],[ICM]] + tiesp1*T_p3p22438277857647175158194[[#This Row],[ICM]])
+'7d Jd разбивка'!p2win*T_p222362576556269152188[[#This Row],[ICM]]
+'7d Jd разбивка'!p1win*T_p121351975546168151187[[#This Row],[ICM]]
+'7d Jd разбивка'!tie*T_p22236257655626974157193[[#This Row],[ICM]]</f>
        <v>0</v>
      </c>
      <c r="BZ21" s="68">
        <f>('7d Jd разбивка'!p3win* ('7d Jd разбивка'!p1sp1win*T_p3p123372677566370153189[[#This Row],[KO]] + '7d Jd разбивка'!p2sp1win*T_p3p224382778576471154190[[#This Row],[KO]])
+'7d Jd разбивка'!p2win*T_p222362576556269152188[[#This Row],[KO]]
+'7d Jd разбивка'!p1win*T_p121351975546168151187[[#This Row],[KO]])*bounty</f>
        <v>0</v>
      </c>
      <c r="CA21" s="68">
        <f>'7d Jd разбивка'!p3win* ('7d Jd разбивка'!p1sp1win*T_p3p123372677566370153189[[#This Row],[$stack]] + '7d Jd разбивка'!p2sp1win*T_p3p224382778576471154190[[#This Row],[$stack]])
+'7d Jd разбивка'!p2win*T_p222362576556269152188[[#This Row],[$stack]]
+'7d Jd разбивка'!p1win*T_p121351975546168151187[[#This Row],[$stack]]</f>
        <v>0</v>
      </c>
      <c r="CB21" s="68">
        <f>'7d Jd разбивка'!p3win* ('7d Jd разбивка'!p1sp1win*T_p3p123372677566370153189[[#This Row],[stack]] + '7d Jd разбивка'!p2sp1win*T_p3p224382778576471154190[[#This Row],[stack]] + tiesp1*T_p3p22438277857647175158194[[#This Row],[stack]])
+'7d Jd разбивка'!p2win*T_p222362576556269152188[[#This Row],[stack]]
+'7d Jd разбивка'!p1win*T_p121351975546168151187[[#This Row],[stack]]
+tie*T_p22236257655626974157193[[#This Row],[stack]]</f>
        <v>0</v>
      </c>
      <c r="CC21" s="68">
        <f>T_fact29392879586572155191[[#This Row],[stack]]- T_init2034474536067150186[[#This Row],[stack]]</f>
        <v>0</v>
      </c>
      <c r="CD21" s="68">
        <f>T_EV33403080596673156192[[#This Row],[netwon]]+T_EV33403080596673156192[[#This Row],[cEVdiff]]</f>
        <v>0</v>
      </c>
      <c r="CE21" s="2">
        <f>T_EV33403080596673156192[[#This Row],[chipEV]]-T_fact29392879586572155191[[#This Row],[stack]]</f>
        <v>0</v>
      </c>
      <c r="CF21" s="2">
        <f>T_EV33403080596673156192[[#This Row],[EV]]-(T_fact29392879586572155191[[#This Row],[ICM]])</f>
        <v>0</v>
      </c>
    </row>
    <row r="22" spans="1:84" x14ac:dyDescent="0.25">
      <c r="B22">
        <v>0</v>
      </c>
      <c r="F22" s="5">
        <f>COUNTIF(T_p121351975546168151187[stack],"&gt;0")</f>
        <v>2</v>
      </c>
      <c r="G22">
        <f>IF(T_init2034474536067150186[[#This Row],[p]]=1,mainpot+sidepot1+sidepot2+uncalled,IF(T_init2034474536067150186[[#This Row],[p]]&gt;1,0,T_init2034474536067150186[[#This Row],[stack]]-T_init2034474536067150186[[#This Row],[anteblinds]]))</f>
        <v>0</v>
      </c>
      <c r="I22" s="2">
        <f>T_p121351975546168151187[[#This Row],[EQ]]*prize</f>
        <v>0</v>
      </c>
      <c r="J22" s="66">
        <f>IF(T_init2034474536067150186[[#This Row],[p]]=1,T_p121351975546168151187[[#This Row],[players]]*T_p121351975546168151187[[#This Row],[stack]]/chips+COUNTIF(T_p121351975546168151187[stack],0),T_p121351975546168151187[[#This Row],[players]]*T_p121351975546168151187[[#This Row],[stack]]/chips)</f>
        <v>0</v>
      </c>
      <c r="K22" s="66">
        <f>T_p121351975546168151187[[#This Row],[ICM]]+bounty*T_p121351975546168151187[[#This Row],[KO]]</f>
        <v>0</v>
      </c>
      <c r="M22" s="10">
        <f>COUNTIF(T_p222362576556269152188[stack],"&gt;0")</f>
        <v>3</v>
      </c>
      <c r="N22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0</v>
      </c>
      <c r="P22" s="2">
        <f>T_p222362576556269152188[[#This Row],[EQ]]*prize</f>
        <v>0</v>
      </c>
      <c r="Q22" s="66">
        <f>IF(T_init2034474536067150186[[#This Row],[p]]=2,T_p222362576556269152188[[#This Row],[players]]*T_p222362576556269152188[[#This Row],[stack]]/chips+COUNTIF(T_p222362576556269152188[stack],0),T_p222362576556269152188[[#This Row],[players]]*T_p222362576556269152188[[#This Row],[stack]]/chips)</f>
        <v>0</v>
      </c>
      <c r="R22" s="66">
        <f>T_p222362576556269152188[[#This Row],[ICM]]+bounty*T_p222362576556269152188[[#This Row],[KO]]</f>
        <v>0</v>
      </c>
      <c r="S22" s="66"/>
      <c r="T22" s="10">
        <f>COUNTIF(T_p22236257655626974157193[stack],"&gt;0")</f>
        <v>4</v>
      </c>
      <c r="U22" s="26">
        <f>IF(T_init2034474536067150186[[#This Row],[p]]=1,ROUND(uncalled + mainpot/3, 0) + ROUND(sidepot1/2,0),IF(T_init2034474536067150186[[#This Row],[p]]=2,ROUND(mainpot/3,0) + ROUND(sidepot1/2,0),IF(T_init2034474536067150186[[#This Row],[p]]=3, ROUNDUP(mainpot/3,0),T_init2034474536067150186[[#This Row],[stack]]-T_init2034474536067150186[[#This Row],[anteblinds]])))</f>
        <v>0</v>
      </c>
      <c r="W22" s="2">
        <f>T_p22236257655626974157193[[#This Row],[EQ]]*prize</f>
        <v>0</v>
      </c>
      <c r="X22" s="66">
        <f>IF(T_init2034474536067150186[[#This Row],[p]]=2,T_p22236257655626974157193[[#This Row],[players]]*T_p22236257655626974157193[[#This Row],[stack]]/chips+COUNTIF(T_p22236257655626974157193[stack],0),T_p22236257655626974157193[[#This Row],[players]]*T_p22236257655626974157193[[#This Row],[stack]]/chips)</f>
        <v>0</v>
      </c>
      <c r="Y22" s="66">
        <f>T_p22236257655626974157193[[#This Row],[ICM]]+bounty*T_p22236257655626974157193[[#This Row],[KO]]</f>
        <v>0</v>
      </c>
      <c r="Z22" s="66"/>
      <c r="AA22" s="10">
        <f>COUNTIF(T_p22236257655626974157159195[stack],"&gt;0")</f>
        <v>3</v>
      </c>
      <c r="AB22" s="26">
        <f>IF(T_init2034474536067150186[[#This Row],[p]]=1,ROUNDDOWN(uncalled + mainpot/2, 0) + ROUNDDOWN(sidepot1/2,0),IF(T_init2034474536067150186[[#This Row],[p]]=2,ROUND(mainpot/2,0) + ROUND(sidepot1/2,0),IF(T_init2034474536067150186[[#This Row],[p]]=3, 0,T_init2034474536067150186[[#This Row],[stack]]-T_init2034474536067150186[[#This Row],[anteblinds]])))</f>
        <v>0</v>
      </c>
      <c r="AD22" s="2">
        <f>T_p22236257655626974157159195[[#This Row],[EQ]]*prize</f>
        <v>0</v>
      </c>
      <c r="AE22" s="66">
        <f>IF(T_init2034474536067150186[[#This Row],[p]]=2,T_p22236257655626974157159195[[#This Row],[players]]*T_p22236257655626974157159195[[#This Row],[stack]]/chips+COUNTIF(T_p22236257655626974157159195[stack],0),T_p22236257655626974157159195[[#This Row],[players]]*T_p22236257655626974157159195[[#This Row],[stack]]/chips)</f>
        <v>0</v>
      </c>
      <c r="AF22" s="66">
        <f>T_p22236257655626974157159195[[#This Row],[ICM]]+bounty*T_p22236257655626974157159195[[#This Row],[KO]]</f>
        <v>0</v>
      </c>
      <c r="AG22" s="66"/>
      <c r="AH22" s="10">
        <f>COUNTIF(T_p22236257655626974157159160196[stack],"&gt;0")</f>
        <v>3</v>
      </c>
      <c r="AI22" s="26">
        <f>IF(T_init2034474536067150186[[#This Row],[p]]=1,ROUNDDOWN(uncalled + mainpot/2, 0) + ROUNDDOWN(sidepot1,0),IF(T_init2034474536067150186[[#This Row],[p]]=2,0,IF(T_init2034474536067150186[[#This Row],[p]]=3, ROUNDUP(mainpot/2,0),T_init2034474536067150186[[#This Row],[stack]]-T_init2034474536067150186[[#This Row],[anteblinds]])))</f>
        <v>0</v>
      </c>
      <c r="AK22" s="2">
        <f>T_p22236257655626974157159160196[[#This Row],[EQ]]*prize</f>
        <v>0</v>
      </c>
      <c r="AL22" s="66">
        <f>IF(T_init2034474536067150186[[#This Row],[p]]=2,T_p22236257655626974157159160196[[#This Row],[players]]*T_p22236257655626974157159160196[[#This Row],[stack]]/chips+COUNTIF(T_p22236257655626974157159160196[stack],0),T_p22236257655626974157159160196[[#This Row],[players]]*T_p22236257655626974157159160196[[#This Row],[stack]]/chips)</f>
        <v>0</v>
      </c>
      <c r="AM22" s="66">
        <f>T_p22236257655626974157159160196[[#This Row],[ICM]]+bounty*T_p22236257655626974157159160196[[#This Row],[KO]]</f>
        <v>0</v>
      </c>
      <c r="AO22" s="10">
        <f>COUNTIF(T_p22236257655626974157159160161197[stack],"&gt;0")</f>
        <v>4</v>
      </c>
      <c r="AP22" s="26">
        <f>IF(T_init2034474536067150186[[#This Row],[p]]=1,uncalled,IF(T_init2034474536067150186[[#This Row],[p]]=2,ROUNDDOWN(mainpot/2,0) + ROUNDDOWN(sidepot1,0),IF(T_init2034474536067150186[[#This Row],[p]]=3, ROUNDUP(mainpot/2,0),T_init2034474536067150186[[#This Row],[stack]]-T_init2034474536067150186[[#This Row],[anteblinds]])))</f>
        <v>0</v>
      </c>
      <c r="AR22" s="2">
        <f>T_p22236257655626974157159160161197[[#This Row],[EQ]]*prize</f>
        <v>0</v>
      </c>
      <c r="AS22" s="66">
        <f>IF(T_init2034474536067150186[[#This Row],[p]]=2,T_p22236257655626974157159160161197[[#This Row],[players]]*T_p22236257655626974157159160161197[[#This Row],[stack]]/chips+COUNTIF(T_p22236257655626974157159160161197[stack],0),T_p22236257655626974157159160161197[[#This Row],[players]]*T_p22236257655626974157159160161197[[#This Row],[stack]]/chips)</f>
        <v>0</v>
      </c>
      <c r="AT22" s="66">
        <f>T_p22236257655626974157159160161197[[#This Row],[ICM]]+bounty*T_p22236257655626974157159160161197[[#This Row],[KO]]</f>
        <v>0</v>
      </c>
      <c r="AV22" s="5">
        <f>COUNTIF(T_p3p123372677566370153189[stack],"&gt;0")</f>
        <v>3</v>
      </c>
      <c r="AW22" s="26">
        <f>IF(T_init2034474536067150186[[#This Row],[p]]=1,sidepot1+uncalled,IF(T_init2034474536067150186[[#This Row],[p]]=3,mainpot,IF(ISBLANK(T_init2034474536067150186[[#This Row],[p]]),T_init2034474536067150186[[#This Row],[stack]]-T_init2034474536067150186[[#This Row],[anteblinds]],0)))</f>
        <v>0</v>
      </c>
      <c r="AX22">
        <v>0</v>
      </c>
      <c r="AY22" s="2">
        <f>T_p3p123372677566370153189[[#This Row],[EQ]]*prize</f>
        <v>0</v>
      </c>
      <c r="AZ22" s="66">
        <f>IF(T_init2034474536067150186[[#This Row],[p]]=1,T_p3p123372677566370153189[[#This Row],[players]]*T_p3p123372677566370153189[[#This Row],[stack]]/chips+COUNTIF(T_p3p123372677566370153189[stack],0),T_p3p123372677566370153189[[#This Row],[players]]*T_p3p123372677566370153189[[#This Row],[stack]]/chips)</f>
        <v>0</v>
      </c>
      <c r="BA22" s="66">
        <f>T_p3p123372677566370153189[[#This Row],[ICM]]+bounty*T_p3p123372677566370153189[[#This Row],[KO]]</f>
        <v>0</v>
      </c>
      <c r="BC22" s="5">
        <f>COUNTIF(T_p3p224382778576471154190[stack],"&gt;0")</f>
        <v>4</v>
      </c>
      <c r="BD22">
        <f>IF(T_init2034474536067150186[[#This Row],[p]]=1,uncalled,IF(T_init2034474536067150186[[#This Row],[p]]=2,sidepot1,IF(T_init2034474536067150186[[#This Row],[p]]=3,mainpot,IF(ISBLANK(T_init2034474536067150186[[#This Row],[p]]),T_init2034474536067150186[[#This Row],[stack]]-T_init2034474536067150186[[#This Row],[anteblinds]],0))))</f>
        <v>0</v>
      </c>
      <c r="BE22">
        <v>0</v>
      </c>
      <c r="BF22" s="2">
        <f>T_p3p224382778576471154190[[#This Row],[EQ]]*prize</f>
        <v>0</v>
      </c>
      <c r="BG22" s="66">
        <f>IF(T_init2034474536067150186[[#This Row],[p]]=2,T_p3p224382778576471154190[[#This Row],[players]]*T_p3p224382778576471154190[[#This Row],[stack]]/chips+COUNTIF(T_p3p224382778576471154190[stack],0),T_p3p224382778576471154190[[#This Row],[players]]*T_p3p224382778576471154190[[#This Row],[stack]]/chips)</f>
        <v>0</v>
      </c>
      <c r="BH22" s="16">
        <f>T_p3p224382778576471154190[[#This Row],[ICM]]+bounty*T_p3p224382778576471154190[[#This Row],[KO]]</f>
        <v>0</v>
      </c>
      <c r="BJ22" s="5">
        <f>COUNTIF(T_p3p22438277857647175158194[stack],"&gt;0")</f>
        <v>4</v>
      </c>
      <c r="BK22">
        <f>IF(T_init2034474536067150186[[#This Row],[p]]=1,uncalled + ROUND(sidepot1/2,0),IF(T_init2034474536067150186[[#This Row],[p]]=2,ROUND(sidepot1/2,0),IF(T_init2034474536067150186[[#This Row],[p]]=3,mainpot,IF(ISBLANK(T_init2034474536067150186[[#This Row],[p]]),T_init2034474536067150186[[#This Row],[stack]]-T_init2034474536067150186[[#This Row],[anteblinds]],0))))</f>
        <v>0</v>
      </c>
      <c r="BL22">
        <v>0</v>
      </c>
      <c r="BM22" s="2">
        <f>T_p3p22438277857647175158194[[#This Row],[EQ]]*prize</f>
        <v>0</v>
      </c>
      <c r="BN22" s="66">
        <f>IF(T_init2034474536067150186[[#This Row],[p]]=2,T_p3p22438277857647175158194[[#This Row],[players]]*T_p3p22438277857647175158194[[#This Row],[stack]]/chips+COUNTIF(T_p3p22438277857647175158194[stack],0),T_p3p22438277857647175158194[[#This Row],[players]]*T_p3p22438277857647175158194[[#This Row],[stack]]/chips)</f>
        <v>0</v>
      </c>
      <c r="BO22" s="16">
        <f>T_p3p22438277857647175158194[[#This Row],[ICM]]+bounty*T_p3p22438277857647175158194[[#This Row],[KO]]</f>
        <v>0</v>
      </c>
      <c r="BQ22" s="73">
        <v>3</v>
      </c>
      <c r="BR22" s="26">
        <f>IF(T_init2034474536067150186[[#This Row],[p]]=1,uncalled,IF(T_init2034474536067150186[[#This Row],[p]]=2,mainpot+sidepot1+sidepot2,IF(T_init2034474536067150186[[#This Row],[p]]&gt;2,0,T_init2034474536067150186[[#This Row],[stack]]-T_init2034474536067150186[[#This Row],[anteblinds]])))</f>
        <v>0</v>
      </c>
      <c r="BT22" s="2">
        <f>T_fact29392879586572155191[[#This Row],[EQ]]*prize</f>
        <v>0</v>
      </c>
      <c r="BU22" s="66">
        <f>IF(T_init2034474536067150186[[#This Row],[p]]=1,T_fact29392879586572155191[[#This Row],[players]]*T_fact29392879586572155191[[#This Row],[stack]]/chips+COUNTIF(T_fact29392879586572155191[stack],0),T_fact29392879586572155191[[#This Row],[players]]*T_fact29392879586572155191[[#This Row],[stack]]/chips)</f>
        <v>0</v>
      </c>
      <c r="BV22" s="16">
        <f>T_fact29392879586572155191[[#This Row],[ICM]]+bounty*T_fact29392879586572155191[[#This Row],[KO]]</f>
        <v>0</v>
      </c>
      <c r="BY22" s="68">
        <f>'7d Jd разбивка'!p3win* ('7d Jd разбивка'!p1sp1win*T_p3p123372677566370153189[[#This Row],[ICM]] + '7d Jd разбивка'!p2sp1win*T_p3p224382778576471154190[[#This Row],[ICM]] + tiesp1*T_p3p22438277857647175158194[[#This Row],[ICM]])
+'7d Jd разбивка'!p2win*T_p222362576556269152188[[#This Row],[ICM]]
+'7d Jd разбивка'!p1win*T_p121351975546168151187[[#This Row],[ICM]]
+'7d Jd разбивка'!tie*T_p22236257655626974157193[[#This Row],[ICM]]</f>
        <v>0</v>
      </c>
      <c r="BZ22" s="68">
        <f>('7d Jd разбивка'!p3win* ('7d Jd разбивка'!p1sp1win*T_p3p123372677566370153189[[#This Row],[KO]] + '7d Jd разбивка'!p2sp1win*T_p3p224382778576471154190[[#This Row],[KO]])
+'7d Jd разбивка'!p2win*T_p222362576556269152188[[#This Row],[KO]]
+'7d Jd разбивка'!p1win*T_p121351975546168151187[[#This Row],[KO]])*bounty</f>
        <v>0</v>
      </c>
      <c r="CA22" s="68">
        <f>'7d Jd разбивка'!p3win* ('7d Jd разбивка'!p1sp1win*T_p3p123372677566370153189[[#This Row],[$stack]] + '7d Jd разбивка'!p2sp1win*T_p3p224382778576471154190[[#This Row],[$stack]])
+'7d Jd разбивка'!p2win*T_p222362576556269152188[[#This Row],[$stack]]
+'7d Jd разбивка'!p1win*T_p121351975546168151187[[#This Row],[$stack]]</f>
        <v>0</v>
      </c>
      <c r="CB22" s="68">
        <f>'7d Jd разбивка'!p3win* ('7d Jd разбивка'!p1sp1win*T_p3p123372677566370153189[[#This Row],[stack]] + '7d Jd разбивка'!p2sp1win*T_p3p224382778576471154190[[#This Row],[stack]] + tiesp1*T_p3p22438277857647175158194[[#This Row],[stack]])
+'7d Jd разбивка'!p2win*T_p222362576556269152188[[#This Row],[stack]]
+'7d Jd разбивка'!p1win*T_p121351975546168151187[[#This Row],[stack]]
+tie*T_p22236257655626974157193[[#This Row],[stack]]</f>
        <v>0</v>
      </c>
      <c r="CC22" s="68">
        <f>T_fact29392879586572155191[[#This Row],[stack]]- T_init2034474536067150186[[#This Row],[stack]]</f>
        <v>0</v>
      </c>
      <c r="CD22" s="68">
        <f>T_EV33403080596673156192[[#This Row],[netwon]]+T_EV33403080596673156192[[#This Row],[cEVdiff]]</f>
        <v>0</v>
      </c>
      <c r="CE22" s="2">
        <f>T_EV33403080596673156192[[#This Row],[chipEV]]-T_fact29392879586572155191[[#This Row],[stack]]</f>
        <v>0</v>
      </c>
      <c r="CF22" s="2">
        <f>T_EV33403080596673156192[[#This Row],[EV]]-(T_fact29392879586572155191[[#This Row],[ICM]])</f>
        <v>0</v>
      </c>
    </row>
    <row r="23" spans="1:84" x14ac:dyDescent="0.25">
      <c r="A23" t="s">
        <v>95</v>
      </c>
      <c r="D23">
        <f>SUBTOTAL(109,T_init2034474536067150186[anteblinds])</f>
        <v>115</v>
      </c>
      <c r="F23" s="53"/>
      <c r="G23" s="50">
        <f>SUM(T_p121351975546168151187[stack])</f>
        <v>2000</v>
      </c>
      <c r="H23" s="50">
        <f>SUM(T_p121351975546168151187[EQ])</f>
        <v>1</v>
      </c>
      <c r="I23" s="50">
        <f>SUM(T_p121351975546168151187[ICM])</f>
        <v>107.83999999999999</v>
      </c>
      <c r="J23" s="50">
        <f>SUM(T_p121351975546168151187[KO])</f>
        <v>6</v>
      </c>
      <c r="K23" s="50">
        <f>SUM(T_p121351975546168151187[$stack])</f>
        <v>107.83999999999999</v>
      </c>
      <c r="M23" s="53"/>
      <c r="N23" s="55">
        <f>SUM(T_p222362576556269152188[stack])</f>
        <v>2000</v>
      </c>
      <c r="O23" s="50">
        <f>SUM(T_p222362576556269152188[EQ])</f>
        <v>1</v>
      </c>
      <c r="P23" s="51">
        <f>SUM(T_p222362576556269152188[ICM])</f>
        <v>107.84</v>
      </c>
      <c r="Q23" s="52">
        <f>SUM(T_p222362576556269152188[KO])</f>
        <v>6</v>
      </c>
      <c r="R23" s="50">
        <f>SUM(T_p222362576556269152188[$stack])</f>
        <v>107.84</v>
      </c>
      <c r="T23" s="53"/>
      <c r="U23" s="55">
        <f>SUM(T_p22236257655626974157193[stack])</f>
        <v>2000</v>
      </c>
      <c r="V23" s="50">
        <f>SUM(T_p22236257655626974157193[EQ])</f>
        <v>1</v>
      </c>
      <c r="W23" s="51">
        <f>SUM(T_p22236257655626974157193[ICM])</f>
        <v>107.84</v>
      </c>
      <c r="X23" s="52">
        <f>SUM(T_p22236257655626974157193[KO])</f>
        <v>6</v>
      </c>
      <c r="Y23" s="50">
        <f>SUM(T_p22236257655626974157193[$stack])</f>
        <v>107.84</v>
      </c>
      <c r="AA23" s="53"/>
      <c r="AB23" s="55">
        <f>SUM(T_p22236257655626974157159195[stack])</f>
        <v>2000</v>
      </c>
      <c r="AC23" s="50">
        <f>SUM(T_p22236257655626974157159195[EQ])</f>
        <v>1</v>
      </c>
      <c r="AD23" s="51">
        <f>SUM(T_p22236257655626974157159195[ICM])</f>
        <v>107.84</v>
      </c>
      <c r="AE23" s="52">
        <f>SUM(T_p22236257655626974157159195[KO])</f>
        <v>6</v>
      </c>
      <c r="AF23" s="50">
        <f>SUM(T_p22236257655626974157159195[$stack])</f>
        <v>107.84</v>
      </c>
      <c r="AH23" s="53"/>
      <c r="AI23" s="55">
        <f>SUM(T_p22236257655626974157159160196[stack])</f>
        <v>2000</v>
      </c>
      <c r="AJ23" s="50">
        <f>SUM(T_p22236257655626974157159160196[EQ])</f>
        <v>1</v>
      </c>
      <c r="AK23" s="51">
        <f>SUM(T_p22236257655626974157159160196[ICM])</f>
        <v>107.84</v>
      </c>
      <c r="AL23" s="52">
        <f>SUM(T_p22236257655626974157159160196[KO])</f>
        <v>6</v>
      </c>
      <c r="AM23" s="50">
        <f>SUM(T_p22236257655626974157159160196[$stack])</f>
        <v>107.84</v>
      </c>
      <c r="AO23" s="53"/>
      <c r="AP23" s="55">
        <f>SUM(T_p22236257655626974157159160161197[stack])</f>
        <v>2000</v>
      </c>
      <c r="AQ23" s="50">
        <f>SUM(T_p22236257655626974157159160161197[EQ])</f>
        <v>1</v>
      </c>
      <c r="AR23" s="51">
        <f>SUM(T_p22236257655626974157159160161197[ICM])</f>
        <v>107.84</v>
      </c>
      <c r="AS23" s="52">
        <f>SUM(T_p22236257655626974157159160161197[KO])</f>
        <v>6</v>
      </c>
      <c r="AT23" s="50">
        <f>SUM(T_p22236257655626974157159160161197[$stack])</f>
        <v>107.84</v>
      </c>
      <c r="AV23" s="53"/>
      <c r="AW23" s="55">
        <f>SUM(T_p3p123372677566370153189[stack])</f>
        <v>2000</v>
      </c>
      <c r="AX23" s="50">
        <f>SUM(T_p3p123372677566370153189[EQ])</f>
        <v>1</v>
      </c>
      <c r="AY23" s="51">
        <f>SUM(T_p3p123372677566370153189[ICM])</f>
        <v>107.84</v>
      </c>
      <c r="AZ23" s="52">
        <f>SUM(T_p3p123372677566370153189[KO])</f>
        <v>6</v>
      </c>
      <c r="BA23" s="50">
        <f>SUM(T_p3p123372677566370153189[$stack])</f>
        <v>107.84</v>
      </c>
      <c r="BC23" s="53"/>
      <c r="BD23" s="55">
        <f>SUM(T_p3p224382778576471154190[stack])</f>
        <v>2000</v>
      </c>
      <c r="BE23" s="50">
        <f>SUM(T_p3p224382778576471154190[EQ])</f>
        <v>1</v>
      </c>
      <c r="BF23" s="51">
        <f>SUM(T_p3p224382778576471154190[ICM])</f>
        <v>107.84</v>
      </c>
      <c r="BG23" s="52">
        <f>SUM(T_p3p224382778576471154190[KO])</f>
        <v>6</v>
      </c>
      <c r="BH23" s="50">
        <f>SUM(T_p3p123372677566370153189[$stack])</f>
        <v>107.84</v>
      </c>
      <c r="BJ23" s="53"/>
      <c r="BK23" s="55">
        <f>SUM(T_p3p22438277857647175158194[stack])</f>
        <v>2000</v>
      </c>
      <c r="BL23" s="50">
        <f>SUM(T_p3p22438277857647175158194[EQ])</f>
        <v>1</v>
      </c>
      <c r="BM23" s="51">
        <f>SUM(T_p3p22438277857647175158194[ICM])</f>
        <v>107.84</v>
      </c>
      <c r="BN23" s="52">
        <f>SUM(T_p3p22438277857647175158194[KO])</f>
        <v>6</v>
      </c>
      <c r="BO23" s="50">
        <f>SUM(T_p3p123372677566370153189[$stack])</f>
        <v>107.84</v>
      </c>
      <c r="BQ23" s="53"/>
      <c r="BR23" s="55">
        <f>SUM(T_fact29392879586572155191[stack])</f>
        <v>2000</v>
      </c>
      <c r="BS23" s="50">
        <f>SUM(T_fact29392879586572155191[EQ])</f>
        <v>1</v>
      </c>
      <c r="BT23" s="51">
        <f>SUM(T_fact29392879586572155191[ICM])</f>
        <v>107.84</v>
      </c>
      <c r="BU23" s="52">
        <f>SUM(T_fact29392879586572155191[KO])</f>
        <v>5.9999999999999991</v>
      </c>
      <c r="BV23" s="51">
        <f>SUM(T_fact29392879586572155191[$stack])</f>
        <v>107.84</v>
      </c>
      <c r="BY23" s="52">
        <f>SUM(T_EV33403080596673156192[ICM])</f>
        <v>101.5309706976</v>
      </c>
      <c r="BZ23" s="52">
        <f>SUM(T_EV33403080596673156192[KO])</f>
        <v>0</v>
      </c>
      <c r="CA23" s="52">
        <f>SUM(T_EV33403080596673156192[EV])</f>
        <v>88.557429395199989</v>
      </c>
      <c r="CB23" s="50">
        <f>SUM(T_EV33403080596673156192[chipEV])</f>
        <v>1882.99278</v>
      </c>
      <c r="CC23" s="50"/>
      <c r="CD23" s="50"/>
    </row>
    <row r="25" spans="1:84" ht="18.75" x14ac:dyDescent="0.3">
      <c r="M25" s="79" t="s">
        <v>117</v>
      </c>
    </row>
    <row r="26" spans="1:84" x14ac:dyDescent="0.25">
      <c r="C26" t="s">
        <v>118</v>
      </c>
      <c r="M26" t="s">
        <v>600</v>
      </c>
    </row>
    <row r="27" spans="1:84" x14ac:dyDescent="0.25">
      <c r="C27" t="s">
        <v>120</v>
      </c>
      <c r="M27" t="s">
        <v>601</v>
      </c>
    </row>
    <row r="28" spans="1:84" x14ac:dyDescent="0.25">
      <c r="C28" t="s">
        <v>122</v>
      </c>
      <c r="M28" t="s">
        <v>602</v>
      </c>
    </row>
    <row r="29" spans="1:84" x14ac:dyDescent="0.25">
      <c r="M29" t="s">
        <v>603</v>
      </c>
    </row>
    <row r="30" spans="1:84" x14ac:dyDescent="0.25">
      <c r="M30" t="s">
        <v>604</v>
      </c>
    </row>
    <row r="31" spans="1:84" x14ac:dyDescent="0.25">
      <c r="C31" t="s">
        <v>126</v>
      </c>
      <c r="M31" t="s">
        <v>605</v>
      </c>
    </row>
    <row r="32" spans="1:84" x14ac:dyDescent="0.25">
      <c r="M32" t="s">
        <v>419</v>
      </c>
    </row>
    <row r="33" spans="2:13" x14ac:dyDescent="0.25">
      <c r="B33" t="s">
        <v>129</v>
      </c>
      <c r="M33" t="s">
        <v>606</v>
      </c>
    </row>
    <row r="34" spans="2:13" x14ac:dyDescent="0.25">
      <c r="B34" t="s">
        <v>131</v>
      </c>
      <c r="M34" t="s">
        <v>189</v>
      </c>
    </row>
    <row r="35" spans="2:13" x14ac:dyDescent="0.25">
      <c r="C35" t="s">
        <v>133</v>
      </c>
      <c r="M35" t="s">
        <v>607</v>
      </c>
    </row>
    <row r="36" spans="2:13" x14ac:dyDescent="0.25">
      <c r="D36" t="s">
        <v>135</v>
      </c>
      <c r="M36" t="s">
        <v>608</v>
      </c>
    </row>
    <row r="37" spans="2:13" x14ac:dyDescent="0.25">
      <c r="C37" t="s">
        <v>137</v>
      </c>
      <c r="M37" t="s">
        <v>609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610</v>
      </c>
    </row>
    <row r="40" spans="2:13" x14ac:dyDescent="0.25">
      <c r="D40" t="s">
        <v>142</v>
      </c>
      <c r="M40" t="s">
        <v>611</v>
      </c>
    </row>
    <row r="41" spans="2:13" x14ac:dyDescent="0.25">
      <c r="D41" t="s">
        <v>144</v>
      </c>
      <c r="E41" t="s">
        <v>145</v>
      </c>
      <c r="M41" t="s">
        <v>612</v>
      </c>
    </row>
    <row r="42" spans="2:13" x14ac:dyDescent="0.25">
      <c r="F42" t="s">
        <v>147</v>
      </c>
      <c r="M42" t="s">
        <v>613</v>
      </c>
    </row>
    <row r="43" spans="2:13" x14ac:dyDescent="0.25">
      <c r="E43" t="s">
        <v>149</v>
      </c>
      <c r="M43" t="s">
        <v>614</v>
      </c>
    </row>
    <row r="44" spans="2:13" x14ac:dyDescent="0.25">
      <c r="F44" t="s">
        <v>151</v>
      </c>
      <c r="M44" t="s">
        <v>615</v>
      </c>
    </row>
    <row r="45" spans="2:13" x14ac:dyDescent="0.25">
      <c r="M45" t="s">
        <v>616</v>
      </c>
    </row>
    <row r="46" spans="2:13" x14ac:dyDescent="0.25">
      <c r="C46" t="s">
        <v>154</v>
      </c>
      <c r="M46" t="s">
        <v>617</v>
      </c>
    </row>
    <row r="47" spans="2:13" x14ac:dyDescent="0.25">
      <c r="D47" t="s">
        <v>156</v>
      </c>
      <c r="M47" t="s">
        <v>618</v>
      </c>
    </row>
    <row r="48" spans="2:13" x14ac:dyDescent="0.25">
      <c r="D48" t="s">
        <v>158</v>
      </c>
      <c r="E48" t="s">
        <v>145</v>
      </c>
      <c r="M48" t="s">
        <v>166</v>
      </c>
    </row>
    <row r="49" spans="5:13" x14ac:dyDescent="0.25">
      <c r="F49" t="s">
        <v>160</v>
      </c>
      <c r="M49" t="s">
        <v>619</v>
      </c>
    </row>
    <row r="50" spans="5:13" x14ac:dyDescent="0.25">
      <c r="E50" t="s">
        <v>149</v>
      </c>
      <c r="M50" t="s">
        <v>620</v>
      </c>
    </row>
    <row r="51" spans="5:13" x14ac:dyDescent="0.25">
      <c r="F51" t="s">
        <v>163</v>
      </c>
      <c r="M51" t="s">
        <v>621</v>
      </c>
    </row>
    <row r="52" spans="5:13" x14ac:dyDescent="0.25">
      <c r="E52" t="s">
        <v>165</v>
      </c>
      <c r="M52" t="s">
        <v>622</v>
      </c>
    </row>
    <row r="53" spans="5:13" x14ac:dyDescent="0.25">
      <c r="F53" t="s">
        <v>167</v>
      </c>
      <c r="M53" t="s">
        <v>623</v>
      </c>
    </row>
    <row r="54" spans="5:13" x14ac:dyDescent="0.25">
      <c r="F54" t="s">
        <v>144</v>
      </c>
      <c r="M54" t="s">
        <v>624</v>
      </c>
    </row>
    <row r="55" spans="5:13" x14ac:dyDescent="0.25">
      <c r="G55" t="s">
        <v>145</v>
      </c>
      <c r="M55" t="s">
        <v>173</v>
      </c>
    </row>
    <row r="56" spans="5:13" x14ac:dyDescent="0.25">
      <c r="H56" t="s">
        <v>147</v>
      </c>
      <c r="M56" t="s">
        <v>625</v>
      </c>
    </row>
    <row r="57" spans="5:13" x14ac:dyDescent="0.25">
      <c r="G57" t="s">
        <v>149</v>
      </c>
      <c r="M57" t="s">
        <v>626</v>
      </c>
    </row>
    <row r="58" spans="5:13" x14ac:dyDescent="0.25">
      <c r="H58" t="s">
        <v>151</v>
      </c>
      <c r="M58" t="s">
        <v>627</v>
      </c>
    </row>
    <row r="59" spans="5:13" x14ac:dyDescent="0.25">
      <c r="M59" t="s">
        <v>628</v>
      </c>
    </row>
    <row r="60" spans="5:13" x14ac:dyDescent="0.25">
      <c r="M60" t="s">
        <v>629</v>
      </c>
    </row>
    <row r="61" spans="5:13" x14ac:dyDescent="0.25">
      <c r="M61" t="s">
        <v>630</v>
      </c>
    </row>
    <row r="63" spans="5:13" x14ac:dyDescent="0.25">
      <c r="M63" t="s">
        <v>178</v>
      </c>
    </row>
    <row r="64" spans="5:13" x14ac:dyDescent="0.25">
      <c r="M64" t="s">
        <v>179</v>
      </c>
    </row>
  </sheetData>
  <sheetProtection sheet="1" formatCells="0" formatColumns="0" formatRows="0" insertColumns="0" insertRows="0" insertHyperlinks="0" deleteColumns="0" deleteRows="0" sort="0" autoFilter="0" pivotTables="0"/>
  <mergeCells count="14">
    <mergeCell ref="BC15:BG15"/>
    <mergeCell ref="BJ15:BN15"/>
    <mergeCell ref="BQ15:BU15"/>
    <mergeCell ref="BY15:CB15"/>
    <mergeCell ref="F10:F11"/>
    <mergeCell ref="AV13:BO13"/>
    <mergeCell ref="BY14:CB14"/>
    <mergeCell ref="F15:J15"/>
    <mergeCell ref="M15:Q15"/>
    <mergeCell ref="T15:X15"/>
    <mergeCell ref="AA15:AE15"/>
    <mergeCell ref="AH15:AL15"/>
    <mergeCell ref="AO15:AS15"/>
    <mergeCell ref="AV15:AZ15"/>
  </mergeCells>
  <pageMargins left="0.7" right="0.7" top="0.75" bottom="0.75" header="0.3" footer="0.3"/>
  <pageSetup paperSize="9" orientation="portrait" horizontalDpi="4294967293" verticalDpi="0" r:id="rId1"/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05"/>
  <sheetViews>
    <sheetView topLeftCell="A49" workbookViewId="0">
      <selection activeCell="X75" sqref="X75"/>
    </sheetView>
  </sheetViews>
  <sheetFormatPr defaultRowHeight="15" x14ac:dyDescent="0.25"/>
  <cols>
    <col min="2" max="2" width="6" customWidth="1"/>
    <col min="3" max="3" width="7.28515625" customWidth="1"/>
    <col min="4" max="4" width="9.7109375" customWidth="1"/>
    <col min="7" max="7" width="9.28515625" customWidth="1"/>
    <col min="8" max="8" width="7.85546875" customWidth="1"/>
    <col min="9" max="9" width="9.5703125" customWidth="1"/>
    <col min="10" max="10" width="9.5703125" bestFit="1" customWidth="1"/>
    <col min="11" max="11" width="8.28515625" customWidth="1"/>
    <col min="12" max="12" width="3.5703125" customWidth="1"/>
    <col min="13" max="13" width="7.42578125" customWidth="1"/>
    <col min="16" max="17" width="8.5703125" customWidth="1"/>
    <col min="18" max="18" width="9.42578125" customWidth="1"/>
    <col min="20" max="20" width="9.7109375" customWidth="1"/>
    <col min="21" max="21" width="11.7109375" customWidth="1"/>
  </cols>
  <sheetData>
    <row r="1" spans="1:22" x14ac:dyDescent="0.25">
      <c r="D1" t="s">
        <v>0</v>
      </c>
      <c r="E1" s="1">
        <f>22.36*4</f>
        <v>89.44</v>
      </c>
      <c r="Q1" s="3"/>
    </row>
    <row r="2" spans="1:22" x14ac:dyDescent="0.25">
      <c r="D2" t="s">
        <v>1</v>
      </c>
      <c r="E2" s="1">
        <v>0</v>
      </c>
      <c r="F2" t="s">
        <v>2</v>
      </c>
      <c r="G2" s="36" t="s">
        <v>3</v>
      </c>
      <c r="Q2" s="3"/>
    </row>
    <row r="3" spans="1:22" x14ac:dyDescent="0.25">
      <c r="E3" s="1"/>
      <c r="F3" t="s">
        <v>4</v>
      </c>
      <c r="G3" t="s">
        <v>5</v>
      </c>
      <c r="M3" t="s">
        <v>6</v>
      </c>
      <c r="Q3" s="3"/>
    </row>
    <row r="4" spans="1:22" x14ac:dyDescent="0.25">
      <c r="E4" s="1"/>
      <c r="Q4" s="3"/>
    </row>
    <row r="5" spans="1:22" ht="15.75" thickBot="1" x14ac:dyDescent="0.3">
      <c r="E5" s="1"/>
      <c r="I5" t="s">
        <v>7</v>
      </c>
      <c r="Q5" s="3"/>
    </row>
    <row r="6" spans="1:22" ht="19.5" thickTop="1" x14ac:dyDescent="0.3">
      <c r="D6" s="134" t="s">
        <v>8</v>
      </c>
      <c r="E6" s="135"/>
      <c r="F6" s="135"/>
      <c r="G6" s="136"/>
      <c r="H6" s="134" t="s">
        <v>9</v>
      </c>
      <c r="I6" s="135"/>
      <c r="J6" s="135"/>
      <c r="K6" s="136"/>
      <c r="M6" s="121" t="s">
        <v>10</v>
      </c>
      <c r="N6" s="122"/>
      <c r="O6" s="122"/>
      <c r="P6" s="123"/>
      <c r="Q6" s="3"/>
      <c r="R6" s="124" t="s">
        <v>11</v>
      </c>
      <c r="S6" s="125"/>
      <c r="T6" s="125"/>
      <c r="U6" s="126"/>
    </row>
    <row r="7" spans="1:22" x14ac:dyDescent="0.25">
      <c r="A7" t="s">
        <v>12</v>
      </c>
      <c r="B7" t="s">
        <v>13</v>
      </c>
      <c r="C7" t="s">
        <v>14</v>
      </c>
      <c r="D7" s="10" t="s">
        <v>15</v>
      </c>
      <c r="E7" t="s">
        <v>16</v>
      </c>
      <c r="F7" t="s">
        <v>17</v>
      </c>
      <c r="G7" s="11" t="s">
        <v>18</v>
      </c>
      <c r="H7" s="10" t="s">
        <v>19</v>
      </c>
      <c r="I7" s="5" t="s">
        <v>20</v>
      </c>
      <c r="J7" s="5" t="s">
        <v>21</v>
      </c>
      <c r="K7" s="11" t="s">
        <v>22</v>
      </c>
      <c r="L7" t="s">
        <v>23</v>
      </c>
      <c r="M7" s="8" t="s">
        <v>24</v>
      </c>
      <c r="N7" s="5" t="s">
        <v>25</v>
      </c>
      <c r="O7" s="5" t="s">
        <v>26</v>
      </c>
      <c r="P7" s="9" t="s">
        <v>27</v>
      </c>
      <c r="Q7" t="s">
        <v>28</v>
      </c>
      <c r="R7" s="4" t="s">
        <v>29</v>
      </c>
      <c r="S7" s="5" t="s">
        <v>30</v>
      </c>
      <c r="T7" s="5" t="s">
        <v>31</v>
      </c>
      <c r="U7" s="6" t="s">
        <v>32</v>
      </c>
      <c r="V7" t="s">
        <v>33</v>
      </c>
    </row>
    <row r="8" spans="1:22" x14ac:dyDescent="0.25">
      <c r="A8">
        <v>500</v>
      </c>
      <c r="C8">
        <v>0.25829999999999997</v>
      </c>
      <c r="D8" s="10">
        <v>478</v>
      </c>
      <c r="E8">
        <v>0.16900000000000001</v>
      </c>
      <c r="F8" s="2">
        <f>Table2[[#This Row],[EQwin]]*$E$1</f>
        <v>15.115360000000001</v>
      </c>
      <c r="G8" s="16">
        <f>5*Table2[[#This Row],[stackwin]]/3000</f>
        <v>0.79666666666666663</v>
      </c>
      <c r="H8" s="10">
        <v>478</v>
      </c>
      <c r="I8">
        <v>0.16900000000000001</v>
      </c>
      <c r="J8" s="2">
        <f t="shared" ref="J8:J19" si="0">I8*$E$1</f>
        <v>15.115360000000001</v>
      </c>
      <c r="K8" s="14">
        <f>5*Table2[[#This Row],[stacklose]]/3000</f>
        <v>0.79666666666666663</v>
      </c>
      <c r="M8" s="8">
        <v>478</v>
      </c>
      <c r="N8">
        <v>0.16900000000000001</v>
      </c>
      <c r="O8" s="2">
        <f t="shared" ref="O8:O19" si="1">N8*$E$1</f>
        <v>15.115360000000001</v>
      </c>
      <c r="P8" s="15">
        <f>5*Table2[[#This Row],[stackfact]]/3000</f>
        <v>0.79666666666666663</v>
      </c>
      <c r="Q8" s="38">
        <f>Table2[[#This Row],[EQwin]]*Table2[[#This Row],[pWin]] + Table2[[#This Row],[EQlose]]*(1-Table2[[#This Row],[pWin]]) - Table2[[#This Row],[Eqfact]]</f>
        <v>0</v>
      </c>
      <c r="R8" s="12">
        <f>Table2[[#This Row],[pWin]]*Table2[[#This Row],[ICMwin]]+(1-Table2[[#This Row],[pWin]])*Table2[[#This Row],[ICMlose]]-Table2[[#This Row],[ICMFact]]</f>
        <v>0</v>
      </c>
      <c r="S8" s="16">
        <f>Table2[[#This Row],[Kowin]]*Table2[[#This Row],[pWin]]+Table2[[#This Row],[Kolose]]*(1-Table2[[#This Row],[pWin]])-Table2[[#This Row],[KOFact]]</f>
        <v>0</v>
      </c>
      <c r="T8" s="2">
        <f>Table2[[#This Row],[KODiff]]*bounty</f>
        <v>0</v>
      </c>
      <c r="U8" s="7">
        <f>Table2[[#This Row],[ICMdiff]]+Table2[[#This Row],[KOmoneyDiff]]</f>
        <v>0</v>
      </c>
      <c r="V8">
        <f>Table2[[#This Row],[pWin]]*Table2[[#This Row],[stackwin]]+(1-Table2[[#This Row],[pWin]])*Table2[[#This Row],[stacklose]]-Table2[[#This Row],[stackfact]]</f>
        <v>0</v>
      </c>
    </row>
    <row r="9" spans="1:22" x14ac:dyDescent="0.25">
      <c r="A9">
        <v>500</v>
      </c>
      <c r="C9">
        <v>0.25829999999999997</v>
      </c>
      <c r="D9" s="10">
        <v>488</v>
      </c>
      <c r="E9">
        <v>0.17219999999999999</v>
      </c>
      <c r="F9" s="2">
        <f>Table2[[#This Row],[EQwin]]*$E$1</f>
        <v>15.401567999999999</v>
      </c>
      <c r="G9" s="16">
        <f>5*Table2[[#This Row],[stackwin]]/3000</f>
        <v>0.81333333333333335</v>
      </c>
      <c r="H9" s="10">
        <v>488</v>
      </c>
      <c r="I9">
        <v>0.17219999999999999</v>
      </c>
      <c r="J9" s="2">
        <f t="shared" si="0"/>
        <v>15.401567999999999</v>
      </c>
      <c r="K9" s="14">
        <f>5*Table2[[#This Row],[stacklose]]/3000</f>
        <v>0.81333333333333335</v>
      </c>
      <c r="M9" s="8">
        <v>488</v>
      </c>
      <c r="N9">
        <v>0.17219999999999999</v>
      </c>
      <c r="O9" s="2">
        <f t="shared" si="1"/>
        <v>15.401567999999999</v>
      </c>
      <c r="P9" s="15">
        <f>5*Table2[[#This Row],[stackfact]]/3000</f>
        <v>0.81333333333333335</v>
      </c>
      <c r="Q9" s="38">
        <f>Table2[[#This Row],[EQwin]]*Table2[[#This Row],[pWin]] + Table2[[#This Row],[EQlose]]*(1-Table2[[#This Row],[pWin]]) - Table2[[#This Row],[Eqfact]]</f>
        <v>0</v>
      </c>
      <c r="R9" s="12">
        <f>Table2[[#This Row],[pWin]]*Table2[[#This Row],[ICMwin]]+(1-Table2[[#This Row],[pWin]])*Table2[[#This Row],[ICMlose]]-Table2[[#This Row],[ICMFact]]</f>
        <v>0</v>
      </c>
      <c r="S9" s="16">
        <f>Table2[[#This Row],[Kowin]]*Table2[[#This Row],[pWin]]+Table2[[#This Row],[Kolose]]*(1-Table2[[#This Row],[pWin]])-Table2[[#This Row],[KOFact]]</f>
        <v>0</v>
      </c>
      <c r="T9" s="2">
        <f>Table2[[#This Row],[KODiff]]*bounty</f>
        <v>0</v>
      </c>
      <c r="U9" s="7">
        <f>Table2[[#This Row],[ICMdiff]]+Table2[[#This Row],[KOmoneyDiff]]</f>
        <v>0</v>
      </c>
      <c r="V9">
        <f>Table2[[#This Row],[pWin]]*Table2[[#This Row],[stackwin]]+(1-Table2[[#This Row],[pWin]])*Table2[[#This Row],[stacklose]]-Table2[[#This Row],[stackfact]]</f>
        <v>0</v>
      </c>
    </row>
    <row r="10" spans="1:22" x14ac:dyDescent="0.25">
      <c r="A10">
        <v>500</v>
      </c>
      <c r="C10">
        <v>0.25829999999999997</v>
      </c>
      <c r="D10" s="10">
        <v>498</v>
      </c>
      <c r="E10">
        <v>0.17530000000000001</v>
      </c>
      <c r="F10" s="2">
        <f>Table2[[#This Row],[EQwin]]*$E$1</f>
        <v>15.678832</v>
      </c>
      <c r="G10" s="16">
        <f>5*Table2[[#This Row],[stackwin]]/3000</f>
        <v>0.83</v>
      </c>
      <c r="H10" s="10">
        <v>498</v>
      </c>
      <c r="I10">
        <v>0.17530000000000001</v>
      </c>
      <c r="J10" s="2">
        <f t="shared" si="0"/>
        <v>15.678832</v>
      </c>
      <c r="K10" s="14">
        <f>5*Table2[[#This Row],[stacklose]]/3000</f>
        <v>0.83</v>
      </c>
      <c r="M10" s="8">
        <v>498</v>
      </c>
      <c r="N10">
        <v>0.17530000000000001</v>
      </c>
      <c r="O10" s="2">
        <f t="shared" si="1"/>
        <v>15.678832</v>
      </c>
      <c r="P10" s="15">
        <f>5*Table2[[#This Row],[stackfact]]/3000</f>
        <v>0.83</v>
      </c>
      <c r="Q10" s="38">
        <f>Table2[[#This Row],[EQwin]]*Table2[[#This Row],[pWin]] + Table2[[#This Row],[EQlose]]*(1-Table2[[#This Row],[pWin]]) - Table2[[#This Row],[Eqfact]]</f>
        <v>0</v>
      </c>
      <c r="R10" s="12">
        <f>Table2[[#This Row],[pWin]]*Table2[[#This Row],[ICMwin]]+(1-Table2[[#This Row],[pWin]])*Table2[[#This Row],[ICMlose]]-Table2[[#This Row],[ICMFact]]</f>
        <v>0</v>
      </c>
      <c r="S10" s="16">
        <f>Table2[[#This Row],[Kowin]]*Table2[[#This Row],[pWin]]+Table2[[#This Row],[Kolose]]*(1-Table2[[#This Row],[pWin]])-Table2[[#This Row],[KOFact]]</f>
        <v>0</v>
      </c>
      <c r="T10" s="2">
        <f>Table2[[#This Row],[KODiff]]*bounty</f>
        <v>0</v>
      </c>
      <c r="U10" s="7">
        <f>Table2[[#This Row],[ICMdiff]]+Table2[[#This Row],[KOmoneyDiff]]</f>
        <v>0</v>
      </c>
      <c r="V10">
        <f>Table2[[#This Row],[pWin]]*Table2[[#This Row],[stackwin]]+(1-Table2[[#This Row],[pWin]])*Table2[[#This Row],[stacklose]]-Table2[[#This Row],[stackfact]]</f>
        <v>0</v>
      </c>
    </row>
    <row r="11" spans="1:22" x14ac:dyDescent="0.25">
      <c r="A11">
        <v>500</v>
      </c>
      <c r="B11" t="s">
        <v>34</v>
      </c>
      <c r="C11">
        <v>0.25829999999999997</v>
      </c>
      <c r="D11" s="10">
        <v>0</v>
      </c>
      <c r="E11">
        <v>0</v>
      </c>
      <c r="F11" s="2">
        <f>Table2[[#This Row],[EQwin]]*$E$1</f>
        <v>0</v>
      </c>
      <c r="G11" s="16">
        <f>5*Table2[[#This Row],[stackwin]]/3000</f>
        <v>0</v>
      </c>
      <c r="H11" s="10">
        <v>1038</v>
      </c>
      <c r="I11">
        <v>0.30830000000000002</v>
      </c>
      <c r="J11" s="2">
        <f t="shared" si="0"/>
        <v>27.574352000000001</v>
      </c>
      <c r="K11" s="14">
        <f>5*Table2[[#This Row],[stacklose]]/3000+1</f>
        <v>2.73</v>
      </c>
      <c r="M11" s="8">
        <v>1038</v>
      </c>
      <c r="N11">
        <v>0.30830000000000002</v>
      </c>
      <c r="O11" s="2">
        <f t="shared" si="1"/>
        <v>27.574352000000001</v>
      </c>
      <c r="P11" s="15">
        <f>5*Table2[[#This Row],[stackfact]]/3000+1</f>
        <v>2.73</v>
      </c>
      <c r="Q11" s="38">
        <f>Table2[[#This Row],[EQwin]]*Table2[[#This Row],[pWin]] + Table2[[#This Row],[EQlose]]*(1-Table2[[#This Row],[pWin]]) - Table2[[#This Row],[Eqfact]]</f>
        <v>-7.9633889999999985E-2</v>
      </c>
      <c r="R11" s="12">
        <f>Table2[[#This Row],[pWin]]*Table2[[#This Row],[ICMwin]]+(1-Table2[[#This Row],[pWin]])*Table2[[#This Row],[ICMlose]]-Table2[[#This Row],[ICMFact]]</f>
        <v>-7.1224551215999981</v>
      </c>
      <c r="S11" s="16">
        <f>Table2[[#This Row],[Kowin]]*Table2[[#This Row],[pWin]]+Table2[[#This Row],[Kolose]]*(1-Table2[[#This Row],[pWin]])-Table2[[#This Row],[KOFact]]</f>
        <v>-0.70515900000000009</v>
      </c>
      <c r="T11" s="2">
        <f>Table2[[#This Row],[KODiff]]*bounty</f>
        <v>0</v>
      </c>
      <c r="U11" s="7">
        <f>Table2[[#This Row],[ICMdiff]]+Table2[[#This Row],[KOmoneyDiff]]</f>
        <v>-7.1224551215999981</v>
      </c>
      <c r="V11">
        <f>Table2[[#This Row],[pWin]]*Table2[[#This Row],[stackwin]]+(1-Table2[[#This Row],[pWin]])*Table2[[#This Row],[stacklose]]-Table2[[#This Row],[stackfact]]</f>
        <v>-268.11540000000002</v>
      </c>
    </row>
    <row r="12" spans="1:22" s="17" customFormat="1" x14ac:dyDescent="0.25">
      <c r="A12" s="17">
        <v>500</v>
      </c>
      <c r="B12" s="17" t="s">
        <v>35</v>
      </c>
      <c r="C12" s="17">
        <v>0.25829999999999997</v>
      </c>
      <c r="D12" s="19">
        <v>1038</v>
      </c>
      <c r="E12" s="17">
        <v>0.30830000000000002</v>
      </c>
      <c r="F12" s="18">
        <f>Table2[[#This Row],[EQwin]]*$E$1</f>
        <v>27.574352000000001</v>
      </c>
      <c r="G12" s="24">
        <f>5*Table2[[#This Row],[stackwin]]/3000+1</f>
        <v>2.73</v>
      </c>
      <c r="H12" s="19">
        <v>0</v>
      </c>
      <c r="I12" s="17">
        <v>0</v>
      </c>
      <c r="J12" s="18">
        <f t="shared" si="0"/>
        <v>0</v>
      </c>
      <c r="K12" s="20">
        <f>5*Table2[[#This Row],[stacklose]]/3000</f>
        <v>0</v>
      </c>
      <c r="M12" s="21">
        <v>0</v>
      </c>
      <c r="N12" s="17">
        <v>0</v>
      </c>
      <c r="O12" s="18">
        <f t="shared" si="1"/>
        <v>0</v>
      </c>
      <c r="P12" s="22">
        <f>5*Table2[[#This Row],[stackfact]]/3000</f>
        <v>0</v>
      </c>
      <c r="Q12" s="35">
        <f>Table2[[#This Row],[EQwin]]*Table2[[#This Row],[pWin]] + Table2[[#This Row],[EQlose]]*(1-Table2[[#This Row],[pWin]]) - Table2[[#This Row],[Eqfact]]</f>
        <v>7.9633889999999999E-2</v>
      </c>
      <c r="R12" s="23">
        <f>Table2[[#This Row],[pWin]]*Table2[[#This Row],[ICMwin]]+(1-Table2[[#This Row],[pWin]])*Table2[[#This Row],[ICMlose]]-Table2[[#This Row],[ICMFact]]</f>
        <v>7.1224551215999998</v>
      </c>
      <c r="S12" s="24">
        <f>Table2[[#This Row],[Kowin]]*Table2[[#This Row],[pWin]]+Table2[[#This Row],[Kolose]]*(1-Table2[[#This Row],[pWin]])-Table2[[#This Row],[KOFact]]</f>
        <v>0.70515899999999987</v>
      </c>
      <c r="T12" s="18">
        <f>Table2[[#This Row],[KODiff]]*bounty</f>
        <v>0</v>
      </c>
      <c r="U12" s="25">
        <f>Table2[[#This Row],[ICMdiff]]+Table2[[#This Row],[KOmoneyDiff]]</f>
        <v>7.1224551215999998</v>
      </c>
      <c r="V12" s="17">
        <f>Table2[[#This Row],[pWin]]*Table2[[#This Row],[stackwin]]+(1-Table2[[#This Row],[pWin]])*Table2[[#This Row],[stacklose]]-Table2[[#This Row],[stackfact]]</f>
        <v>268.11539999999997</v>
      </c>
    </row>
    <row r="13" spans="1:22" x14ac:dyDescent="0.25">
      <c r="A13">
        <v>500</v>
      </c>
      <c r="C13">
        <v>0.25829999999999997</v>
      </c>
      <c r="D13" s="10">
        <v>498</v>
      </c>
      <c r="E13">
        <v>0.17530000000000001</v>
      </c>
      <c r="F13" s="2">
        <f>Table2[[#This Row],[EQwin]]*$E$1</f>
        <v>15.678832</v>
      </c>
      <c r="G13" s="16">
        <f>5*Table2[[#This Row],[stackwin]]/3000</f>
        <v>0.83</v>
      </c>
      <c r="H13" s="10">
        <v>498</v>
      </c>
      <c r="I13">
        <v>0.17530000000000001</v>
      </c>
      <c r="J13" s="2">
        <f t="shared" si="0"/>
        <v>15.678832</v>
      </c>
      <c r="K13" s="14">
        <f>5*Table2[[#This Row],[stacklose]]/3000</f>
        <v>0.83</v>
      </c>
      <c r="M13" s="8">
        <v>498</v>
      </c>
      <c r="N13">
        <v>0.17530000000000001</v>
      </c>
      <c r="O13" s="2">
        <f t="shared" si="1"/>
        <v>15.678832</v>
      </c>
      <c r="P13" s="15">
        <f>5*Table2[[#This Row],[stackfact]]/3000</f>
        <v>0.83</v>
      </c>
      <c r="Q13" s="38">
        <f>Table2[[#This Row],[EQwin]]*Table2[[#This Row],[pWin]] + Table2[[#This Row],[EQlose]]*(1-Table2[[#This Row],[pWin]]) - Table2[[#This Row],[Eqfact]]</f>
        <v>0</v>
      </c>
      <c r="R13" s="12">
        <f>Table2[[#This Row],[pWin]]*Table2[[#This Row],[ICMwin]]+(1-Table2[[#This Row],[pWin]])*Table2[[#This Row],[ICMlose]]-Table2[[#This Row],[ICMFact]]</f>
        <v>0</v>
      </c>
      <c r="S13" s="16">
        <f>Table2[[#This Row],[Kowin]]*Table2[[#This Row],[pWin]]+Table2[[#This Row],[Kolose]]*(1-Table2[[#This Row],[pWin]])-Table2[[#This Row],[KOFact]]</f>
        <v>0</v>
      </c>
      <c r="T13" s="2">
        <f>Table2[[#This Row],[KODiff]]*bounty</f>
        <v>0</v>
      </c>
      <c r="U13" s="7">
        <f>Table2[[#This Row],[ICMdiff]]+Table2[[#This Row],[KOmoneyDiff]]</f>
        <v>0</v>
      </c>
      <c r="V13">
        <f>Table2[[#This Row],[pWin]]*Table2[[#This Row],[stackwin]]+(1-Table2[[#This Row],[pWin]])*Table2[[#This Row],[stacklose]]-Table2[[#This Row],[stackfact]]</f>
        <v>0</v>
      </c>
    </row>
    <row r="14" spans="1:22" s="56" customFormat="1" x14ac:dyDescent="0.25">
      <c r="D14" s="59"/>
      <c r="F14" s="57">
        <f>Table2[[#This Row],[EQwin]]*$E$1</f>
        <v>0</v>
      </c>
      <c r="G14" s="58">
        <f>2*Table2[[#This Row],[stackwin]]/3000</f>
        <v>0</v>
      </c>
      <c r="H14" s="59"/>
      <c r="J14" s="57">
        <f t="shared" si="0"/>
        <v>0</v>
      </c>
      <c r="K14" s="60">
        <f>5*Table2[[#This Row],[stacklose]]/3000</f>
        <v>0</v>
      </c>
      <c r="M14" s="61"/>
      <c r="O14" s="57">
        <f t="shared" si="1"/>
        <v>0</v>
      </c>
      <c r="P14" s="62">
        <f>5*Table2[[#This Row],[stackfact]]/3000</f>
        <v>0</v>
      </c>
      <c r="Q14" s="63">
        <f>Table2[[#This Row],[EQwin]]*Table2[[#This Row],[pWin]] + Table2[[#This Row],[EQlose]]*(1-Table2[[#This Row],[pWin]]) - Table2[[#This Row],[Eqfact]]</f>
        <v>0</v>
      </c>
      <c r="R14" s="64">
        <f>Table2[[#This Row],[pWin]]*Table2[[#This Row],[ICMwin]]+(1-Table2[[#This Row],[pWin]])*Table2[[#This Row],[ICMlose]]-Table2[[#This Row],[ICMFact]]</f>
        <v>0</v>
      </c>
      <c r="S14" s="58">
        <f>Table2[[#This Row],[Kowin]]*Table2[[#This Row],[pWin]]+Table2[[#This Row],[Kolose]]*(1-Table2[[#This Row],[pWin]])-Table2[[#This Row],[KOFact]]</f>
        <v>0</v>
      </c>
      <c r="T14" s="57">
        <f>Table2[[#This Row],[KODiff]]*bounty</f>
        <v>0</v>
      </c>
      <c r="U14" s="65">
        <f>Table2[[#This Row],[ICMdiff]]+Table2[[#This Row],[KOmoneyDiff]]</f>
        <v>0</v>
      </c>
      <c r="V14" s="56">
        <f>Table2[[#This Row],[pWin]]*Table2[[#This Row],[stackwin]]+(1-Table2[[#This Row],[pWin]])*Table2[[#This Row],[stacklose]]-Table2[[#This Row],[stackfact]]</f>
        <v>0</v>
      </c>
    </row>
    <row r="15" spans="1:22" x14ac:dyDescent="0.25">
      <c r="A15">
        <v>496</v>
      </c>
      <c r="B15" t="s">
        <v>36</v>
      </c>
      <c r="C15">
        <v>0.78</v>
      </c>
      <c r="D15" s="10">
        <v>146</v>
      </c>
      <c r="E15">
        <v>5.3199999999999997E-2</v>
      </c>
      <c r="F15" s="2">
        <f>Table2[[#This Row],[EQwin]]*$E$1</f>
        <v>4.7582079999999998</v>
      </c>
      <c r="G15" s="16">
        <f>6*Table2[[#This Row],[stackwin]]/3000</f>
        <v>0.29199999999999998</v>
      </c>
      <c r="H15" s="10">
        <v>884</v>
      </c>
      <c r="I15">
        <v>0.27389999999999998</v>
      </c>
      <c r="J15" s="2">
        <f t="shared" si="0"/>
        <v>24.497615999999997</v>
      </c>
      <c r="K15" s="14">
        <f>5*Table2[[#This Row],[stacklose]]/3000+1</f>
        <v>2.4733333333333336</v>
      </c>
      <c r="M15" s="8">
        <v>884</v>
      </c>
      <c r="N15">
        <v>0.27389999999999998</v>
      </c>
      <c r="O15" s="2">
        <f t="shared" si="1"/>
        <v>24.497615999999997</v>
      </c>
      <c r="P15" s="15">
        <f>5*Table2[[#This Row],[stackfact]]/3000+1</f>
        <v>2.4733333333333336</v>
      </c>
      <c r="Q15" s="38">
        <f>Table2[[#This Row],[EQwin]]*Table2[[#This Row],[pWin]] + Table2[[#This Row],[EQlose]]*(1-Table2[[#This Row],[pWin]]) - Table2[[#This Row],[Eqfact]]</f>
        <v>-0.17214599999999999</v>
      </c>
      <c r="R15" s="12">
        <f>Table2[[#This Row],[pWin]]*Table2[[#This Row],[ICMwin]]+(1-Table2[[#This Row],[pWin]])*Table2[[#This Row],[ICMlose]]-Table2[[#This Row],[ICMFact]]</f>
        <v>-15.396738239999998</v>
      </c>
      <c r="S15" s="16">
        <f>Table2[[#This Row],[Kowin]]*Table2[[#This Row],[pWin]]+Table2[[#This Row],[Kolose]]*(1-Table2[[#This Row],[pWin]])-Table2[[#This Row],[KOFact]]</f>
        <v>-1.7014400000000003</v>
      </c>
      <c r="T15" s="2">
        <f>Table2[[#This Row],[KODiff]]*bounty</f>
        <v>0</v>
      </c>
      <c r="U15" s="7">
        <f>Table2[[#This Row],[ICMdiff]]+Table2[[#This Row],[KOmoneyDiff]]</f>
        <v>-15.396738239999998</v>
      </c>
      <c r="V15">
        <f>Table2[[#This Row],[pWin]]*Table2[[#This Row],[stackwin]]+(1-Table2[[#This Row],[pWin]])*Table2[[#This Row],[stacklose]]-Table2[[#This Row],[stackfact]]</f>
        <v>-575.64</v>
      </c>
    </row>
    <row r="16" spans="1:22" x14ac:dyDescent="0.25">
      <c r="A16">
        <v>538</v>
      </c>
      <c r="C16">
        <v>0.78</v>
      </c>
      <c r="D16" s="10">
        <v>536</v>
      </c>
      <c r="E16">
        <v>0.1804</v>
      </c>
      <c r="F16" s="2">
        <f>Table2[[#This Row],[EQwin]]*$E$1</f>
        <v>16.134976000000002</v>
      </c>
      <c r="G16" s="16">
        <f>6*Table2[[#This Row],[stackwin]]/3000</f>
        <v>1.0720000000000001</v>
      </c>
      <c r="H16" s="10">
        <v>536</v>
      </c>
      <c r="I16">
        <v>0.184</v>
      </c>
      <c r="J16" s="2">
        <f t="shared" si="0"/>
        <v>16.456959999999999</v>
      </c>
      <c r="K16" s="14">
        <f>5*Table2[[#This Row],[stacklose]]/3000</f>
        <v>0.89333333333333331</v>
      </c>
      <c r="M16" s="8">
        <v>536</v>
      </c>
      <c r="N16">
        <v>0.184</v>
      </c>
      <c r="O16" s="2">
        <f t="shared" si="1"/>
        <v>16.456959999999999</v>
      </c>
      <c r="P16" s="15">
        <f>5*Table2[[#This Row],[stackfact]]/3000</f>
        <v>0.89333333333333331</v>
      </c>
      <c r="Q16" s="38">
        <f>Table2[[#This Row],[EQwin]]*Table2[[#This Row],[pWin]] + Table2[[#This Row],[EQlose]]*(1-Table2[[#This Row],[pWin]]) - Table2[[#This Row],[Eqfact]]</f>
        <v>-2.8080000000000049E-3</v>
      </c>
      <c r="R16" s="12">
        <f>Table2[[#This Row],[pWin]]*Table2[[#This Row],[ICMwin]]+(1-Table2[[#This Row],[pWin]])*Table2[[#This Row],[ICMlose]]-Table2[[#This Row],[ICMFact]]</f>
        <v>-0.2511475199999964</v>
      </c>
      <c r="S16" s="16">
        <f>Table2[[#This Row],[Kowin]]*Table2[[#This Row],[pWin]]+Table2[[#This Row],[Kolose]]*(1-Table2[[#This Row],[pWin]])-Table2[[#This Row],[KOFact]]</f>
        <v>0.13936000000000015</v>
      </c>
      <c r="T16" s="2">
        <f>Table2[[#This Row],[KODiff]]*bounty</f>
        <v>0</v>
      </c>
      <c r="U16" s="7">
        <f>Table2[[#This Row],[ICMdiff]]+Table2[[#This Row],[KOmoneyDiff]]</f>
        <v>-0.2511475199999964</v>
      </c>
      <c r="V16">
        <f>Table2[[#This Row],[pWin]]*Table2[[#This Row],[stackwin]]+(1-Table2[[#This Row],[pWin]])*Table2[[#This Row],[stacklose]]-Table2[[#This Row],[stackfact]]</f>
        <v>0</v>
      </c>
    </row>
    <row r="17" spans="1:22" x14ac:dyDescent="0.25">
      <c r="A17">
        <v>486</v>
      </c>
      <c r="C17">
        <v>0.78</v>
      </c>
      <c r="D17" s="10">
        <v>484</v>
      </c>
      <c r="E17">
        <v>0.16489999999999999</v>
      </c>
      <c r="F17" s="2">
        <f>Table2[[#This Row],[EQwin]]*$E$1</f>
        <v>14.748655999999999</v>
      </c>
      <c r="G17" s="16">
        <f>6*Table2[[#This Row],[stackwin]]/3000</f>
        <v>0.96799999999999997</v>
      </c>
      <c r="H17" s="10">
        <v>484</v>
      </c>
      <c r="I17">
        <v>0.16819999999999999</v>
      </c>
      <c r="J17" s="2">
        <f t="shared" si="0"/>
        <v>15.043807999999999</v>
      </c>
      <c r="K17" s="14">
        <f>5*Table2[[#This Row],[stacklose]]/3000</f>
        <v>0.80666666666666664</v>
      </c>
      <c r="M17" s="8">
        <v>484</v>
      </c>
      <c r="N17">
        <v>0.16819999999999999</v>
      </c>
      <c r="O17" s="2">
        <f t="shared" si="1"/>
        <v>15.043807999999999</v>
      </c>
      <c r="P17" s="15">
        <f>5*Table2[[#This Row],[stackfact]]/3000</f>
        <v>0.80666666666666664</v>
      </c>
      <c r="Q17" s="38">
        <f>Table2[[#This Row],[EQwin]]*Table2[[#This Row],[pWin]] + Table2[[#This Row],[EQlose]]*(1-Table2[[#This Row],[pWin]]) - Table2[[#This Row],[Eqfact]]</f>
        <v>-2.573999999999993E-3</v>
      </c>
      <c r="R17" s="12">
        <f>Table2[[#This Row],[pWin]]*Table2[[#This Row],[ICMwin]]+(1-Table2[[#This Row],[pWin]])*Table2[[#This Row],[ICMlose]]-Table2[[#This Row],[ICMFact]]</f>
        <v>-0.23021855999999907</v>
      </c>
      <c r="S17" s="16">
        <f>Table2[[#This Row],[Kowin]]*Table2[[#This Row],[pWin]]+Table2[[#This Row],[Kolose]]*(1-Table2[[#This Row],[pWin]])-Table2[[#This Row],[KOFact]]</f>
        <v>0.12584000000000006</v>
      </c>
      <c r="T17" s="2">
        <f>Table2[[#This Row],[KODiff]]*bounty</f>
        <v>0</v>
      </c>
      <c r="U17" s="7">
        <f>Table2[[#This Row],[ICMdiff]]+Table2[[#This Row],[KOmoneyDiff]]</f>
        <v>-0.23021855999999907</v>
      </c>
      <c r="V17">
        <f>Table2[[#This Row],[pWin]]*Table2[[#This Row],[stackwin]]+(1-Table2[[#This Row],[pWin]])*Table2[[#This Row],[stacklose]]-Table2[[#This Row],[stackfact]]</f>
        <v>0</v>
      </c>
    </row>
    <row r="18" spans="1:22" s="17" customFormat="1" x14ac:dyDescent="0.25">
      <c r="A18" s="17">
        <v>350</v>
      </c>
      <c r="B18" s="17" t="s">
        <v>37</v>
      </c>
      <c r="C18" s="17">
        <v>0.78</v>
      </c>
      <c r="D18" s="19">
        <v>738</v>
      </c>
      <c r="E18" s="17">
        <v>0.23499999999999999</v>
      </c>
      <c r="F18" s="18">
        <f>Table2[[#This Row],[EQwin]]*$E$1</f>
        <v>21.0184</v>
      </c>
      <c r="G18" s="24">
        <f>6*Table2[[#This Row],[stackwin]]/3000</f>
        <v>1.476</v>
      </c>
      <c r="H18" s="19">
        <v>0</v>
      </c>
      <c r="J18" s="18">
        <f t="shared" si="0"/>
        <v>0</v>
      </c>
      <c r="K18" s="20">
        <f>5*Table2[[#This Row],[stacklose]]/3000</f>
        <v>0</v>
      </c>
      <c r="M18" s="21">
        <v>0</v>
      </c>
      <c r="O18" s="18">
        <f t="shared" si="1"/>
        <v>0</v>
      </c>
      <c r="P18" s="22">
        <f>5*Table2[[#This Row],[stackfact]]/3000</f>
        <v>0</v>
      </c>
      <c r="Q18" s="35">
        <f>Table2[[#This Row],[EQwin]]*Table2[[#This Row],[pWin]] + Table2[[#This Row],[EQlose]]*(1-Table2[[#This Row],[pWin]]) - Table2[[#This Row],[Eqfact]]</f>
        <v>0.18329999999999999</v>
      </c>
      <c r="R18" s="23">
        <f>Table2[[#This Row],[pWin]]*Table2[[#This Row],[ICMwin]]+(1-Table2[[#This Row],[pWin]])*Table2[[#This Row],[ICMlose]]-Table2[[#This Row],[ICMFact]]</f>
        <v>16.394352000000001</v>
      </c>
      <c r="S18" s="24">
        <f>Table2[[#This Row],[Kowin]]*Table2[[#This Row],[pWin]]+Table2[[#This Row],[Kolose]]*(1-Table2[[#This Row],[pWin]])-Table2[[#This Row],[KOFact]]</f>
        <v>1.1512800000000001</v>
      </c>
      <c r="T18" s="18">
        <f>Table2[[#This Row],[KODiff]]*bounty</f>
        <v>0</v>
      </c>
      <c r="U18" s="25">
        <f>Table2[[#This Row],[ICMdiff]]+Table2[[#This Row],[KOmoneyDiff]]</f>
        <v>16.394352000000001</v>
      </c>
      <c r="V18" s="17">
        <f>Table2[[#This Row],[pWin]]*Table2[[#This Row],[stackwin]]+(1-Table2[[#This Row],[pWin]])*Table2[[#This Row],[stacklose]]-Table2[[#This Row],[stackfact]]</f>
        <v>575.64</v>
      </c>
    </row>
    <row r="19" spans="1:22" s="26" customFormat="1" x14ac:dyDescent="0.25">
      <c r="A19" s="26">
        <v>634</v>
      </c>
      <c r="C19" s="26">
        <v>0.78</v>
      </c>
      <c r="D19" s="10">
        <v>622</v>
      </c>
      <c r="E19" s="26">
        <v>0.20469999999999999</v>
      </c>
      <c r="F19" s="27">
        <f>Table2[[#This Row],[EQwin]]*$E$1</f>
        <v>18.308367999999998</v>
      </c>
      <c r="G19" s="16">
        <f>6*Table2[[#This Row],[stackwin]]/3000</f>
        <v>1.244</v>
      </c>
      <c r="H19" s="10">
        <v>622</v>
      </c>
      <c r="I19" s="26">
        <v>0.2089</v>
      </c>
      <c r="J19" s="27">
        <f t="shared" si="0"/>
        <v>18.684016</v>
      </c>
      <c r="K19" s="30">
        <f>5*Table2[[#This Row],[stacklose]]/3000</f>
        <v>1.0366666666666666</v>
      </c>
      <c r="M19" s="31">
        <v>622</v>
      </c>
      <c r="N19" s="26">
        <v>0.2089</v>
      </c>
      <c r="O19" s="27">
        <f t="shared" si="1"/>
        <v>18.684016</v>
      </c>
      <c r="P19" s="32">
        <f>5*Table2[[#This Row],[stackfact]]/3000</f>
        <v>1.0366666666666666</v>
      </c>
      <c r="Q19" s="39">
        <f>Table2[[#This Row],[EQwin]]*Table2[[#This Row],[pWin]] + Table2[[#This Row],[EQlose]]*(1-Table2[[#This Row],[pWin]]) - Table2[[#This Row],[Eqfact]]</f>
        <v>-3.2760000000000011E-3</v>
      </c>
      <c r="R19" s="33">
        <f>Table2[[#This Row],[pWin]]*Table2[[#This Row],[ICMwin]]+(1-Table2[[#This Row],[pWin]])*Table2[[#This Row],[ICMlose]]-Table2[[#This Row],[ICMFact]]</f>
        <v>-0.29300544000000173</v>
      </c>
      <c r="S19" s="28">
        <f>Table2[[#This Row],[Kowin]]*Table2[[#This Row],[pWin]]+Table2[[#This Row],[Kolose]]*(1-Table2[[#This Row],[pWin]])-Table2[[#This Row],[KOFact]]</f>
        <v>0.16172000000000009</v>
      </c>
      <c r="T19" s="27">
        <f>Table2[[#This Row],[KODiff]]*bounty</f>
        <v>0</v>
      </c>
      <c r="U19" s="34">
        <f>Table2[[#This Row],[ICMdiff]]+Table2[[#This Row],[KOmoneyDiff]]</f>
        <v>-0.29300544000000173</v>
      </c>
      <c r="V19" s="26">
        <f>Table2[[#This Row],[pWin]]*Table2[[#This Row],[stackwin]]+(1-Table2[[#This Row],[pWin]])*Table2[[#This Row],[stacklose]]-Table2[[#This Row],[stackfact]]</f>
        <v>0</v>
      </c>
    </row>
    <row r="20" spans="1:22" x14ac:dyDescent="0.25">
      <c r="A20">
        <v>496</v>
      </c>
      <c r="C20">
        <v>0.78</v>
      </c>
      <c r="D20" s="10">
        <v>474</v>
      </c>
      <c r="E20">
        <v>0.16189999999999999</v>
      </c>
      <c r="F20" s="2">
        <f>Table2[[#This Row],[EQwin]]*$E$1</f>
        <v>14.480335999999999</v>
      </c>
      <c r="G20" s="16">
        <f>6*Table2[[#This Row],[stackwin]]/3000</f>
        <v>0.94799999999999995</v>
      </c>
      <c r="H20" s="10">
        <v>474</v>
      </c>
      <c r="I20">
        <v>0.16500000000000001</v>
      </c>
      <c r="J20" s="2">
        <f t="shared" ref="J20:J21" si="2">I20*$E$1</f>
        <v>14.7576</v>
      </c>
      <c r="K20" s="14">
        <f>5*Table2[[#This Row],[stacklose]]/3000</f>
        <v>0.79</v>
      </c>
      <c r="M20" s="8">
        <v>474</v>
      </c>
      <c r="N20">
        <v>0.16500000000000001</v>
      </c>
      <c r="O20" s="2">
        <f t="shared" ref="O20:O21" si="3">N20*$E$1</f>
        <v>14.7576</v>
      </c>
      <c r="P20" s="15">
        <f>5*Table2[[#This Row],[stackfact]]/3000</f>
        <v>0.79</v>
      </c>
      <c r="Q20" s="38">
        <f>Table2[[#This Row],[EQwin]]*Table2[[#This Row],[pWin]] + Table2[[#This Row],[EQlose]]*(1-Table2[[#This Row],[pWin]]) - Table2[[#This Row],[Eqfact]]</f>
        <v>-2.4180000000000035E-3</v>
      </c>
      <c r="R20" s="12">
        <f>Table2[[#This Row],[pWin]]*Table2[[#This Row],[ICMwin]]+(1-Table2[[#This Row],[pWin]])*Table2[[#This Row],[ICMlose]]-Table2[[#This Row],[ICMFact]]</f>
        <v>-0.21626591999999967</v>
      </c>
      <c r="S20" s="16">
        <f>Table2[[#This Row],[Kowin]]*Table2[[#This Row],[pWin]]+Table2[[#This Row],[Kolose]]*(1-Table2[[#This Row],[pWin]])-Table2[[#This Row],[KOFact]]</f>
        <v>0.12323999999999991</v>
      </c>
      <c r="T20" s="2">
        <f>Table2[[#This Row],[KODiff]]*bounty</f>
        <v>0</v>
      </c>
      <c r="U20" s="7">
        <f>Table2[[#This Row],[ICMdiff]]+Table2[[#This Row],[KOmoneyDiff]]</f>
        <v>-0.21626591999999967</v>
      </c>
      <c r="V20">
        <f>Table2[[#This Row],[pWin]]*Table2[[#This Row],[stackwin]]+(1-Table2[[#This Row],[pWin]])*Table2[[#This Row],[stacklose]]-Table2[[#This Row],[stackfact]]</f>
        <v>0</v>
      </c>
    </row>
    <row r="21" spans="1:22" s="56" customFormat="1" x14ac:dyDescent="0.25">
      <c r="D21" s="59"/>
      <c r="F21" s="57">
        <f>Table2[[#This Row],[EQwin]]*$E$1</f>
        <v>0</v>
      </c>
      <c r="G21" s="58">
        <f>2*Table2[[#This Row],[stackwin]]/3000</f>
        <v>0</v>
      </c>
      <c r="H21" s="59"/>
      <c r="J21" s="57">
        <f t="shared" si="2"/>
        <v>0</v>
      </c>
      <c r="K21" s="60">
        <f>5*Table2[[#This Row],[stacklose]]/3000</f>
        <v>0</v>
      </c>
      <c r="M21" s="61"/>
      <c r="O21" s="57">
        <f t="shared" si="3"/>
        <v>0</v>
      </c>
      <c r="P21" s="62">
        <f>5*Table2[[#This Row],[stackfact]]/3000</f>
        <v>0</v>
      </c>
      <c r="Q21" s="63">
        <f>Table2[[#This Row],[EQwin]]*Table2[[#This Row],[pWin]] + Table2[[#This Row],[EQlose]]*(1-Table2[[#This Row],[pWin]]) - Table2[[#This Row],[Eqfact]]</f>
        <v>0</v>
      </c>
      <c r="R21" s="64">
        <f>Table2[[#This Row],[pWin]]*Table2[[#This Row],[ICMwin]]+(1-Table2[[#This Row],[pWin]])*Table2[[#This Row],[ICMlose]]-Table2[[#This Row],[ICMFact]]</f>
        <v>0</v>
      </c>
      <c r="S21" s="58">
        <f>Table2[[#This Row],[Kowin]]*Table2[[#This Row],[pWin]]+Table2[[#This Row],[Kolose]]*(1-Table2[[#This Row],[pWin]])-Table2[[#This Row],[KOFact]]</f>
        <v>0</v>
      </c>
      <c r="T21" s="57">
        <f>Table2[[#This Row],[KODiff]]*bounty</f>
        <v>0</v>
      </c>
      <c r="U21" s="65">
        <f>Table2[[#This Row],[ICMdiff]]+Table2[[#This Row],[KOmoneyDiff]]</f>
        <v>0</v>
      </c>
      <c r="V21" s="56">
        <f>Table2[[#This Row],[pWin]]*Table2[[#This Row],[stackwin]]+(1-Table2[[#This Row],[pWin]])*Table2[[#This Row],[stacklose]]-Table2[[#This Row],[stackfact]]</f>
        <v>0</v>
      </c>
    </row>
    <row r="22" spans="1:22" s="17" customFormat="1" ht="14.25" customHeight="1" x14ac:dyDescent="0.25">
      <c r="A22" s="17">
        <f>1374-8-80</f>
        <v>1286</v>
      </c>
      <c r="B22" s="17" t="s">
        <v>38</v>
      </c>
      <c r="C22" s="17">
        <v>0.1265</v>
      </c>
      <c r="D22" s="19">
        <v>2748</v>
      </c>
      <c r="E22" s="17">
        <v>0.5</v>
      </c>
      <c r="F22" s="18">
        <f>Table2[[#This Row],[EQwin]]*$E$1</f>
        <v>44.72</v>
      </c>
      <c r="G22" s="24">
        <f>2*Table2[[#This Row],[stackwin]]/3000</f>
        <v>1.8320000000000001</v>
      </c>
      <c r="H22" s="19">
        <v>0</v>
      </c>
      <c r="I22" s="17">
        <v>0.5</v>
      </c>
      <c r="J22" s="18">
        <f t="shared" ref="J22:J55" si="4">I22*$E$1</f>
        <v>44.72</v>
      </c>
      <c r="K22" s="20">
        <f>2*Table2[[#This Row],[stacklose]]/3000</f>
        <v>0</v>
      </c>
      <c r="M22" s="21">
        <v>2748</v>
      </c>
      <c r="N22" s="17">
        <v>0.5</v>
      </c>
      <c r="O22" s="18">
        <f t="shared" ref="O22:O55" si="5">N22*$E$1</f>
        <v>44.72</v>
      </c>
      <c r="P22" s="22">
        <f>2*Table2[[#This Row],[stackfact]]/3000</f>
        <v>1.8320000000000001</v>
      </c>
      <c r="Q22" s="35">
        <f>Table2[[#This Row],[EQwin]]*Table2[[#This Row],[pWin]] + Table2[[#This Row],[EQlose]]*(1-Table2[[#This Row],[pWin]]) - Table2[[#This Row],[Eqfact]]</f>
        <v>0</v>
      </c>
      <c r="R22" s="23">
        <f>Table2[[#This Row],[pWin]]*Table2[[#This Row],[ICMwin]]+(1-Table2[[#This Row],[pWin]])*Table2[[#This Row],[ICMlose]]-Table2[[#This Row],[ICMFact]]</f>
        <v>0</v>
      </c>
      <c r="S22" s="24">
        <f>Table2[[#This Row],[Kowin]]*Table2[[#This Row],[pWin]]+Table2[[#This Row],[Kolose]]*(1-Table2[[#This Row],[pWin]])-Table2[[#This Row],[KOFact]]</f>
        <v>-1.600252</v>
      </c>
      <c r="T22" s="18">
        <f>Table2[[#This Row],[KODiff]]*bounty</f>
        <v>0</v>
      </c>
      <c r="U22" s="25">
        <f>Table2[[#This Row],[ICMdiff]]+Table2[[#This Row],[KOmoneyDiff]]</f>
        <v>0</v>
      </c>
      <c r="V22" s="17">
        <f>Table2[[#This Row],[pWin]]*Table2[[#This Row],[stackwin]]+(1-Table2[[#This Row],[pWin]])*Table2[[#This Row],[stacklose]]-Table2[[#This Row],[stackfact]]</f>
        <v>-2400.3780000000002</v>
      </c>
    </row>
    <row r="23" spans="1:22" x14ac:dyDescent="0.25">
      <c r="A23">
        <f>1626-8-40-40</f>
        <v>1538</v>
      </c>
      <c r="B23" t="s">
        <v>39</v>
      </c>
      <c r="C23">
        <v>0.1265</v>
      </c>
      <c r="D23" s="10">
        <f>1538-1286</f>
        <v>252</v>
      </c>
      <c r="E23">
        <v>0.5</v>
      </c>
      <c r="F23" s="2">
        <f>Table2[[#This Row],[EQwin]]*$E$1</f>
        <v>44.72</v>
      </c>
      <c r="G23" s="16">
        <f>2*Table2[[#This Row],[stackwin]]/3000</f>
        <v>0.16800000000000001</v>
      </c>
      <c r="H23" s="10">
        <v>3000</v>
      </c>
      <c r="I23">
        <v>0.5</v>
      </c>
      <c r="J23" s="2">
        <f t="shared" si="4"/>
        <v>44.72</v>
      </c>
      <c r="K23" s="14">
        <f>2*Table2[[#This Row],[stacklose]]/3000</f>
        <v>2</v>
      </c>
      <c r="M23" s="8">
        <v>252</v>
      </c>
      <c r="N23">
        <v>0.5</v>
      </c>
      <c r="O23" s="2">
        <f t="shared" si="5"/>
        <v>44.72</v>
      </c>
      <c r="P23" s="15">
        <f>2*Table2[[#This Row],[stackfact]]/3000</f>
        <v>0.16800000000000001</v>
      </c>
      <c r="Q23" s="38">
        <f>Table2[[#This Row],[EQwin]]*Table2[[#This Row],[pWin]] + Table2[[#This Row],[EQlose]]*(1-Table2[[#This Row],[pWin]]) - Table2[[#This Row],[Eqfact]]</f>
        <v>0</v>
      </c>
      <c r="R23" s="12">
        <f>Table2[[#This Row],[pWin]]*Table2[[#This Row],[ICMwin]]+(1-Table2[[#This Row],[pWin]])*Table2[[#This Row],[ICMlose]]-Table2[[#This Row],[ICMFact]]</f>
        <v>0</v>
      </c>
      <c r="S23" s="16">
        <f>Table2[[#This Row],[Kowin]]*Table2[[#This Row],[pWin]]+Table2[[#This Row],[Kolose]]*(1-Table2[[#This Row],[pWin]])-Table2[[#This Row],[KOFact]]</f>
        <v>1.600252</v>
      </c>
      <c r="T23" s="2">
        <f>Table2[[#This Row],[KODiff]]*bounty</f>
        <v>0</v>
      </c>
      <c r="U23" s="7">
        <f>Table2[[#This Row],[ICMdiff]]+Table2[[#This Row],[KOmoneyDiff]]</f>
        <v>0</v>
      </c>
      <c r="V23">
        <f>Table2[[#This Row],[pWin]]*Table2[[#This Row],[stackwin]]+(1-Table2[[#This Row],[pWin]])*Table2[[#This Row],[stacklose]]-Table2[[#This Row],[stackfact]]</f>
        <v>2400.3780000000002</v>
      </c>
    </row>
    <row r="24" spans="1:22" s="40" customFormat="1" x14ac:dyDescent="0.25">
      <c r="D24" s="43"/>
      <c r="F24" s="41">
        <f>Table2[[#This Row],[EQwin]]*$E$1</f>
        <v>0</v>
      </c>
      <c r="G24" s="42">
        <f>2*Table2[[#This Row],[stackwin]]/3000</f>
        <v>0</v>
      </c>
      <c r="H24" s="43"/>
      <c r="J24" s="41">
        <f t="shared" si="4"/>
        <v>0</v>
      </c>
      <c r="K24" s="44">
        <f>5*Table2[[#This Row],[stacklose]]/3000</f>
        <v>0</v>
      </c>
      <c r="M24" s="45"/>
      <c r="O24" s="41">
        <f t="shared" si="5"/>
        <v>0</v>
      </c>
      <c r="P24" s="46">
        <f>5*Table2[[#This Row],[stackfact]]/3000</f>
        <v>0</v>
      </c>
      <c r="Q24" s="47">
        <f>Table2[[#This Row],[EQwin]]*Table2[[#This Row],[pWin]] + Table2[[#This Row],[EQlose]]*(1-Table2[[#This Row],[pWin]]) - Table2[[#This Row],[Eqfact]]</f>
        <v>0</v>
      </c>
      <c r="R24" s="48">
        <f>Table2[[#This Row],[pWin]]*Table2[[#This Row],[ICMwin]]+(1-Table2[[#This Row],[pWin]])*Table2[[#This Row],[ICMlose]]-Table2[[#This Row],[ICMFact]]</f>
        <v>0</v>
      </c>
      <c r="S24" s="42">
        <f>Table2[[#This Row],[Kowin]]*Table2[[#This Row],[pWin]]+Table2[[#This Row],[Kolose]]*(1-Table2[[#This Row],[pWin]])-Table2[[#This Row],[KOFact]]</f>
        <v>0</v>
      </c>
      <c r="T24" s="41">
        <f>Table2[[#This Row],[KODiff]]*bounty</f>
        <v>0</v>
      </c>
      <c r="U24" s="49">
        <f>Table2[[#This Row],[ICMdiff]]+Table2[[#This Row],[KOmoneyDiff]]</f>
        <v>0</v>
      </c>
      <c r="V24" s="40">
        <f>Table2[[#This Row],[pWin]]*Table2[[#This Row],[stackwin]]+(1-Table2[[#This Row],[pWin]])*Table2[[#This Row],[stacklose]]-Table2[[#This Row],[stackfact]]</f>
        <v>0</v>
      </c>
    </row>
    <row r="25" spans="1:22" s="17" customFormat="1" x14ac:dyDescent="0.25">
      <c r="A25" s="17">
        <f>1045-15-150</f>
        <v>880</v>
      </c>
      <c r="B25" s="17" t="s">
        <v>40</v>
      </c>
      <c r="C25" s="17">
        <v>0.54920000000000002</v>
      </c>
      <c r="D25" s="19">
        <v>2090</v>
      </c>
      <c r="E25" s="17">
        <v>0.5</v>
      </c>
      <c r="F25" s="18">
        <f>Table2[[#This Row],[EQwin]]*$E$1</f>
        <v>44.72</v>
      </c>
      <c r="G25" s="24">
        <f>2*Table2[[#This Row],[stackwin]]/3000</f>
        <v>1.3933333333333333</v>
      </c>
      <c r="H25" s="19">
        <v>0</v>
      </c>
      <c r="I25" s="17">
        <v>0.5</v>
      </c>
      <c r="J25" s="18">
        <f t="shared" si="4"/>
        <v>44.72</v>
      </c>
      <c r="K25" s="20">
        <f>2*Table2[[#This Row],[stacklose]]/3000</f>
        <v>0</v>
      </c>
      <c r="M25" s="21">
        <v>2090</v>
      </c>
      <c r="N25" s="17">
        <v>0.5</v>
      </c>
      <c r="O25" s="18">
        <f t="shared" si="5"/>
        <v>44.72</v>
      </c>
      <c r="P25" s="22">
        <f>2*Table2[[#This Row],[stackfact]]/3000</f>
        <v>1.3933333333333333</v>
      </c>
      <c r="Q25" s="35">
        <f>Table2[[#This Row],[EQwin]]*Table2[[#This Row],[pWin]] + Table2[[#This Row],[EQlose]]*(1-Table2[[#This Row],[pWin]]) - Table2[[#This Row],[Eqfact]]</f>
        <v>0</v>
      </c>
      <c r="R25" s="23">
        <f>Table2[[#This Row],[pWin]]*Table2[[#This Row],[ICMwin]]+(1-Table2[[#This Row],[pWin]])*Table2[[#This Row],[ICMlose]]-Table2[[#This Row],[ICMFact]]</f>
        <v>0</v>
      </c>
      <c r="S25" s="24">
        <f>Table2[[#This Row],[Kowin]]*Table2[[#This Row],[pWin]]+Table2[[#This Row],[Kolose]]*(1-Table2[[#This Row],[pWin]])-Table2[[#This Row],[KOFact]]</f>
        <v>-0.6281146666666666</v>
      </c>
      <c r="T25" s="18">
        <f>Table2[[#This Row],[KODiff]]*bounty</f>
        <v>0</v>
      </c>
      <c r="U25" s="25">
        <f>Table2[[#This Row],[ICMdiff]]+Table2[[#This Row],[KOmoneyDiff]]</f>
        <v>0</v>
      </c>
      <c r="V25" s="17">
        <f>Table2[[#This Row],[pWin]]*Table2[[#This Row],[stackwin]]+(1-Table2[[#This Row],[pWin]])*Table2[[#This Row],[stacklose]]-Table2[[#This Row],[stackfact]]</f>
        <v>-942.17200000000003</v>
      </c>
    </row>
    <row r="26" spans="1:22" x14ac:dyDescent="0.25">
      <c r="A26">
        <f>1955-15-75-75</f>
        <v>1790</v>
      </c>
      <c r="B26" t="s">
        <v>41</v>
      </c>
      <c r="C26" s="26">
        <v>0.54920000000000002</v>
      </c>
      <c r="D26" s="10">
        <f>1790-880</f>
        <v>910</v>
      </c>
      <c r="E26">
        <v>0.5</v>
      </c>
      <c r="F26" s="2">
        <f>Table2[[#This Row],[EQwin]]*$E$1</f>
        <v>44.72</v>
      </c>
      <c r="G26" s="16">
        <f>2*Table2[[#This Row],[stackwin]]/3000</f>
        <v>0.60666666666666669</v>
      </c>
      <c r="H26" s="10">
        <v>3000</v>
      </c>
      <c r="I26">
        <v>0.5</v>
      </c>
      <c r="J26" s="2">
        <f t="shared" si="4"/>
        <v>44.72</v>
      </c>
      <c r="K26" s="14">
        <f>2*Table2[[#This Row],[stacklose]]/3000</f>
        <v>2</v>
      </c>
      <c r="M26" s="8">
        <v>910</v>
      </c>
      <c r="N26">
        <v>0.5</v>
      </c>
      <c r="O26" s="2">
        <f t="shared" si="5"/>
        <v>44.72</v>
      </c>
      <c r="P26" s="15">
        <f>2*Table2[[#This Row],[stackfact]]/3000</f>
        <v>0.60666666666666669</v>
      </c>
      <c r="Q26" s="38">
        <f>Table2[[#This Row],[EQwin]]*Table2[[#This Row],[pWin]] + Table2[[#This Row],[EQlose]]*(1-Table2[[#This Row],[pWin]]) - Table2[[#This Row],[Eqfact]]</f>
        <v>0</v>
      </c>
      <c r="R26" s="12">
        <f>Table2[[#This Row],[pWin]]*Table2[[#This Row],[ICMwin]]+(1-Table2[[#This Row],[pWin]])*Table2[[#This Row],[ICMlose]]-Table2[[#This Row],[ICMFact]]</f>
        <v>0</v>
      </c>
      <c r="S26" s="16">
        <f>Table2[[#This Row],[Kowin]]*Table2[[#This Row],[pWin]]+Table2[[#This Row],[Kolose]]*(1-Table2[[#This Row],[pWin]])-Table2[[#This Row],[KOFact]]</f>
        <v>0.6281146666666666</v>
      </c>
      <c r="T26" s="2">
        <f>Table2[[#This Row],[KODiff]]*bounty</f>
        <v>0</v>
      </c>
      <c r="U26" s="7">
        <f>Table2[[#This Row],[ICMdiff]]+Table2[[#This Row],[KOmoneyDiff]]</f>
        <v>0</v>
      </c>
      <c r="V26">
        <f>Table2[[#This Row],[pWin]]*Table2[[#This Row],[stackwin]]+(1-Table2[[#This Row],[pWin]])*Table2[[#This Row],[stacklose]]-Table2[[#This Row],[stackfact]]</f>
        <v>942.1719999999998</v>
      </c>
    </row>
    <row r="27" spans="1:22" s="40" customFormat="1" x14ac:dyDescent="0.25">
      <c r="D27" s="43"/>
      <c r="F27" s="41">
        <f>Table2[[#This Row],[EQwin]]*$E$1</f>
        <v>0</v>
      </c>
      <c r="G27" s="42">
        <f>2*Table2[[#This Row],[stackwin]]/3000</f>
        <v>0</v>
      </c>
      <c r="H27" s="43"/>
      <c r="J27" s="41">
        <f t="shared" si="4"/>
        <v>0</v>
      </c>
      <c r="K27" s="44">
        <f>5*Table2[[#This Row],[stacklose]]/3000</f>
        <v>0</v>
      </c>
      <c r="M27" s="45"/>
      <c r="O27" s="41">
        <f t="shared" si="5"/>
        <v>0</v>
      </c>
      <c r="P27" s="46">
        <f>5*Table2[[#This Row],[stackfact]]/3000</f>
        <v>0</v>
      </c>
      <c r="Q27" s="47">
        <f>Table2[[#This Row],[EQwin]]*Table2[[#This Row],[pWin]] + Table2[[#This Row],[EQlose]]*(1-Table2[[#This Row],[pWin]]) - Table2[[#This Row],[Eqfact]]</f>
        <v>0</v>
      </c>
      <c r="R27" s="48">
        <f>Table2[[#This Row],[pWin]]*Table2[[#This Row],[ICMwin]]+(1-Table2[[#This Row],[pWin]])*Table2[[#This Row],[ICMlose]]-Table2[[#This Row],[ICMFact]]</f>
        <v>0</v>
      </c>
      <c r="S27" s="42">
        <f>Table2[[#This Row],[Kowin]]*Table2[[#This Row],[pWin]]+Table2[[#This Row],[Kolose]]*(1-Table2[[#This Row],[pWin]])-Table2[[#This Row],[KOFact]]</f>
        <v>0</v>
      </c>
      <c r="T27" s="41">
        <f>Table2[[#This Row],[KODiff]]*bounty</f>
        <v>0</v>
      </c>
      <c r="U27" s="49">
        <f>Table2[[#This Row],[ICMdiff]]+Table2[[#This Row],[KOmoneyDiff]]</f>
        <v>0</v>
      </c>
      <c r="V27" s="40">
        <f>Table2[[#This Row],[pWin]]*Table2[[#This Row],[stackwin]]+(1-Table2[[#This Row],[pWin]])*Table2[[#This Row],[stacklose]]-Table2[[#This Row],[stackfact]]</f>
        <v>0</v>
      </c>
    </row>
    <row r="28" spans="1:22" s="17" customFormat="1" x14ac:dyDescent="0.25">
      <c r="A28" s="17">
        <f>972-10-100</f>
        <v>862</v>
      </c>
      <c r="B28" s="17" t="s">
        <v>42</v>
      </c>
      <c r="C28" s="17">
        <v>0.35909999999999997</v>
      </c>
      <c r="D28" s="19">
        <v>1924</v>
      </c>
      <c r="E28" s="17">
        <v>0.5</v>
      </c>
      <c r="F28" s="18">
        <f>Table2[[#This Row],[EQwin]]*$E$1</f>
        <v>44.72</v>
      </c>
      <c r="G28" s="24">
        <f>2*Table2[[#This Row],[stackwin]]/3000</f>
        <v>1.2826666666666666</v>
      </c>
      <c r="H28" s="19">
        <v>0</v>
      </c>
      <c r="I28" s="17">
        <v>0.5</v>
      </c>
      <c r="J28" s="18">
        <f t="shared" si="4"/>
        <v>44.72</v>
      </c>
      <c r="K28" s="20">
        <f>2*Table2[[#This Row],[stacklose]]/3000</f>
        <v>0</v>
      </c>
      <c r="M28" s="21">
        <v>962</v>
      </c>
      <c r="N28" s="17">
        <v>0.5</v>
      </c>
      <c r="O28" s="18">
        <f t="shared" si="5"/>
        <v>44.72</v>
      </c>
      <c r="P28" s="22">
        <f>2*Table2[[#This Row],[stackfact]]/3000</f>
        <v>0.64133333333333331</v>
      </c>
      <c r="Q28" s="35">
        <f>Table2[[#This Row],[EQwin]]*Table2[[#This Row],[pWin]] + Table2[[#This Row],[EQlose]]*(1-Table2[[#This Row],[pWin]]) - Table2[[#This Row],[Eqfact]]</f>
        <v>0</v>
      </c>
      <c r="R28" s="23">
        <f>Table2[[#This Row],[pWin]]*Table2[[#This Row],[ICMwin]]+(1-Table2[[#This Row],[pWin]])*Table2[[#This Row],[ICMlose]]-Table2[[#This Row],[ICMFact]]</f>
        <v>0</v>
      </c>
      <c r="S28" s="24">
        <f>Table2[[#This Row],[Kowin]]*Table2[[#This Row],[pWin]]+Table2[[#This Row],[Kolose]]*(1-Table2[[#This Row],[pWin]])-Table2[[#This Row],[KOFact]]</f>
        <v>-0.18072773333333336</v>
      </c>
      <c r="T28" s="18">
        <f>Table2[[#This Row],[KODiff]]*bounty</f>
        <v>0</v>
      </c>
      <c r="U28" s="25">
        <f>Table2[[#This Row],[ICMdiff]]+Table2[[#This Row],[KOmoneyDiff]]</f>
        <v>0</v>
      </c>
      <c r="V28" s="17">
        <f>Table2[[#This Row],[pWin]]*Table2[[#This Row],[stackwin]]+(1-Table2[[#This Row],[pWin]])*Table2[[#This Row],[stacklose]]-Table2[[#This Row],[stackfact]]</f>
        <v>-271.09160000000008</v>
      </c>
    </row>
    <row r="29" spans="1:22" x14ac:dyDescent="0.25">
      <c r="A29">
        <f>2038-10-100</f>
        <v>1928</v>
      </c>
      <c r="B29" t="s">
        <v>43</v>
      </c>
      <c r="C29">
        <v>0.35909999999999997</v>
      </c>
      <c r="D29" s="10">
        <v>1076</v>
      </c>
      <c r="E29">
        <v>0.5</v>
      </c>
      <c r="F29" s="2">
        <f>Table2[[#This Row],[EQwin]]*$E$1</f>
        <v>44.72</v>
      </c>
      <c r="G29" s="16">
        <f>2*Table2[[#This Row],[stackwin]]/3000</f>
        <v>0.71733333333333338</v>
      </c>
      <c r="H29" s="10">
        <v>3000</v>
      </c>
      <c r="I29">
        <v>0.5</v>
      </c>
      <c r="J29" s="2">
        <f t="shared" si="4"/>
        <v>44.72</v>
      </c>
      <c r="K29" s="14">
        <f>2*Table2[[#This Row],[stacklose]]/3000</f>
        <v>2</v>
      </c>
      <c r="M29" s="8">
        <v>2038</v>
      </c>
      <c r="N29">
        <v>0.5</v>
      </c>
      <c r="O29" s="2">
        <f t="shared" si="5"/>
        <v>44.72</v>
      </c>
      <c r="P29" s="15">
        <f>2*Table2[[#This Row],[stackfact]]/3000</f>
        <v>1.3586666666666667</v>
      </c>
      <c r="Q29" s="38">
        <f>Table2[[#This Row],[EQwin]]*Table2[[#This Row],[pWin]] + Table2[[#This Row],[EQlose]]*(1-Table2[[#This Row],[pWin]]) - Table2[[#This Row],[Eqfact]]</f>
        <v>0</v>
      </c>
      <c r="R29" s="12">
        <f>Table2[[#This Row],[pWin]]*Table2[[#This Row],[ICMwin]]+(1-Table2[[#This Row],[pWin]])*Table2[[#This Row],[ICMlose]]-Table2[[#This Row],[ICMFact]]</f>
        <v>0</v>
      </c>
      <c r="S29" s="16">
        <f>Table2[[#This Row],[Kowin]]*Table2[[#This Row],[pWin]]+Table2[[#This Row],[Kolose]]*(1-Table2[[#This Row],[pWin]])-Table2[[#This Row],[KOFact]]</f>
        <v>0.18072773333333325</v>
      </c>
      <c r="T29" s="2">
        <f>Table2[[#This Row],[KODiff]]*bounty</f>
        <v>0</v>
      </c>
      <c r="U29" s="7">
        <f>Table2[[#This Row],[ICMdiff]]+Table2[[#This Row],[KOmoneyDiff]]</f>
        <v>0</v>
      </c>
      <c r="V29">
        <f>Table2[[#This Row],[pWin]]*Table2[[#This Row],[stackwin]]+(1-Table2[[#This Row],[pWin]])*Table2[[#This Row],[stacklose]]-Table2[[#This Row],[stackfact]]</f>
        <v>271.0916000000002</v>
      </c>
    </row>
    <row r="30" spans="1:22" s="40" customFormat="1" x14ac:dyDescent="0.25">
      <c r="D30" s="43"/>
      <c r="F30" s="41">
        <f>Table2[[#This Row],[EQwin]]*$E$1</f>
        <v>0</v>
      </c>
      <c r="G30" s="42">
        <f>2*Table2[[#This Row],[stackwin]]/3000</f>
        <v>0</v>
      </c>
      <c r="H30" s="43"/>
      <c r="J30" s="41">
        <f t="shared" si="4"/>
        <v>0</v>
      </c>
      <c r="K30" s="44">
        <f>5*Table2[[#This Row],[stacklose]]/3000</f>
        <v>0</v>
      </c>
      <c r="M30" s="45"/>
      <c r="O30" s="41">
        <f t="shared" si="5"/>
        <v>0</v>
      </c>
      <c r="P30" s="46">
        <f>5*Table2[[#This Row],[stackfact]]/3000</f>
        <v>0</v>
      </c>
      <c r="Q30" s="47">
        <f>Table2[[#This Row],[EQwin]]*Table2[[#This Row],[pWin]] + Table2[[#This Row],[EQlose]]*(1-Table2[[#This Row],[pWin]]) - Table2[[#This Row],[Eqfact]]</f>
        <v>0</v>
      </c>
      <c r="R30" s="48">
        <f>Table2[[#This Row],[pWin]]*Table2[[#This Row],[ICMwin]]+(1-Table2[[#This Row],[pWin]])*Table2[[#This Row],[ICMlose]]-Table2[[#This Row],[ICMFact]]</f>
        <v>0</v>
      </c>
      <c r="S30" s="42">
        <f>Table2[[#This Row],[Kowin]]*Table2[[#This Row],[pWin]]+Table2[[#This Row],[Kolose]]*(1-Table2[[#This Row],[pWin]])-Table2[[#This Row],[KOFact]]</f>
        <v>0</v>
      </c>
      <c r="T30" s="41">
        <f>Table2[[#This Row],[KODiff]]*bounty</f>
        <v>0</v>
      </c>
      <c r="U30" s="49">
        <f>Table2[[#This Row],[ICMdiff]]+Table2[[#This Row],[KOmoneyDiff]]</f>
        <v>0</v>
      </c>
      <c r="V30" s="40">
        <f>Table2[[#This Row],[pWin]]*Table2[[#This Row],[stackwin]]+(1-Table2[[#This Row],[pWin]])*Table2[[#This Row],[stacklose]]-Table2[[#This Row],[stackfact]]</f>
        <v>0</v>
      </c>
    </row>
    <row r="31" spans="1:22" x14ac:dyDescent="0.25">
      <c r="A31">
        <v>718</v>
      </c>
      <c r="C31">
        <v>0.60240000000000005</v>
      </c>
      <c r="D31" s="10">
        <v>718</v>
      </c>
      <c r="E31">
        <v>0.28289999999999998</v>
      </c>
      <c r="F31" s="2">
        <f>Table2[[#This Row],[EQwin]]*$E$1</f>
        <v>25.302575999999998</v>
      </c>
      <c r="G31" s="16">
        <f>4*Table2[[#This Row],[stackwin]]/3000</f>
        <v>0.95733333333333337</v>
      </c>
      <c r="H31" s="10">
        <v>718</v>
      </c>
      <c r="I31">
        <v>0.34310000000000002</v>
      </c>
      <c r="J31" s="2">
        <f t="shared" si="4"/>
        <v>30.686864</v>
      </c>
      <c r="K31" s="14">
        <f>3*Table2[[#This Row],[stacklose]]/3000</f>
        <v>0.71799999999999997</v>
      </c>
      <c r="M31" s="10">
        <v>718</v>
      </c>
      <c r="N31">
        <v>0.28289999999999998</v>
      </c>
      <c r="O31" s="2">
        <f t="shared" si="5"/>
        <v>25.302575999999998</v>
      </c>
      <c r="P31" s="15">
        <f>4*Table2[[#This Row],[stackfact]]/3000</f>
        <v>0.95733333333333337</v>
      </c>
      <c r="Q31" s="38">
        <f>Table2[[#This Row],[EQwin]]*Table2[[#This Row],[pWin]] + Table2[[#This Row],[EQlose]]*(1-Table2[[#This Row],[pWin]]) - Table2[[#This Row],[Eqfact]]</f>
        <v>2.3935520000000043E-2</v>
      </c>
      <c r="R31" s="12">
        <f>Table2[[#This Row],[pWin]]*Table2[[#This Row],[ICMwin]]+(1-Table2[[#This Row],[pWin]])*Table2[[#This Row],[ICMlose]]-Table2[[#This Row],[ICMFact]]</f>
        <v>2.1407929087999982</v>
      </c>
      <c r="S31" s="16">
        <f>Table2[[#This Row],[Kowin]]*Table2[[#This Row],[pWin]]+Table2[[#This Row],[Kolose]]*(1-Table2[[#This Row],[pWin]])-Table2[[#This Row],[KOFact]]</f>
        <v>-9.5158933333333362E-2</v>
      </c>
      <c r="T31" s="2">
        <f>Table2[[#This Row],[KODiff]]*bounty</f>
        <v>0</v>
      </c>
      <c r="U31" s="7">
        <f>Table2[[#This Row],[ICMdiff]]+Table2[[#This Row],[KOmoneyDiff]]</f>
        <v>2.1407929087999982</v>
      </c>
      <c r="V31">
        <f>Table2[[#This Row],[pWin]]*Table2[[#This Row],[stackwin]]+(1-Table2[[#This Row],[pWin]])*Table2[[#This Row],[stacklose]]-Table2[[#This Row],[stackfact]]</f>
        <v>0</v>
      </c>
    </row>
    <row r="32" spans="1:22" s="17" customFormat="1" x14ac:dyDescent="0.25">
      <c r="A32" s="17">
        <v>127</v>
      </c>
      <c r="B32" s="17" t="s">
        <v>44</v>
      </c>
      <c r="C32" s="17">
        <v>0.60240000000000005</v>
      </c>
      <c r="D32" s="19">
        <v>330</v>
      </c>
      <c r="E32" s="17">
        <v>0.14050000000000001</v>
      </c>
      <c r="F32" s="18">
        <f>Table2[[#This Row],[EQwin]]*$E$1</f>
        <v>12.566320000000001</v>
      </c>
      <c r="G32" s="24">
        <f>4*Table2[[#This Row],[stackwin]]/3000</f>
        <v>0.44</v>
      </c>
      <c r="H32" s="19">
        <v>0</v>
      </c>
      <c r="I32" s="17">
        <v>0</v>
      </c>
      <c r="J32" s="18">
        <f t="shared" ref="J32:J48" si="6">I32*$E$1</f>
        <v>0</v>
      </c>
      <c r="K32" s="20">
        <f>3*Table2[[#This Row],[stacklose]]/3000</f>
        <v>0</v>
      </c>
      <c r="M32" s="19">
        <v>330</v>
      </c>
      <c r="N32" s="17">
        <v>0.14050000000000001</v>
      </c>
      <c r="O32" s="18">
        <f t="shared" ref="O32:O48" si="7">N32*$E$1</f>
        <v>12.566320000000001</v>
      </c>
      <c r="P32" s="22">
        <f>4*Table2[[#This Row],[stackfact]]/3000</f>
        <v>0.44</v>
      </c>
      <c r="Q32" s="35">
        <f>Table2[[#This Row],[EQwin]]*Table2[[#This Row],[pWin]] + Table2[[#This Row],[EQlose]]*(1-Table2[[#This Row],[pWin]]) - Table2[[#This Row],[Eqfact]]</f>
        <v>-5.5862800000000004E-2</v>
      </c>
      <c r="R32" s="23">
        <f>Table2[[#This Row],[pWin]]*Table2[[#This Row],[ICMwin]]+(1-Table2[[#This Row],[pWin]])*Table2[[#This Row],[ICMlose]]-Table2[[#This Row],[ICMFact]]</f>
        <v>-4.9963688319999999</v>
      </c>
      <c r="S32" s="24">
        <f>Table2[[#This Row],[Kowin]]*Table2[[#This Row],[pWin]]+Table2[[#This Row],[Kolose]]*(1-Table2[[#This Row],[pWin]])-Table2[[#This Row],[KOFact]]</f>
        <v>-0.17494399999999999</v>
      </c>
      <c r="T32" s="18">
        <f>Table2[[#This Row],[KODiff]]*bounty</f>
        <v>0</v>
      </c>
      <c r="U32" s="25">
        <f>Table2[[#This Row],[ICMdiff]]+Table2[[#This Row],[KOmoneyDiff]]</f>
        <v>-4.9963688319999999</v>
      </c>
      <c r="V32" s="35">
        <f>Table2[[#This Row],[pWin]]*Table2[[#This Row],[stackwin]]+(1-Table2[[#This Row],[pWin]])*Table2[[#This Row],[stacklose]]-Table2[[#This Row],[stackfact]]</f>
        <v>-131.208</v>
      </c>
    </row>
    <row r="33" spans="1:22" x14ac:dyDescent="0.25">
      <c r="A33">
        <v>385</v>
      </c>
      <c r="C33">
        <v>0.60240000000000005</v>
      </c>
      <c r="D33" s="10">
        <v>385</v>
      </c>
      <c r="E33">
        <v>0.16250000000000001</v>
      </c>
      <c r="F33" s="2">
        <f>Table2[[#This Row],[EQwin]]*$E$1</f>
        <v>14.534000000000001</v>
      </c>
      <c r="G33" s="16">
        <f>4*Table2[[#This Row],[stackwin]]/3000</f>
        <v>0.51333333333333331</v>
      </c>
      <c r="H33" s="10">
        <v>385</v>
      </c>
      <c r="I33">
        <v>0.19470000000000001</v>
      </c>
      <c r="J33" s="2">
        <f t="shared" si="6"/>
        <v>17.413968000000001</v>
      </c>
      <c r="K33" s="14">
        <f>3*Table2[[#This Row],[stacklose]]/3000</f>
        <v>0.38500000000000001</v>
      </c>
      <c r="M33" s="10">
        <v>385</v>
      </c>
      <c r="N33">
        <v>0.16250000000000001</v>
      </c>
      <c r="O33" s="2">
        <f t="shared" si="7"/>
        <v>14.534000000000001</v>
      </c>
      <c r="P33" s="15">
        <f>4*Table2[[#This Row],[stackfact]]/3000</f>
        <v>0.51333333333333331</v>
      </c>
      <c r="Q33" s="38">
        <f>Table2[[#This Row],[EQwin]]*Table2[[#This Row],[pWin]] + Table2[[#This Row],[EQlose]]*(1-Table2[[#This Row],[pWin]]) - Table2[[#This Row],[Eqfact]]</f>
        <v>1.280271999999999E-2</v>
      </c>
      <c r="R33" s="12">
        <f>Table2[[#This Row],[pWin]]*Table2[[#This Row],[ICMwin]]+(1-Table2[[#This Row],[pWin]])*Table2[[#This Row],[ICMlose]]-Table2[[#This Row],[ICMFact]]</f>
        <v>1.1450752768000001</v>
      </c>
      <c r="S33" s="16">
        <f>Table2[[#This Row],[Kowin]]*Table2[[#This Row],[pWin]]+Table2[[#This Row],[Kolose]]*(1-Table2[[#This Row],[pWin]])-Table2[[#This Row],[KOFact]]</f>
        <v>-5.1025333333333311E-2</v>
      </c>
      <c r="T33" s="2">
        <f>Table2[[#This Row],[KODiff]]*bounty</f>
        <v>0</v>
      </c>
      <c r="U33" s="7">
        <f>Table2[[#This Row],[ICMdiff]]+Table2[[#This Row],[KOmoneyDiff]]</f>
        <v>1.1450752768000001</v>
      </c>
      <c r="V33" s="38">
        <f>Table2[[#This Row],[pWin]]*Table2[[#This Row],[stackwin]]+(1-Table2[[#This Row],[pWin]])*Table2[[#This Row],[stacklose]]-Table2[[#This Row],[stackfact]]</f>
        <v>0</v>
      </c>
    </row>
    <row r="34" spans="1:22" x14ac:dyDescent="0.25">
      <c r="A34">
        <v>1654</v>
      </c>
      <c r="B34" t="s">
        <v>45</v>
      </c>
      <c r="C34">
        <v>0.60240000000000005</v>
      </c>
      <c r="D34" s="10">
        <v>1567</v>
      </c>
      <c r="E34">
        <v>0.41410000000000002</v>
      </c>
      <c r="F34" s="2">
        <f>Table2[[#This Row],[EQwin]]*$E$1</f>
        <v>37.037103999999999</v>
      </c>
      <c r="G34" s="16">
        <f>4*Table2[[#This Row],[stackwin]]/3000</f>
        <v>2.0893333333333333</v>
      </c>
      <c r="H34" s="10">
        <f>1654+116+127</f>
        <v>1897</v>
      </c>
      <c r="I34">
        <v>0.4622</v>
      </c>
      <c r="J34" s="2">
        <f t="shared" si="6"/>
        <v>41.339168000000001</v>
      </c>
      <c r="K34" s="14">
        <f>3*Table2[[#This Row],[stacklose]]/3000+1</f>
        <v>2.8970000000000002</v>
      </c>
      <c r="M34" s="10">
        <v>1567</v>
      </c>
      <c r="N34">
        <v>0.41410000000000002</v>
      </c>
      <c r="O34" s="2">
        <f t="shared" si="7"/>
        <v>37.037103999999999</v>
      </c>
      <c r="P34" s="15">
        <f>4*Table2[[#This Row],[stackfact]]/3000</f>
        <v>2.0893333333333333</v>
      </c>
      <c r="Q34" s="38">
        <f>Table2[[#This Row],[EQwin]]*Table2[[#This Row],[pWin]] + Table2[[#This Row],[EQlose]]*(1-Table2[[#This Row],[pWin]]) - Table2[[#This Row],[Eqfact]]</f>
        <v>1.9124559999999957E-2</v>
      </c>
      <c r="R34" s="12">
        <f>Table2[[#This Row],[pWin]]*Table2[[#This Row],[ICMwin]]+(1-Table2[[#This Row],[pWin]])*Table2[[#This Row],[ICMlose]]-Table2[[#This Row],[ICMFact]]</f>
        <v>1.7105006463999999</v>
      </c>
      <c r="S34" s="16">
        <f>Table2[[#This Row],[Kowin]]*Table2[[#This Row],[pWin]]+Table2[[#This Row],[Kolose]]*(1-Table2[[#This Row],[pWin]])-Table2[[#This Row],[KOFact]]</f>
        <v>0.32112826666666683</v>
      </c>
      <c r="T34" s="2">
        <f>Table2[[#This Row],[KODiff]]*bounty</f>
        <v>0</v>
      </c>
      <c r="U34" s="7">
        <f>Table2[[#This Row],[ICMdiff]]+Table2[[#This Row],[KOmoneyDiff]]</f>
        <v>1.7105006463999999</v>
      </c>
      <c r="V34" s="38">
        <f>Table2[[#This Row],[pWin]]*Table2[[#This Row],[stackwin]]+(1-Table2[[#This Row],[pWin]])*Table2[[#This Row],[stacklose]]-Table2[[#This Row],[stackfact]]</f>
        <v>131.20800000000008</v>
      </c>
    </row>
    <row r="35" spans="1:22" s="40" customFormat="1" x14ac:dyDescent="0.25">
      <c r="D35" s="43"/>
      <c r="F35" s="41">
        <f>Table2[[#This Row],[EQwin]]*$E$1</f>
        <v>0</v>
      </c>
      <c r="G35" s="42">
        <f>2*Table2[[#This Row],[stackwin]]/3000</f>
        <v>0</v>
      </c>
      <c r="H35" s="43"/>
      <c r="J35" s="41">
        <f t="shared" si="6"/>
        <v>0</v>
      </c>
      <c r="K35" s="44">
        <f>5*Table2[[#This Row],[stacklose]]/3000</f>
        <v>0</v>
      </c>
      <c r="M35" s="45"/>
      <c r="O35" s="41">
        <f t="shared" si="7"/>
        <v>0</v>
      </c>
      <c r="P35" s="46">
        <f>5*Table2[[#This Row],[stackfact]]/3000</f>
        <v>0</v>
      </c>
      <c r="Q35" s="47">
        <f>Table2[[#This Row],[EQwin]]*Table2[[#This Row],[pWin]] + Table2[[#This Row],[EQlose]]*(1-Table2[[#This Row],[pWin]]) - Table2[[#This Row],[Eqfact]]</f>
        <v>0</v>
      </c>
      <c r="R35" s="48">
        <f>Table2[[#This Row],[pWin]]*Table2[[#This Row],[ICMwin]]+(1-Table2[[#This Row],[pWin]])*Table2[[#This Row],[ICMlose]]-Table2[[#This Row],[ICMFact]]</f>
        <v>0</v>
      </c>
      <c r="S35" s="42">
        <f>Table2[[#This Row],[Kowin]]*Table2[[#This Row],[pWin]]+Table2[[#This Row],[Kolose]]*(1-Table2[[#This Row],[pWin]])-Table2[[#This Row],[KOFact]]</f>
        <v>0</v>
      </c>
      <c r="T35" s="41">
        <f>Table2[[#This Row],[KODiff]]*bounty</f>
        <v>0</v>
      </c>
      <c r="U35" s="49">
        <f>Table2[[#This Row],[ICMdiff]]+Table2[[#This Row],[KOmoneyDiff]]</f>
        <v>0</v>
      </c>
      <c r="V35" s="47">
        <f>Table2[[#This Row],[pWin]]*Table2[[#This Row],[stackwin]]+(1-Table2[[#This Row],[pWin]])*Table2[[#This Row],[stacklose]]-Table2[[#This Row],[stackfact]]</f>
        <v>0</v>
      </c>
    </row>
    <row r="36" spans="1:22" s="17" customFormat="1" x14ac:dyDescent="0.25">
      <c r="A36" s="17">
        <f>432-6</f>
        <v>426</v>
      </c>
      <c r="B36" s="17" t="s">
        <v>46</v>
      </c>
      <c r="C36" s="17">
        <v>0.5423</v>
      </c>
      <c r="D36" s="19">
        <v>930</v>
      </c>
      <c r="E36" s="17">
        <v>0.48320000000000002</v>
      </c>
      <c r="F36" s="18">
        <f>Table2[[#This Row],[EQwin]]*$E$1</f>
        <v>43.217407999999999</v>
      </c>
      <c r="G36" s="16">
        <f>3*Table2[[#This Row],[stackwin]]/3000</f>
        <v>0.93</v>
      </c>
      <c r="H36" s="19">
        <v>0</v>
      </c>
      <c r="J36" s="18">
        <f t="shared" si="6"/>
        <v>0</v>
      </c>
      <c r="K36" s="20">
        <f>5*Table2[[#This Row],[stacklose]]/3000</f>
        <v>0</v>
      </c>
      <c r="M36" s="19">
        <v>0</v>
      </c>
      <c r="O36" s="18">
        <f t="shared" si="7"/>
        <v>0</v>
      </c>
      <c r="P36" s="20">
        <f>5*Table2[[#This Row],[stacklose]]/3000</f>
        <v>0</v>
      </c>
      <c r="Q36" s="35">
        <f>Table2[[#This Row],[EQwin]]*Table2[[#This Row],[pWin]] + Table2[[#This Row],[EQlose]]*(1-Table2[[#This Row],[pWin]]) - Table2[[#This Row],[Eqfact]]</f>
        <v>0.26203936</v>
      </c>
      <c r="R36" s="23">
        <f>Table2[[#This Row],[pWin]]*Table2[[#This Row],[ICMwin]]+(1-Table2[[#This Row],[pWin]])*Table2[[#This Row],[ICMlose]]-Table2[[#This Row],[ICMFact]]</f>
        <v>23.436800358399999</v>
      </c>
      <c r="S36" s="24">
        <f>Table2[[#This Row],[Kowin]]*Table2[[#This Row],[pWin]]+Table2[[#This Row],[Kolose]]*(1-Table2[[#This Row],[pWin]])-Table2[[#This Row],[KOFact]]</f>
        <v>0.50433899999999998</v>
      </c>
      <c r="T36" s="18">
        <f>Table2[[#This Row],[KODiff]]*bounty</f>
        <v>0</v>
      </c>
      <c r="U36" s="25">
        <f>Table2[[#This Row],[ICMdiff]]+Table2[[#This Row],[KOmoneyDiff]]</f>
        <v>23.436800358399999</v>
      </c>
      <c r="V36" s="35">
        <f>Table2[[#This Row],[pWin]]*Table2[[#This Row],[stackwin]]+(1-Table2[[#This Row],[pWin]])*Table2[[#This Row],[stacklose]]-Table2[[#This Row],[stackfact]]</f>
        <v>504.339</v>
      </c>
    </row>
    <row r="37" spans="1:22" x14ac:dyDescent="0.25">
      <c r="A37">
        <f>468-6-30</f>
        <v>432</v>
      </c>
      <c r="B37" t="s">
        <v>47</v>
      </c>
      <c r="C37">
        <v>0.5423</v>
      </c>
      <c r="D37" s="10">
        <f>432-426+30</f>
        <v>36</v>
      </c>
      <c r="E37">
        <v>2.1299999999999999E-2</v>
      </c>
      <c r="F37" s="2">
        <f>Table2[[#This Row],[EQwin]]*$E$1</f>
        <v>1.9050719999999999</v>
      </c>
      <c r="G37" s="16">
        <f>3*Table2[[#This Row],[stackwin]]/3000</f>
        <v>3.5999999999999997E-2</v>
      </c>
      <c r="H37" s="10">
        <f>930+36</f>
        <v>966</v>
      </c>
      <c r="I37">
        <v>0.5</v>
      </c>
      <c r="J37" s="2">
        <f t="shared" si="6"/>
        <v>44.72</v>
      </c>
      <c r="K37" s="14">
        <f>2*Table2[[#This Row],[stacklose]]/3000+1</f>
        <v>1.6440000000000001</v>
      </c>
      <c r="M37" s="10">
        <f>930+36</f>
        <v>966</v>
      </c>
      <c r="N37">
        <v>0.5</v>
      </c>
      <c r="O37" s="2">
        <f t="shared" si="7"/>
        <v>44.72</v>
      </c>
      <c r="P37" s="14">
        <f>2*Table2[[#This Row],[stacklose]]/3000+1</f>
        <v>1.6440000000000001</v>
      </c>
      <c r="Q37" s="38">
        <f>Table2[[#This Row],[EQwin]]*Table2[[#This Row],[pWin]] + Table2[[#This Row],[EQlose]]*(1-Table2[[#This Row],[pWin]]) - Table2[[#This Row],[Eqfact]]</f>
        <v>-0.25959900999999996</v>
      </c>
      <c r="R37" s="12">
        <f>Table2[[#This Row],[pWin]]*Table2[[#This Row],[ICMwin]]+(1-Table2[[#This Row],[pWin]])*Table2[[#This Row],[ICMlose]]-Table2[[#This Row],[ICMFact]]</f>
        <v>-23.218535454400001</v>
      </c>
      <c r="S37" s="16">
        <f>Table2[[#This Row],[Kowin]]*Table2[[#This Row],[pWin]]+Table2[[#This Row],[Kolose]]*(1-Table2[[#This Row],[pWin]])-Table2[[#This Row],[KOFact]]</f>
        <v>-0.87201840000000008</v>
      </c>
      <c r="T37" s="2">
        <f>Table2[[#This Row],[KODiff]]*bounty</f>
        <v>0</v>
      </c>
      <c r="U37" s="7">
        <f>Table2[[#This Row],[ICMdiff]]+Table2[[#This Row],[KOmoneyDiff]]</f>
        <v>-23.218535454400001</v>
      </c>
      <c r="V37" s="38">
        <f>Table2[[#This Row],[pWin]]*Table2[[#This Row],[stackwin]]+(1-Table2[[#This Row],[pWin]])*Table2[[#This Row],[stacklose]]-Table2[[#This Row],[stackfact]]</f>
        <v>-504.339</v>
      </c>
    </row>
    <row r="38" spans="1:22" x14ac:dyDescent="0.25">
      <c r="A38">
        <f>2100-6-60</f>
        <v>2034</v>
      </c>
      <c r="C38">
        <v>0.5423</v>
      </c>
      <c r="D38" s="10">
        <v>2034</v>
      </c>
      <c r="E38">
        <v>0.49540000000000001</v>
      </c>
      <c r="F38" s="2">
        <f>Table2[[#This Row],[EQwin]]*$E$1</f>
        <v>44.308576000000002</v>
      </c>
      <c r="G38" s="16">
        <f>3*Table2[[#This Row],[stackwin]]/3000</f>
        <v>2.0339999999999998</v>
      </c>
      <c r="H38" s="10">
        <v>2034</v>
      </c>
      <c r="I38">
        <v>0.5</v>
      </c>
      <c r="J38" s="2">
        <f t="shared" si="6"/>
        <v>44.72</v>
      </c>
      <c r="K38" s="14">
        <f>2*Table2[[#This Row],[stacklose]]/3000+1</f>
        <v>2.3559999999999999</v>
      </c>
      <c r="M38" s="10">
        <v>2034</v>
      </c>
      <c r="N38">
        <v>0.5</v>
      </c>
      <c r="O38" s="2">
        <f t="shared" si="7"/>
        <v>44.72</v>
      </c>
      <c r="P38" s="14">
        <f>2*Table2[[#This Row],[stacklose]]/3000+1</f>
        <v>2.3559999999999999</v>
      </c>
      <c r="Q38" s="38">
        <f>Table2[[#This Row],[EQwin]]*Table2[[#This Row],[pWin]] + Table2[[#This Row],[EQlose]]*(1-Table2[[#This Row],[pWin]]) - Table2[[#This Row],[Eqfact]]</f>
        <v>-2.4945799999999685E-3</v>
      </c>
      <c r="R38" s="12">
        <f>Table2[[#This Row],[pWin]]*Table2[[#This Row],[ICMwin]]+(1-Table2[[#This Row],[pWin]])*Table2[[#This Row],[ICMlose]]-Table2[[#This Row],[ICMFact]]</f>
        <v>-0.2231152351999981</v>
      </c>
      <c r="S38" s="16">
        <f>Table2[[#This Row],[Kowin]]*Table2[[#This Row],[pWin]]+Table2[[#This Row],[Kolose]]*(1-Table2[[#This Row],[pWin]])-Table2[[#This Row],[KOFact]]</f>
        <v>-0.1746205999999999</v>
      </c>
      <c r="T38" s="2">
        <f>Table2[[#This Row],[KODiff]]*bounty</f>
        <v>0</v>
      </c>
      <c r="U38" s="7">
        <f>Table2[[#This Row],[ICMdiff]]+Table2[[#This Row],[KOmoneyDiff]]</f>
        <v>-0.2231152351999981</v>
      </c>
      <c r="V38" s="38">
        <f>Table2[[#This Row],[pWin]]*Table2[[#This Row],[stackwin]]+(1-Table2[[#This Row],[pWin]])*Table2[[#This Row],[stacklose]]-Table2[[#This Row],[stackfact]]</f>
        <v>0</v>
      </c>
    </row>
    <row r="39" spans="1:22" s="40" customFormat="1" x14ac:dyDescent="0.25">
      <c r="D39" s="43"/>
      <c r="F39" s="41">
        <f>Table2[[#This Row],[EQwin]]*$E$1</f>
        <v>0</v>
      </c>
      <c r="G39" s="42">
        <f>2*Table2[[#This Row],[stackwin]]/3000</f>
        <v>0</v>
      </c>
      <c r="H39" s="43"/>
      <c r="J39" s="41">
        <f t="shared" si="6"/>
        <v>0</v>
      </c>
      <c r="K39" s="44">
        <f>5*Table2[[#This Row],[stacklose]]/3000</f>
        <v>0</v>
      </c>
      <c r="M39" s="45"/>
      <c r="O39" s="41">
        <f t="shared" si="7"/>
        <v>0</v>
      </c>
      <c r="P39" s="46">
        <f>5*Table2[[#This Row],[stackfact]]/3000</f>
        <v>0</v>
      </c>
      <c r="Q39" s="47">
        <f>Table2[[#This Row],[EQwin]]*Table2[[#This Row],[pWin]] + Table2[[#This Row],[EQlose]]*(1-Table2[[#This Row],[pWin]]) - Table2[[#This Row],[Eqfact]]</f>
        <v>0</v>
      </c>
      <c r="R39" s="48">
        <f>Table2[[#This Row],[pWin]]*Table2[[#This Row],[ICMwin]]+(1-Table2[[#This Row],[pWin]])*Table2[[#This Row],[ICMlose]]-Table2[[#This Row],[ICMFact]]</f>
        <v>0</v>
      </c>
      <c r="S39" s="42">
        <f>Table2[[#This Row],[Kowin]]*Table2[[#This Row],[pWin]]+Table2[[#This Row],[Kolose]]*(1-Table2[[#This Row],[pWin]])-Table2[[#This Row],[KOFact]]</f>
        <v>0</v>
      </c>
      <c r="T39" s="41">
        <f>Table2[[#This Row],[KODiff]]*bounty</f>
        <v>0</v>
      </c>
      <c r="U39" s="49">
        <f>Table2[[#This Row],[ICMdiff]]+Table2[[#This Row],[KOmoneyDiff]]</f>
        <v>0</v>
      </c>
      <c r="V39" s="47">
        <f>Table2[[#This Row],[pWin]]*Table2[[#This Row],[stackwin]]+(1-Table2[[#This Row],[pWin]])*Table2[[#This Row],[stacklose]]-Table2[[#This Row],[stackfact]]</f>
        <v>0</v>
      </c>
    </row>
    <row r="40" spans="1:22" x14ac:dyDescent="0.25">
      <c r="A40">
        <f>404-10</f>
        <v>394</v>
      </c>
      <c r="B40" t="s">
        <v>48</v>
      </c>
      <c r="C40">
        <v>0.73150000000000004</v>
      </c>
      <c r="D40" s="10">
        <f>868</f>
        <v>868</v>
      </c>
      <c r="E40">
        <v>0.35630000000000001</v>
      </c>
      <c r="F40" s="2">
        <f>Table2[[#This Row],[EQwin]]*$E$1</f>
        <v>31.867471999999999</v>
      </c>
      <c r="G40" s="16">
        <f>3*Table2[[#This Row],[stackwin]]/3000</f>
        <v>0.86799999999999999</v>
      </c>
      <c r="H40" s="10">
        <v>0</v>
      </c>
      <c r="J40" s="2">
        <f t="shared" si="6"/>
        <v>0</v>
      </c>
      <c r="K40" s="14">
        <f>2*Table2[[#This Row],[stacklose]]/3000</f>
        <v>0</v>
      </c>
      <c r="M40" s="8">
        <v>868</v>
      </c>
      <c r="N40">
        <v>0.35630000000000001</v>
      </c>
      <c r="O40" s="2">
        <f t="shared" si="7"/>
        <v>31.867471999999999</v>
      </c>
      <c r="P40" s="15">
        <f>3*Table2[[#This Row],[stackfact]]/3000</f>
        <v>0.86799999999999999</v>
      </c>
      <c r="Q40" s="38">
        <f>Table2[[#This Row],[EQwin]]*Table2[[#This Row],[pWin]] + Table2[[#This Row],[EQlose]]*(1-Table2[[#This Row],[pWin]]) - Table2[[#This Row],[Eqfact]]</f>
        <v>-9.5666549999999961E-2</v>
      </c>
      <c r="R40" s="12">
        <f>Table2[[#This Row],[pWin]]*Table2[[#This Row],[ICMwin]]+(1-Table2[[#This Row],[pWin]])*Table2[[#This Row],[ICMlose]]-Table2[[#This Row],[ICMFact]]</f>
        <v>-8.5564162320000001</v>
      </c>
      <c r="S40" s="16">
        <f>Table2[[#This Row],[Kowin]]*Table2[[#This Row],[pWin]]+Table2[[#This Row],[Kolose]]*(1-Table2[[#This Row],[pWin]])-Table2[[#This Row],[KOFact]]</f>
        <v>-0.23305799999999999</v>
      </c>
      <c r="T40" s="2">
        <f>Table2[[#This Row],[KODiff]]*bounty</f>
        <v>0</v>
      </c>
      <c r="U40" s="7">
        <f>Table2[[#This Row],[ICMdiff]]+Table2[[#This Row],[KOmoneyDiff]]</f>
        <v>-8.5564162320000001</v>
      </c>
      <c r="V40" s="38">
        <f>Table2[[#This Row],[pWin]]*Table2[[#This Row],[stackwin]]+(1-Table2[[#This Row],[pWin]])*Table2[[#This Row],[stacklose]]-Table2[[#This Row],[stackfact]]</f>
        <v>-233.05799999999999</v>
      </c>
    </row>
    <row r="41" spans="1:22" x14ac:dyDescent="0.25">
      <c r="A41">
        <f>502-10-50</f>
        <v>442</v>
      </c>
      <c r="C41">
        <v>0.73150000000000004</v>
      </c>
      <c r="D41" s="10">
        <v>442</v>
      </c>
      <c r="E41">
        <v>0.19869999999999999</v>
      </c>
      <c r="F41" s="2">
        <f>Table2[[#This Row],[EQwin]]*$E$1</f>
        <v>17.771728</v>
      </c>
      <c r="G41" s="16">
        <f>3*Table2[[#This Row],[stackwin]]/3000</f>
        <v>0.442</v>
      </c>
      <c r="H41" s="10">
        <v>442</v>
      </c>
      <c r="I41">
        <v>0.5</v>
      </c>
      <c r="J41" s="2">
        <f t="shared" si="6"/>
        <v>44.72</v>
      </c>
      <c r="K41" s="14">
        <f>2*Table2[[#This Row],[stacklose]]/3000</f>
        <v>0.29466666666666669</v>
      </c>
      <c r="M41" s="8">
        <v>442</v>
      </c>
      <c r="N41">
        <v>0.19869999999999999</v>
      </c>
      <c r="O41" s="2">
        <f t="shared" si="7"/>
        <v>17.771728</v>
      </c>
      <c r="P41" s="15">
        <f>3*Table2[[#This Row],[stackfact]]/3000</f>
        <v>0.442</v>
      </c>
      <c r="Q41" s="38">
        <f>Table2[[#This Row],[EQwin]]*Table2[[#This Row],[pWin]] + Table2[[#This Row],[EQlose]]*(1-Table2[[#This Row],[pWin]]) - Table2[[#This Row],[Eqfact]]</f>
        <v>8.0899049999999972E-2</v>
      </c>
      <c r="R41" s="12">
        <f>Table2[[#This Row],[pWin]]*Table2[[#This Row],[ICMwin]]+(1-Table2[[#This Row],[pWin]])*Table2[[#This Row],[ICMlose]]-Table2[[#This Row],[ICMFact]]</f>
        <v>7.2356110319999978</v>
      </c>
      <c r="S41" s="16">
        <f>Table2[[#This Row],[Kowin]]*Table2[[#This Row],[pWin]]+Table2[[#This Row],[Kolose]]*(1-Table2[[#This Row],[pWin]])-Table2[[#This Row],[KOFact]]</f>
        <v>-3.9558999999999955E-2</v>
      </c>
      <c r="T41" s="2">
        <f>Table2[[#This Row],[KODiff]]*bounty</f>
        <v>0</v>
      </c>
      <c r="U41" s="7">
        <f>Table2[[#This Row],[ICMdiff]]+Table2[[#This Row],[KOmoneyDiff]]</f>
        <v>7.2356110319999978</v>
      </c>
      <c r="V41" s="38">
        <f>Table2[[#This Row],[pWin]]*Table2[[#This Row],[stackwin]]+(1-Table2[[#This Row],[pWin]])*Table2[[#This Row],[stacklose]]-Table2[[#This Row],[stackfact]]</f>
        <v>0</v>
      </c>
    </row>
    <row r="42" spans="1:22" x14ac:dyDescent="0.25">
      <c r="A42">
        <f>2094-10-100</f>
        <v>1984</v>
      </c>
      <c r="B42" t="s">
        <v>49</v>
      </c>
      <c r="C42">
        <v>0.73150000000000004</v>
      </c>
      <c r="D42" s="10">
        <f>1690</f>
        <v>1690</v>
      </c>
      <c r="E42">
        <v>0.44500000000000001</v>
      </c>
      <c r="F42" s="2">
        <f>Table2[[#This Row],[EQwin]]*$E$1</f>
        <v>39.800800000000002</v>
      </c>
      <c r="G42" s="16">
        <f>3*Table2[[#This Row],[stackwin]]/3000</f>
        <v>1.69</v>
      </c>
      <c r="H42" s="10">
        <f>1690+868</f>
        <v>2558</v>
      </c>
      <c r="I42">
        <v>0.5</v>
      </c>
      <c r="J42" s="2">
        <f t="shared" si="6"/>
        <v>44.72</v>
      </c>
      <c r="K42" s="14">
        <f>2*Table2[[#This Row],[stacklose]]/3000+1</f>
        <v>2.7053333333333334</v>
      </c>
      <c r="M42" s="8">
        <v>1690</v>
      </c>
      <c r="N42">
        <v>0.44500000000000001</v>
      </c>
      <c r="O42" s="2">
        <f t="shared" si="7"/>
        <v>39.800800000000002</v>
      </c>
      <c r="P42" s="15">
        <f>3*Table2[[#This Row],[stackfact]]/3000</f>
        <v>1.69</v>
      </c>
      <c r="Q42" s="38">
        <f>Table2[[#This Row],[EQwin]]*Table2[[#This Row],[pWin]] + Table2[[#This Row],[EQlose]]*(1-Table2[[#This Row],[pWin]]) - Table2[[#This Row],[Eqfact]]</f>
        <v>1.4767499999999989E-2</v>
      </c>
      <c r="R42" s="12">
        <f>Table2[[#This Row],[pWin]]*Table2[[#This Row],[ICMwin]]+(1-Table2[[#This Row],[pWin]])*Table2[[#This Row],[ICMlose]]-Table2[[#This Row],[ICMFact]]</f>
        <v>1.3208052000000023</v>
      </c>
      <c r="S42" s="16">
        <f>Table2[[#This Row],[Kowin]]*Table2[[#This Row],[pWin]]+Table2[[#This Row],[Kolose]]*(1-Table2[[#This Row],[pWin]])-Table2[[#This Row],[KOFact]]</f>
        <v>0.27261699999999989</v>
      </c>
      <c r="T42" s="2">
        <f>Table2[[#This Row],[KODiff]]*bounty</f>
        <v>0</v>
      </c>
      <c r="U42" s="7">
        <f>Table2[[#This Row],[ICMdiff]]+Table2[[#This Row],[KOmoneyDiff]]</f>
        <v>1.3208052000000023</v>
      </c>
      <c r="V42" s="38">
        <f>Table2[[#This Row],[pWin]]*Table2[[#This Row],[stackwin]]+(1-Table2[[#This Row],[pWin]])*Table2[[#This Row],[stacklose]]-Table2[[#This Row],[stackfact]]</f>
        <v>233.05799999999999</v>
      </c>
    </row>
    <row r="43" spans="1:22" s="40" customFormat="1" x14ac:dyDescent="0.25">
      <c r="D43" s="43"/>
      <c r="F43" s="41">
        <f>Table2[[#This Row],[EQwin]]*$E$1</f>
        <v>0</v>
      </c>
      <c r="G43" s="42">
        <f>2*Table2[[#This Row],[stackwin]]/3000</f>
        <v>0</v>
      </c>
      <c r="H43" s="43"/>
      <c r="J43" s="41">
        <f t="shared" si="6"/>
        <v>0</v>
      </c>
      <c r="K43" s="44">
        <f>5*Table2[[#This Row],[stacklose]]/3000</f>
        <v>0</v>
      </c>
      <c r="M43" s="45"/>
      <c r="O43" s="41">
        <f t="shared" si="7"/>
        <v>0</v>
      </c>
      <c r="P43" s="46">
        <f>5*Table2[[#This Row],[stackfact]]/3000</f>
        <v>0</v>
      </c>
      <c r="Q43" s="47">
        <f>Table2[[#This Row],[EQwin]]*Table2[[#This Row],[pWin]] + Table2[[#This Row],[EQlose]]*(1-Table2[[#This Row],[pWin]]) - Table2[[#This Row],[Eqfact]]</f>
        <v>0</v>
      </c>
      <c r="R43" s="48">
        <f>Table2[[#This Row],[pWin]]*Table2[[#This Row],[ICMwin]]+(1-Table2[[#This Row],[pWin]])*Table2[[#This Row],[ICMlose]]-Table2[[#This Row],[ICMFact]]</f>
        <v>0</v>
      </c>
      <c r="S43" s="42">
        <f>Table2[[#This Row],[Kowin]]*Table2[[#This Row],[pWin]]+Table2[[#This Row],[Kolose]]*(1-Table2[[#This Row],[pWin]])-Table2[[#This Row],[KOFact]]</f>
        <v>0</v>
      </c>
      <c r="T43" s="41">
        <f>Table2[[#This Row],[KODiff]]*bounty</f>
        <v>0</v>
      </c>
      <c r="U43" s="49">
        <f>Table2[[#This Row],[ICMdiff]]+Table2[[#This Row],[KOmoneyDiff]]</f>
        <v>0</v>
      </c>
      <c r="V43" s="47">
        <f>Table2[[#This Row],[pWin]]*Table2[[#This Row],[stackwin]]+(1-Table2[[#This Row],[pWin]])*Table2[[#This Row],[stacklose]]-Table2[[#This Row],[stackfact]]</f>
        <v>0</v>
      </c>
    </row>
    <row r="44" spans="1:22" x14ac:dyDescent="0.25">
      <c r="A44">
        <v>500</v>
      </c>
      <c r="C44">
        <v>0.66</v>
      </c>
      <c r="D44" s="10">
        <v>490</v>
      </c>
      <c r="E44">
        <v>0.29020000000000001</v>
      </c>
      <c r="F44" s="2">
        <f>Table2[[#This Row],[EQwin]]*$E$1</f>
        <v>25.955487999999999</v>
      </c>
      <c r="G44" s="16">
        <f>2*Table2[[#This Row],[stackwin]]/3000</f>
        <v>0.32666666666666666</v>
      </c>
      <c r="H44" s="10">
        <v>490</v>
      </c>
      <c r="I44">
        <v>0.29020000000000001</v>
      </c>
      <c r="J44" s="2">
        <f t="shared" si="6"/>
        <v>25.955487999999999</v>
      </c>
      <c r="K44" s="14">
        <f>5*Table2[[#This Row],[stacklose]]/3000</f>
        <v>0.81666666666666665</v>
      </c>
      <c r="M44" s="10">
        <v>490</v>
      </c>
      <c r="N44">
        <v>0.29020000000000001</v>
      </c>
      <c r="O44" s="2">
        <f t="shared" si="7"/>
        <v>25.955487999999999</v>
      </c>
      <c r="P44" s="15">
        <f>5*Table2[[#This Row],[stackfact]]/3000</f>
        <v>0.81666666666666665</v>
      </c>
      <c r="Q44" s="38">
        <f>Table2[[#This Row],[EQwin]]*Table2[[#This Row],[pWin]] + Table2[[#This Row],[EQlose]]*(1-Table2[[#This Row],[pWin]]) - Table2[[#This Row],[Eqfact]]</f>
        <v>0</v>
      </c>
      <c r="R44" s="12">
        <f>Table2[[#This Row],[pWin]]*Table2[[#This Row],[ICMwin]]+(1-Table2[[#This Row],[pWin]])*Table2[[#This Row],[ICMlose]]-Table2[[#This Row],[ICMFact]]</f>
        <v>0</v>
      </c>
      <c r="S44" s="16">
        <f>Table2[[#This Row],[Kowin]]*Table2[[#This Row],[pWin]]+Table2[[#This Row],[Kolose]]*(1-Table2[[#This Row],[pWin]])-Table2[[#This Row],[KOFact]]</f>
        <v>-0.32340000000000002</v>
      </c>
      <c r="T44" s="2">
        <f>Table2[[#This Row],[KODiff]]*bounty</f>
        <v>0</v>
      </c>
      <c r="U44" s="7">
        <f>Table2[[#This Row],[ICMdiff]]+Table2[[#This Row],[KOmoneyDiff]]</f>
        <v>0</v>
      </c>
      <c r="V44" s="38">
        <f>Table2[[#This Row],[pWin]]*Table2[[#This Row],[stackwin]]+(1-Table2[[#This Row],[pWin]])*Table2[[#This Row],[stacklose]]-Table2[[#This Row],[stackfact]]</f>
        <v>0</v>
      </c>
    </row>
    <row r="45" spans="1:22" x14ac:dyDescent="0.25">
      <c r="A45">
        <v>500</v>
      </c>
      <c r="C45">
        <v>0.66</v>
      </c>
      <c r="D45" s="10">
        <v>490</v>
      </c>
      <c r="E45">
        <v>0.29020000000000001</v>
      </c>
      <c r="F45" s="2">
        <f>Table2[[#This Row],[EQwin]]*$E$1</f>
        <v>25.955487999999999</v>
      </c>
      <c r="G45" s="16">
        <f>2*Table2[[#This Row],[stackwin]]/3000</f>
        <v>0.32666666666666666</v>
      </c>
      <c r="H45" s="10">
        <v>490</v>
      </c>
      <c r="I45">
        <v>0.29020000000000001</v>
      </c>
      <c r="J45" s="2">
        <f t="shared" si="6"/>
        <v>25.955487999999999</v>
      </c>
      <c r="K45" s="14">
        <f>5*Table2[[#This Row],[stacklose]]/3000</f>
        <v>0.81666666666666665</v>
      </c>
      <c r="M45" s="10">
        <v>490</v>
      </c>
      <c r="N45">
        <v>0.29020000000000001</v>
      </c>
      <c r="O45" s="2">
        <f t="shared" si="7"/>
        <v>25.955487999999999</v>
      </c>
      <c r="P45" s="15">
        <f>5*Table2[[#This Row],[stackfact]]/3000</f>
        <v>0.81666666666666665</v>
      </c>
      <c r="Q45" s="38">
        <f>Table2[[#This Row],[EQwin]]*Table2[[#This Row],[pWin]] + Table2[[#This Row],[EQlose]]*(1-Table2[[#This Row],[pWin]]) - Table2[[#This Row],[Eqfact]]</f>
        <v>0</v>
      </c>
      <c r="R45" s="12">
        <f>Table2[[#This Row],[pWin]]*Table2[[#This Row],[ICMwin]]+(1-Table2[[#This Row],[pWin]])*Table2[[#This Row],[ICMlose]]-Table2[[#This Row],[ICMFact]]</f>
        <v>0</v>
      </c>
      <c r="S45" s="16">
        <f>Table2[[#This Row],[Kowin]]*Table2[[#This Row],[pWin]]+Table2[[#This Row],[Kolose]]*(1-Table2[[#This Row],[pWin]])-Table2[[#This Row],[KOFact]]</f>
        <v>-0.32340000000000002</v>
      </c>
      <c r="T45" s="2">
        <f>Table2[[#This Row],[KODiff]]*bounty</f>
        <v>0</v>
      </c>
      <c r="U45" s="7">
        <f>Table2[[#This Row],[ICMdiff]]+Table2[[#This Row],[KOmoneyDiff]]</f>
        <v>0</v>
      </c>
      <c r="V45" s="38">
        <f>Table2[[#This Row],[pWin]]*Table2[[#This Row],[stackwin]]+(1-Table2[[#This Row],[pWin]])*Table2[[#This Row],[stacklose]]-Table2[[#This Row],[stackfact]]</f>
        <v>0</v>
      </c>
    </row>
    <row r="46" spans="1:22" x14ac:dyDescent="0.25">
      <c r="A46">
        <v>500</v>
      </c>
      <c r="B46" t="s">
        <v>50</v>
      </c>
      <c r="C46">
        <v>0.66</v>
      </c>
      <c r="D46" s="10">
        <v>0</v>
      </c>
      <c r="E46">
        <v>0</v>
      </c>
      <c r="F46" s="2">
        <f>Table2[[#This Row],[EQwin]]*$E$1</f>
        <v>0</v>
      </c>
      <c r="G46" s="16">
        <f>2*Table2[[#This Row],[stackwin]]/3000</f>
        <v>0</v>
      </c>
      <c r="H46" s="10">
        <v>1020</v>
      </c>
      <c r="I46">
        <v>0.41970000000000002</v>
      </c>
      <c r="J46" s="2">
        <f t="shared" si="6"/>
        <v>37.537967999999999</v>
      </c>
      <c r="K46" s="14">
        <f>5*Table2[[#This Row],[stacklose]]/3000</f>
        <v>1.7</v>
      </c>
      <c r="M46" s="10">
        <v>0</v>
      </c>
      <c r="N46">
        <v>0</v>
      </c>
      <c r="O46" s="2">
        <f t="shared" si="7"/>
        <v>0</v>
      </c>
      <c r="P46" s="15">
        <f>5*Table2[[#This Row],[stackfact]]/3000</f>
        <v>0</v>
      </c>
      <c r="Q46" s="38">
        <f>Table2[[#This Row],[EQwin]]*Table2[[#This Row],[pWin]] + Table2[[#This Row],[EQlose]]*(1-Table2[[#This Row],[pWin]]) - Table2[[#This Row],[Eqfact]]</f>
        <v>0.14269799999999999</v>
      </c>
      <c r="R46" s="12">
        <f>Table2[[#This Row],[pWin]]*Table2[[#This Row],[ICMwin]]+(1-Table2[[#This Row],[pWin]])*Table2[[#This Row],[ICMlose]]-Table2[[#This Row],[ICMFact]]</f>
        <v>12.762909119999998</v>
      </c>
      <c r="S46" s="16">
        <f>Table2[[#This Row],[Kowin]]*Table2[[#This Row],[pWin]]+Table2[[#This Row],[Kolose]]*(1-Table2[[#This Row],[pWin]])-Table2[[#This Row],[KOFact]]</f>
        <v>0.57799999999999996</v>
      </c>
      <c r="T46" s="2">
        <f>Table2[[#This Row],[KODiff]]*bounty</f>
        <v>0</v>
      </c>
      <c r="U46" s="7">
        <f>Table2[[#This Row],[ICMdiff]]+Table2[[#This Row],[KOmoneyDiff]]</f>
        <v>12.762909119999998</v>
      </c>
      <c r="V46" s="38">
        <f>Table2[[#This Row],[pWin]]*Table2[[#This Row],[stackwin]]+(1-Table2[[#This Row],[pWin]])*Table2[[#This Row],[stacklose]]-Table2[[#This Row],[stackfact]]</f>
        <v>346.79999999999995</v>
      </c>
    </row>
    <row r="47" spans="1:22" x14ac:dyDescent="0.25">
      <c r="A47">
        <v>500</v>
      </c>
      <c r="B47" t="s">
        <v>35</v>
      </c>
      <c r="C47">
        <v>0.66</v>
      </c>
      <c r="D47" s="10">
        <v>1020</v>
      </c>
      <c r="E47">
        <v>0.41970000000000002</v>
      </c>
      <c r="F47" s="2">
        <f>Table2[[#This Row],[EQwin]]*$E$1</f>
        <v>37.537967999999999</v>
      </c>
      <c r="G47" s="16">
        <f>4*Table2[[#This Row],[stackwin]]/3000</f>
        <v>1.36</v>
      </c>
      <c r="H47" s="10">
        <v>0</v>
      </c>
      <c r="I47">
        <v>0</v>
      </c>
      <c r="J47" s="2">
        <f t="shared" si="6"/>
        <v>0</v>
      </c>
      <c r="K47" s="14">
        <f>3*Table2[[#This Row],[stacklose]]/3000</f>
        <v>0</v>
      </c>
      <c r="M47" s="10">
        <v>1020</v>
      </c>
      <c r="N47">
        <v>0.41970000000000002</v>
      </c>
      <c r="O47" s="2">
        <f t="shared" si="7"/>
        <v>37.537967999999999</v>
      </c>
      <c r="P47" s="15">
        <f>4*Table2[[#This Row],[stackfact]]/3000</f>
        <v>1.36</v>
      </c>
      <c r="Q47" s="38">
        <f>Table2[[#This Row],[EQwin]]*Table2[[#This Row],[pWin]] + Table2[[#This Row],[EQlose]]*(1-Table2[[#This Row],[pWin]]) - Table2[[#This Row],[Eqfact]]</f>
        <v>-0.14269799999999999</v>
      </c>
      <c r="R47" s="12">
        <f>Table2[[#This Row],[pWin]]*Table2[[#This Row],[ICMwin]]+(1-Table2[[#This Row],[pWin]])*Table2[[#This Row],[ICMlose]]-Table2[[#This Row],[ICMFact]]</f>
        <v>-12.76290912</v>
      </c>
      <c r="S47" s="16">
        <f>Table2[[#This Row],[Kowin]]*Table2[[#This Row],[pWin]]+Table2[[#This Row],[Kolose]]*(1-Table2[[#This Row],[pWin]])-Table2[[#This Row],[KOFact]]</f>
        <v>-0.46240000000000003</v>
      </c>
      <c r="T47" s="2">
        <f>Table2[[#This Row],[KODiff]]*bounty</f>
        <v>0</v>
      </c>
      <c r="U47" s="7">
        <f>Table2[[#This Row],[ICMdiff]]+Table2[[#This Row],[KOmoneyDiff]]</f>
        <v>-12.76290912</v>
      </c>
      <c r="V47" s="38">
        <f>Table2[[#This Row],[pWin]]*Table2[[#This Row],[stackwin]]+(1-Table2[[#This Row],[pWin]])*Table2[[#This Row],[stacklose]]-Table2[[#This Row],[stackfact]]</f>
        <v>-346.79999999999995</v>
      </c>
    </row>
    <row r="48" spans="1:22" s="40" customFormat="1" x14ac:dyDescent="0.25">
      <c r="D48" s="43"/>
      <c r="F48" s="41">
        <f>Table2[[#This Row],[EQwin]]*$E$1</f>
        <v>0</v>
      </c>
      <c r="G48" s="42">
        <f>2*Table2[[#This Row],[stackwin]]/3000</f>
        <v>0</v>
      </c>
      <c r="H48" s="43"/>
      <c r="J48" s="41">
        <f t="shared" si="6"/>
        <v>0</v>
      </c>
      <c r="K48" s="44">
        <f>5*Table2[[#This Row],[stacklose]]/3000</f>
        <v>0</v>
      </c>
      <c r="M48" s="45"/>
      <c r="O48" s="41">
        <f t="shared" si="7"/>
        <v>0</v>
      </c>
      <c r="P48" s="46">
        <f>5*Table2[[#This Row],[stackfact]]/3000</f>
        <v>0</v>
      </c>
      <c r="Q48" s="47">
        <f>Table2[[#This Row],[EQwin]]*Table2[[#This Row],[pWin]] + Table2[[#This Row],[EQlose]]*(1-Table2[[#This Row],[pWin]]) - Table2[[#This Row],[Eqfact]]</f>
        <v>0</v>
      </c>
      <c r="R48" s="48">
        <f>Table2[[#This Row],[pWin]]*Table2[[#This Row],[ICMwin]]+(1-Table2[[#This Row],[pWin]])*Table2[[#This Row],[ICMlose]]-Table2[[#This Row],[ICMFact]]</f>
        <v>0</v>
      </c>
      <c r="S48" s="42">
        <f>Table2[[#This Row],[Kowin]]*Table2[[#This Row],[pWin]]+Table2[[#This Row],[Kolose]]*(1-Table2[[#This Row],[pWin]])-Table2[[#This Row],[KOFact]]</f>
        <v>0</v>
      </c>
      <c r="T48" s="41">
        <f>Table2[[#This Row],[KODiff]]*bounty</f>
        <v>0</v>
      </c>
      <c r="U48" s="49">
        <f>Table2[[#This Row],[ICMdiff]]+Table2[[#This Row],[KOmoneyDiff]]</f>
        <v>0</v>
      </c>
      <c r="V48" s="47">
        <f>Table2[[#This Row],[pWin]]*Table2[[#This Row],[stackwin]]+(1-Table2[[#This Row],[pWin]])*Table2[[#This Row],[stacklose]]-Table2[[#This Row],[stackfact]]</f>
        <v>0</v>
      </c>
    </row>
    <row r="49" spans="1:24" x14ac:dyDescent="0.25">
      <c r="A49">
        <v>395</v>
      </c>
      <c r="B49" t="s">
        <v>51</v>
      </c>
      <c r="C49">
        <v>0.41499999999999998</v>
      </c>
      <c r="D49" s="10">
        <v>790</v>
      </c>
      <c r="E49">
        <v>0.39500000000000002</v>
      </c>
      <c r="F49" s="2">
        <f>Table2[[#This Row],[EQwin]]*$E$1</f>
        <v>35.328800000000001</v>
      </c>
      <c r="G49" s="16">
        <f>2*Table2[[#This Row],[stackwin]]/3000</f>
        <v>0.52666666666666662</v>
      </c>
      <c r="H49" s="10">
        <v>0</v>
      </c>
      <c r="I49">
        <v>0</v>
      </c>
      <c r="J49" s="2">
        <f t="shared" ref="J49:J54" si="8">I49*$E$1</f>
        <v>0</v>
      </c>
      <c r="K49" s="14">
        <f>5*Table2[[#This Row],[stacklose]]/3000</f>
        <v>0</v>
      </c>
      <c r="M49" s="10">
        <v>790</v>
      </c>
      <c r="N49">
        <v>0.39500000000000002</v>
      </c>
      <c r="O49" s="2">
        <f t="shared" ref="O49:O54" si="9">N49*$E$1</f>
        <v>35.328800000000001</v>
      </c>
      <c r="P49" s="15">
        <f>5*Table2[[#This Row],[stackfact]]/3000</f>
        <v>1.3166666666666667</v>
      </c>
      <c r="Q49" s="38">
        <f>Table2[[#This Row],[EQwin]]*Table2[[#This Row],[pWin]] + Table2[[#This Row],[EQlose]]*(1-Table2[[#This Row],[pWin]]) - Table2[[#This Row],[Eqfact]]</f>
        <v>-0.23107500000000003</v>
      </c>
      <c r="R49" s="12">
        <f>Table2[[#This Row],[pWin]]*Table2[[#This Row],[ICMwin]]+(1-Table2[[#This Row],[pWin]])*Table2[[#This Row],[ICMlose]]-Table2[[#This Row],[ICMFact]]</f>
        <v>-20.667348</v>
      </c>
      <c r="S49" s="16">
        <f>Table2[[#This Row],[Kowin]]*Table2[[#This Row],[pWin]]+Table2[[#This Row],[Kolose]]*(1-Table2[[#This Row],[pWin]])-Table2[[#This Row],[KOFact]]</f>
        <v>-1.0981000000000001</v>
      </c>
      <c r="T49" s="2">
        <f>Table2[[#This Row],[KODiff]]*bounty</f>
        <v>0</v>
      </c>
      <c r="U49" s="7">
        <f>Table2[[#This Row],[ICMdiff]]+Table2[[#This Row],[KOmoneyDiff]]</f>
        <v>-20.667348</v>
      </c>
      <c r="V49" s="38">
        <f>Table2[[#This Row],[pWin]]*Table2[[#This Row],[stackwin]]+(1-Table2[[#This Row],[pWin]])*Table2[[#This Row],[stacklose]]-Table2[[#This Row],[stackfact]]</f>
        <v>-462.15000000000003</v>
      </c>
    </row>
    <row r="50" spans="1:24" x14ac:dyDescent="0.25">
      <c r="A50">
        <v>1605</v>
      </c>
      <c r="B50" t="s">
        <v>52</v>
      </c>
      <c r="C50">
        <v>0.41499999999999998</v>
      </c>
      <c r="D50" s="10">
        <v>1210</v>
      </c>
      <c r="E50" s="10">
        <v>0.60499999999999998</v>
      </c>
      <c r="F50" s="2">
        <f>Table2[[#This Row],[EQwin]]*$E$1</f>
        <v>54.111199999999997</v>
      </c>
      <c r="G50" s="16">
        <f>2*Table2[[#This Row],[stackwin]]/3000</f>
        <v>0.80666666666666664</v>
      </c>
      <c r="H50" s="10">
        <v>2000</v>
      </c>
      <c r="I50">
        <v>1</v>
      </c>
      <c r="J50" s="2">
        <f t="shared" si="8"/>
        <v>89.44</v>
      </c>
      <c r="K50" s="14">
        <f>5*Table2[[#This Row],[stacklose]]/3000</f>
        <v>3.3333333333333335</v>
      </c>
      <c r="M50" s="10">
        <v>1210</v>
      </c>
      <c r="N50" s="10">
        <v>0.60499999999999998</v>
      </c>
      <c r="O50" s="2">
        <f t="shared" si="9"/>
        <v>54.111199999999997</v>
      </c>
      <c r="P50" s="15">
        <f>5*Table2[[#This Row],[stackfact]]/3000</f>
        <v>2.0166666666666666</v>
      </c>
      <c r="Q50" s="38">
        <f>Table2[[#This Row],[EQwin]]*Table2[[#This Row],[pWin]] + Table2[[#This Row],[EQlose]]*(1-Table2[[#This Row],[pWin]]) - Table2[[#This Row],[Eqfact]]</f>
        <v>0.23107499999999992</v>
      </c>
      <c r="R50" s="12">
        <f>Table2[[#This Row],[pWin]]*Table2[[#This Row],[ICMwin]]+(1-Table2[[#This Row],[pWin]])*Table2[[#This Row],[ICMlose]]-Table2[[#This Row],[ICMFact]]</f>
        <v>20.667348000000004</v>
      </c>
      <c r="S50" s="16">
        <f>Table2[[#This Row],[Kowin]]*Table2[[#This Row],[pWin]]+Table2[[#This Row],[Kolose]]*(1-Table2[[#This Row],[pWin]])-Table2[[#This Row],[KOFact]]</f>
        <v>0.2681</v>
      </c>
      <c r="T50" s="2">
        <f>Table2[[#This Row],[KODiff]]*bounty</f>
        <v>0</v>
      </c>
      <c r="U50" s="7">
        <f>Table2[[#This Row],[ICMdiff]]+Table2[[#This Row],[KOmoneyDiff]]</f>
        <v>20.667348000000004</v>
      </c>
      <c r="V50" s="38">
        <f>Table2[[#This Row],[pWin]]*Table2[[#This Row],[stackwin]]+(1-Table2[[#This Row],[pWin]])*Table2[[#This Row],[stacklose]]-Table2[[#This Row],[stackfact]]</f>
        <v>462.15000000000009</v>
      </c>
    </row>
    <row r="51" spans="1:24" s="40" customFormat="1" x14ac:dyDescent="0.25">
      <c r="D51" s="43"/>
      <c r="F51" s="41">
        <f>Table2[[#This Row],[EQwin]]*$E$1</f>
        <v>0</v>
      </c>
      <c r="G51" s="42">
        <f>2*Table2[[#This Row],[stackwin]]/3000</f>
        <v>0</v>
      </c>
      <c r="H51" s="43"/>
      <c r="J51" s="41">
        <f t="shared" si="8"/>
        <v>0</v>
      </c>
      <c r="K51" s="44">
        <f>5*Table2[[#This Row],[stacklose]]/3000</f>
        <v>0</v>
      </c>
      <c r="M51" s="45"/>
      <c r="O51" s="41">
        <f t="shared" si="9"/>
        <v>0</v>
      </c>
      <c r="P51" s="46">
        <f>5*Table2[[#This Row],[stackfact]]/3000</f>
        <v>0</v>
      </c>
      <c r="Q51" s="47">
        <f>Table2[[#This Row],[EQwin]]*Table2[[#This Row],[pWin]] + Table2[[#This Row],[EQlose]]*(1-Table2[[#This Row],[pWin]]) - Table2[[#This Row],[Eqfact]]</f>
        <v>0</v>
      </c>
      <c r="R51" s="48">
        <f>Table2[[#This Row],[pWin]]*Table2[[#This Row],[ICMwin]]+(1-Table2[[#This Row],[pWin]])*Table2[[#This Row],[ICMlose]]-Table2[[#This Row],[ICMFact]]</f>
        <v>0</v>
      </c>
      <c r="S51" s="42">
        <f>Table2[[#This Row],[Kowin]]*Table2[[#This Row],[pWin]]+Table2[[#This Row],[Kolose]]*(1-Table2[[#This Row],[pWin]])-Table2[[#This Row],[KOFact]]</f>
        <v>0</v>
      </c>
      <c r="T51" s="41">
        <f>Table2[[#This Row],[KODiff]]*bounty</f>
        <v>0</v>
      </c>
      <c r="U51" s="49">
        <f>Table2[[#This Row],[ICMdiff]]+Table2[[#This Row],[KOmoneyDiff]]</f>
        <v>0</v>
      </c>
      <c r="V51" s="47">
        <f>Table2[[#This Row],[pWin]]*Table2[[#This Row],[stackwin]]+(1-Table2[[#This Row],[pWin]])*Table2[[#This Row],[stacklose]]-Table2[[#This Row],[stackfact]]</f>
        <v>0</v>
      </c>
    </row>
    <row r="52" spans="1:24" x14ac:dyDescent="0.25">
      <c r="A52">
        <v>650</v>
      </c>
      <c r="B52" t="s">
        <v>53</v>
      </c>
      <c r="C52">
        <v>0.3926</v>
      </c>
      <c r="D52" s="10">
        <f>A52-550</f>
        <v>100</v>
      </c>
      <c r="E52">
        <v>0.05</v>
      </c>
      <c r="F52" s="2">
        <f>Table2[[#This Row],[EQwin]]*$E$1</f>
        <v>4.4720000000000004</v>
      </c>
      <c r="G52" s="16">
        <f>2*Table2[[#This Row],[stackwin]]/3000</f>
        <v>6.6666666666666666E-2</v>
      </c>
      <c r="H52" s="10">
        <f>650+550+20+50</f>
        <v>1270</v>
      </c>
      <c r="I52">
        <v>0.63500000000000001</v>
      </c>
      <c r="J52" s="2">
        <f t="shared" si="8"/>
        <v>56.794399999999996</v>
      </c>
      <c r="K52" s="14">
        <f>5*Table2[[#This Row],[stacklose]]/3000</f>
        <v>2.1166666666666667</v>
      </c>
      <c r="M52" s="8">
        <v>100</v>
      </c>
      <c r="N52">
        <v>0.05</v>
      </c>
      <c r="O52" s="2">
        <f t="shared" si="9"/>
        <v>4.4720000000000004</v>
      </c>
      <c r="P52" s="15">
        <f>5*Table2[[#This Row],[stackfact]]/3000</f>
        <v>0.16666666666666666</v>
      </c>
      <c r="Q52" s="38">
        <f>Table2[[#This Row],[EQwin]]*Table2[[#This Row],[pWin]] + Table2[[#This Row],[EQlose]]*(1-Table2[[#This Row],[pWin]]) - Table2[[#This Row],[Eqfact]]</f>
        <v>0.35532899999999995</v>
      </c>
      <c r="R52" s="12">
        <f>Table2[[#This Row],[pWin]]*Table2[[#This Row],[ICMwin]]+(1-Table2[[#This Row],[pWin]])*Table2[[#This Row],[ICMlose]]-Table2[[#This Row],[ICMFact]]</f>
        <v>31.78062576</v>
      </c>
      <c r="S52" s="16">
        <f>Table2[[#This Row],[Kowin]]*Table2[[#This Row],[pWin]]+Table2[[#This Row],[Kolose]]*(1-Table2[[#This Row],[pWin]])-Table2[[#This Row],[KOFact]]</f>
        <v>1.1451699999999998</v>
      </c>
      <c r="T52" s="2">
        <f>Table2[[#This Row],[KODiff]]*bounty</f>
        <v>0</v>
      </c>
      <c r="U52" s="7">
        <f>Table2[[#This Row],[ICMdiff]]+Table2[[#This Row],[KOmoneyDiff]]</f>
        <v>31.78062576</v>
      </c>
      <c r="V52" s="38">
        <f>Table2[[#This Row],[pWin]]*Table2[[#This Row],[stackwin]]+(1-Table2[[#This Row],[pWin]])*Table2[[#This Row],[stacklose]]-Table2[[#This Row],[stackfact]]</f>
        <v>710.6579999999999</v>
      </c>
    </row>
    <row r="53" spans="1:24" x14ac:dyDescent="0.25">
      <c r="A53">
        <v>330</v>
      </c>
      <c r="C53">
        <v>0.3926</v>
      </c>
      <c r="D53" s="10">
        <f>A53-10-50</f>
        <v>270</v>
      </c>
      <c r="E53">
        <v>0.13500000000000001</v>
      </c>
      <c r="F53" s="2">
        <f>Table2[[#This Row],[EQwin]]*$E$1</f>
        <v>12.074400000000001</v>
      </c>
      <c r="G53" s="16">
        <f>2*Table2[[#This Row],[stackwin]]/3000</f>
        <v>0.18</v>
      </c>
      <c r="H53" s="10">
        <v>270</v>
      </c>
      <c r="I53">
        <v>0.13500000000000001</v>
      </c>
      <c r="J53" s="2">
        <f t="shared" si="8"/>
        <v>12.074400000000001</v>
      </c>
      <c r="K53" s="14">
        <f>5*Table2[[#This Row],[stacklose]]/3000</f>
        <v>0.45</v>
      </c>
      <c r="M53" s="8">
        <v>270</v>
      </c>
      <c r="N53">
        <v>0.13500000000000001</v>
      </c>
      <c r="O53" s="2">
        <f t="shared" si="9"/>
        <v>12.074400000000001</v>
      </c>
      <c r="P53" s="15">
        <f>5*Table2[[#This Row],[stackfact]]/3000</f>
        <v>0.45</v>
      </c>
      <c r="Q53" s="38">
        <f>Table2[[#This Row],[EQwin]]*Table2[[#This Row],[pWin]] + Table2[[#This Row],[EQlose]]*(1-Table2[[#This Row],[pWin]]) - Table2[[#This Row],[Eqfact]]</f>
        <v>0</v>
      </c>
      <c r="R53" s="12">
        <f>Table2[[#This Row],[pWin]]*Table2[[#This Row],[ICMwin]]+(1-Table2[[#This Row],[pWin]])*Table2[[#This Row],[ICMlose]]-Table2[[#This Row],[ICMFact]]</f>
        <v>0</v>
      </c>
      <c r="S53" s="16">
        <f>Table2[[#This Row],[Kowin]]*Table2[[#This Row],[pWin]]+Table2[[#This Row],[Kolose]]*(1-Table2[[#This Row],[pWin]])-Table2[[#This Row],[KOFact]]</f>
        <v>-0.10600200000000004</v>
      </c>
      <c r="T53" s="2">
        <f>Table2[[#This Row],[KODiff]]*bounty</f>
        <v>0</v>
      </c>
      <c r="U53" s="7">
        <f>Table2[[#This Row],[ICMdiff]]+Table2[[#This Row],[KOmoneyDiff]]</f>
        <v>0</v>
      </c>
      <c r="V53" s="38">
        <f>Table2[[#This Row],[pWin]]*Table2[[#This Row],[stackwin]]+(1-Table2[[#This Row],[pWin]])*Table2[[#This Row],[stacklose]]-Table2[[#This Row],[stackfact]]</f>
        <v>0</v>
      </c>
    </row>
    <row r="54" spans="1:24" s="17" customFormat="1" x14ac:dyDescent="0.25">
      <c r="A54" s="17">
        <v>550</v>
      </c>
      <c r="B54" s="17" t="s">
        <v>54</v>
      </c>
      <c r="C54" s="17">
        <v>0.3926</v>
      </c>
      <c r="D54" s="19">
        <v>1170</v>
      </c>
      <c r="E54" s="17">
        <v>0.58499999999999996</v>
      </c>
      <c r="F54" s="18">
        <f>Table2[[#This Row],[EQwin]]*$E$1</f>
        <v>52.322399999999995</v>
      </c>
      <c r="G54" s="24">
        <f>2*Table2[[#This Row],[stackwin]]/3000</f>
        <v>0.78</v>
      </c>
      <c r="H54" s="19">
        <v>0</v>
      </c>
      <c r="I54" s="17">
        <v>0</v>
      </c>
      <c r="J54" s="18">
        <f t="shared" si="8"/>
        <v>0</v>
      </c>
      <c r="K54" s="20">
        <f>5*Table2[[#This Row],[stacklose]]/3000</f>
        <v>0</v>
      </c>
      <c r="M54" s="21">
        <v>1170</v>
      </c>
      <c r="N54" s="17">
        <v>0.58499999999999996</v>
      </c>
      <c r="O54" s="18">
        <f t="shared" si="9"/>
        <v>52.322399999999995</v>
      </c>
      <c r="P54" s="22">
        <f>5*Table2[[#This Row],[stackfact]]/3000</f>
        <v>1.95</v>
      </c>
      <c r="Q54" s="35">
        <f>Table2[[#This Row],[EQwin]]*Table2[[#This Row],[pWin]] + Table2[[#This Row],[EQlose]]*(1-Table2[[#This Row],[pWin]]) - Table2[[#This Row],[Eqfact]]</f>
        <v>-0.35532900000000001</v>
      </c>
      <c r="R54" s="23">
        <f>Table2[[#This Row],[pWin]]*Table2[[#This Row],[ICMwin]]+(1-Table2[[#This Row],[pWin]])*Table2[[#This Row],[ICMlose]]-Table2[[#This Row],[ICMFact]]</f>
        <v>-31.780625759999996</v>
      </c>
      <c r="S54" s="24">
        <f>Table2[[#This Row],[Kowin]]*Table2[[#This Row],[pWin]]+Table2[[#This Row],[Kolose]]*(1-Table2[[#This Row],[pWin]])-Table2[[#This Row],[KOFact]]</f>
        <v>-1.643772</v>
      </c>
      <c r="T54" s="18">
        <f>Table2[[#This Row],[KODiff]]*bounty</f>
        <v>0</v>
      </c>
      <c r="U54" s="25">
        <f>Table2[[#This Row],[ICMdiff]]+Table2[[#This Row],[KOmoneyDiff]]</f>
        <v>-31.780625759999996</v>
      </c>
      <c r="V54" s="35">
        <f>Table2[[#This Row],[pWin]]*Table2[[#This Row],[stackwin]]+(1-Table2[[#This Row],[pWin]])*Table2[[#This Row],[stacklose]]-Table2[[#This Row],[stackfact]]</f>
        <v>-710.65800000000002</v>
      </c>
      <c r="X54" s="17" t="s">
        <v>55</v>
      </c>
    </row>
    <row r="55" spans="1:24" x14ac:dyDescent="0.25">
      <c r="A55">
        <v>470</v>
      </c>
      <c r="C55">
        <v>0.3926</v>
      </c>
      <c r="D55" s="10">
        <v>460</v>
      </c>
      <c r="E55">
        <v>0.23</v>
      </c>
      <c r="F55" s="2">
        <f>Table2[[#This Row],[EQwin]]*$E$1</f>
        <v>20.571200000000001</v>
      </c>
      <c r="G55" s="16">
        <f>2*Table2[[#This Row],[stackwin]]/3000</f>
        <v>0.30666666666666664</v>
      </c>
      <c r="H55" s="10">
        <v>460</v>
      </c>
      <c r="I55">
        <v>0.23</v>
      </c>
      <c r="J55" s="2">
        <f t="shared" si="4"/>
        <v>20.571200000000001</v>
      </c>
      <c r="K55" s="14">
        <f>5*Table2[[#This Row],[stacklose]]/3000</f>
        <v>0.76666666666666672</v>
      </c>
      <c r="M55" s="8">
        <v>460</v>
      </c>
      <c r="N55">
        <v>0.23</v>
      </c>
      <c r="O55" s="2">
        <f t="shared" si="5"/>
        <v>20.571200000000001</v>
      </c>
      <c r="P55" s="15">
        <f>5*Table2[[#This Row],[stackfact]]/3000</f>
        <v>0.76666666666666672</v>
      </c>
      <c r="Q55" s="38">
        <f>Table2[[#This Row],[EQwin]]*Table2[[#This Row],[pWin]] + Table2[[#This Row],[EQlose]]*(1-Table2[[#This Row],[pWin]]) - Table2[[#This Row],[Eqfact]]</f>
        <v>0</v>
      </c>
      <c r="R55" s="12">
        <f>Table2[[#This Row],[pWin]]*Table2[[#This Row],[ICMwin]]+(1-Table2[[#This Row],[pWin]])*Table2[[#This Row],[ICMlose]]-Table2[[#This Row],[ICMFact]]</f>
        <v>0</v>
      </c>
      <c r="S55" s="16">
        <f>Table2[[#This Row],[Kowin]]*Table2[[#This Row],[pWin]]+Table2[[#This Row],[Kolose]]*(1-Table2[[#This Row],[pWin]])-Table2[[#This Row],[KOFact]]</f>
        <v>-0.18059600000000009</v>
      </c>
      <c r="T55" s="2">
        <f>Table2[[#This Row],[KODiff]]*bounty</f>
        <v>0</v>
      </c>
      <c r="U55" s="7">
        <f>Table2[[#This Row],[ICMdiff]]+Table2[[#This Row],[KOmoneyDiff]]</f>
        <v>0</v>
      </c>
      <c r="V55">
        <f>Table2[[#This Row],[pWin]]*Table2[[#This Row],[stackwin]]+(1-Table2[[#This Row],[pWin]])*Table2[[#This Row],[stacklose]]-Table2[[#This Row],[stackfact]]</f>
        <v>0</v>
      </c>
    </row>
    <row r="56" spans="1:24" s="40" customFormat="1" x14ac:dyDescent="0.25">
      <c r="D56" s="43"/>
      <c r="F56" s="41">
        <f>Table2[[#This Row],[EQwin]]*$E$1</f>
        <v>0</v>
      </c>
      <c r="G56" s="42">
        <f>2*Table2[[#This Row],[stackwin]]/3000</f>
        <v>0</v>
      </c>
      <c r="H56" s="43"/>
      <c r="J56" s="41">
        <f t="shared" ref="J56:J86" si="10">I56*$E$1</f>
        <v>0</v>
      </c>
      <c r="K56" s="44">
        <f>5*Table2[[#This Row],[stacklose]]/3000</f>
        <v>0</v>
      </c>
      <c r="M56" s="45"/>
      <c r="O56" s="41">
        <f t="shared" ref="O56:O86" si="11">N56*$E$1</f>
        <v>0</v>
      </c>
      <c r="P56" s="46">
        <f>5*Table2[[#This Row],[stackfact]]/3000</f>
        <v>0</v>
      </c>
      <c r="Q56" s="47">
        <f>Table2[[#This Row],[EQwin]]*Table2[[#This Row],[pWin]] + Table2[[#This Row],[EQlose]]*(1-Table2[[#This Row],[pWin]]) - Table2[[#This Row],[Eqfact]]</f>
        <v>0</v>
      </c>
      <c r="R56" s="48">
        <f>Table2[[#This Row],[pWin]]*Table2[[#This Row],[ICMwin]]+(1-Table2[[#This Row],[pWin]])*Table2[[#This Row],[ICMlose]]-Table2[[#This Row],[ICMFact]]</f>
        <v>0</v>
      </c>
      <c r="S56" s="42">
        <f>Table2[[#This Row],[Kowin]]*Table2[[#This Row],[pWin]]+Table2[[#This Row],[Kolose]]*(1-Table2[[#This Row],[pWin]])-Table2[[#This Row],[KOFact]]</f>
        <v>0</v>
      </c>
      <c r="T56" s="41">
        <f>Table2[[#This Row],[KODiff]]*bounty</f>
        <v>0</v>
      </c>
      <c r="U56" s="49">
        <f>Table2[[#This Row],[ICMdiff]]+Table2[[#This Row],[KOmoneyDiff]]</f>
        <v>0</v>
      </c>
      <c r="V56" s="47">
        <f>Table2[[#This Row],[pWin]]*Table2[[#This Row],[stackwin]]+(1-Table2[[#This Row],[pWin]])*Table2[[#This Row],[stacklose]]-Table2[[#This Row],[stackfact]]</f>
        <v>0</v>
      </c>
    </row>
    <row r="57" spans="1:24" x14ac:dyDescent="0.25">
      <c r="A57">
        <v>710</v>
      </c>
      <c r="B57" t="s">
        <v>56</v>
      </c>
      <c r="C57" s="10">
        <v>0.52439999999999998</v>
      </c>
      <c r="D57" s="10">
        <v>0</v>
      </c>
      <c r="E57">
        <v>0</v>
      </c>
      <c r="F57" s="2">
        <f>Table2[[#This Row],[EQwin]]*$E$1</f>
        <v>0</v>
      </c>
      <c r="G57" s="16">
        <f>2*Table2[[#This Row],[stackwin]]/3000</f>
        <v>0</v>
      </c>
      <c r="H57" s="10">
        <f>710*2</f>
        <v>1420</v>
      </c>
      <c r="I57">
        <f>Table2[[#This Row],[stacklose]]/2000</f>
        <v>0.71</v>
      </c>
      <c r="J57" s="2">
        <f t="shared" si="10"/>
        <v>63.502399999999994</v>
      </c>
      <c r="K57" s="14">
        <f>5*Table2[[#This Row],[stacklose]]/3000</f>
        <v>2.3666666666666667</v>
      </c>
      <c r="M57" s="10">
        <v>0</v>
      </c>
      <c r="N57">
        <v>0</v>
      </c>
      <c r="O57" s="2">
        <f t="shared" si="11"/>
        <v>0</v>
      </c>
      <c r="P57" s="15">
        <f>5*Table2[[#This Row],[stackfact]]/3000</f>
        <v>0</v>
      </c>
      <c r="Q57" s="38">
        <f>Table2[[#This Row],[EQwin]]*Table2[[#This Row],[pWin]] + Table2[[#This Row],[EQlose]]*(1-Table2[[#This Row],[pWin]]) - Table2[[#This Row],[Eqfact]]</f>
        <v>0.33767599999999998</v>
      </c>
      <c r="R57" s="12">
        <f>Table2[[#This Row],[pWin]]*Table2[[#This Row],[ICMwin]]+(1-Table2[[#This Row],[pWin]])*Table2[[#This Row],[ICMlose]]-Table2[[#This Row],[ICMFact]]</f>
        <v>30.201741439999999</v>
      </c>
      <c r="S57" s="16">
        <f>Table2[[#This Row],[Kowin]]*Table2[[#This Row],[pWin]]+Table2[[#This Row],[Kolose]]*(1-Table2[[#This Row],[pWin]])-Table2[[#This Row],[KOFact]]</f>
        <v>1.1255866666666667</v>
      </c>
      <c r="T57" s="2">
        <f>Table2[[#This Row],[KODiff]]*bounty</f>
        <v>0</v>
      </c>
      <c r="U57" s="7">
        <f>Table2[[#This Row],[ICMdiff]]+Table2[[#This Row],[KOmoneyDiff]]</f>
        <v>30.201741439999999</v>
      </c>
      <c r="V57" s="38">
        <f>Table2[[#This Row],[pWin]]*Table2[[#This Row],[stackwin]]+(1-Table2[[#This Row],[pWin]])*Table2[[#This Row],[stacklose]]-Table2[[#This Row],[stackfact]]</f>
        <v>675.35200000000009</v>
      </c>
    </row>
    <row r="58" spans="1:24" s="17" customFormat="1" x14ac:dyDescent="0.25">
      <c r="A58" s="17">
        <v>1290</v>
      </c>
      <c r="B58" s="17" t="s">
        <v>57</v>
      </c>
      <c r="C58" s="19">
        <v>0.52439999999999998</v>
      </c>
      <c r="D58" s="19">
        <v>2000</v>
      </c>
      <c r="E58" s="17">
        <v>1</v>
      </c>
      <c r="F58" s="18">
        <f>Table2[[#This Row],[EQwin]]*$E$1</f>
        <v>89.44</v>
      </c>
      <c r="G58" s="24">
        <f>2*Table2[[#This Row],[stackwin]]/3000</f>
        <v>1.3333333333333333</v>
      </c>
      <c r="H58" s="19">
        <f>2000-H57</f>
        <v>580</v>
      </c>
      <c r="I58" s="17">
        <f>Table2[[#This Row],[stacklose]]/2000</f>
        <v>0.28999999999999998</v>
      </c>
      <c r="J58" s="18">
        <f t="shared" si="10"/>
        <v>25.937599999999996</v>
      </c>
      <c r="K58" s="20">
        <f>5*Table2[[#This Row],[stacklose]]/3000</f>
        <v>0.96666666666666667</v>
      </c>
      <c r="M58" s="19">
        <v>2000</v>
      </c>
      <c r="N58" s="17">
        <v>1</v>
      </c>
      <c r="O58" s="18">
        <f t="shared" si="11"/>
        <v>89.44</v>
      </c>
      <c r="P58" s="22">
        <f>5*Table2[[#This Row],[stackfact]]/3000</f>
        <v>3.3333333333333335</v>
      </c>
      <c r="Q58" s="35">
        <f>Table2[[#This Row],[EQwin]]*Table2[[#This Row],[pWin]] + Table2[[#This Row],[EQlose]]*(1-Table2[[#This Row],[pWin]]) - Table2[[#This Row],[Eqfact]]</f>
        <v>-0.33767600000000009</v>
      </c>
      <c r="R58" s="23">
        <f>Table2[[#This Row],[pWin]]*Table2[[#This Row],[ICMwin]]+(1-Table2[[#This Row],[pWin]])*Table2[[#This Row],[ICMlose]]-Table2[[#This Row],[ICMFact]]</f>
        <v>-30.201741439999999</v>
      </c>
      <c r="S58" s="24">
        <f>Table2[[#This Row],[Kowin]]*Table2[[#This Row],[pWin]]+Table2[[#This Row],[Kolose]]*(1-Table2[[#This Row],[pWin]])-Table2[[#This Row],[KOFact]]</f>
        <v>-2.1743866666666669</v>
      </c>
      <c r="T58" s="18">
        <f>Table2[[#This Row],[KODiff]]*bounty</f>
        <v>0</v>
      </c>
      <c r="U58" s="25">
        <f>Table2[[#This Row],[ICMdiff]]+Table2[[#This Row],[KOmoneyDiff]]</f>
        <v>-30.201741439999999</v>
      </c>
      <c r="V58" s="35">
        <f>Table2[[#This Row],[pWin]]*Table2[[#This Row],[stackwin]]+(1-Table2[[#This Row],[pWin]])*Table2[[#This Row],[stacklose]]-Table2[[#This Row],[stackfact]]</f>
        <v>-675.35200000000009</v>
      </c>
      <c r="X58" s="17" t="s">
        <v>58</v>
      </c>
    </row>
    <row r="59" spans="1:24" s="40" customFormat="1" x14ac:dyDescent="0.25">
      <c r="D59" s="43"/>
      <c r="F59" s="41">
        <f>Table2[[#This Row],[EQwin]]*$E$1</f>
        <v>0</v>
      </c>
      <c r="G59" s="42">
        <f>2*Table2[[#This Row],[stackwin]]/3000</f>
        <v>0</v>
      </c>
      <c r="H59" s="43"/>
      <c r="J59" s="41">
        <f t="shared" si="10"/>
        <v>0</v>
      </c>
      <c r="K59" s="44">
        <f>5*Table2[[#This Row],[stacklose]]/3000</f>
        <v>0</v>
      </c>
      <c r="M59" s="45"/>
      <c r="O59" s="41">
        <f t="shared" si="11"/>
        <v>0</v>
      </c>
      <c r="P59" s="46">
        <f>5*Table2[[#This Row],[stackfact]]/3000</f>
        <v>0</v>
      </c>
      <c r="Q59" s="47">
        <f>Table2[[#This Row],[EQwin]]*Table2[[#This Row],[pWin]] + Table2[[#This Row],[EQlose]]*(1-Table2[[#This Row],[pWin]]) - Table2[[#This Row],[Eqfact]]</f>
        <v>0</v>
      </c>
      <c r="R59" s="48">
        <f>Table2[[#This Row],[pWin]]*Table2[[#This Row],[ICMwin]]+(1-Table2[[#This Row],[pWin]])*Table2[[#This Row],[ICMlose]]-Table2[[#This Row],[ICMFact]]</f>
        <v>0</v>
      </c>
      <c r="S59" s="42">
        <f>Table2[[#This Row],[Kowin]]*Table2[[#This Row],[pWin]]+Table2[[#This Row],[Kolose]]*(1-Table2[[#This Row],[pWin]])-Table2[[#This Row],[KOFact]]</f>
        <v>0</v>
      </c>
      <c r="T59" s="41">
        <f>Table2[[#This Row],[KODiff]]*bounty</f>
        <v>0</v>
      </c>
      <c r="U59" s="49">
        <f>Table2[[#This Row],[ICMdiff]]+Table2[[#This Row],[KOmoneyDiff]]</f>
        <v>0</v>
      </c>
      <c r="V59" s="47">
        <f>Table2[[#This Row],[pWin]]*Table2[[#This Row],[stackwin]]+(1-Table2[[#This Row],[pWin]])*Table2[[#This Row],[stacklose]]-Table2[[#This Row],[stackfact]]</f>
        <v>0</v>
      </c>
    </row>
    <row r="60" spans="1:24" x14ac:dyDescent="0.25">
      <c r="A60">
        <v>270</v>
      </c>
      <c r="B60" t="s">
        <v>59</v>
      </c>
      <c r="C60">
        <v>0.84279999999999999</v>
      </c>
      <c r="D60" s="10">
        <v>0</v>
      </c>
      <c r="E60">
        <v>0</v>
      </c>
      <c r="F60" s="2">
        <f>Table2[[#This Row],[EQwin]]*$E$1</f>
        <v>0</v>
      </c>
      <c r="G60" s="16">
        <f>2*Table2[[#This Row],[stackwin]]/3000</f>
        <v>0</v>
      </c>
      <c r="H60" s="10">
        <f>560</f>
        <v>560</v>
      </c>
      <c r="I60">
        <f>Table2[[#This Row],[stacklose]]/2000</f>
        <v>0.28000000000000003</v>
      </c>
      <c r="J60" s="2">
        <f t="shared" si="10"/>
        <v>25.043200000000002</v>
      </c>
      <c r="K60" s="14">
        <f>5*Table2[[#This Row],[stacklose]]/3000</f>
        <v>0.93333333333333335</v>
      </c>
      <c r="M60" s="10">
        <v>0</v>
      </c>
      <c r="N60">
        <v>0</v>
      </c>
      <c r="O60" s="2">
        <f t="shared" si="11"/>
        <v>0</v>
      </c>
      <c r="P60" s="15">
        <f>5*Table2[[#This Row],[stackfact]]/3000</f>
        <v>0</v>
      </c>
      <c r="Q60" s="38">
        <f>Table2[[#This Row],[EQwin]]*Table2[[#This Row],[pWin]] + Table2[[#This Row],[EQlose]]*(1-Table2[[#This Row],[pWin]]) - Table2[[#This Row],[Eqfact]]</f>
        <v>4.4016000000000007E-2</v>
      </c>
      <c r="R60" s="12">
        <f>Table2[[#This Row],[pWin]]*Table2[[#This Row],[ICMwin]]+(1-Table2[[#This Row],[pWin]])*Table2[[#This Row],[ICMlose]]-Table2[[#This Row],[ICMFact]]</f>
        <v>3.9367910400000006</v>
      </c>
      <c r="S60" s="16">
        <f>Table2[[#This Row],[Kowin]]*Table2[[#This Row],[pWin]]+Table2[[#This Row],[Kolose]]*(1-Table2[[#This Row],[pWin]])-Table2[[#This Row],[KOFact]]</f>
        <v>0.14672000000000002</v>
      </c>
      <c r="T60" s="2">
        <f>Table2[[#This Row],[KODiff]]*bounty</f>
        <v>0</v>
      </c>
      <c r="U60" s="7">
        <f>Table2[[#This Row],[ICMdiff]]+Table2[[#This Row],[KOmoneyDiff]]</f>
        <v>3.9367910400000006</v>
      </c>
      <c r="V60" s="38">
        <f>Table2[[#This Row],[pWin]]*Table2[[#This Row],[stackwin]]+(1-Table2[[#This Row],[pWin]])*Table2[[#This Row],[stacklose]]-Table2[[#This Row],[stackfact]]</f>
        <v>88.032000000000011</v>
      </c>
    </row>
    <row r="61" spans="1:24" s="17" customFormat="1" x14ac:dyDescent="0.25">
      <c r="A61" s="17">
        <v>1170</v>
      </c>
      <c r="B61" s="17" t="s">
        <v>60</v>
      </c>
      <c r="C61" s="17">
        <v>0.84279999999999999</v>
      </c>
      <c r="D61" s="19">
        <f>1170+270+20</f>
        <v>1460</v>
      </c>
      <c r="E61" s="17">
        <f>Table2[[#This Row],[stackwin]]/2000</f>
        <v>0.73</v>
      </c>
      <c r="F61" s="18">
        <f>Table2[[#This Row],[EQwin]]*$E$1</f>
        <v>65.291200000000003</v>
      </c>
      <c r="G61" s="24">
        <f>2*Table2[[#This Row],[stackwin]]/3000</f>
        <v>0.97333333333333338</v>
      </c>
      <c r="H61" s="19">
        <f>1170-10-50-210</f>
        <v>900</v>
      </c>
      <c r="I61" s="17">
        <f>Table2[[#This Row],[stacklose]]/2000</f>
        <v>0.45</v>
      </c>
      <c r="J61" s="18">
        <f t="shared" si="10"/>
        <v>40.247999999999998</v>
      </c>
      <c r="K61" s="20">
        <f>5*Table2[[#This Row],[stacklose]]/3000</f>
        <v>1.5</v>
      </c>
      <c r="M61" s="19">
        <f>1170+270+20</f>
        <v>1460</v>
      </c>
      <c r="N61" s="17">
        <f>Table2[[#This Row],[stackwin]]/2000</f>
        <v>0.73</v>
      </c>
      <c r="O61" s="18">
        <f t="shared" si="11"/>
        <v>65.291200000000003</v>
      </c>
      <c r="P61" s="22">
        <f>5*Table2[[#This Row],[stackfact]]/3000</f>
        <v>2.4333333333333331</v>
      </c>
      <c r="Q61" s="35">
        <f>Table2[[#This Row],[EQwin]]*Table2[[#This Row],[pWin]] + Table2[[#This Row],[EQlose]]*(1-Table2[[#This Row],[pWin]]) - Table2[[#This Row],[Eqfact]]</f>
        <v>-4.4015999999999944E-2</v>
      </c>
      <c r="R61" s="23">
        <f>Table2[[#This Row],[pWin]]*Table2[[#This Row],[ICMwin]]+(1-Table2[[#This Row],[pWin]])*Table2[[#This Row],[ICMlose]]-Table2[[#This Row],[ICMFact]]</f>
        <v>-3.9367910400000028</v>
      </c>
      <c r="S61" s="24">
        <f>Table2[[#This Row],[Kowin]]*Table2[[#This Row],[pWin]]+Table2[[#This Row],[Kolose]]*(1-Table2[[#This Row],[pWin]])-Table2[[#This Row],[KOFact]]</f>
        <v>-1.3772079999999998</v>
      </c>
      <c r="T61" s="18">
        <f>Table2[[#This Row],[KODiff]]*bounty</f>
        <v>0</v>
      </c>
      <c r="U61" s="25">
        <f>Table2[[#This Row],[ICMdiff]]+Table2[[#This Row],[KOmoneyDiff]]</f>
        <v>-3.9367910400000028</v>
      </c>
      <c r="V61" s="35">
        <f>Table2[[#This Row],[pWin]]*Table2[[#This Row],[stackwin]]+(1-Table2[[#This Row],[pWin]])*Table2[[#This Row],[stacklose]]-Table2[[#This Row],[stackfact]]</f>
        <v>-88.031999999999925</v>
      </c>
      <c r="X61" s="17" t="s">
        <v>61</v>
      </c>
    </row>
    <row r="62" spans="1:24" x14ac:dyDescent="0.25">
      <c r="A62">
        <v>460</v>
      </c>
      <c r="C62">
        <v>0.84279999999999999</v>
      </c>
      <c r="D62" s="10">
        <v>450</v>
      </c>
      <c r="E62">
        <f>Table2[[#This Row],[stackwin]]/2000</f>
        <v>0.22500000000000001</v>
      </c>
      <c r="F62" s="2">
        <f>Table2[[#This Row],[EQwin]]*$E$1</f>
        <v>20.123999999999999</v>
      </c>
      <c r="G62" s="16">
        <f>2*Table2[[#This Row],[stackwin]]/3000</f>
        <v>0.3</v>
      </c>
      <c r="H62" s="10">
        <v>450</v>
      </c>
      <c r="I62">
        <f>Table2[[#This Row],[stacklose]]/2000</f>
        <v>0.22500000000000001</v>
      </c>
      <c r="J62" s="2">
        <f t="shared" si="10"/>
        <v>20.123999999999999</v>
      </c>
      <c r="K62" s="14">
        <f>5*Table2[[#This Row],[stacklose]]/3000</f>
        <v>0.75</v>
      </c>
      <c r="M62" s="10">
        <v>450</v>
      </c>
      <c r="N62">
        <f>Table2[[#This Row],[stackwin]]/2000</f>
        <v>0.22500000000000001</v>
      </c>
      <c r="O62" s="2">
        <f t="shared" si="11"/>
        <v>20.123999999999999</v>
      </c>
      <c r="P62" s="15">
        <f>5*Table2[[#This Row],[stackfact]]/3000</f>
        <v>0.75</v>
      </c>
      <c r="Q62" s="38">
        <f>Table2[[#This Row],[EQwin]]*Table2[[#This Row],[pWin]] + Table2[[#This Row],[EQlose]]*(1-Table2[[#This Row],[pWin]]) - Table2[[#This Row],[Eqfact]]</f>
        <v>0</v>
      </c>
      <c r="R62" s="12">
        <f>Table2[[#This Row],[pWin]]*Table2[[#This Row],[ICMwin]]+(1-Table2[[#This Row],[pWin]])*Table2[[#This Row],[ICMlose]]-Table2[[#This Row],[ICMFact]]</f>
        <v>0</v>
      </c>
      <c r="S62" s="16">
        <f>Table2[[#This Row],[Kowin]]*Table2[[#This Row],[pWin]]+Table2[[#This Row],[Kolose]]*(1-Table2[[#This Row],[pWin]])-Table2[[#This Row],[KOFact]]</f>
        <v>-0.37925999999999999</v>
      </c>
      <c r="T62" s="2">
        <f>Table2[[#This Row],[KODiff]]*bounty</f>
        <v>0</v>
      </c>
      <c r="U62" s="7">
        <f>Table2[[#This Row],[ICMdiff]]+Table2[[#This Row],[KOmoneyDiff]]</f>
        <v>0</v>
      </c>
      <c r="V62" s="38">
        <f>Table2[[#This Row],[pWin]]*Table2[[#This Row],[stackwin]]+(1-Table2[[#This Row],[pWin]])*Table2[[#This Row],[stacklose]]-Table2[[#This Row],[stackfact]]</f>
        <v>0</v>
      </c>
    </row>
    <row r="63" spans="1:24" x14ac:dyDescent="0.25">
      <c r="A63">
        <v>100</v>
      </c>
      <c r="C63">
        <v>0.84279999999999999</v>
      </c>
      <c r="D63" s="10">
        <v>90</v>
      </c>
      <c r="E63">
        <f>Table2[[#This Row],[stackwin]]/2000</f>
        <v>4.4999999999999998E-2</v>
      </c>
      <c r="F63" s="2">
        <f>Table2[[#This Row],[EQwin]]*$E$1</f>
        <v>4.0247999999999999</v>
      </c>
      <c r="G63" s="16">
        <f>2*Table2[[#This Row],[stackwin]]/3000</f>
        <v>0.06</v>
      </c>
      <c r="H63" s="10">
        <v>90</v>
      </c>
      <c r="I63">
        <f>Table2[[#This Row],[stacklose]]/2000</f>
        <v>4.4999999999999998E-2</v>
      </c>
      <c r="J63" s="2">
        <f t="shared" si="10"/>
        <v>4.0247999999999999</v>
      </c>
      <c r="K63" s="14">
        <f>5*Table2[[#This Row],[stacklose]]/3000</f>
        <v>0.15</v>
      </c>
      <c r="M63" s="10">
        <v>90</v>
      </c>
      <c r="N63">
        <f>Table2[[#This Row],[stackwin]]/2000</f>
        <v>4.4999999999999998E-2</v>
      </c>
      <c r="O63" s="2">
        <f t="shared" si="11"/>
        <v>4.0247999999999999</v>
      </c>
      <c r="P63" s="15">
        <f>5*Table2[[#This Row],[stackfact]]/3000</f>
        <v>0.15</v>
      </c>
      <c r="Q63" s="38">
        <f>Table2[[#This Row],[EQwin]]*Table2[[#This Row],[pWin]] + Table2[[#This Row],[EQlose]]*(1-Table2[[#This Row],[pWin]]) - Table2[[#This Row],[Eqfact]]</f>
        <v>0</v>
      </c>
      <c r="R63" s="12">
        <f>Table2[[#This Row],[pWin]]*Table2[[#This Row],[ICMwin]]+(1-Table2[[#This Row],[pWin]])*Table2[[#This Row],[ICMlose]]-Table2[[#This Row],[ICMFact]]</f>
        <v>0</v>
      </c>
      <c r="S63" s="16">
        <f>Table2[[#This Row],[Kowin]]*Table2[[#This Row],[pWin]]+Table2[[#This Row],[Kolose]]*(1-Table2[[#This Row],[pWin]])-Table2[[#This Row],[KOFact]]</f>
        <v>-7.5852000000000003E-2</v>
      </c>
      <c r="T63" s="2">
        <f>Table2[[#This Row],[KODiff]]*bounty</f>
        <v>0</v>
      </c>
      <c r="U63" s="7">
        <f>Table2[[#This Row],[ICMdiff]]+Table2[[#This Row],[KOmoneyDiff]]</f>
        <v>0</v>
      </c>
      <c r="V63" s="38">
        <f>Table2[[#This Row],[pWin]]*Table2[[#This Row],[stackwin]]+(1-Table2[[#This Row],[pWin]])*Table2[[#This Row],[stacklose]]-Table2[[#This Row],[stackfact]]</f>
        <v>0</v>
      </c>
    </row>
    <row r="64" spans="1:24" s="40" customFormat="1" x14ac:dyDescent="0.25">
      <c r="D64" s="43"/>
      <c r="F64" s="41">
        <f>Table2[[#This Row],[EQwin]]*$E$1</f>
        <v>0</v>
      </c>
      <c r="G64" s="42">
        <f>2*Table2[[#This Row],[stackwin]]/3000</f>
        <v>0</v>
      </c>
      <c r="H64" s="43"/>
      <c r="J64" s="41">
        <f t="shared" si="10"/>
        <v>0</v>
      </c>
      <c r="K64" s="44">
        <f>5*Table2[[#This Row],[stacklose]]/3000</f>
        <v>0</v>
      </c>
      <c r="M64" s="45"/>
      <c r="O64" s="41">
        <f t="shared" si="11"/>
        <v>0</v>
      </c>
      <c r="P64" s="46">
        <f>5*Table2[[#This Row],[stackfact]]/3000</f>
        <v>0</v>
      </c>
      <c r="Q64" s="47">
        <f>Table2[[#This Row],[EQwin]]*Table2[[#This Row],[pWin]] + Table2[[#This Row],[EQlose]]*(1-Table2[[#This Row],[pWin]]) - Table2[[#This Row],[Eqfact]]</f>
        <v>0</v>
      </c>
      <c r="R64" s="48">
        <f>Table2[[#This Row],[pWin]]*Table2[[#This Row],[ICMwin]]+(1-Table2[[#This Row],[pWin]])*Table2[[#This Row],[ICMlose]]-Table2[[#This Row],[ICMFact]]</f>
        <v>0</v>
      </c>
      <c r="S64" s="42">
        <f>Table2[[#This Row],[Kowin]]*Table2[[#This Row],[pWin]]+Table2[[#This Row],[Kolose]]*(1-Table2[[#This Row],[pWin]])-Table2[[#This Row],[KOFact]]</f>
        <v>0</v>
      </c>
      <c r="T64" s="41">
        <f>Table2[[#This Row],[KODiff]]*bounty</f>
        <v>0</v>
      </c>
      <c r="U64" s="49">
        <f>Table2[[#This Row],[ICMdiff]]+Table2[[#This Row],[KOmoneyDiff]]</f>
        <v>0</v>
      </c>
      <c r="V64" s="47">
        <f>Table2[[#This Row],[pWin]]*Table2[[#This Row],[stackwin]]+(1-Table2[[#This Row],[pWin]])*Table2[[#This Row],[stacklose]]-Table2[[#This Row],[stackfact]]</f>
        <v>0</v>
      </c>
    </row>
    <row r="65" spans="1:24" x14ac:dyDescent="0.25">
      <c r="A65">
        <v>595</v>
      </c>
      <c r="B65" t="s">
        <v>62</v>
      </c>
      <c r="C65">
        <v>0.27950000000000003</v>
      </c>
      <c r="D65" s="10">
        <v>570</v>
      </c>
      <c r="E65">
        <v>0.28499999999999998</v>
      </c>
      <c r="F65" s="2">
        <f>Table2[[#This Row],[EQwin]]*$E$1</f>
        <v>25.490399999999998</v>
      </c>
      <c r="G65" s="16">
        <f>2*Table2[[#This Row],[stackwin]]/3000</f>
        <v>0.38</v>
      </c>
      <c r="H65" s="10">
        <v>640</v>
      </c>
      <c r="I65">
        <v>0.32</v>
      </c>
      <c r="J65" s="2">
        <f t="shared" si="10"/>
        <v>28.620799999999999</v>
      </c>
      <c r="K65" s="14">
        <f>5*Table2[[#This Row],[stacklose]]/3000</f>
        <v>1.0666666666666667</v>
      </c>
      <c r="M65" s="10">
        <v>640</v>
      </c>
      <c r="N65">
        <v>0.32</v>
      </c>
      <c r="O65" s="2">
        <f t="shared" si="11"/>
        <v>28.620799999999999</v>
      </c>
      <c r="P65" s="15">
        <f>5*Table2[[#This Row],[stackfact]]/3000</f>
        <v>1.0666666666666667</v>
      </c>
      <c r="Q65" s="38">
        <f>Table2[[#This Row],[EQwin]]*Table2[[#This Row],[pWin]] + Table2[[#This Row],[EQlose]]*(1-Table2[[#This Row],[pWin]]) - Table2[[#This Row],[Eqfact]]</f>
        <v>-9.7825000000000273E-3</v>
      </c>
      <c r="R65" s="12">
        <f>Table2[[#This Row],[pWin]]*Table2[[#This Row],[ICMwin]]+(1-Table2[[#This Row],[pWin]])*Table2[[#This Row],[ICMlose]]-Table2[[#This Row],[ICMFact]]</f>
        <v>-0.87494680000000358</v>
      </c>
      <c r="S65" s="16">
        <f>Table2[[#This Row],[Kowin]]*Table2[[#This Row],[pWin]]+Table2[[#This Row],[Kolose]]*(1-Table2[[#This Row],[pWin]])-Table2[[#This Row],[KOFact]]</f>
        <v>-0.19192333333333333</v>
      </c>
      <c r="T65" s="2">
        <f>Table2[[#This Row],[KODiff]]*bounty</f>
        <v>0</v>
      </c>
      <c r="U65" s="7">
        <f>Table2[[#This Row],[ICMdiff]]+Table2[[#This Row],[KOmoneyDiff]]</f>
        <v>-0.87494680000000358</v>
      </c>
      <c r="V65" s="38">
        <f>Table2[[#This Row],[pWin]]*Table2[[#This Row],[stackwin]]+(1-Table2[[#This Row],[pWin]])*Table2[[#This Row],[stacklose]]-Table2[[#This Row],[stackfact]]</f>
        <v>-19.565000000000055</v>
      </c>
    </row>
    <row r="66" spans="1:24" x14ac:dyDescent="0.25">
      <c r="A66">
        <v>975</v>
      </c>
      <c r="C66">
        <v>0.27950000000000003</v>
      </c>
      <c r="D66" s="10">
        <v>965</v>
      </c>
      <c r="E66">
        <v>0.48249999999999998</v>
      </c>
      <c r="F66" s="2">
        <f>Table2[[#This Row],[EQwin]]*$E$1</f>
        <v>43.154799999999994</v>
      </c>
      <c r="G66" s="16">
        <f>2*Table2[[#This Row],[stackwin]]/3000</f>
        <v>0.64333333333333331</v>
      </c>
      <c r="H66" s="10">
        <v>965</v>
      </c>
      <c r="I66">
        <v>0.48249999999999998</v>
      </c>
      <c r="J66" s="2">
        <f t="shared" si="10"/>
        <v>43.154799999999994</v>
      </c>
      <c r="K66" s="14">
        <f>5*Table2[[#This Row],[stacklose]]/3000</f>
        <v>1.6083333333333334</v>
      </c>
      <c r="M66" s="10">
        <v>965</v>
      </c>
      <c r="N66">
        <v>0.48249999999999998</v>
      </c>
      <c r="O66" s="2">
        <f t="shared" si="11"/>
        <v>43.154799999999994</v>
      </c>
      <c r="P66" s="15">
        <f>5*Table2[[#This Row],[stackfact]]/3000</f>
        <v>1.6083333333333334</v>
      </c>
      <c r="Q66" s="38">
        <f>Table2[[#This Row],[EQwin]]*Table2[[#This Row],[pWin]] + Table2[[#This Row],[EQlose]]*(1-Table2[[#This Row],[pWin]]) - Table2[[#This Row],[Eqfact]]</f>
        <v>0</v>
      </c>
      <c r="R66" s="12">
        <f>Table2[[#This Row],[pWin]]*Table2[[#This Row],[ICMwin]]+(1-Table2[[#This Row],[pWin]])*Table2[[#This Row],[ICMlose]]-Table2[[#This Row],[ICMFact]]</f>
        <v>0</v>
      </c>
      <c r="S66" s="16">
        <f>Table2[[#This Row],[Kowin]]*Table2[[#This Row],[pWin]]+Table2[[#This Row],[Kolose]]*(1-Table2[[#This Row],[pWin]])-Table2[[#This Row],[KOFact]]</f>
        <v>-0.26971750000000005</v>
      </c>
      <c r="T66" s="2">
        <f>Table2[[#This Row],[KODiff]]*bounty</f>
        <v>0</v>
      </c>
      <c r="U66" s="7">
        <f>Table2[[#This Row],[ICMdiff]]+Table2[[#This Row],[KOmoneyDiff]]</f>
        <v>0</v>
      </c>
      <c r="V66" s="38">
        <f>Table2[[#This Row],[pWin]]*Table2[[#This Row],[stackwin]]+(1-Table2[[#This Row],[pWin]])*Table2[[#This Row],[stacklose]]-Table2[[#This Row],[stackfact]]</f>
        <v>0</v>
      </c>
    </row>
    <row r="67" spans="1:24" x14ac:dyDescent="0.25">
      <c r="A67">
        <v>405</v>
      </c>
      <c r="C67">
        <v>0.27950000000000003</v>
      </c>
      <c r="D67" s="10">
        <v>395</v>
      </c>
      <c r="E67">
        <v>0.19750000000000001</v>
      </c>
      <c r="F67" s="2">
        <f>Table2[[#This Row],[EQwin]]*$E$1</f>
        <v>17.664400000000001</v>
      </c>
      <c r="G67" s="16">
        <f>2*Table2[[#This Row],[stackwin]]/3000</f>
        <v>0.26333333333333331</v>
      </c>
      <c r="H67" s="10">
        <v>395</v>
      </c>
      <c r="I67">
        <v>0.19750000000000001</v>
      </c>
      <c r="J67" s="2">
        <f t="shared" si="10"/>
        <v>17.664400000000001</v>
      </c>
      <c r="K67" s="14">
        <f>5*Table2[[#This Row],[stacklose]]/3000</f>
        <v>0.65833333333333333</v>
      </c>
      <c r="M67" s="10">
        <v>395</v>
      </c>
      <c r="N67">
        <v>0.19750000000000001</v>
      </c>
      <c r="O67" s="2">
        <f t="shared" si="11"/>
        <v>17.664400000000001</v>
      </c>
      <c r="P67" s="15">
        <f>5*Table2[[#This Row],[stackfact]]/3000</f>
        <v>0.65833333333333333</v>
      </c>
      <c r="Q67" s="38">
        <f>Table2[[#This Row],[EQwin]]*Table2[[#This Row],[pWin]] + Table2[[#This Row],[EQlose]]*(1-Table2[[#This Row],[pWin]]) - Table2[[#This Row],[Eqfact]]</f>
        <v>0</v>
      </c>
      <c r="R67" s="12">
        <f>Table2[[#This Row],[pWin]]*Table2[[#This Row],[ICMwin]]+(1-Table2[[#This Row],[pWin]])*Table2[[#This Row],[ICMlose]]-Table2[[#This Row],[ICMFact]]</f>
        <v>0</v>
      </c>
      <c r="S67" s="16">
        <f>Table2[[#This Row],[Kowin]]*Table2[[#This Row],[pWin]]+Table2[[#This Row],[Kolose]]*(1-Table2[[#This Row],[pWin]])-Table2[[#This Row],[KOFact]]</f>
        <v>-0.11040250000000007</v>
      </c>
      <c r="T67" s="2">
        <f>Table2[[#This Row],[KODiff]]*bounty</f>
        <v>0</v>
      </c>
      <c r="U67" s="7">
        <f>Table2[[#This Row],[ICMdiff]]+Table2[[#This Row],[KOmoneyDiff]]</f>
        <v>0</v>
      </c>
      <c r="V67" s="38">
        <f>Table2[[#This Row],[pWin]]*Table2[[#This Row],[stackwin]]+(1-Table2[[#This Row],[pWin]])*Table2[[#This Row],[stacklose]]-Table2[[#This Row],[stackfact]]</f>
        <v>0</v>
      </c>
    </row>
    <row r="68" spans="1:24" s="17" customFormat="1" x14ac:dyDescent="0.25">
      <c r="A68" s="17">
        <v>25</v>
      </c>
      <c r="B68" s="17" t="s">
        <v>63</v>
      </c>
      <c r="C68" s="17">
        <v>0.27950000000000003</v>
      </c>
      <c r="D68" s="19">
        <v>70</v>
      </c>
      <c r="E68" s="17">
        <v>3.5000000000000003E-2</v>
      </c>
      <c r="F68" s="18">
        <f>Table2[[#This Row],[EQwin]]*$E$1</f>
        <v>3.1304000000000003</v>
      </c>
      <c r="G68" s="24">
        <f>2*Table2[[#This Row],[stackwin]]/3000</f>
        <v>4.6666666666666669E-2</v>
      </c>
      <c r="H68" s="19">
        <v>0</v>
      </c>
      <c r="I68" s="17">
        <v>0</v>
      </c>
      <c r="J68" s="18">
        <f t="shared" si="10"/>
        <v>0</v>
      </c>
      <c r="K68" s="20">
        <f>5*Table2[[#This Row],[stacklose]]/3000</f>
        <v>0</v>
      </c>
      <c r="M68" s="19">
        <v>0</v>
      </c>
      <c r="N68" s="17">
        <v>0</v>
      </c>
      <c r="O68" s="18">
        <f t="shared" si="11"/>
        <v>0</v>
      </c>
      <c r="P68" s="22">
        <f>5*Table2[[#This Row],[stackfact]]/3000</f>
        <v>0</v>
      </c>
      <c r="Q68" s="35">
        <f>Table2[[#This Row],[EQwin]]*Table2[[#This Row],[pWin]] + Table2[[#This Row],[EQlose]]*(1-Table2[[#This Row],[pWin]]) - Table2[[#This Row],[Eqfact]]</f>
        <v>9.7825000000000013E-3</v>
      </c>
      <c r="R68" s="23">
        <f>Table2[[#This Row],[pWin]]*Table2[[#This Row],[ICMwin]]+(1-Table2[[#This Row],[pWin]])*Table2[[#This Row],[ICMlose]]-Table2[[#This Row],[ICMFact]]</f>
        <v>0.87494680000000014</v>
      </c>
      <c r="S68" s="24">
        <f>Table2[[#This Row],[Kowin]]*Table2[[#This Row],[pWin]]+Table2[[#This Row],[Kolose]]*(1-Table2[[#This Row],[pWin]])-Table2[[#This Row],[KOFact]]</f>
        <v>1.3043333333333336E-2</v>
      </c>
      <c r="T68" s="18">
        <f>Table2[[#This Row],[KODiff]]*bounty</f>
        <v>0</v>
      </c>
      <c r="U68" s="25">
        <f>Table2[[#This Row],[ICMdiff]]+Table2[[#This Row],[KOmoneyDiff]]</f>
        <v>0.87494680000000014</v>
      </c>
      <c r="V68" s="35">
        <f>Table2[[#This Row],[pWin]]*Table2[[#This Row],[stackwin]]+(1-Table2[[#This Row],[pWin]])*Table2[[#This Row],[stacklose]]-Table2[[#This Row],[stackfact]]</f>
        <v>19.565000000000001</v>
      </c>
      <c r="X68" s="17" t="s">
        <v>64</v>
      </c>
    </row>
    <row r="69" spans="1:24" s="40" customFormat="1" x14ac:dyDescent="0.25">
      <c r="D69" s="43"/>
      <c r="F69" s="41">
        <f>Table2[[#This Row],[EQwin]]*$E$1</f>
        <v>0</v>
      </c>
      <c r="G69" s="42">
        <f>2*Table2[[#This Row],[stackwin]]/3000</f>
        <v>0</v>
      </c>
      <c r="H69" s="43"/>
      <c r="J69" s="41">
        <f t="shared" si="10"/>
        <v>0</v>
      </c>
      <c r="K69" s="44">
        <f>5*Table2[[#This Row],[stacklose]]/3000</f>
        <v>0</v>
      </c>
      <c r="M69" s="45"/>
      <c r="O69" s="41">
        <f t="shared" si="11"/>
        <v>0</v>
      </c>
      <c r="P69" s="46">
        <f>5*Table2[[#This Row],[stackfact]]/3000</f>
        <v>0</v>
      </c>
      <c r="Q69" s="47">
        <f>Table2[[#This Row],[EQwin]]*Table2[[#This Row],[pWin]] + Table2[[#This Row],[EQlose]]*(1-Table2[[#This Row],[pWin]]) - Table2[[#This Row],[Eqfact]]</f>
        <v>0</v>
      </c>
      <c r="R69" s="48">
        <f>Table2[[#This Row],[pWin]]*Table2[[#This Row],[ICMwin]]+(1-Table2[[#This Row],[pWin]])*Table2[[#This Row],[ICMlose]]-Table2[[#This Row],[ICMFact]]</f>
        <v>0</v>
      </c>
      <c r="S69" s="42">
        <f>Table2[[#This Row],[Kowin]]*Table2[[#This Row],[pWin]]+Table2[[#This Row],[Kolose]]*(1-Table2[[#This Row],[pWin]])-Table2[[#This Row],[KOFact]]</f>
        <v>0</v>
      </c>
      <c r="T69" s="41">
        <f>Table2[[#This Row],[KODiff]]*bounty</f>
        <v>0</v>
      </c>
      <c r="U69" s="49">
        <f>Table2[[#This Row],[ICMdiff]]+Table2[[#This Row],[KOmoneyDiff]]</f>
        <v>0</v>
      </c>
      <c r="V69" s="47">
        <f>Table2[[#This Row],[pWin]]*Table2[[#This Row],[stackwin]]+(1-Table2[[#This Row],[pWin]])*Table2[[#This Row],[stacklose]]-Table2[[#This Row],[stackfact]]</f>
        <v>0</v>
      </c>
    </row>
    <row r="70" spans="1:24" x14ac:dyDescent="0.25">
      <c r="A70" s="76">
        <v>405</v>
      </c>
      <c r="C70" s="78">
        <v>0.34610000000000002</v>
      </c>
      <c r="D70" s="10">
        <v>395</v>
      </c>
      <c r="E70">
        <v>0.25490000000000002</v>
      </c>
      <c r="F70" s="2">
        <f>Table2[[#This Row],[EQwin]]*$E$1</f>
        <v>22.798256000000002</v>
      </c>
      <c r="G70" s="16">
        <f>2*Table2[[#This Row],[stackwin]]/3000</f>
        <v>0.26333333333333331</v>
      </c>
      <c r="H70" s="10">
        <v>395</v>
      </c>
      <c r="I70">
        <v>0.26619999999999999</v>
      </c>
      <c r="J70" s="2">
        <f t="shared" si="10"/>
        <v>23.808927999999998</v>
      </c>
      <c r="K70" s="14">
        <f>5*Table2[[#This Row],[stacklose]]/3000</f>
        <v>0.65833333333333333</v>
      </c>
      <c r="M70" s="10">
        <v>395</v>
      </c>
      <c r="N70">
        <v>0.26619999999999999</v>
      </c>
      <c r="O70" s="2">
        <f t="shared" si="11"/>
        <v>23.808927999999998</v>
      </c>
      <c r="P70" s="15">
        <f>5*Table2[[#This Row],[stackfact]]/3000</f>
        <v>0.65833333333333333</v>
      </c>
      <c r="Q70" s="38">
        <f>Table2[[#This Row],[EQwin]]*Table2[[#This Row],[pWin]] + Table2[[#This Row],[EQlose]]*(1-Table2[[#This Row],[pWin]]) - Table2[[#This Row],[Eqfact]]</f>
        <v>-3.9109300000000347E-3</v>
      </c>
      <c r="R70" s="12">
        <f>Table2[[#This Row],[pWin]]*Table2[[#This Row],[ICMwin]]+(1-Table2[[#This Row],[pWin]])*Table2[[#This Row],[ICMlose]]-Table2[[#This Row],[ICMFact]]</f>
        <v>-0.34979357919999998</v>
      </c>
      <c r="S70" s="16">
        <f>Table2[[#This Row],[Kowin]]*Table2[[#This Row],[pWin]]+Table2[[#This Row],[Kolose]]*(1-Table2[[#This Row],[pWin]])-Table2[[#This Row],[KOFact]]</f>
        <v>-0.13670950000000004</v>
      </c>
      <c r="T70" s="2">
        <f>Table2[[#This Row],[KODiff]]*bounty</f>
        <v>0</v>
      </c>
      <c r="U70" s="7">
        <f>Table2[[#This Row],[ICMdiff]]+Table2[[#This Row],[KOmoneyDiff]]</f>
        <v>-0.34979357919999998</v>
      </c>
      <c r="V70" s="38">
        <f>Table2[[#This Row],[pWin]]*Table2[[#This Row],[stackwin]]+(1-Table2[[#This Row],[pWin]])*Table2[[#This Row],[stacklose]]-Table2[[#This Row],[stackfact]]</f>
        <v>0</v>
      </c>
    </row>
    <row r="71" spans="1:24" s="17" customFormat="1" x14ac:dyDescent="0.25">
      <c r="A71" s="77">
        <v>545</v>
      </c>
      <c r="B71" s="17" t="s">
        <v>65</v>
      </c>
      <c r="C71" s="17">
        <v>0.34610000000000002</v>
      </c>
      <c r="D71" s="19">
        <v>1110</v>
      </c>
      <c r="E71" s="17">
        <v>0.42809999999999998</v>
      </c>
      <c r="F71" s="18">
        <f>Table2[[#This Row],[EQwin]]*$E$1</f>
        <v>38.289263999999996</v>
      </c>
      <c r="G71" s="24">
        <f>2*Table2[[#This Row],[stackwin]]/3000</f>
        <v>0.74</v>
      </c>
      <c r="H71" s="19">
        <v>0</v>
      </c>
      <c r="I71" s="17">
        <v>0</v>
      </c>
      <c r="J71" s="18">
        <f t="shared" si="10"/>
        <v>0</v>
      </c>
      <c r="K71" s="20">
        <f>5*Table2[[#This Row],[stacklose]]/3000</f>
        <v>0</v>
      </c>
      <c r="M71" s="19">
        <v>0</v>
      </c>
      <c r="N71" s="17">
        <v>0</v>
      </c>
      <c r="O71" s="18">
        <f t="shared" si="11"/>
        <v>0</v>
      </c>
      <c r="P71" s="22">
        <f>5*Table2[[#This Row],[stackfact]]/3000</f>
        <v>0</v>
      </c>
      <c r="Q71" s="35">
        <f>Table2[[#This Row],[EQwin]]*Table2[[#This Row],[pWin]] + Table2[[#This Row],[EQlose]]*(1-Table2[[#This Row],[pWin]]) - Table2[[#This Row],[Eqfact]]</f>
        <v>0.14816541</v>
      </c>
      <c r="R71" s="23">
        <f>Table2[[#This Row],[pWin]]*Table2[[#This Row],[ICMwin]]+(1-Table2[[#This Row],[pWin]])*Table2[[#This Row],[ICMlose]]-Table2[[#This Row],[ICMFact]]</f>
        <v>13.251914270399999</v>
      </c>
      <c r="S71" s="24">
        <f>Table2[[#This Row],[Kowin]]*Table2[[#This Row],[pWin]]+Table2[[#This Row],[Kolose]]*(1-Table2[[#This Row],[pWin]])-Table2[[#This Row],[KOFact]]</f>
        <v>0.25611400000000001</v>
      </c>
      <c r="T71" s="18">
        <f>Table2[[#This Row],[KODiff]]*bounty</f>
        <v>0</v>
      </c>
      <c r="U71" s="25">
        <f>Table2[[#This Row],[ICMdiff]]+Table2[[#This Row],[KOmoneyDiff]]</f>
        <v>13.251914270399999</v>
      </c>
      <c r="V71" s="35">
        <f>Table2[[#This Row],[pWin]]*Table2[[#This Row],[stackwin]]+(1-Table2[[#This Row],[pWin]])*Table2[[#This Row],[stacklose]]-Table2[[#This Row],[stackfact]]</f>
        <v>384.17100000000005</v>
      </c>
      <c r="X71" s="17" t="s">
        <v>66</v>
      </c>
    </row>
    <row r="72" spans="1:24" x14ac:dyDescent="0.25">
      <c r="A72" s="76">
        <v>595</v>
      </c>
      <c r="B72" t="s">
        <v>67</v>
      </c>
      <c r="C72" s="78">
        <v>0.34610000000000002</v>
      </c>
      <c r="D72" s="10">
        <f>2000-D73-D71-D70</f>
        <v>50</v>
      </c>
      <c r="E72">
        <v>3.5499999999999997E-2</v>
      </c>
      <c r="F72" s="2">
        <f>Table2[[#This Row],[EQwin]]*$E$1</f>
        <v>3.1751199999999997</v>
      </c>
      <c r="G72" s="16">
        <f>2*Table2[[#This Row],[stackwin]]/3000</f>
        <v>3.3333333333333333E-2</v>
      </c>
      <c r="H72" s="10">
        <v>1160</v>
      </c>
      <c r="I72">
        <v>0.43980000000000002</v>
      </c>
      <c r="J72" s="2">
        <f t="shared" si="10"/>
        <v>39.335712000000001</v>
      </c>
      <c r="K72" s="14">
        <f>5*Table2[[#This Row],[stacklose]]/3000</f>
        <v>1.9333333333333333</v>
      </c>
      <c r="M72" s="10">
        <v>1160</v>
      </c>
      <c r="N72">
        <v>0.43980000000000002</v>
      </c>
      <c r="O72" s="2">
        <f t="shared" si="11"/>
        <v>39.335712000000001</v>
      </c>
      <c r="P72" s="15">
        <f>5*Table2[[#This Row],[stackfact]]/3000</f>
        <v>1.9333333333333333</v>
      </c>
      <c r="Q72" s="38">
        <f>Table2[[#This Row],[EQwin]]*Table2[[#This Row],[pWin]] + Table2[[#This Row],[EQlose]]*(1-Table2[[#This Row],[pWin]]) - Table2[[#This Row],[Eqfact]]</f>
        <v>-0.13992823000000004</v>
      </c>
      <c r="R72" s="12">
        <f>Table2[[#This Row],[pWin]]*Table2[[#This Row],[ICMwin]]+(1-Table2[[#This Row],[pWin]])*Table2[[#This Row],[ICMlose]]-Table2[[#This Row],[ICMFact]]</f>
        <v>-12.515180891200004</v>
      </c>
      <c r="S72" s="16">
        <f>Table2[[#This Row],[Kowin]]*Table2[[#This Row],[pWin]]+Table2[[#This Row],[Kolose]]*(1-Table2[[#This Row],[pWin]])-Table2[[#This Row],[KOFact]]</f>
        <v>-0.65759000000000012</v>
      </c>
      <c r="T72" s="2">
        <f>Table2[[#This Row],[KODiff]]*bounty</f>
        <v>0</v>
      </c>
      <c r="U72" s="7">
        <f>Table2[[#This Row],[ICMdiff]]+Table2[[#This Row],[KOmoneyDiff]]</f>
        <v>-12.515180891200004</v>
      </c>
      <c r="V72" s="38">
        <f>Table2[[#This Row],[pWin]]*Table2[[#This Row],[stackwin]]+(1-Table2[[#This Row],[pWin]])*Table2[[#This Row],[stacklose]]-Table2[[#This Row],[stackfact]]</f>
        <v>-384.17100000000016</v>
      </c>
    </row>
    <row r="73" spans="1:24" x14ac:dyDescent="0.25">
      <c r="A73" s="76">
        <v>455</v>
      </c>
      <c r="C73" s="78">
        <v>0.34610000000000002</v>
      </c>
      <c r="D73" s="10">
        <v>445</v>
      </c>
      <c r="E73">
        <v>0.28149999999999997</v>
      </c>
      <c r="F73" s="2">
        <f>Table2[[#This Row],[EQwin]]*$E$1</f>
        <v>25.177359999999997</v>
      </c>
      <c r="G73" s="16">
        <f>2*Table2[[#This Row],[stackwin]]/3000</f>
        <v>0.29666666666666669</v>
      </c>
      <c r="H73" s="10">
        <v>445</v>
      </c>
      <c r="I73">
        <v>0.29389999999999999</v>
      </c>
      <c r="J73" s="2">
        <f t="shared" si="10"/>
        <v>26.286415999999999</v>
      </c>
      <c r="K73" s="14">
        <f>5*Table2[[#This Row],[stacklose]]/3000</f>
        <v>0.7416666666666667</v>
      </c>
      <c r="M73" s="10">
        <v>445</v>
      </c>
      <c r="N73">
        <v>0.29389999999999999</v>
      </c>
      <c r="O73" s="2">
        <f t="shared" si="11"/>
        <v>26.286415999999999</v>
      </c>
      <c r="P73" s="15">
        <f>5*Table2[[#This Row],[stackfact]]/3000</f>
        <v>0.7416666666666667</v>
      </c>
      <c r="Q73" s="38">
        <f>Table2[[#This Row],[EQwin]]*Table2[[#This Row],[pWin]] + Table2[[#This Row],[EQlose]]*(1-Table2[[#This Row],[pWin]]) - Table2[[#This Row],[Eqfact]]</f>
        <v>-4.291640000000041E-3</v>
      </c>
      <c r="R73" s="12">
        <f>Table2[[#This Row],[pWin]]*Table2[[#This Row],[ICMwin]]+(1-Table2[[#This Row],[pWin]])*Table2[[#This Row],[ICMlose]]-Table2[[#This Row],[ICMFact]]</f>
        <v>-0.38384428160000184</v>
      </c>
      <c r="S73" s="16">
        <f>Table2[[#This Row],[Kowin]]*Table2[[#This Row],[pWin]]+Table2[[#This Row],[Kolose]]*(1-Table2[[#This Row],[pWin]])-Table2[[#This Row],[KOFact]]</f>
        <v>-0.15401450000000005</v>
      </c>
      <c r="T73" s="2">
        <f>Table2[[#This Row],[KODiff]]*bounty</f>
        <v>0</v>
      </c>
      <c r="U73" s="7">
        <f>Table2[[#This Row],[ICMdiff]]+Table2[[#This Row],[KOmoneyDiff]]</f>
        <v>-0.38384428160000184</v>
      </c>
      <c r="V73" s="38">
        <f>Table2[[#This Row],[pWin]]*Table2[[#This Row],[stackwin]]+(1-Table2[[#This Row],[pWin]])*Table2[[#This Row],[stacklose]]-Table2[[#This Row],[stackfact]]</f>
        <v>0</v>
      </c>
    </row>
    <row r="74" spans="1:24" s="40" customFormat="1" x14ac:dyDescent="0.25">
      <c r="D74" s="43"/>
      <c r="F74" s="41">
        <f>Table2[[#This Row],[EQwin]]*$E$1</f>
        <v>0</v>
      </c>
      <c r="G74" s="42">
        <f>2*Table2[[#This Row],[stackwin]]/3000</f>
        <v>0</v>
      </c>
      <c r="H74" s="43"/>
      <c r="J74" s="41">
        <f t="shared" ref="J74" si="12">I74*$E$1</f>
        <v>0</v>
      </c>
      <c r="K74" s="44">
        <f>5*Table2[[#This Row],[stacklose]]/3000</f>
        <v>0</v>
      </c>
      <c r="M74" s="45"/>
      <c r="O74" s="41">
        <f t="shared" ref="O74" si="13">N74*$E$1</f>
        <v>0</v>
      </c>
      <c r="P74" s="46">
        <f>5*Table2[[#This Row],[stackfact]]/3000</f>
        <v>0</v>
      </c>
      <c r="Q74" s="47">
        <f>Table2[[#This Row],[EQwin]]*Table2[[#This Row],[pWin]] + Table2[[#This Row],[EQlose]]*(1-Table2[[#This Row],[pWin]]) - Table2[[#This Row],[Eqfact]]</f>
        <v>0</v>
      </c>
      <c r="R74" s="48">
        <f>Table2[[#This Row],[pWin]]*Table2[[#This Row],[ICMwin]]+(1-Table2[[#This Row],[pWin]])*Table2[[#This Row],[ICMlose]]-Table2[[#This Row],[ICMFact]]</f>
        <v>0</v>
      </c>
      <c r="S74" s="42">
        <f>Table2[[#This Row],[Kowin]]*Table2[[#This Row],[pWin]]+Table2[[#This Row],[Kolose]]*(1-Table2[[#This Row],[pWin]])-Table2[[#This Row],[KOFact]]</f>
        <v>0</v>
      </c>
      <c r="T74" s="41">
        <f>Table2[[#This Row],[KODiff]]*bounty</f>
        <v>0</v>
      </c>
      <c r="U74" s="49">
        <f>Table2[[#This Row],[ICMdiff]]+Table2[[#This Row],[KOmoneyDiff]]</f>
        <v>0</v>
      </c>
      <c r="V74" s="47">
        <f>Table2[[#This Row],[pWin]]*Table2[[#This Row],[stackwin]]+(1-Table2[[#This Row],[pWin]])*Table2[[#This Row],[stacklose]]-Table2[[#This Row],[stackfact]]</f>
        <v>0</v>
      </c>
    </row>
    <row r="75" spans="1:24" s="17" customFormat="1" x14ac:dyDescent="0.25">
      <c r="A75" s="17">
        <v>500</v>
      </c>
      <c r="B75" s="17" t="s">
        <v>68</v>
      </c>
      <c r="C75" s="17">
        <v>0.4597</v>
      </c>
      <c r="D75" s="19">
        <v>1070</v>
      </c>
      <c r="E75" s="17">
        <v>0.42509999999999998</v>
      </c>
      <c r="F75" s="18">
        <f>Table2[[#This Row],[EQwin]]*$E$1</f>
        <v>38.020944</v>
      </c>
      <c r="G75" s="24">
        <f>2*Table2[[#This Row],[stackwin]]/3000</f>
        <v>0.71333333333333337</v>
      </c>
      <c r="H75" s="19">
        <v>0</v>
      </c>
      <c r="I75" s="17">
        <v>0</v>
      </c>
      <c r="J75" s="18">
        <f t="shared" si="10"/>
        <v>0</v>
      </c>
      <c r="K75" s="20">
        <f>5*Table2[[#This Row],[stacklose]]/3000</f>
        <v>0</v>
      </c>
      <c r="M75" s="19">
        <v>0</v>
      </c>
      <c r="N75" s="17">
        <v>0</v>
      </c>
      <c r="O75" s="18">
        <f t="shared" si="11"/>
        <v>0</v>
      </c>
      <c r="P75" s="22">
        <f>5*Table2[[#This Row],[stackfact]]/3000</f>
        <v>0</v>
      </c>
      <c r="Q75" s="35">
        <f>Table2[[#This Row],[EQwin]]*Table2[[#This Row],[pWin]] + Table2[[#This Row],[EQlose]]*(1-Table2[[#This Row],[pWin]]) - Table2[[#This Row],[Eqfact]]</f>
        <v>0.19541846999999998</v>
      </c>
      <c r="R75" s="23">
        <f>Table2[[#This Row],[pWin]]*Table2[[#This Row],[ICMwin]]+(1-Table2[[#This Row],[pWin]])*Table2[[#This Row],[ICMlose]]-Table2[[#This Row],[ICMFact]]</f>
        <v>17.478227956800001</v>
      </c>
      <c r="S75" s="24">
        <f>Table2[[#This Row],[Kowin]]*Table2[[#This Row],[pWin]]+Table2[[#This Row],[Kolose]]*(1-Table2[[#This Row],[pWin]])-Table2[[#This Row],[KOFact]]</f>
        <v>0.32791933333333334</v>
      </c>
      <c r="T75" s="18">
        <f>Table2[[#This Row],[KODiff]]*bounty</f>
        <v>0</v>
      </c>
      <c r="U75" s="25">
        <f>Table2[[#This Row],[ICMdiff]]+Table2[[#This Row],[KOmoneyDiff]]</f>
        <v>17.478227956800001</v>
      </c>
      <c r="V75" s="35">
        <f>Table2[[#This Row],[pWin]]*Table2[[#This Row],[stackwin]]+(1-Table2[[#This Row],[pWin]])*Table2[[#This Row],[stacklose]]-Table2[[#This Row],[stackfact]]</f>
        <v>491.87900000000002</v>
      </c>
      <c r="X75" s="17" t="s">
        <v>69</v>
      </c>
    </row>
    <row r="76" spans="1:24" x14ac:dyDescent="0.25">
      <c r="A76">
        <v>500</v>
      </c>
      <c r="B76" t="s">
        <v>70</v>
      </c>
      <c r="C76">
        <v>0.4597</v>
      </c>
      <c r="D76" s="10">
        <v>0</v>
      </c>
      <c r="E76">
        <v>0</v>
      </c>
      <c r="F76" s="2">
        <f>Table2[[#This Row],[EQwin]]*$E$1</f>
        <v>0</v>
      </c>
      <c r="G76" s="16">
        <f>2*Table2[[#This Row],[stackwin]]/3000</f>
        <v>0</v>
      </c>
      <c r="H76" s="10">
        <v>1070</v>
      </c>
      <c r="I76">
        <v>0.42509999999999998</v>
      </c>
      <c r="J76" s="2">
        <f t="shared" si="10"/>
        <v>38.020944</v>
      </c>
      <c r="K76" s="14">
        <f>5*Table2[[#This Row],[stacklose]]/3000</f>
        <v>1.7833333333333334</v>
      </c>
      <c r="M76" s="10">
        <v>1070</v>
      </c>
      <c r="N76">
        <v>0.42509999999999998</v>
      </c>
      <c r="O76" s="2">
        <f t="shared" si="11"/>
        <v>38.020944</v>
      </c>
      <c r="P76" s="15">
        <f>5*Table2[[#This Row],[stackfact]]/3000</f>
        <v>1.7833333333333334</v>
      </c>
      <c r="Q76" s="38">
        <f>Table2[[#This Row],[EQwin]]*Table2[[#This Row],[pWin]] + Table2[[#This Row],[EQlose]]*(1-Table2[[#This Row],[pWin]]) - Table2[[#This Row],[Eqfact]]</f>
        <v>-0.19541846999999998</v>
      </c>
      <c r="R76" s="12">
        <f>Table2[[#This Row],[pWin]]*Table2[[#This Row],[ICMwin]]+(1-Table2[[#This Row],[pWin]])*Table2[[#This Row],[ICMlose]]-Table2[[#This Row],[ICMFact]]</f>
        <v>-17.478227956800001</v>
      </c>
      <c r="S76" s="16">
        <f>Table2[[#This Row],[Kowin]]*Table2[[#This Row],[pWin]]+Table2[[#This Row],[Kolose]]*(1-Table2[[#This Row],[pWin]])-Table2[[#This Row],[KOFact]]</f>
        <v>-0.81979833333333341</v>
      </c>
      <c r="T76" s="2">
        <f>Table2[[#This Row],[KODiff]]*bounty</f>
        <v>0</v>
      </c>
      <c r="U76" s="7">
        <f>Table2[[#This Row],[ICMdiff]]+Table2[[#This Row],[KOmoneyDiff]]</f>
        <v>-17.478227956800001</v>
      </c>
      <c r="V76" s="38">
        <f>Table2[[#This Row],[pWin]]*Table2[[#This Row],[stackwin]]+(1-Table2[[#This Row],[pWin]])*Table2[[#This Row],[stacklose]]-Table2[[#This Row],[stackfact]]</f>
        <v>-491.87900000000002</v>
      </c>
    </row>
    <row r="77" spans="1:24" x14ac:dyDescent="0.25">
      <c r="A77">
        <v>500</v>
      </c>
      <c r="C77">
        <v>0.4597</v>
      </c>
      <c r="D77" s="10">
        <v>490</v>
      </c>
      <c r="E77">
        <v>0.29970000000000002</v>
      </c>
      <c r="F77" s="2">
        <f>Table2[[#This Row],[EQwin]]*$E$1</f>
        <v>26.805168000000002</v>
      </c>
      <c r="G77" s="16">
        <f>2*Table2[[#This Row],[stackwin]]/3000</f>
        <v>0.32666666666666666</v>
      </c>
      <c r="H77" s="10">
        <v>490</v>
      </c>
      <c r="I77">
        <v>0.29970000000000002</v>
      </c>
      <c r="J77" s="2">
        <f t="shared" si="10"/>
        <v>26.805168000000002</v>
      </c>
      <c r="K77" s="14">
        <f>5*Table2[[#This Row],[stacklose]]/3000</f>
        <v>0.81666666666666665</v>
      </c>
      <c r="M77" s="10">
        <v>490</v>
      </c>
      <c r="N77">
        <v>0.29970000000000002</v>
      </c>
      <c r="O77" s="2">
        <f t="shared" si="11"/>
        <v>26.805168000000002</v>
      </c>
      <c r="P77" s="15">
        <f>5*Table2[[#This Row],[stackfact]]/3000</f>
        <v>0.81666666666666665</v>
      </c>
      <c r="Q77" s="38">
        <f>Table2[[#This Row],[EQwin]]*Table2[[#This Row],[pWin]] + Table2[[#This Row],[EQlose]]*(1-Table2[[#This Row],[pWin]]) - Table2[[#This Row],[Eqfact]]</f>
        <v>0</v>
      </c>
      <c r="R77" s="12">
        <f>Table2[[#This Row],[pWin]]*Table2[[#This Row],[ICMwin]]+(1-Table2[[#This Row],[pWin]])*Table2[[#This Row],[ICMlose]]-Table2[[#This Row],[ICMFact]]</f>
        <v>0</v>
      </c>
      <c r="S77" s="16">
        <f>Table2[[#This Row],[Kowin]]*Table2[[#This Row],[pWin]]+Table2[[#This Row],[Kolose]]*(1-Table2[[#This Row],[pWin]])-Table2[[#This Row],[KOFact]]</f>
        <v>-0.22525299999999993</v>
      </c>
      <c r="T77" s="2">
        <f>Table2[[#This Row],[KODiff]]*bounty</f>
        <v>0</v>
      </c>
      <c r="U77" s="7">
        <f>Table2[[#This Row],[ICMdiff]]+Table2[[#This Row],[KOmoneyDiff]]</f>
        <v>0</v>
      </c>
      <c r="V77" s="38">
        <f>Table2[[#This Row],[pWin]]*Table2[[#This Row],[stackwin]]+(1-Table2[[#This Row],[pWin]])*Table2[[#This Row],[stacklose]]-Table2[[#This Row],[stackfact]]</f>
        <v>0</v>
      </c>
    </row>
    <row r="78" spans="1:24" x14ac:dyDescent="0.25">
      <c r="A78">
        <v>500</v>
      </c>
      <c r="C78">
        <v>0.4597</v>
      </c>
      <c r="D78" s="10">
        <v>440</v>
      </c>
      <c r="E78">
        <v>0.2752</v>
      </c>
      <c r="F78" s="2">
        <f>Table2[[#This Row],[EQwin]]*$E$1</f>
        <v>24.613887999999999</v>
      </c>
      <c r="G78" s="16">
        <f>2*Table2[[#This Row],[stackwin]]/3000</f>
        <v>0.29333333333333333</v>
      </c>
      <c r="H78" s="10">
        <v>440</v>
      </c>
      <c r="I78">
        <v>0.2752</v>
      </c>
      <c r="J78" s="2">
        <f t="shared" si="10"/>
        <v>24.613887999999999</v>
      </c>
      <c r="K78" s="14">
        <f>5*Table2[[#This Row],[stacklose]]/3000</f>
        <v>0.73333333333333328</v>
      </c>
      <c r="M78" s="10">
        <v>440</v>
      </c>
      <c r="N78">
        <v>0.2752</v>
      </c>
      <c r="O78" s="2">
        <f t="shared" si="11"/>
        <v>24.613887999999999</v>
      </c>
      <c r="P78" s="15">
        <f>5*Table2[[#This Row],[stackfact]]/3000</f>
        <v>0.73333333333333328</v>
      </c>
      <c r="Q78" s="38">
        <f>Table2[[#This Row],[EQwin]]*Table2[[#This Row],[pWin]] + Table2[[#This Row],[EQlose]]*(1-Table2[[#This Row],[pWin]]) - Table2[[#This Row],[Eqfact]]</f>
        <v>0</v>
      </c>
      <c r="R78" s="12">
        <f>Table2[[#This Row],[pWin]]*Table2[[#This Row],[ICMwin]]+(1-Table2[[#This Row],[pWin]])*Table2[[#This Row],[ICMlose]]-Table2[[#This Row],[ICMFact]]</f>
        <v>0</v>
      </c>
      <c r="S78" s="16">
        <f>Table2[[#This Row],[Kowin]]*Table2[[#This Row],[pWin]]+Table2[[#This Row],[Kolose]]*(1-Table2[[#This Row],[pWin]])-Table2[[#This Row],[KOFact]]</f>
        <v>-0.202268</v>
      </c>
      <c r="T78" s="2">
        <f>Table2[[#This Row],[KODiff]]*bounty</f>
        <v>0</v>
      </c>
      <c r="U78" s="7">
        <f>Table2[[#This Row],[ICMdiff]]+Table2[[#This Row],[KOmoneyDiff]]</f>
        <v>0</v>
      </c>
      <c r="V78" s="38">
        <f>Table2[[#This Row],[pWin]]*Table2[[#This Row],[stackwin]]+(1-Table2[[#This Row],[pWin]])*Table2[[#This Row],[stacklose]]-Table2[[#This Row],[stackfact]]</f>
        <v>0</v>
      </c>
    </row>
    <row r="79" spans="1:24" x14ac:dyDescent="0.25">
      <c r="D79" s="10"/>
      <c r="F79" s="2">
        <f>Table2[[#This Row],[EQwin]]*$E$1</f>
        <v>0</v>
      </c>
      <c r="G79" s="16">
        <f>2*Table2[[#This Row],[stackwin]]/3000</f>
        <v>0</v>
      </c>
      <c r="H79" s="10"/>
      <c r="J79" s="2">
        <f t="shared" si="10"/>
        <v>0</v>
      </c>
      <c r="K79" s="14">
        <f>5*Table2[[#This Row],[stacklose]]/3000</f>
        <v>0</v>
      </c>
      <c r="M79" s="8"/>
      <c r="O79" s="2">
        <f t="shared" si="11"/>
        <v>0</v>
      </c>
      <c r="P79" s="15">
        <f>5*Table2[[#This Row],[stackfact]]/3000</f>
        <v>0</v>
      </c>
      <c r="Q79" s="38">
        <f>Table2[[#This Row],[EQwin]]*Table2[[#This Row],[pWin]] + Table2[[#This Row],[EQlose]]*(1-Table2[[#This Row],[pWin]]) - Table2[[#This Row],[Eqfact]]</f>
        <v>0</v>
      </c>
      <c r="R79" s="12">
        <f>Table2[[#This Row],[pWin]]*Table2[[#This Row],[ICMwin]]+(1-Table2[[#This Row],[pWin]])*Table2[[#This Row],[ICMlose]]-Table2[[#This Row],[ICMFact]]</f>
        <v>0</v>
      </c>
      <c r="S79" s="16">
        <f>Table2[[#This Row],[Kowin]]*Table2[[#This Row],[pWin]]+Table2[[#This Row],[Kolose]]*(1-Table2[[#This Row],[pWin]])-Table2[[#This Row],[KOFact]]</f>
        <v>0</v>
      </c>
      <c r="T79" s="2">
        <f>Table2[[#This Row],[KODiff]]*bounty</f>
        <v>0</v>
      </c>
      <c r="U79" s="7">
        <f>Table2[[#This Row],[ICMdiff]]+Table2[[#This Row],[KOmoneyDiff]]</f>
        <v>0</v>
      </c>
      <c r="V79" s="38">
        <f>Table2[[#This Row],[pWin]]*Table2[[#This Row],[stackwin]]+(1-Table2[[#This Row],[pWin]])*Table2[[#This Row],[stacklose]]-Table2[[#This Row],[stackfact]]</f>
        <v>0</v>
      </c>
    </row>
    <row r="80" spans="1:24" x14ac:dyDescent="0.25">
      <c r="D80" s="10"/>
      <c r="F80" s="2">
        <f>Table2[[#This Row],[EQwin]]*$E$1</f>
        <v>0</v>
      </c>
      <c r="G80" s="16">
        <f>2*Table2[[#This Row],[stackwin]]/3000</f>
        <v>0</v>
      </c>
      <c r="H80" s="10"/>
      <c r="J80" s="2">
        <f t="shared" si="10"/>
        <v>0</v>
      </c>
      <c r="K80" s="14">
        <f>5*Table2[[#This Row],[stacklose]]/3000</f>
        <v>0</v>
      </c>
      <c r="M80" s="8"/>
      <c r="O80" s="2">
        <f t="shared" si="11"/>
        <v>0</v>
      </c>
      <c r="P80" s="15">
        <f>5*Table2[[#This Row],[stackfact]]/3000</f>
        <v>0</v>
      </c>
      <c r="Q80" s="38">
        <f>Table2[[#This Row],[EQwin]]*Table2[[#This Row],[pWin]] + Table2[[#This Row],[EQlose]]*(1-Table2[[#This Row],[pWin]]) - Table2[[#This Row],[Eqfact]]</f>
        <v>0</v>
      </c>
      <c r="R80" s="12">
        <f>Table2[[#This Row],[pWin]]*Table2[[#This Row],[ICMwin]]+(1-Table2[[#This Row],[pWin]])*Table2[[#This Row],[ICMlose]]-Table2[[#This Row],[ICMFact]]</f>
        <v>0</v>
      </c>
      <c r="S80" s="16">
        <f>Table2[[#This Row],[Kowin]]*Table2[[#This Row],[pWin]]+Table2[[#This Row],[Kolose]]*(1-Table2[[#This Row],[pWin]])-Table2[[#This Row],[KOFact]]</f>
        <v>0</v>
      </c>
      <c r="T80" s="2">
        <f>Table2[[#This Row],[KODiff]]*bounty</f>
        <v>0</v>
      </c>
      <c r="U80" s="7">
        <f>Table2[[#This Row],[ICMdiff]]+Table2[[#This Row],[KOmoneyDiff]]</f>
        <v>0</v>
      </c>
      <c r="V80" s="38">
        <f>Table2[[#This Row],[pWin]]*Table2[[#This Row],[stackwin]]+(1-Table2[[#This Row],[pWin]])*Table2[[#This Row],[stacklose]]-Table2[[#This Row],[stackfact]]</f>
        <v>0</v>
      </c>
    </row>
    <row r="81" spans="4:22" x14ac:dyDescent="0.25">
      <c r="D81" s="10"/>
      <c r="F81" s="2">
        <f>Table2[[#This Row],[EQwin]]*$E$1</f>
        <v>0</v>
      </c>
      <c r="G81" s="16">
        <f>2*Table2[[#This Row],[stackwin]]/3000</f>
        <v>0</v>
      </c>
      <c r="H81" s="10"/>
      <c r="J81" s="2">
        <f t="shared" si="10"/>
        <v>0</v>
      </c>
      <c r="K81" s="14">
        <f>5*Table2[[#This Row],[stacklose]]/3000</f>
        <v>0</v>
      </c>
      <c r="M81" s="8"/>
      <c r="O81" s="2">
        <f t="shared" si="11"/>
        <v>0</v>
      </c>
      <c r="P81" s="15">
        <f>5*Table2[[#This Row],[stackfact]]/3000</f>
        <v>0</v>
      </c>
      <c r="Q81" s="38">
        <f>Table2[[#This Row],[EQwin]]*Table2[[#This Row],[pWin]] + Table2[[#This Row],[EQlose]]*(1-Table2[[#This Row],[pWin]]) - Table2[[#This Row],[Eqfact]]</f>
        <v>0</v>
      </c>
      <c r="R81" s="12">
        <f>Table2[[#This Row],[pWin]]*Table2[[#This Row],[ICMwin]]+(1-Table2[[#This Row],[pWin]])*Table2[[#This Row],[ICMlose]]-Table2[[#This Row],[ICMFact]]</f>
        <v>0</v>
      </c>
      <c r="S81" s="16">
        <f>Table2[[#This Row],[Kowin]]*Table2[[#This Row],[pWin]]+Table2[[#This Row],[Kolose]]*(1-Table2[[#This Row],[pWin]])-Table2[[#This Row],[KOFact]]</f>
        <v>0</v>
      </c>
      <c r="T81" s="2">
        <f>Table2[[#This Row],[KODiff]]*bounty</f>
        <v>0</v>
      </c>
      <c r="U81" s="7">
        <f>Table2[[#This Row],[ICMdiff]]+Table2[[#This Row],[KOmoneyDiff]]</f>
        <v>0</v>
      </c>
      <c r="V81" s="38">
        <f>Table2[[#This Row],[pWin]]*Table2[[#This Row],[stackwin]]+(1-Table2[[#This Row],[pWin]])*Table2[[#This Row],[stacklose]]-Table2[[#This Row],[stackfact]]</f>
        <v>0</v>
      </c>
    </row>
    <row r="82" spans="4:22" x14ac:dyDescent="0.25">
      <c r="D82" s="10"/>
      <c r="F82" s="2">
        <f>Table2[[#This Row],[EQwin]]*$E$1</f>
        <v>0</v>
      </c>
      <c r="G82" s="16">
        <f>2*Table2[[#This Row],[stackwin]]/3000</f>
        <v>0</v>
      </c>
      <c r="H82" s="10"/>
      <c r="J82" s="2">
        <f t="shared" si="10"/>
        <v>0</v>
      </c>
      <c r="K82" s="14">
        <f>5*Table2[[#This Row],[stacklose]]/3000</f>
        <v>0</v>
      </c>
      <c r="M82" s="8"/>
      <c r="O82" s="2">
        <f t="shared" si="11"/>
        <v>0</v>
      </c>
      <c r="P82" s="15">
        <f>5*Table2[[#This Row],[stackfact]]/3000</f>
        <v>0</v>
      </c>
      <c r="Q82" s="38">
        <f>Table2[[#This Row],[EQwin]]*Table2[[#This Row],[pWin]] + Table2[[#This Row],[EQlose]]*(1-Table2[[#This Row],[pWin]]) - Table2[[#This Row],[Eqfact]]</f>
        <v>0</v>
      </c>
      <c r="R82" s="12">
        <f>Table2[[#This Row],[pWin]]*Table2[[#This Row],[ICMwin]]+(1-Table2[[#This Row],[pWin]])*Table2[[#This Row],[ICMlose]]-Table2[[#This Row],[ICMFact]]</f>
        <v>0</v>
      </c>
      <c r="S82" s="16">
        <f>Table2[[#This Row],[Kowin]]*Table2[[#This Row],[pWin]]+Table2[[#This Row],[Kolose]]*(1-Table2[[#This Row],[pWin]])-Table2[[#This Row],[KOFact]]</f>
        <v>0</v>
      </c>
      <c r="T82" s="2">
        <f>Table2[[#This Row],[KODiff]]*bounty</f>
        <v>0</v>
      </c>
      <c r="U82" s="7">
        <f>Table2[[#This Row],[ICMdiff]]+Table2[[#This Row],[KOmoneyDiff]]</f>
        <v>0</v>
      </c>
      <c r="V82" s="38">
        <f>Table2[[#This Row],[pWin]]*Table2[[#This Row],[stackwin]]+(1-Table2[[#This Row],[pWin]])*Table2[[#This Row],[stacklose]]-Table2[[#This Row],[stackfact]]</f>
        <v>0</v>
      </c>
    </row>
    <row r="83" spans="4:22" x14ac:dyDescent="0.25">
      <c r="D83" s="10"/>
      <c r="F83" s="2">
        <f>Table2[[#This Row],[EQwin]]*$E$1</f>
        <v>0</v>
      </c>
      <c r="G83" s="16">
        <f>2*Table2[[#This Row],[stackwin]]/3000</f>
        <v>0</v>
      </c>
      <c r="H83" s="10"/>
      <c r="J83" s="2">
        <f t="shared" si="10"/>
        <v>0</v>
      </c>
      <c r="K83" s="14">
        <f>5*Table2[[#This Row],[stacklose]]/3000</f>
        <v>0</v>
      </c>
      <c r="M83" s="8"/>
      <c r="O83" s="2">
        <f t="shared" si="11"/>
        <v>0</v>
      </c>
      <c r="P83" s="15">
        <f>5*Table2[[#This Row],[stackfact]]/3000</f>
        <v>0</v>
      </c>
      <c r="Q83" s="38">
        <f>Table2[[#This Row],[EQwin]]*Table2[[#This Row],[pWin]] + Table2[[#This Row],[EQlose]]*(1-Table2[[#This Row],[pWin]]) - Table2[[#This Row],[Eqfact]]</f>
        <v>0</v>
      </c>
      <c r="R83" s="12">
        <f>Table2[[#This Row],[pWin]]*Table2[[#This Row],[ICMwin]]+(1-Table2[[#This Row],[pWin]])*Table2[[#This Row],[ICMlose]]-Table2[[#This Row],[ICMFact]]</f>
        <v>0</v>
      </c>
      <c r="S83" s="16">
        <f>Table2[[#This Row],[Kowin]]*Table2[[#This Row],[pWin]]+Table2[[#This Row],[Kolose]]*(1-Table2[[#This Row],[pWin]])-Table2[[#This Row],[KOFact]]</f>
        <v>0</v>
      </c>
      <c r="T83" s="2">
        <f>Table2[[#This Row],[KODiff]]*bounty</f>
        <v>0</v>
      </c>
      <c r="U83" s="7">
        <f>Table2[[#This Row],[ICMdiff]]+Table2[[#This Row],[KOmoneyDiff]]</f>
        <v>0</v>
      </c>
      <c r="V83" s="38">
        <f>Table2[[#This Row],[pWin]]*Table2[[#This Row],[stackwin]]+(1-Table2[[#This Row],[pWin]])*Table2[[#This Row],[stacklose]]-Table2[[#This Row],[stackfact]]</f>
        <v>0</v>
      </c>
    </row>
    <row r="84" spans="4:22" x14ac:dyDescent="0.25">
      <c r="D84" s="10"/>
      <c r="F84" s="2">
        <f>Table2[[#This Row],[EQwin]]*$E$1</f>
        <v>0</v>
      </c>
      <c r="G84" s="16">
        <f>2*Table2[[#This Row],[stackwin]]/3000</f>
        <v>0</v>
      </c>
      <c r="H84" s="10"/>
      <c r="J84" s="2">
        <f t="shared" si="10"/>
        <v>0</v>
      </c>
      <c r="K84" s="14">
        <f>5*Table2[[#This Row],[stacklose]]/3000</f>
        <v>0</v>
      </c>
      <c r="M84" s="8"/>
      <c r="O84" s="2">
        <f t="shared" si="11"/>
        <v>0</v>
      </c>
      <c r="P84" s="15">
        <f>5*Table2[[#This Row],[stackfact]]/3000</f>
        <v>0</v>
      </c>
      <c r="Q84" s="38">
        <f>Table2[[#This Row],[EQwin]]*Table2[[#This Row],[pWin]] + Table2[[#This Row],[EQlose]]*(1-Table2[[#This Row],[pWin]]) - Table2[[#This Row],[Eqfact]]</f>
        <v>0</v>
      </c>
      <c r="R84" s="12">
        <f>Table2[[#This Row],[pWin]]*Table2[[#This Row],[ICMwin]]+(1-Table2[[#This Row],[pWin]])*Table2[[#This Row],[ICMlose]]-Table2[[#This Row],[ICMFact]]</f>
        <v>0</v>
      </c>
      <c r="S84" s="16">
        <f>Table2[[#This Row],[Kowin]]*Table2[[#This Row],[pWin]]+Table2[[#This Row],[Kolose]]*(1-Table2[[#This Row],[pWin]])-Table2[[#This Row],[KOFact]]</f>
        <v>0</v>
      </c>
      <c r="T84" s="2">
        <f>Table2[[#This Row],[KODiff]]*bounty</f>
        <v>0</v>
      </c>
      <c r="U84" s="7">
        <f>Table2[[#This Row],[ICMdiff]]+Table2[[#This Row],[KOmoneyDiff]]</f>
        <v>0</v>
      </c>
      <c r="V84" s="38">
        <f>Table2[[#This Row],[pWin]]*Table2[[#This Row],[stackwin]]+(1-Table2[[#This Row],[pWin]])*Table2[[#This Row],[stacklose]]-Table2[[#This Row],[stackfact]]</f>
        <v>0</v>
      </c>
    </row>
    <row r="85" spans="4:22" x14ac:dyDescent="0.25">
      <c r="D85" s="10"/>
      <c r="F85" s="2">
        <f>Table2[[#This Row],[EQwin]]*$E$1</f>
        <v>0</v>
      </c>
      <c r="G85" s="16">
        <f>2*Table2[[#This Row],[stackwin]]/3000</f>
        <v>0</v>
      </c>
      <c r="H85" s="10"/>
      <c r="J85" s="2">
        <f t="shared" si="10"/>
        <v>0</v>
      </c>
      <c r="K85" s="14">
        <f>5*Table2[[#This Row],[stacklose]]/3000</f>
        <v>0</v>
      </c>
      <c r="M85" s="8"/>
      <c r="O85" s="2">
        <f t="shared" si="11"/>
        <v>0</v>
      </c>
      <c r="P85" s="15">
        <f>5*Table2[[#This Row],[stackfact]]/3000</f>
        <v>0</v>
      </c>
      <c r="Q85" s="38">
        <f>Table2[[#This Row],[EQwin]]*Table2[[#This Row],[pWin]] + Table2[[#This Row],[EQlose]]*(1-Table2[[#This Row],[pWin]]) - Table2[[#This Row],[Eqfact]]</f>
        <v>0</v>
      </c>
      <c r="R85" s="12">
        <f>Table2[[#This Row],[pWin]]*Table2[[#This Row],[ICMwin]]+(1-Table2[[#This Row],[pWin]])*Table2[[#This Row],[ICMlose]]-Table2[[#This Row],[ICMFact]]</f>
        <v>0</v>
      </c>
      <c r="S85" s="16">
        <f>Table2[[#This Row],[Kowin]]*Table2[[#This Row],[pWin]]+Table2[[#This Row],[Kolose]]*(1-Table2[[#This Row],[pWin]])-Table2[[#This Row],[KOFact]]</f>
        <v>0</v>
      </c>
      <c r="T85" s="2">
        <f>Table2[[#This Row],[KODiff]]*bounty</f>
        <v>0</v>
      </c>
      <c r="U85" s="7">
        <f>Table2[[#This Row],[ICMdiff]]+Table2[[#This Row],[KOmoneyDiff]]</f>
        <v>0</v>
      </c>
      <c r="V85" s="38">
        <f>Table2[[#This Row],[pWin]]*Table2[[#This Row],[stackwin]]+(1-Table2[[#This Row],[pWin]])*Table2[[#This Row],[stacklose]]-Table2[[#This Row],[stackfact]]</f>
        <v>0</v>
      </c>
    </row>
    <row r="86" spans="4:22" x14ac:dyDescent="0.25">
      <c r="D86" s="10"/>
      <c r="F86" s="2">
        <f>Table2[[#This Row],[EQwin]]*$E$1</f>
        <v>0</v>
      </c>
      <c r="G86" s="16">
        <f>2*Table2[[#This Row],[stackwin]]/3000</f>
        <v>0</v>
      </c>
      <c r="H86" s="10"/>
      <c r="J86" s="2">
        <f t="shared" si="10"/>
        <v>0</v>
      </c>
      <c r="K86" s="14">
        <f>5*Table2[[#This Row],[stacklose]]/3000</f>
        <v>0</v>
      </c>
      <c r="M86" s="8"/>
      <c r="O86" s="2">
        <f t="shared" si="11"/>
        <v>0</v>
      </c>
      <c r="P86" s="15">
        <f>5*Table2[[#This Row],[stackfact]]/3000</f>
        <v>0</v>
      </c>
      <c r="Q86" s="38">
        <f>Table2[[#This Row],[EQwin]]*Table2[[#This Row],[pWin]] + Table2[[#This Row],[EQlose]]*(1-Table2[[#This Row],[pWin]]) - Table2[[#This Row],[Eqfact]]</f>
        <v>0</v>
      </c>
      <c r="R86" s="12">
        <f>Table2[[#This Row],[pWin]]*Table2[[#This Row],[ICMwin]]+(1-Table2[[#This Row],[pWin]])*Table2[[#This Row],[ICMlose]]-Table2[[#This Row],[ICMFact]]</f>
        <v>0</v>
      </c>
      <c r="S86" s="16">
        <f>Table2[[#This Row],[Kowin]]*Table2[[#This Row],[pWin]]+Table2[[#This Row],[Kolose]]*(1-Table2[[#This Row],[pWin]])-Table2[[#This Row],[KOFact]]</f>
        <v>0</v>
      </c>
      <c r="T86" s="2">
        <f>Table2[[#This Row],[KODiff]]*bounty</f>
        <v>0</v>
      </c>
      <c r="U86" s="7">
        <f>Table2[[#This Row],[ICMdiff]]+Table2[[#This Row],[KOmoneyDiff]]</f>
        <v>0</v>
      </c>
      <c r="V86" s="38">
        <f>Table2[[#This Row],[pWin]]*Table2[[#This Row],[stackwin]]+(1-Table2[[#This Row],[pWin]])*Table2[[#This Row],[stacklose]]-Table2[[#This Row],[stackfact]]</f>
        <v>0</v>
      </c>
    </row>
    <row r="87" spans="4:22" x14ac:dyDescent="0.25">
      <c r="D87" s="10"/>
      <c r="F87" s="2"/>
      <c r="G87" s="2"/>
      <c r="H87" s="10"/>
      <c r="J87" s="2"/>
      <c r="K87" s="14"/>
      <c r="M87" s="8"/>
      <c r="O87" s="2"/>
      <c r="P87" s="15"/>
      <c r="R87" s="12"/>
      <c r="S87" s="16"/>
      <c r="T87" s="2"/>
      <c r="U87" s="7"/>
    </row>
    <row r="1048505" spans="17:17" x14ac:dyDescent="0.25">
      <c r="Q1048505" s="13">
        <f>M1048505/3000</f>
        <v>0</v>
      </c>
    </row>
  </sheetData>
  <mergeCells count="4">
    <mergeCell ref="M6:P6"/>
    <mergeCell ref="H6:K6"/>
    <mergeCell ref="R6:U6"/>
    <mergeCell ref="D6:G6"/>
  </mergeCell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F9F9-EAAC-4FE2-8E6D-466BC4B77124}">
  <dimension ref="A1:AX68"/>
  <sheetViews>
    <sheetView workbookViewId="0">
      <selection activeCell="O12" sqref="O12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8" width="10.7109375" customWidth="1"/>
    <col min="49" max="49" width="10.85546875" customWidth="1"/>
  </cols>
  <sheetData>
    <row r="1" spans="1:50" ht="15.75" x14ac:dyDescent="0.25">
      <c r="C1" s="80" t="s">
        <v>0</v>
      </c>
      <c r="D1">
        <f>2.79*4</f>
        <v>11.16</v>
      </c>
      <c r="F1" s="80" t="s">
        <v>71</v>
      </c>
      <c r="G1">
        <v>0.19650000000000001</v>
      </c>
      <c r="I1" s="80" t="s">
        <v>72</v>
      </c>
      <c r="J1">
        <v>0.33150000000000002</v>
      </c>
      <c r="M1" s="80" t="s">
        <v>73</v>
      </c>
      <c r="N1">
        <v>355</v>
      </c>
    </row>
    <row r="2" spans="1:50" ht="15.75" x14ac:dyDescent="0.25">
      <c r="C2" s="80" t="s">
        <v>1</v>
      </c>
      <c r="D2">
        <f>bounty</f>
        <v>0</v>
      </c>
      <c r="F2" s="80" t="s">
        <v>74</v>
      </c>
      <c r="G2">
        <v>0.2346</v>
      </c>
      <c r="I2" s="80" t="s">
        <v>75</v>
      </c>
      <c r="J2">
        <v>0.66849999999999998</v>
      </c>
      <c r="M2" s="80" t="s">
        <v>76</v>
      </c>
      <c r="N2">
        <v>750</v>
      </c>
    </row>
    <row r="3" spans="1:50" ht="15.75" x14ac:dyDescent="0.25">
      <c r="C3" s="80" t="s">
        <v>77</v>
      </c>
      <c r="D3">
        <v>2000</v>
      </c>
      <c r="F3" s="80" t="s">
        <v>78</v>
      </c>
      <c r="G3">
        <v>0.56889999999999996</v>
      </c>
      <c r="M3" s="80" t="s">
        <v>79</v>
      </c>
      <c r="N3">
        <v>0</v>
      </c>
    </row>
    <row r="4" spans="1:50" ht="15.75" x14ac:dyDescent="0.25">
      <c r="F4" s="80" t="s">
        <v>80</v>
      </c>
      <c r="G4">
        <v>0</v>
      </c>
      <c r="M4" s="80" t="s">
        <v>81</v>
      </c>
      <c r="N4">
        <v>325</v>
      </c>
    </row>
    <row r="5" spans="1:50" ht="6" customHeight="1" x14ac:dyDescent="0.25"/>
    <row r="6" spans="1:50" x14ac:dyDescent="0.25">
      <c r="C6" t="s">
        <v>82</v>
      </c>
      <c r="D6" t="s">
        <v>83</v>
      </c>
    </row>
    <row r="7" spans="1:50" x14ac:dyDescent="0.25">
      <c r="C7" t="s">
        <v>84</v>
      </c>
      <c r="D7" t="s">
        <v>85</v>
      </c>
    </row>
    <row r="8" spans="1:50" x14ac:dyDescent="0.25">
      <c r="C8" t="s">
        <v>86</v>
      </c>
      <c r="D8" t="s">
        <v>87</v>
      </c>
    </row>
    <row r="9" spans="1:50" ht="6" customHeight="1" x14ac:dyDescent="0.25"/>
    <row r="10" spans="1:50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50" ht="18.75" x14ac:dyDescent="0.3">
      <c r="F11" s="128"/>
      <c r="G11" s="81">
        <v>1</v>
      </c>
      <c r="H11" s="81">
        <v>0</v>
      </c>
      <c r="I11" s="82">
        <v>0</v>
      </c>
      <c r="J11" s="85"/>
      <c r="K11" s="85"/>
    </row>
    <row r="12" spans="1:50" ht="19.5" thickBot="1" x14ac:dyDescent="0.35">
      <c r="F12" s="85"/>
      <c r="G12" s="85"/>
      <c r="H12" s="85"/>
      <c r="I12" s="85"/>
      <c r="J12" s="85"/>
      <c r="K12" s="85"/>
      <c r="V12" t="s">
        <v>92</v>
      </c>
      <c r="AC12" t="s">
        <v>93</v>
      </c>
    </row>
    <row r="13" spans="1:50" ht="20.25" thickTop="1" thickBot="1" x14ac:dyDescent="0.35">
      <c r="F13" s="85"/>
      <c r="G13" s="85"/>
      <c r="H13" s="85"/>
      <c r="I13" s="85"/>
      <c r="J13" s="85"/>
      <c r="K13" s="85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  <c r="AU13" s="99"/>
      <c r="AV13" s="99"/>
    </row>
    <row r="14" spans="1:50" ht="20.25" thickTop="1" thickBot="1" x14ac:dyDescent="0.35">
      <c r="F14" s="85"/>
      <c r="G14" s="85"/>
      <c r="H14" s="85" t="s">
        <v>96</v>
      </c>
      <c r="I14" s="85"/>
      <c r="J14" s="85"/>
      <c r="K14" s="85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  <c r="AU14" s="99"/>
      <c r="AV14" s="99"/>
    </row>
    <row r="15" spans="1:50" ht="19.5" thickTop="1" x14ac:dyDescent="0.3">
      <c r="F15" s="134" t="s">
        <v>100</v>
      </c>
      <c r="G15" s="135"/>
      <c r="H15" s="135"/>
      <c r="I15" s="135"/>
      <c r="J15" s="136"/>
      <c r="K15" s="85"/>
      <c r="M15" s="134" t="s">
        <v>101</v>
      </c>
      <c r="N15" s="135"/>
      <c r="O15" s="135"/>
      <c r="P15" s="135"/>
      <c r="Q15" s="136"/>
      <c r="R15" s="85"/>
      <c r="T15" s="118" t="s">
        <v>102</v>
      </c>
      <c r="U15" s="119"/>
      <c r="V15" s="119"/>
      <c r="W15" s="119"/>
      <c r="X15" s="120"/>
      <c r="Y15" s="85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  <c r="AU15" s="85"/>
      <c r="AV15" s="85"/>
    </row>
    <row r="16" spans="1:50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s="5" t="s">
        <v>634</v>
      </c>
      <c r="AV16" s="5" t="s">
        <v>635</v>
      </c>
      <c r="AW16" t="s">
        <v>112</v>
      </c>
      <c r="AX16" t="s">
        <v>113</v>
      </c>
    </row>
    <row r="17" spans="1:50" x14ac:dyDescent="0.25">
      <c r="A17" s="26">
        <v>3</v>
      </c>
      <c r="B17" s="26">
        <v>115</v>
      </c>
      <c r="C17" s="26" t="s">
        <v>633</v>
      </c>
      <c r="D17" s="26">
        <v>10</v>
      </c>
      <c r="F17" s="73">
        <f>COUNTIF(T_p12135197554[stack],"&gt;0")</f>
        <v>2</v>
      </c>
      <c r="G17" s="26">
        <f>IF(T_init203447453[[#This Row],[p]]=1,mainpot+sidepot1+sidepot2+uncalled,IF(T_init203447453[[#This Row],[p]]&gt;1,0,T_init203447453[[#This Row],[stack]]-T_init203447453[[#This Row],[anteblinds]]))</f>
        <v>0</v>
      </c>
      <c r="H17" s="26">
        <v>0.32500000000000001</v>
      </c>
      <c r="I17" s="27">
        <f>T_p12135197554[[#This Row],[EQ]]*prize</f>
        <v>3.6270000000000002</v>
      </c>
      <c r="J17" s="71">
        <f>IF(T_init203447453[[#This Row],[p]]=1,T_p12135197554[[#This Row],[players]]*T_p12135197554[[#This Row],[stack]]/chips+COUNTIF(T_p12135197554[stack],0),T_p12135197554[[#This Row],[players]]*T_p12135197554[[#This Row],[stack]]/chips)</f>
        <v>0</v>
      </c>
      <c r="K17" s="71">
        <f>T_p12135197554[[#This Row],[ICM]]+bounty*T_p12135197554[[#This Row],[KO]]</f>
        <v>3.6270000000000002</v>
      </c>
      <c r="M17" s="29">
        <f>COUNTIF(T_p22236257655[stack],"&gt;0")</f>
        <v>3</v>
      </c>
      <c r="N17" s="26">
        <f>IF(T_init203447453[[#This Row],[p]]=1,uncalled,IF(T_init203447453[[#This Row],[p]]=2,mainpot+sidepot1+sidepot2,IF(T_init203447453[[#This Row],[p]]&gt;2,0,T_init203447453[[#This Row],[stack]]-T_init203447453[[#This Row],[anteblinds]])))</f>
        <v>0</v>
      </c>
      <c r="O17" s="26">
        <v>0.32500000000000001</v>
      </c>
      <c r="P17" s="27">
        <f>T_p22236257655[[#This Row],[EQ]]*prize</f>
        <v>3.6270000000000002</v>
      </c>
      <c r="Q17" s="71">
        <f>IF(T_init203447453[[#This Row],[p]]=2,T_p22236257655[[#This Row],[players]]*T_p22236257655[[#This Row],[stack]]/chips+COUNTIF(T_p22236257655[stack],0),T_p22236257655[[#This Row],[players]]*T_p22236257655[[#This Row],[stack]]/chips)</f>
        <v>0</v>
      </c>
      <c r="R17" s="71">
        <f>T_p22236257655[[#This Row],[ICM]]+bounty*T_p22236257655[[#This Row],[KO]]</f>
        <v>3.6270000000000002</v>
      </c>
      <c r="T17" s="73">
        <f>COUNTIF(T_p3p12337267756[stack],"&gt;0")</f>
        <v>3</v>
      </c>
      <c r="U17" s="26">
        <f>IF(T_init203447453[[#This Row],[p]]=1,sidepot1+uncalled,IF(T_init203447453[[#This Row],[p]]=3,mainpot,IF(ISBLANK(T_init203447453[[#This Row],[p]]),T_init203447453[[#This Row],[stack]]-T_init203447453[[#This Row],[anteblinds]],0)))</f>
        <v>355</v>
      </c>
      <c r="V17" s="26">
        <v>0.32500000000000001</v>
      </c>
      <c r="W17" s="27">
        <f>T_p3p12337267756[[#This Row],[EQ]]*prize</f>
        <v>3.6270000000000002</v>
      </c>
      <c r="X17" s="71">
        <f>IF(T_init203447453[[#This Row],[p]]=1,T_p3p12337267756[[#This Row],[players]]*T_p3p12337267756[[#This Row],[stack]]/chips+COUNTIF(T_p3p12337267756[stack],0),T_p3p12337267756[[#This Row],[players]]*T_p3p12337267756[[#This Row],[stack]]/chips)</f>
        <v>0.53249999999999997</v>
      </c>
      <c r="Y17" s="71">
        <f>T_p3p12337267756[[#This Row],[ICM]]+bounty*T_p3p12337267756[[#This Row],[KO]]</f>
        <v>3.6270000000000002</v>
      </c>
      <c r="AA17" s="73">
        <f>COUNTIF(T_p3p22438277857[stack],"&gt;0")</f>
        <v>4</v>
      </c>
      <c r="AB17" s="26">
        <f>IF(T_init203447453[[#This Row],[p]]=1,uncalled,IF(T_init203447453[[#This Row],[p]]=2,sidepot1,IF(T_init203447453[[#This Row],[p]]=3,mainpot,IF(ISBLANK(T_init203447453[[#This Row],[p]]),T_init203447453[[#This Row],[stack]]-T_init203447453[[#This Row],[anteblinds]],0))))</f>
        <v>355</v>
      </c>
      <c r="AC17" s="26">
        <v>0.32500000000000001</v>
      </c>
      <c r="AD17" s="27">
        <f>T_p3p22438277857[[#This Row],[EQ]]*prize</f>
        <v>3.6270000000000002</v>
      </c>
      <c r="AE17" s="71">
        <f>IF(T_init203447453[[#This Row],[p]]=2,T_p3p22438277857[[#This Row],[players]]*T_p3p22438277857[[#This Row],[stack]]/chips+COUNTIF(T_p3p22438277857[stack],0),T_p3p22438277857[[#This Row],[players]]*T_p3p22438277857[[#This Row],[stack]]/chips)</f>
        <v>0.71</v>
      </c>
      <c r="AF17" s="71">
        <f>T_p3p22438277857[[#This Row],[ICM]]+bounty*T_p3p22438277857[[#This Row],[KO]]</f>
        <v>3.6270000000000002</v>
      </c>
      <c r="AI17" s="73">
        <v>3</v>
      </c>
      <c r="AJ17" s="26">
        <v>0</v>
      </c>
      <c r="AK17" s="26">
        <v>0.32500000000000001</v>
      </c>
      <c r="AL17" s="27">
        <f>T_fact2939287958[[#This Row],[EQ]]*prize</f>
        <v>3.6270000000000002</v>
      </c>
      <c r="AM17" s="71">
        <f>IF(T_init203447453[[#This Row],[p]]=1,T_fact2939287958[[#This Row],[players]]*T_fact2939287958[[#This Row],[stack]]/chips+COUNTIF(T_fact2939287958[stack],0),T_fact2939287958[[#This Row],[players]]*T_fact2939287958[[#This Row],[stack]]/chips)</f>
        <v>0</v>
      </c>
      <c r="AN17" s="71">
        <f>T_fact2939287958[[#This Row],[ICM]]+bounty*T_fact2939287958[[#This Row],[KO]]</f>
        <v>3.6270000000000002</v>
      </c>
      <c r="AQ17" s="72">
        <f>'3wKs7h'!p3win* ('3wKs7h'!p1sp1win*T_p3p12337267756[[#This Row],[ICM]] + '3wKs7h'!p2sp1win*T_p3p22438277857[[#This Row],[ICM]])
+'3wKs7h'!p2win*T_p22236257655[[#This Row],[ICM]]
+'3wKs7h'!p1win*T_p12135197554[[#This Row],[ICM]]</f>
        <v>3.6270000000000002</v>
      </c>
      <c r="AR17" s="33">
        <f>('3wKs7h'!p3win* ('3wKs7h'!p1sp1win*T_p3p12337267756[[#This Row],[KO]] + '3wKs7h'!p2sp1win*T_p3p22438277857[[#This Row],[KO]])
+'3wKs7h'!p2win*T_p22236257655[[#This Row],[KO]]
+'3wKs7h'!p1win*T_p12135197554[[#This Row],[KO]])*bounty</f>
        <v>0</v>
      </c>
      <c r="AS17" s="72">
        <f>'3wKs7h'!p3win* ('3wKs7h'!p1sp1win*T_p3p12337267756[[#This Row],[$stack]] + '3wKs7h'!p2sp1win*T_p3p22438277857[[#This Row],[$stack]])
+'3wKs7h'!p2win*T_p22236257655[[#This Row],[$stack]]
+'3wKs7h'!p1win*T_p12135197554[[#This Row],[$stack]]</f>
        <v>3.6270000000000002</v>
      </c>
      <c r="AT17" s="33">
        <f>'3wKs7h'!p3win* ('3wKs7h'!p1sp1win*T_p3p12337267756[[#This Row],[stack]] + '3wKs7h'!p2sp1win*T_p3p22438277857[[#This Row],[stack]])
+'3wKs7h'!p2win*T_p22236257655[[#This Row],[stack]]
+'3wKs7h'!p1win*T_p12135197554[[#This Row],[stack]]</f>
        <v>201.95949999999999</v>
      </c>
      <c r="AU17" s="72">
        <f>T_fact2939287958[[#This Row],[stack]]- T_init203447453[[#This Row],[stack]]</f>
        <v>-115</v>
      </c>
      <c r="AV17" s="72">
        <f>T_EV3340308059[[#This Row],[netwon]]+T_EV3340308059[[#This Row],[cEVdiff]]</f>
        <v>86.959499999999991</v>
      </c>
      <c r="AW17" s="2">
        <f>T_EV3340308059[[#This Row],[chipEV]]-T_fact2939287958[[#This Row],[stack]]</f>
        <v>201.95949999999999</v>
      </c>
      <c r="AX17" s="2">
        <f>T_EV3340308059[[#This Row],[EV]]-(T_fact2939287958[[#This Row],[ICM]])</f>
        <v>0</v>
      </c>
    </row>
    <row r="18" spans="1:50" x14ac:dyDescent="0.25">
      <c r="B18">
        <v>580</v>
      </c>
      <c r="D18">
        <v>10</v>
      </c>
      <c r="F18" s="5">
        <f>COUNTIF(T_p12135197554[stack],"&gt;0")</f>
        <v>2</v>
      </c>
      <c r="G18">
        <f>IF(T_init203447453[[#This Row],[p]]=1,mainpot+sidepot1+sidepot2+uncalled,IF(T_init203447453[[#This Row],[p]]&gt;1,0,T_init203447453[[#This Row],[stack]]-T_init203447453[[#This Row],[anteblinds]]))</f>
        <v>570</v>
      </c>
      <c r="H18">
        <v>0.67500000000000004</v>
      </c>
      <c r="I18" s="2">
        <f>T_p12135197554[[#This Row],[EQ]]*prize</f>
        <v>7.5330000000000004</v>
      </c>
      <c r="J18" s="66">
        <f>IF(T_init203447453[[#This Row],[p]]=1,T_p12135197554[[#This Row],[players]]*T_p12135197554[[#This Row],[stack]]/chips+COUNTIF(T_p12135197554[stack],0),T_p12135197554[[#This Row],[players]]*T_p12135197554[[#This Row],[stack]]/chips)</f>
        <v>0.56999999999999995</v>
      </c>
      <c r="K18" s="66">
        <f>T_p12135197554[[#This Row],[ICM]]+bounty*T_p12135197554[[#This Row],[KO]]</f>
        <v>7.5330000000000004</v>
      </c>
      <c r="M18" s="10">
        <f>COUNTIF(T_p22236257655[stack],"&gt;0")</f>
        <v>3</v>
      </c>
      <c r="N18" s="26">
        <f>IF(T_init203447453[[#This Row],[p]]=1,uncalled,IF(T_init203447453[[#This Row],[p]]=2,mainpot+sidepot1+sidepot2,IF(T_init203447453[[#This Row],[p]]&gt;2,0,T_init203447453[[#This Row],[stack]]-T_init203447453[[#This Row],[anteblinds]])))</f>
        <v>570</v>
      </c>
      <c r="O18">
        <v>0.58250000000000002</v>
      </c>
      <c r="P18" s="2">
        <f>T_p22236257655[[#This Row],[EQ]]*prize</f>
        <v>6.5007000000000001</v>
      </c>
      <c r="Q18" s="66">
        <f>IF(T_init203447453[[#This Row],[p]]=2,T_p22236257655[[#This Row],[players]]*T_p22236257655[[#This Row],[stack]]/chips+COUNTIF(T_p22236257655[stack],0),T_p22236257655[[#This Row],[players]]*T_p22236257655[[#This Row],[stack]]/chips)</f>
        <v>0.85499999999999998</v>
      </c>
      <c r="R18" s="66">
        <f>T_p22236257655[[#This Row],[ICM]]+bounty*T_p22236257655[[#This Row],[KO]]</f>
        <v>6.5007000000000001</v>
      </c>
      <c r="T18" s="5">
        <f>COUNTIF(T_p3p12337267756[stack],"&gt;0")</f>
        <v>3</v>
      </c>
      <c r="U18" s="26">
        <f>IF(T_init203447453[[#This Row],[p]]=1,sidepot1+uncalled,IF(T_init203447453[[#This Row],[p]]=3,mainpot,IF(ISBLANK(T_init203447453[[#This Row],[p]]),T_init203447453[[#This Row],[stack]]-T_init203447453[[#This Row],[anteblinds]],0)))</f>
        <v>570</v>
      </c>
      <c r="V18">
        <v>0</v>
      </c>
      <c r="W18" s="2">
        <f>T_p3p12337267756[[#This Row],[EQ]]*prize</f>
        <v>0</v>
      </c>
      <c r="X18" s="66">
        <f>IF(T_init203447453[[#This Row],[p]]=1,T_p3p12337267756[[#This Row],[players]]*T_p3p12337267756[[#This Row],[stack]]/chips+COUNTIF(T_p3p12337267756[stack],0),T_p3p12337267756[[#This Row],[players]]*T_p3p12337267756[[#This Row],[stack]]/chips)</f>
        <v>0.85499999999999998</v>
      </c>
      <c r="Y18" s="66">
        <f>T_p3p12337267756[[#This Row],[ICM]]+bounty*T_p3p12337267756[[#This Row],[KO]]</f>
        <v>0</v>
      </c>
      <c r="AA18" s="5">
        <f>COUNTIF(T_p3p22438277857[stack],"&gt;0")</f>
        <v>4</v>
      </c>
      <c r="AB18">
        <f>IF(T_init203447453[[#This Row],[p]]=1,uncalled,IF(T_init203447453[[#This Row],[p]]=2,sidepot1,IF(T_init203447453[[#This Row],[p]]=3,mainpot,IF(ISBLANK(T_init203447453[[#This Row],[p]]),T_init203447453[[#This Row],[stack]]-T_init203447453[[#This Row],[anteblinds]],0))))</f>
        <v>570</v>
      </c>
      <c r="AC18">
        <v>0</v>
      </c>
      <c r="AD18" s="2">
        <f>T_p3p22438277857[[#This Row],[EQ]]*prize</f>
        <v>0</v>
      </c>
      <c r="AE18" s="66">
        <f>IF(T_init203447453[[#This Row],[p]]=2,T_p3p22438277857[[#This Row],[players]]*T_p3p22438277857[[#This Row],[stack]]/chips+COUNTIF(T_p3p22438277857[stack],0),T_p3p22438277857[[#This Row],[players]]*T_p3p22438277857[[#This Row],[stack]]/chips)</f>
        <v>1.1399999999999999</v>
      </c>
      <c r="AF18" s="16">
        <f>T_p3p22438277857[[#This Row],[ICM]]+bounty*T_p3p22438277857[[#This Row],[KO]]</f>
        <v>0</v>
      </c>
      <c r="AI18" s="73">
        <v>3</v>
      </c>
      <c r="AJ18" s="26">
        <v>570</v>
      </c>
      <c r="AK18">
        <v>0.58250000000000002</v>
      </c>
      <c r="AL18" s="2">
        <f>T_fact2939287958[[#This Row],[EQ]]*prize</f>
        <v>6.5007000000000001</v>
      </c>
      <c r="AM18" s="66">
        <f>IF(T_init203447453[[#This Row],[p]]=1,T_fact2939287958[[#This Row],[players]]*T_fact2939287958[[#This Row],[stack]]/chips+COUNTIF(T_fact2939287958[stack],0),T_fact2939287958[[#This Row],[players]]*T_fact2939287958[[#This Row],[stack]]/chips)</f>
        <v>0.85499999999999998</v>
      </c>
      <c r="AN18" s="16">
        <f>T_fact2939287958[[#This Row],[ICM]]+bounty*T_fact2939287958[[#This Row],[KO]]</f>
        <v>6.5007000000000001</v>
      </c>
      <c r="AQ18" s="68">
        <f>'3wKs7h'!p3win* ('3wKs7h'!p1sp1win*T_p3p12337267756[[#This Row],[ICM]] + '3wKs7h'!p2sp1win*T_p3p22438277857[[#This Row],[ICM]])
+'3wKs7h'!p2win*T_p22236257655[[#This Row],[ICM]]
+'3wKs7h'!p1win*T_p12135197554[[#This Row],[ICM]]</f>
        <v>3.0052987199999999</v>
      </c>
      <c r="AR18" s="68">
        <f>('3wKs7h'!p3win* ('3wKs7h'!p1sp1win*T_p3p12337267756[[#This Row],[KO]] + '3wKs7h'!p2sp1win*T_p3p22438277857[[#This Row],[KO]])
+'3wKs7h'!p2win*T_p22236257655[[#This Row],[KO]]
+'3wKs7h'!p1win*T_p12135197554[[#This Row],[KO]])*bounty</f>
        <v>0</v>
      </c>
      <c r="AS18" s="68">
        <f>'3wKs7h'!p3win* ('3wKs7h'!p1sp1win*T_p3p12337267756[[#This Row],[$stack]] + '3wKs7h'!p2sp1win*T_p3p22438277857[[#This Row],[$stack]])
+'3wKs7h'!p2win*T_p22236257655[[#This Row],[$stack]]
+'3wKs7h'!p1win*T_p12135197554[[#This Row],[$stack]]</f>
        <v>3.0052987199999999</v>
      </c>
      <c r="AT18" s="68">
        <f>'3wKs7h'!p3win* ('3wKs7h'!p1sp1win*T_p3p12337267756[[#This Row],[stack]] + '3wKs7h'!p2sp1win*T_p3p22438277857[[#This Row],[stack]])
+'3wKs7h'!p2win*T_p22236257655[[#This Row],[stack]]
+'3wKs7h'!p1win*T_p12135197554[[#This Row],[stack]]</f>
        <v>570</v>
      </c>
      <c r="AU18" s="68">
        <f>T_fact2939287958[[#This Row],[stack]]- T_init203447453[[#This Row],[stack]]</f>
        <v>-10</v>
      </c>
      <c r="AV18" s="68">
        <f>T_EV3340308059[[#This Row],[netwon]]+T_EV3340308059[[#This Row],[cEVdiff]]</f>
        <v>-10</v>
      </c>
      <c r="AW18" s="2">
        <f>T_EV3340308059[[#This Row],[chipEV]]-T_fact2939287958[[#This Row],[stack]]</f>
        <v>0</v>
      </c>
      <c r="AX18" s="2">
        <f>T_EV3340308059[[#This Row],[EV]]-(T_fact2939287958[[#This Row],[ICM]])</f>
        <v>-3.4954012800000003</v>
      </c>
    </row>
    <row r="19" spans="1:50" s="17" customFormat="1" x14ac:dyDescent="0.25">
      <c r="A19" s="17">
        <v>1</v>
      </c>
      <c r="B19" s="17">
        <v>815</v>
      </c>
      <c r="C19" s="17" t="s">
        <v>631</v>
      </c>
      <c r="D19" s="17">
        <v>35</v>
      </c>
      <c r="F19" s="83">
        <f>COUNTIF(T_p12135197554[stack],"&gt;0")</f>
        <v>2</v>
      </c>
      <c r="G19" s="17">
        <f>IF(T_init203447453[[#This Row],[p]]=1,mainpot+sidepot1+sidepot2+uncalled,IF(T_init203447453[[#This Row],[p]]&gt;1,0,T_init203447453[[#This Row],[stack]]-T_init203447453[[#This Row],[anteblinds]]))</f>
        <v>1430</v>
      </c>
      <c r="I19" s="18">
        <f>T_p12135197554[[#This Row],[EQ]]*prize</f>
        <v>0</v>
      </c>
      <c r="J19" s="67">
        <f>IF(T_init203447453[[#This Row],[p]]=1,T_p12135197554[[#This Row],[players]]*T_p12135197554[[#This Row],[stack]]/chips+COUNTIF(T_p12135197554[stack],0),T_p12135197554[[#This Row],[players]]*T_p12135197554[[#This Row],[stack]]/chips)</f>
        <v>5.43</v>
      </c>
      <c r="K19" s="67">
        <f>T_p12135197554[[#This Row],[ICM]]+bounty*T_p12135197554[[#This Row],[KO]]</f>
        <v>0</v>
      </c>
      <c r="M19" s="19">
        <f>COUNTIF(T_p22236257655[stack],"&gt;0")</f>
        <v>3</v>
      </c>
      <c r="N19" s="17">
        <f>IF(T_init203447453[[#This Row],[p]]=1,uncalled,IF(T_init203447453[[#This Row],[p]]=2,mainpot+sidepot1+sidepot2,IF(T_init203447453[[#This Row],[p]]&gt;2,0,T_init203447453[[#This Row],[stack]]-T_init203447453[[#This Row],[anteblinds]])))</f>
        <v>325</v>
      </c>
      <c r="P19" s="18">
        <f>T_p22236257655[[#This Row],[EQ]]*prize</f>
        <v>0</v>
      </c>
      <c r="Q19" s="67">
        <f>IF(T_init203447453[[#This Row],[p]]=2,T_p22236257655[[#This Row],[players]]*T_p22236257655[[#This Row],[stack]]/chips+COUNTIF(T_p22236257655[stack],0),T_p22236257655[[#This Row],[players]]*T_p22236257655[[#This Row],[stack]]/chips)</f>
        <v>0.48749999999999999</v>
      </c>
      <c r="R19" s="67">
        <f>T_p22236257655[[#This Row],[ICM]]+bounty*T_p22236257655[[#This Row],[KO]]</f>
        <v>0</v>
      </c>
      <c r="T19" s="83">
        <f>COUNTIF(T_p3p12337267756[stack],"&gt;0")</f>
        <v>3</v>
      </c>
      <c r="U19" s="17">
        <f>IF(T_init203447453[[#This Row],[p]]=1,sidepot1+uncalled,IF(T_init203447453[[#This Row],[p]]=3,mainpot,IF(ISBLANK(T_init203447453[[#This Row],[p]]),T_init203447453[[#This Row],[stack]]-T_init203447453[[#This Row],[anteblinds]],0)))</f>
        <v>1075</v>
      </c>
      <c r="V19" s="17">
        <v>0.58250000000000002</v>
      </c>
      <c r="W19" s="18">
        <f>T_p3p12337267756[[#This Row],[EQ]]*prize</f>
        <v>6.5007000000000001</v>
      </c>
      <c r="X19" s="67">
        <f>IF(T_init203447453[[#This Row],[p]]=1,T_p3p12337267756[[#This Row],[players]]*T_p3p12337267756[[#This Row],[stack]]/chips+COUNTIF(T_p3p12337267756[stack],0),T_p3p12337267756[[#This Row],[players]]*T_p3p12337267756[[#This Row],[stack]]/chips)</f>
        <v>4.6124999999999998</v>
      </c>
      <c r="Y19" s="67">
        <f>T_p3p12337267756[[#This Row],[ICM]]+bounty*T_p3p12337267756[[#This Row],[KO]]</f>
        <v>6.5007000000000001</v>
      </c>
      <c r="AA19" s="83">
        <f>COUNTIF(T_p3p22438277857[stack],"&gt;0")</f>
        <v>4</v>
      </c>
      <c r="AB19" s="17">
        <f>IF(T_init203447453[[#This Row],[p]]=1,uncalled,IF(T_init203447453[[#This Row],[p]]=2,sidepot1,IF(T_init203447453[[#This Row],[p]]=3,mainpot,IF(ISBLANK(T_init203447453[[#This Row],[p]]),T_init203447453[[#This Row],[stack]]-T_init203447453[[#This Row],[anteblinds]],0))))</f>
        <v>325</v>
      </c>
      <c r="AC19" s="17">
        <v>0.58250000000000002</v>
      </c>
      <c r="AD19" s="18">
        <f>T_p3p22438277857[[#This Row],[EQ]]*prize</f>
        <v>6.5007000000000001</v>
      </c>
      <c r="AE19" s="67">
        <f>IF(T_init203447453[[#This Row],[p]]=2,T_p3p22438277857[[#This Row],[players]]*T_p3p22438277857[[#This Row],[stack]]/chips+COUNTIF(T_p3p22438277857[stack],0),T_p3p22438277857[[#This Row],[players]]*T_p3p22438277857[[#This Row],[stack]]/chips)</f>
        <v>0.65</v>
      </c>
      <c r="AF19" s="24">
        <f>T_p3p22438277857[[#This Row],[ICM]]+bounty*T_p3p22438277857[[#This Row],[KO]]</f>
        <v>6.5007000000000001</v>
      </c>
      <c r="AI19" s="83">
        <v>3</v>
      </c>
      <c r="AJ19" s="17">
        <v>325</v>
      </c>
      <c r="AL19" s="18">
        <f>T_fact2939287958[[#This Row],[EQ]]*prize</f>
        <v>0</v>
      </c>
      <c r="AM19" s="67">
        <f>IF(T_init203447453[[#This Row],[p]]=1,T_fact2939287958[[#This Row],[players]]*T_fact2939287958[[#This Row],[stack]]/chips+COUNTIF(T_fact2939287958[stack],0),T_fact2939287958[[#This Row],[players]]*T_fact2939287958[[#This Row],[stack]]/chips)</f>
        <v>3.4874999999999998</v>
      </c>
      <c r="AN19" s="24">
        <f>T_fact2939287958[[#This Row],[ICM]]+bounty*T_fact2939287958[[#This Row],[KO]]</f>
        <v>0</v>
      </c>
      <c r="AQ19" s="69">
        <f>'3wKs7h'!p3win* ('3wKs7h'!p1sp1win*T_p3p12337267756[[#This Row],[ICM]] + '3wKs7h'!p2sp1win*T_p3p22438277857[[#This Row],[ICM]])
+'3wKs7h'!p2win*T_p22236257655[[#This Row],[ICM]]
+'3wKs7h'!p1win*T_p12135197554[[#This Row],[ICM]]</f>
        <v>3.6982482299999999</v>
      </c>
      <c r="AR19" s="69">
        <f>('3wKs7h'!p3win* ('3wKs7h'!p1sp1win*T_p3p12337267756[[#This Row],[KO]] + '3wKs7h'!p2sp1win*T_p3p22438277857[[#This Row],[KO]])
+'3wKs7h'!p2win*T_p22236257655[[#This Row],[KO]]
+'3wKs7h'!p1win*T_p12135197554[[#This Row],[KO]])*bounty</f>
        <v>0</v>
      </c>
      <c r="AS19" s="69">
        <f>'3wKs7h'!p3win* ('3wKs7h'!p1sp1win*T_p3p12337267756[[#This Row],[$stack]] + '3wKs7h'!p2sp1win*T_p3p22438277857[[#This Row],[$stack]])
+'3wKs7h'!p2win*T_p22236257655[[#This Row],[$stack]]
+'3wKs7h'!p1win*T_p12135197554[[#This Row],[$stack]]</f>
        <v>3.6982482299999999</v>
      </c>
      <c r="AT19" s="69">
        <f>'3wKs7h'!p3win* ('3wKs7h'!p1sp1win*T_p3p12337267756[[#This Row],[stack]] + '3wKs7h'!p2sp1win*T_p3p22438277857[[#This Row],[stack]])
+'3wKs7h'!p2win*T_p22236257655[[#This Row],[stack]]
+'3wKs7h'!p1win*T_p12135197554[[#This Row],[stack]]</f>
        <v>683.57526250000001</v>
      </c>
      <c r="AU19" s="69">
        <f>T_fact2939287958[[#This Row],[stack]]- T_init203447453[[#This Row],[stack]]</f>
        <v>-490</v>
      </c>
      <c r="AV19" s="69">
        <f>T_EV3340308059[[#This Row],[netwon]]+T_EV3340308059[[#This Row],[cEVdiff]]</f>
        <v>-131.42473749999999</v>
      </c>
      <c r="AW19" s="18">
        <f>T_EV3340308059[[#This Row],[chipEV]]-T_fact2939287958[[#This Row],[stack]]</f>
        <v>358.57526250000001</v>
      </c>
      <c r="AX19" s="18">
        <f>T_EV3340308059[[#This Row],[EV]]-(T_fact2939287958[[#This Row],[ICM]])</f>
        <v>3.6982482299999999</v>
      </c>
    </row>
    <row r="20" spans="1:50" x14ac:dyDescent="0.25">
      <c r="A20" s="26">
        <v>2</v>
      </c>
      <c r="B20" s="26">
        <v>490</v>
      </c>
      <c r="C20" t="s">
        <v>632</v>
      </c>
      <c r="D20" s="26">
        <v>60</v>
      </c>
      <c r="F20" s="73">
        <f>COUNTIF(T_p12135197554[stack],"&gt;0")</f>
        <v>2</v>
      </c>
      <c r="G20" s="26">
        <f>IF(T_init203447453[[#This Row],[p]]=1,mainpot+sidepot1+sidepot2+uncalled,IF(T_init203447453[[#This Row],[p]]&gt;1,0,T_init203447453[[#This Row],[stack]]-T_init203447453[[#This Row],[anteblinds]]))</f>
        <v>0</v>
      </c>
      <c r="H20" s="26"/>
      <c r="I20" s="27">
        <f>T_p12135197554[[#This Row],[EQ]]*prize</f>
        <v>0</v>
      </c>
      <c r="J20" s="71">
        <f>IF(T_init203447453[[#This Row],[p]]=1,T_p12135197554[[#This Row],[players]]*T_p12135197554[[#This Row],[stack]]/chips+COUNTIF(T_p12135197554[stack],0),T_p12135197554[[#This Row],[players]]*T_p12135197554[[#This Row],[stack]]/chips)</f>
        <v>0</v>
      </c>
      <c r="K20" s="71">
        <f>T_p12135197554[[#This Row],[ICM]]+bounty*T_p12135197554[[#This Row],[KO]]</f>
        <v>0</v>
      </c>
      <c r="M20" s="29">
        <f>COUNTIF(T_p22236257655[stack],"&gt;0")</f>
        <v>3</v>
      </c>
      <c r="N20" s="26">
        <f>IF(T_init203447453[[#This Row],[p]]=1,uncalled,IF(T_init203447453[[#This Row],[p]]=2,mainpot+sidepot1+sidepot2,IF(T_init203447453[[#This Row],[p]]&gt;2,0,T_init203447453[[#This Row],[stack]]-T_init203447453[[#This Row],[anteblinds]])))</f>
        <v>1105</v>
      </c>
      <c r="O20" s="26">
        <v>9.2499999999999999E-2</v>
      </c>
      <c r="P20" s="27">
        <f>T_p22236257655[[#This Row],[EQ]]*prize</f>
        <v>1.0323</v>
      </c>
      <c r="Q20" s="71">
        <f>IF(T_init203447453[[#This Row],[p]]=2,T_p22236257655[[#This Row],[players]]*T_p22236257655[[#This Row],[stack]]/chips+COUNTIF(T_p22236257655[stack],0),T_p22236257655[[#This Row],[players]]*T_p22236257655[[#This Row],[stack]]/chips)</f>
        <v>4.6574999999999998</v>
      </c>
      <c r="R20" s="71">
        <f>T_p22236257655[[#This Row],[ICM]]+bounty*T_p22236257655[[#This Row],[KO]]</f>
        <v>1.0323</v>
      </c>
      <c r="T20" s="73">
        <f>COUNTIF(T_p3p12337267756[stack],"&gt;0")</f>
        <v>3</v>
      </c>
      <c r="U20" s="26">
        <f>IF(T_init203447453[[#This Row],[p]]=1,sidepot1+uncalled,IF(T_init203447453[[#This Row],[p]]=3,mainpot,IF(ISBLANK(T_init203447453[[#This Row],[p]]),T_init203447453[[#This Row],[stack]]-T_init203447453[[#This Row],[anteblinds]],0)))</f>
        <v>0</v>
      </c>
      <c r="V20" s="26">
        <v>9.2499999999999999E-2</v>
      </c>
      <c r="W20" s="27">
        <f>T_p3p12337267756[[#This Row],[EQ]]*prize</f>
        <v>1.0323</v>
      </c>
      <c r="X20" s="71">
        <f>IF(T_init203447453[[#This Row],[p]]=1,T_p3p12337267756[[#This Row],[players]]*T_p3p12337267756[[#This Row],[stack]]/chips+COUNTIF(T_p3p12337267756[stack],0),T_p3p12337267756[[#This Row],[players]]*T_p3p12337267756[[#This Row],[stack]]/chips)</f>
        <v>0</v>
      </c>
      <c r="Y20" s="71">
        <f>T_p3p12337267756[[#This Row],[ICM]]+bounty*T_p3p12337267756[[#This Row],[KO]]</f>
        <v>1.0323</v>
      </c>
      <c r="AA20" s="73">
        <f>COUNTIF(T_p3p22438277857[stack],"&gt;0")</f>
        <v>4</v>
      </c>
      <c r="AB20" s="26">
        <f>IF(T_init203447453[[#This Row],[p]]=1,uncalled,IF(T_init203447453[[#This Row],[p]]=2,sidepot1,IF(T_init203447453[[#This Row],[p]]=3,mainpot,IF(ISBLANK(T_init203447453[[#This Row],[p]]),T_init203447453[[#This Row],[stack]]-T_init203447453[[#This Row],[anteblinds]],0))))</f>
        <v>750</v>
      </c>
      <c r="AC20" s="26">
        <v>9.2499999999999999E-2</v>
      </c>
      <c r="AD20" s="27">
        <f>T_p3p22438277857[[#This Row],[EQ]]*prize</f>
        <v>1.0323</v>
      </c>
      <c r="AE20" s="71">
        <f>IF(T_init203447453[[#This Row],[p]]=2,T_p3p22438277857[[#This Row],[players]]*T_p3p22438277857[[#This Row],[stack]]/chips+COUNTIF(T_p3p22438277857[stack],0),T_p3p22438277857[[#This Row],[players]]*T_p3p22438277857[[#This Row],[stack]]/chips)</f>
        <v>3.5</v>
      </c>
      <c r="AF20" s="16">
        <f>T_p3p22438277857[[#This Row],[ICM]]+bounty*T_p3p22438277857[[#This Row],[KO]]</f>
        <v>1.0323</v>
      </c>
      <c r="AI20" s="73">
        <v>3</v>
      </c>
      <c r="AJ20" s="26">
        <v>1105</v>
      </c>
      <c r="AK20" s="26">
        <v>9.2499999999999999E-2</v>
      </c>
      <c r="AL20" s="27">
        <f>T_fact2939287958[[#This Row],[EQ]]*prize</f>
        <v>1.0323</v>
      </c>
      <c r="AM20" s="71">
        <f>IF(T_init203447453[[#This Row],[p]]=1,T_fact2939287958[[#This Row],[players]]*T_fact2939287958[[#This Row],[stack]]/chips+COUNTIF(T_fact2939287958[stack],0),T_fact2939287958[[#This Row],[players]]*T_fact2939287958[[#This Row],[stack]]/chips)</f>
        <v>1.6575</v>
      </c>
      <c r="AN20" s="16">
        <f>T_fact2939287958[[#This Row],[ICM]]+bounty*T_fact2939287958[[#This Row],[KO]]</f>
        <v>1.0323</v>
      </c>
      <c r="AQ20" s="68">
        <f>'3wKs7h'!p3win* ('3wKs7h'!p1sp1win*T_p3p12337267756[[#This Row],[ICM]] + '3wKs7h'!p2sp1win*T_p3p22438277857[[#This Row],[ICM]])
+'3wKs7h'!p2win*T_p22236257655[[#This Row],[ICM]]
+'3wKs7h'!p1win*T_p12135197554[[#This Row],[ICM]]</f>
        <v>0.82945304999999991</v>
      </c>
      <c r="AR20" s="72">
        <f>('3wKs7h'!p3win* ('3wKs7h'!p1sp1win*T_p3p12337267756[[#This Row],[KO]] + '3wKs7h'!p2sp1win*T_p3p22438277857[[#This Row],[KO]])
+'3wKs7h'!p2win*T_p22236257655[[#This Row],[KO]]
+'3wKs7h'!p1win*T_p12135197554[[#This Row],[KO]])*bounty</f>
        <v>0</v>
      </c>
      <c r="AS20" s="72">
        <f>'3wKs7h'!p3win* ('3wKs7h'!p1sp1win*T_p3p12337267756[[#This Row],[$stack]] + '3wKs7h'!p2sp1win*T_p3p22438277857[[#This Row],[$stack]])
+'3wKs7h'!p2win*T_p22236257655[[#This Row],[$stack]]
+'3wKs7h'!p1win*T_p12135197554[[#This Row],[$stack]]</f>
        <v>0.82945304999999991</v>
      </c>
      <c r="AT20" s="72">
        <f>'3wKs7h'!p3win* ('3wKs7h'!p1sp1win*T_p3p12337267756[[#This Row],[stack]] + '3wKs7h'!p2sp1win*T_p3p22438277857[[#This Row],[stack]])
+'3wKs7h'!p2win*T_p22236257655[[#This Row],[stack]]
+'3wKs7h'!p1win*T_p12135197554[[#This Row],[stack]]</f>
        <v>544.46523750000006</v>
      </c>
      <c r="AU20" s="72">
        <f>T_fact2939287958[[#This Row],[stack]]- T_init203447453[[#This Row],[stack]]</f>
        <v>615</v>
      </c>
      <c r="AV20" s="72">
        <f>T_EV3340308059[[#This Row],[netwon]]+T_EV3340308059[[#This Row],[cEVdiff]]</f>
        <v>54.465237500000057</v>
      </c>
      <c r="AW20" s="2">
        <f>T_EV3340308059[[#This Row],[chipEV]]-T_fact2939287958[[#This Row],[stack]]</f>
        <v>-560.53476249999994</v>
      </c>
      <c r="AX20" s="2">
        <f>T_EV3340308059[[#This Row],[EV]]-(T_fact2939287958[[#This Row],[ICM]])</f>
        <v>-0.20284695000000008</v>
      </c>
    </row>
    <row r="21" spans="1:50" x14ac:dyDescent="0.25">
      <c r="B21">
        <v>0</v>
      </c>
      <c r="F21" s="5">
        <f>COUNTIF(T_p12135197554[stack],"&gt;0")</f>
        <v>2</v>
      </c>
      <c r="G21">
        <f>IF(T_init203447453[[#This Row],[p]]=1,mainpot+sidepot1+sidepot2+uncalled,IF(T_init203447453[[#This Row],[p]]&gt;1,0,T_init203447453[[#This Row],[stack]]-T_init203447453[[#This Row],[anteblinds]]))</f>
        <v>0</v>
      </c>
      <c r="I21" s="2">
        <f>T_p12135197554[[#This Row],[EQ]]*prize</f>
        <v>0</v>
      </c>
      <c r="J21" s="66">
        <f>IF(T_init203447453[[#This Row],[p]]=1,T_p12135197554[[#This Row],[players]]*T_p12135197554[[#This Row],[stack]]/chips+COUNTIF(T_p12135197554[stack],0),T_p12135197554[[#This Row],[players]]*T_p12135197554[[#This Row],[stack]]/chips)</f>
        <v>0</v>
      </c>
      <c r="K21" s="66">
        <f>T_p12135197554[[#This Row],[ICM]]+bounty*T_p12135197554[[#This Row],[KO]]</f>
        <v>0</v>
      </c>
      <c r="M21" s="10">
        <f>COUNTIF(T_p22236257655[stack],"&gt;0")</f>
        <v>3</v>
      </c>
      <c r="N21" s="26">
        <f>IF(T_init203447453[[#This Row],[p]]=1,uncalled,IF(T_init203447453[[#This Row],[p]]=2,mainpot+sidepot1+sidepot2,IF(T_init203447453[[#This Row],[p]]&gt;2,0,T_init203447453[[#This Row],[stack]]-T_init203447453[[#This Row],[anteblinds]])))</f>
        <v>0</v>
      </c>
      <c r="O21">
        <v>0</v>
      </c>
      <c r="P21" s="2">
        <f>T_p22236257655[[#This Row],[EQ]]*prize</f>
        <v>0</v>
      </c>
      <c r="Q21" s="66">
        <f>IF(T_init203447453[[#This Row],[p]]=2,T_p22236257655[[#This Row],[players]]*T_p22236257655[[#This Row],[stack]]/chips+COUNTIF(T_p22236257655[stack],0),T_p22236257655[[#This Row],[players]]*T_p22236257655[[#This Row],[stack]]/chips)</f>
        <v>0</v>
      </c>
      <c r="R21" s="66">
        <f>T_p22236257655[[#This Row],[ICM]]+bounty*T_p22236257655[[#This Row],[KO]]</f>
        <v>0</v>
      </c>
      <c r="T21" s="5">
        <f>COUNTIF(T_p3p12337267756[stack],"&gt;0")</f>
        <v>3</v>
      </c>
      <c r="U21" s="26">
        <f>IF(T_init203447453[[#This Row],[p]]=1,sidepot1+uncalled,IF(T_init203447453[[#This Row],[p]]=3,mainpot,IF(ISBLANK(T_init203447453[[#This Row],[p]]),T_init203447453[[#This Row],[stack]]-T_init203447453[[#This Row],[anteblinds]],0)))</f>
        <v>0</v>
      </c>
      <c r="V21">
        <v>0</v>
      </c>
      <c r="W21" s="2">
        <f>T_p3p12337267756[[#This Row],[EQ]]*prize</f>
        <v>0</v>
      </c>
      <c r="X21" s="66">
        <f>IF(T_init203447453[[#This Row],[p]]=1,T_p3p12337267756[[#This Row],[players]]*T_p3p12337267756[[#This Row],[stack]]/chips+COUNTIF(T_p3p12337267756[stack],0),T_p3p12337267756[[#This Row],[players]]*T_p3p12337267756[[#This Row],[stack]]/chips)</f>
        <v>0</v>
      </c>
      <c r="Y21" s="66">
        <f>T_p3p12337267756[[#This Row],[ICM]]+bounty*T_p3p12337267756[[#This Row],[KO]]</f>
        <v>0</v>
      </c>
      <c r="AA21" s="5">
        <f>COUNTIF(T_p3p22438277857[stack],"&gt;0")</f>
        <v>4</v>
      </c>
      <c r="AB21">
        <f>IF(T_init203447453[[#This Row],[p]]=1,uncalled,IF(T_init203447453[[#This Row],[p]]=2,sidepot1,IF(T_init203447453[[#This Row],[p]]=3,mainpot,IF(ISBLANK(T_init203447453[[#This Row],[p]]),T_init203447453[[#This Row],[stack]]-T_init203447453[[#This Row],[anteblinds]],0))))</f>
        <v>0</v>
      </c>
      <c r="AC21">
        <v>0</v>
      </c>
      <c r="AD21" s="2">
        <f>T_p3p22438277857[[#This Row],[EQ]]*prize</f>
        <v>0</v>
      </c>
      <c r="AE21" s="66">
        <f>IF(T_init203447453[[#This Row],[p]]=2,T_p3p22438277857[[#This Row],[players]]*T_p3p22438277857[[#This Row],[stack]]/chips+COUNTIF(T_p3p22438277857[stack],0),T_p3p22438277857[[#This Row],[players]]*T_p3p22438277857[[#This Row],[stack]]/chips)</f>
        <v>0</v>
      </c>
      <c r="AF21" s="16">
        <f>T_p3p22438277857[[#This Row],[ICM]]+bounty*T_p3p22438277857[[#This Row],[KO]]</f>
        <v>0</v>
      </c>
      <c r="AI21" s="73">
        <v>3</v>
      </c>
      <c r="AJ21" s="26">
        <v>0</v>
      </c>
      <c r="AL21" s="2">
        <f>T_fact2939287958[[#This Row],[EQ]]*prize</f>
        <v>0</v>
      </c>
      <c r="AM21" s="66">
        <f>IF(T_init203447453[[#This Row],[p]]=1,T_fact2939287958[[#This Row],[players]]*T_fact2939287958[[#This Row],[stack]]/chips+COUNTIF(T_fact2939287958[stack],0),T_fact2939287958[[#This Row],[players]]*T_fact2939287958[[#This Row],[stack]]/chips)</f>
        <v>0</v>
      </c>
      <c r="AN21" s="16">
        <f>T_fact2939287958[[#This Row],[ICM]]+bounty*T_fact2939287958[[#This Row],[KO]]</f>
        <v>0</v>
      </c>
      <c r="AQ21" s="68">
        <f>'3wKs7h'!p3win* ('3wKs7h'!p1sp1win*T_p3p12337267756[[#This Row],[ICM]] + '3wKs7h'!p2sp1win*T_p3p22438277857[[#This Row],[ICM]])
+'3wKs7h'!p2win*T_p22236257655[[#This Row],[ICM]]
+'3wKs7h'!p1win*T_p12135197554[[#This Row],[ICM]]</f>
        <v>0</v>
      </c>
      <c r="AR21" s="68">
        <f>('3wKs7h'!p3win* ('3wKs7h'!p1sp1win*T_p3p12337267756[[#This Row],[KO]] + '3wKs7h'!p2sp1win*T_p3p22438277857[[#This Row],[KO]])
+'3wKs7h'!p2win*T_p22236257655[[#This Row],[KO]]
+'3wKs7h'!p1win*T_p12135197554[[#This Row],[KO]])*bounty</f>
        <v>0</v>
      </c>
      <c r="AS21" s="68">
        <f>'3wKs7h'!p3win* ('3wKs7h'!p1sp1win*T_p3p12337267756[[#This Row],[$stack]] + '3wKs7h'!p2sp1win*T_p3p22438277857[[#This Row],[$stack]])
+'3wKs7h'!p2win*T_p22236257655[[#This Row],[$stack]]
+'3wKs7h'!p1win*T_p12135197554[[#This Row],[$stack]]</f>
        <v>0</v>
      </c>
      <c r="AT21" s="68">
        <f>'3wKs7h'!p3win* ('3wKs7h'!p1sp1win*T_p3p12337267756[[#This Row],[stack]] + '3wKs7h'!p2sp1win*T_p3p22438277857[[#This Row],[stack]])
+'3wKs7h'!p2win*T_p22236257655[[#This Row],[stack]]
+'3wKs7h'!p1win*T_p12135197554[[#This Row],[stack]]</f>
        <v>0</v>
      </c>
      <c r="AU21" s="68">
        <f>T_fact2939287958[[#This Row],[stack]]- T_init203447453[[#This Row],[stack]]</f>
        <v>0</v>
      </c>
      <c r="AV21" s="68">
        <f>T_EV3340308059[[#This Row],[netwon]]+T_EV3340308059[[#This Row],[cEVdiff]]</f>
        <v>0</v>
      </c>
      <c r="AW21" s="2">
        <f>T_EV3340308059[[#This Row],[chipEV]]-T_fact2939287958[[#This Row],[stack]]</f>
        <v>0</v>
      </c>
      <c r="AX21" s="2">
        <f>T_EV3340308059[[#This Row],[EV]]-(T_fact2939287958[[#This Row],[ICM]])</f>
        <v>0</v>
      </c>
    </row>
    <row r="22" spans="1:50" x14ac:dyDescent="0.25">
      <c r="B22">
        <v>0</v>
      </c>
      <c r="F22" s="5">
        <f>COUNTIF(T_p12135197554[stack],"&gt;0")</f>
        <v>2</v>
      </c>
      <c r="G22">
        <f>IF(T_init203447453[[#This Row],[p]]=1,mainpot+sidepot1+sidepot2+uncalled,IF(T_init203447453[[#This Row],[p]]&gt;1,0,T_init203447453[[#This Row],[stack]]-T_init203447453[[#This Row],[anteblinds]]))</f>
        <v>0</v>
      </c>
      <c r="I22" s="2">
        <f>T_p12135197554[[#This Row],[EQ]]*prize</f>
        <v>0</v>
      </c>
      <c r="J22" s="66">
        <f>IF(T_init203447453[[#This Row],[p]]=1,T_p12135197554[[#This Row],[players]]*T_p12135197554[[#This Row],[stack]]/chips+COUNTIF(T_p12135197554[stack],0),T_p12135197554[[#This Row],[players]]*T_p12135197554[[#This Row],[stack]]/chips)</f>
        <v>0</v>
      </c>
      <c r="K22" s="66">
        <f>T_p12135197554[[#This Row],[ICM]]+bounty*T_p12135197554[[#This Row],[KO]]</f>
        <v>0</v>
      </c>
      <c r="M22" s="10">
        <f>COUNTIF(T_p22236257655[stack],"&gt;0")</f>
        <v>3</v>
      </c>
      <c r="N22" s="26">
        <f>IF(T_init203447453[[#This Row],[p]]=1,uncalled,IF(T_init203447453[[#This Row],[p]]=2,mainpot+sidepot1+sidepot2,IF(T_init203447453[[#This Row],[p]]&gt;2,0,T_init203447453[[#This Row],[stack]]-T_init203447453[[#This Row],[anteblinds]])))</f>
        <v>0</v>
      </c>
      <c r="P22" s="2">
        <f>T_p22236257655[[#This Row],[EQ]]*prize</f>
        <v>0</v>
      </c>
      <c r="Q22" s="66">
        <f>IF(T_init203447453[[#This Row],[p]]=2,T_p22236257655[[#This Row],[players]]*T_p22236257655[[#This Row],[stack]]/chips+COUNTIF(T_p22236257655[stack],0),T_p22236257655[[#This Row],[players]]*T_p22236257655[[#This Row],[stack]]/chips)</f>
        <v>0</v>
      </c>
      <c r="R22" s="66">
        <f>T_p22236257655[[#This Row],[ICM]]+bounty*T_p22236257655[[#This Row],[KO]]</f>
        <v>0</v>
      </c>
      <c r="T22" s="5">
        <f>COUNTIF(T_p3p12337267756[stack],"&gt;0")</f>
        <v>3</v>
      </c>
      <c r="U22" s="26">
        <f>IF(T_init203447453[[#This Row],[p]]=1,sidepot1+uncalled,IF(T_init203447453[[#This Row],[p]]=3,mainpot,IF(ISBLANK(T_init203447453[[#This Row],[p]]),T_init203447453[[#This Row],[stack]]-T_init203447453[[#This Row],[anteblinds]],0)))</f>
        <v>0</v>
      </c>
      <c r="V22">
        <v>0</v>
      </c>
      <c r="W22" s="2">
        <f>T_p3p12337267756[[#This Row],[EQ]]*prize</f>
        <v>0</v>
      </c>
      <c r="X22" s="66">
        <f>IF(T_init203447453[[#This Row],[p]]=1,T_p3p12337267756[[#This Row],[players]]*T_p3p12337267756[[#This Row],[stack]]/chips+COUNTIF(T_p3p12337267756[stack],0),T_p3p12337267756[[#This Row],[players]]*T_p3p12337267756[[#This Row],[stack]]/chips)</f>
        <v>0</v>
      </c>
      <c r="Y22" s="66">
        <f>T_p3p12337267756[[#This Row],[ICM]]+bounty*T_p3p12337267756[[#This Row],[KO]]</f>
        <v>0</v>
      </c>
      <c r="AA22" s="5">
        <f>COUNTIF(T_p3p22438277857[stack],"&gt;0")</f>
        <v>4</v>
      </c>
      <c r="AB22">
        <f>IF(T_init203447453[[#This Row],[p]]=1,uncalled,IF(T_init203447453[[#This Row],[p]]=2,sidepot1,IF(T_init203447453[[#This Row],[p]]=3,mainpot,IF(ISBLANK(T_init203447453[[#This Row],[p]]),T_init203447453[[#This Row],[stack]]-T_init203447453[[#This Row],[anteblinds]],0))))</f>
        <v>0</v>
      </c>
      <c r="AC22">
        <v>0</v>
      </c>
      <c r="AD22" s="2">
        <f>T_p3p22438277857[[#This Row],[EQ]]*prize</f>
        <v>0</v>
      </c>
      <c r="AE22" s="66">
        <f>IF(T_init203447453[[#This Row],[p]]=2,T_p3p22438277857[[#This Row],[players]]*T_p3p22438277857[[#This Row],[stack]]/chips+COUNTIF(T_p3p22438277857[stack],0),T_p3p22438277857[[#This Row],[players]]*T_p3p22438277857[[#This Row],[stack]]/chips)</f>
        <v>0</v>
      </c>
      <c r="AF22" s="16">
        <f>T_p3p22438277857[[#This Row],[ICM]]+bounty*T_p3p22438277857[[#This Row],[KO]]</f>
        <v>0</v>
      </c>
      <c r="AI22" s="73">
        <v>3</v>
      </c>
      <c r="AJ22" s="26">
        <v>0</v>
      </c>
      <c r="AL22" s="2">
        <f>T_fact2939287958[[#This Row],[EQ]]*prize</f>
        <v>0</v>
      </c>
      <c r="AM22" s="66">
        <f>IF(T_init203447453[[#This Row],[p]]=1,T_fact2939287958[[#This Row],[players]]*T_fact2939287958[[#This Row],[stack]]/chips+COUNTIF(T_fact2939287958[stack],0),T_fact2939287958[[#This Row],[players]]*T_fact2939287958[[#This Row],[stack]]/chips)</f>
        <v>0</v>
      </c>
      <c r="AN22" s="16">
        <f>T_fact2939287958[[#This Row],[ICM]]+bounty*T_fact2939287958[[#This Row],[KO]]</f>
        <v>0</v>
      </c>
      <c r="AQ22" s="68">
        <f>'3wKs7h'!p3win* ('3wKs7h'!p1sp1win*T_p3p12337267756[[#This Row],[ICM]] + '3wKs7h'!p2sp1win*T_p3p22438277857[[#This Row],[ICM]])
+'3wKs7h'!p2win*T_p22236257655[[#This Row],[ICM]]
+'3wKs7h'!p1win*T_p12135197554[[#This Row],[ICM]]</f>
        <v>0</v>
      </c>
      <c r="AR22" s="68">
        <f>('3wKs7h'!p3win* ('3wKs7h'!p1sp1win*T_p3p12337267756[[#This Row],[KO]] + '3wKs7h'!p2sp1win*T_p3p22438277857[[#This Row],[KO]])
+'3wKs7h'!p2win*T_p22236257655[[#This Row],[KO]]
+'3wKs7h'!p1win*T_p12135197554[[#This Row],[KO]])*bounty</f>
        <v>0</v>
      </c>
      <c r="AS22" s="68">
        <f>'3wKs7h'!p3win* ('3wKs7h'!p1sp1win*T_p3p12337267756[[#This Row],[$stack]] + '3wKs7h'!p2sp1win*T_p3p22438277857[[#This Row],[$stack]])
+'3wKs7h'!p2win*T_p22236257655[[#This Row],[$stack]]
+'3wKs7h'!p1win*T_p12135197554[[#This Row],[$stack]]</f>
        <v>0</v>
      </c>
      <c r="AT22" s="68">
        <f>'3wKs7h'!p3win* ('3wKs7h'!p1sp1win*T_p3p12337267756[[#This Row],[stack]] + '3wKs7h'!p2sp1win*T_p3p22438277857[[#This Row],[stack]])
+'3wKs7h'!p2win*T_p22236257655[[#This Row],[stack]]
+'3wKs7h'!p1win*T_p12135197554[[#This Row],[stack]]</f>
        <v>0</v>
      </c>
      <c r="AU22" s="68">
        <f>T_fact2939287958[[#This Row],[stack]]- T_init203447453[[#This Row],[stack]]</f>
        <v>0</v>
      </c>
      <c r="AV22" s="68">
        <f>T_EV3340308059[[#This Row],[netwon]]+T_EV3340308059[[#This Row],[cEVdiff]]</f>
        <v>0</v>
      </c>
      <c r="AW22" s="2">
        <f>T_EV3340308059[[#This Row],[chipEV]]-T_fact2939287958[[#This Row],[stack]]</f>
        <v>0</v>
      </c>
      <c r="AX22" s="2">
        <f>T_EV3340308059[[#This Row],[EV]]-(T_fact2939287958[[#This Row],[ICM]])</f>
        <v>0</v>
      </c>
    </row>
    <row r="23" spans="1:50" x14ac:dyDescent="0.25">
      <c r="A23" t="s">
        <v>95</v>
      </c>
      <c r="D23">
        <f>SUBTOTAL(109,T_init203447453[anteblinds])</f>
        <v>115</v>
      </c>
      <c r="F23" s="53"/>
      <c r="G23" s="50">
        <f>SUM(T_p12135197554[stack])</f>
        <v>2000</v>
      </c>
      <c r="H23" s="50">
        <f>SUM(T_p12135197554[EQ])</f>
        <v>1</v>
      </c>
      <c r="I23" s="50">
        <f>SUM(T_p12135197554[ICM])</f>
        <v>11.16</v>
      </c>
      <c r="J23" s="50">
        <f>SUM(T_p12135197554[KO])</f>
        <v>6</v>
      </c>
      <c r="K23" s="50">
        <f>SUM(T_p12135197554[$stack])</f>
        <v>11.16</v>
      </c>
      <c r="M23" s="53"/>
      <c r="N23" s="55">
        <f>SUM(T_p22236257655[stack])</f>
        <v>2000</v>
      </c>
      <c r="O23" s="50">
        <f>SUM(T_p22236257655[EQ])</f>
        <v>1</v>
      </c>
      <c r="P23" s="51">
        <f>SUM(T_p22236257655[ICM])</f>
        <v>11.16</v>
      </c>
      <c r="Q23" s="52">
        <f>SUM(T_p22236257655[KO])</f>
        <v>6</v>
      </c>
      <c r="R23" s="50">
        <f>SUM(T_p22236257655[$stack])</f>
        <v>11.16</v>
      </c>
      <c r="T23" s="53"/>
      <c r="U23" s="55">
        <f>SUM(T_p3p12337267756[stack])</f>
        <v>2000</v>
      </c>
      <c r="V23" s="50">
        <f>SUM(T_p3p12337267756[EQ])</f>
        <v>1</v>
      </c>
      <c r="W23" s="51">
        <f>SUM(T_p3p12337267756[ICM])</f>
        <v>11.16</v>
      </c>
      <c r="X23" s="52">
        <f>SUM(T_p3p12337267756[KO])</f>
        <v>6</v>
      </c>
      <c r="Y23" s="50">
        <f>SUM(T_p3p12337267756[$stack])</f>
        <v>11.16</v>
      </c>
      <c r="AA23" s="53"/>
      <c r="AB23" s="55">
        <f>SUM(T_p3p22438277857[stack])</f>
        <v>2000</v>
      </c>
      <c r="AC23" s="50">
        <f>SUM(T_p3p22438277857[EQ])</f>
        <v>1</v>
      </c>
      <c r="AD23" s="51">
        <f>SUM(T_p3p22438277857[ICM])</f>
        <v>11.16</v>
      </c>
      <c r="AE23" s="52">
        <f>SUM(T_p3p22438277857[KO])</f>
        <v>6</v>
      </c>
      <c r="AF23" s="50">
        <f>SUM(T_p3p12337267756[$stack])</f>
        <v>11.16</v>
      </c>
      <c r="AI23" s="53"/>
      <c r="AJ23" s="55">
        <f>SUM(T_fact2939287958[stack])</f>
        <v>2000</v>
      </c>
      <c r="AK23" s="50">
        <f>SUM(T_fact2939287958[EQ])</f>
        <v>1</v>
      </c>
      <c r="AL23" s="51">
        <f>SUM(T_fact2939287958[ICM])</f>
        <v>11.16</v>
      </c>
      <c r="AM23" s="52">
        <f>SUM(T_fact2939287958[KO])</f>
        <v>5.9999999999999991</v>
      </c>
      <c r="AN23" s="51">
        <f>SUM(T_fact2939287958[$stack])</f>
        <v>11.16</v>
      </c>
      <c r="AQ23" s="52">
        <f>SUM(T_EV3340308059[ICM])</f>
        <v>11.159999999999998</v>
      </c>
      <c r="AR23" s="52">
        <f>SUM(T_EV3340308059[KO])</f>
        <v>0</v>
      </c>
      <c r="AS23" s="52">
        <f>SUM(T_EV3340308059[EV])</f>
        <v>11.159999999999998</v>
      </c>
      <c r="AT23" s="50">
        <f>SUM(T_EV3340308059[chipEV])</f>
        <v>2000</v>
      </c>
      <c r="AU23" s="50"/>
      <c r="AV23" s="50"/>
    </row>
    <row r="25" spans="1:50" ht="18.75" x14ac:dyDescent="0.3">
      <c r="M25" s="79" t="s">
        <v>117</v>
      </c>
    </row>
    <row r="26" spans="1:50" x14ac:dyDescent="0.25">
      <c r="C26" t="s">
        <v>118</v>
      </c>
      <c r="M26" t="s">
        <v>600</v>
      </c>
    </row>
    <row r="27" spans="1:50" x14ac:dyDescent="0.25">
      <c r="C27" t="s">
        <v>120</v>
      </c>
      <c r="M27" t="s">
        <v>601</v>
      </c>
    </row>
    <row r="28" spans="1:50" x14ac:dyDescent="0.25">
      <c r="C28" t="s">
        <v>122</v>
      </c>
      <c r="M28" t="s">
        <v>602</v>
      </c>
    </row>
    <row r="29" spans="1:50" x14ac:dyDescent="0.25">
      <c r="M29" t="s">
        <v>603</v>
      </c>
    </row>
    <row r="30" spans="1:50" x14ac:dyDescent="0.25">
      <c r="M30" t="s">
        <v>604</v>
      </c>
    </row>
    <row r="31" spans="1:50" x14ac:dyDescent="0.25">
      <c r="C31" t="s">
        <v>126</v>
      </c>
      <c r="M31" t="s">
        <v>605</v>
      </c>
    </row>
    <row r="32" spans="1:50" x14ac:dyDescent="0.25">
      <c r="M32" t="s">
        <v>419</v>
      </c>
    </row>
    <row r="33" spans="2:13" x14ac:dyDescent="0.25">
      <c r="B33" t="s">
        <v>129</v>
      </c>
      <c r="M33" t="s">
        <v>606</v>
      </c>
    </row>
    <row r="34" spans="2:13" x14ac:dyDescent="0.25">
      <c r="B34" t="s">
        <v>131</v>
      </c>
      <c r="M34" t="s">
        <v>189</v>
      </c>
    </row>
    <row r="35" spans="2:13" x14ac:dyDescent="0.25">
      <c r="C35" t="s">
        <v>133</v>
      </c>
      <c r="M35" t="s">
        <v>607</v>
      </c>
    </row>
    <row r="36" spans="2:13" x14ac:dyDescent="0.25">
      <c r="D36" t="s">
        <v>135</v>
      </c>
      <c r="M36" t="s">
        <v>608</v>
      </c>
    </row>
    <row r="37" spans="2:13" x14ac:dyDescent="0.25">
      <c r="C37" t="s">
        <v>137</v>
      </c>
      <c r="M37" t="s">
        <v>609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610</v>
      </c>
    </row>
    <row r="40" spans="2:13" x14ac:dyDescent="0.25">
      <c r="D40" t="s">
        <v>142</v>
      </c>
      <c r="M40" t="s">
        <v>611</v>
      </c>
    </row>
    <row r="41" spans="2:13" x14ac:dyDescent="0.25">
      <c r="D41" t="s">
        <v>144</v>
      </c>
      <c r="E41" t="s">
        <v>145</v>
      </c>
      <c r="M41" t="s">
        <v>612</v>
      </c>
    </row>
    <row r="42" spans="2:13" x14ac:dyDescent="0.25">
      <c r="F42" t="s">
        <v>147</v>
      </c>
      <c r="M42" t="s">
        <v>613</v>
      </c>
    </row>
    <row r="43" spans="2:13" x14ac:dyDescent="0.25">
      <c r="E43" t="s">
        <v>149</v>
      </c>
      <c r="M43" t="s">
        <v>614</v>
      </c>
    </row>
    <row r="44" spans="2:13" x14ac:dyDescent="0.25">
      <c r="F44" t="s">
        <v>151</v>
      </c>
      <c r="M44" t="s">
        <v>615</v>
      </c>
    </row>
    <row r="45" spans="2:13" x14ac:dyDescent="0.25">
      <c r="M45" t="s">
        <v>616</v>
      </c>
    </row>
    <row r="46" spans="2:13" x14ac:dyDescent="0.25">
      <c r="C46" t="s">
        <v>154</v>
      </c>
      <c r="M46" t="s">
        <v>617</v>
      </c>
    </row>
    <row r="47" spans="2:13" x14ac:dyDescent="0.25">
      <c r="D47" t="s">
        <v>156</v>
      </c>
      <c r="M47" t="s">
        <v>618</v>
      </c>
    </row>
    <row r="48" spans="2:13" x14ac:dyDescent="0.25">
      <c r="D48" t="s">
        <v>158</v>
      </c>
      <c r="E48" t="s">
        <v>145</v>
      </c>
      <c r="M48" t="s">
        <v>166</v>
      </c>
    </row>
    <row r="49" spans="5:13" x14ac:dyDescent="0.25">
      <c r="F49" t="s">
        <v>160</v>
      </c>
      <c r="M49" t="s">
        <v>619</v>
      </c>
    </row>
    <row r="50" spans="5:13" x14ac:dyDescent="0.25">
      <c r="E50" t="s">
        <v>149</v>
      </c>
      <c r="M50" t="s">
        <v>620</v>
      </c>
    </row>
    <row r="51" spans="5:13" x14ac:dyDescent="0.25">
      <c r="F51" t="s">
        <v>163</v>
      </c>
      <c r="M51" t="s">
        <v>621</v>
      </c>
    </row>
    <row r="52" spans="5:13" x14ac:dyDescent="0.25">
      <c r="E52" t="s">
        <v>165</v>
      </c>
      <c r="M52" t="s">
        <v>622</v>
      </c>
    </row>
    <row r="53" spans="5:13" x14ac:dyDescent="0.25">
      <c r="F53" t="s">
        <v>167</v>
      </c>
      <c r="M53" t="s">
        <v>623</v>
      </c>
    </row>
    <row r="54" spans="5:13" x14ac:dyDescent="0.25">
      <c r="F54" t="s">
        <v>144</v>
      </c>
      <c r="M54" t="s">
        <v>624</v>
      </c>
    </row>
    <row r="55" spans="5:13" x14ac:dyDescent="0.25">
      <c r="G55" t="s">
        <v>145</v>
      </c>
      <c r="M55" t="s">
        <v>173</v>
      </c>
    </row>
    <row r="56" spans="5:13" x14ac:dyDescent="0.25">
      <c r="H56" t="s">
        <v>147</v>
      </c>
      <c r="M56" t="s">
        <v>625</v>
      </c>
    </row>
    <row r="57" spans="5:13" x14ac:dyDescent="0.25">
      <c r="G57" t="s">
        <v>149</v>
      </c>
      <c r="M57" t="s">
        <v>626</v>
      </c>
    </row>
    <row r="58" spans="5:13" x14ac:dyDescent="0.25">
      <c r="H58" t="s">
        <v>151</v>
      </c>
      <c r="M58" t="s">
        <v>627</v>
      </c>
    </row>
    <row r="59" spans="5:13" x14ac:dyDescent="0.25">
      <c r="M59" t="s">
        <v>628</v>
      </c>
    </row>
    <row r="60" spans="5:13" x14ac:dyDescent="0.25">
      <c r="M60" t="s">
        <v>629</v>
      </c>
    </row>
    <row r="61" spans="5:13" x14ac:dyDescent="0.25">
      <c r="M61" t="s">
        <v>630</v>
      </c>
    </row>
    <row r="63" spans="5:13" x14ac:dyDescent="0.25">
      <c r="M63" t="s">
        <v>178</v>
      </c>
    </row>
    <row r="64" spans="5:13" x14ac:dyDescent="0.25">
      <c r="M64" t="s">
        <v>179</v>
      </c>
    </row>
    <row r="66" spans="13:13" x14ac:dyDescent="0.25">
      <c r="M66" t="s">
        <v>636</v>
      </c>
    </row>
    <row r="67" spans="13:13" x14ac:dyDescent="0.25">
      <c r="M67" t="s">
        <v>637</v>
      </c>
    </row>
    <row r="68" spans="13:13" x14ac:dyDescent="0.25">
      <c r="M68" t="s">
        <v>638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7C04-E6E2-477F-9983-01A477A1087C}">
  <dimension ref="A1:AV77"/>
  <sheetViews>
    <sheetView topLeftCell="A7" workbookViewId="0">
      <selection activeCell="A20" sqref="A20:XFD20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26.96*4</f>
        <v>107.84</v>
      </c>
      <c r="F1" s="80" t="s">
        <v>71</v>
      </c>
      <c r="G1">
        <v>0.41020000000000001</v>
      </c>
      <c r="I1" s="80" t="s">
        <v>72</v>
      </c>
      <c r="J1">
        <v>0.60050000000000003</v>
      </c>
      <c r="M1" s="80" t="s">
        <v>73</v>
      </c>
      <c r="N1">
        <v>580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0.34060000000000001</v>
      </c>
      <c r="I2" s="80" t="s">
        <v>75</v>
      </c>
      <c r="J2">
        <v>0.39539999999999997</v>
      </c>
      <c r="M2" s="80" t="s">
        <v>76</v>
      </c>
      <c r="N2">
        <v>510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0.2485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65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5"/>
      <c r="K11" s="85"/>
    </row>
    <row r="12" spans="1:48" ht="19.5" thickBot="1" x14ac:dyDescent="0.35">
      <c r="F12" s="85"/>
      <c r="G12" s="85"/>
      <c r="H12" s="85"/>
      <c r="I12" s="85"/>
      <c r="J12" s="85"/>
      <c r="K12" s="85"/>
      <c r="V12" t="s">
        <v>92</v>
      </c>
      <c r="AC12" t="s">
        <v>93</v>
      </c>
    </row>
    <row r="13" spans="1:48" ht="20.25" thickTop="1" thickBot="1" x14ac:dyDescent="0.35">
      <c r="F13" s="85"/>
      <c r="G13" s="85"/>
      <c r="H13" s="85"/>
      <c r="I13" s="85"/>
      <c r="J13" s="85"/>
      <c r="K13" s="85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5"/>
      <c r="G14" s="85"/>
      <c r="H14" s="85" t="s">
        <v>96</v>
      </c>
      <c r="I14" s="85"/>
      <c r="J14" s="85"/>
      <c r="K14" s="85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5"/>
      <c r="M15" s="134" t="s">
        <v>101</v>
      </c>
      <c r="N15" s="135"/>
      <c r="O15" s="135"/>
      <c r="P15" s="135"/>
      <c r="Q15" s="136"/>
      <c r="R15" s="85"/>
      <c r="T15" s="118" t="s">
        <v>102</v>
      </c>
      <c r="U15" s="119"/>
      <c r="V15" s="119"/>
      <c r="W15" s="119"/>
      <c r="X15" s="120"/>
      <c r="Y15" s="85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x14ac:dyDescent="0.25">
      <c r="A17" s="26">
        <v>3</v>
      </c>
      <c r="B17" s="26">
        <v>190</v>
      </c>
      <c r="C17" s="26" t="s">
        <v>592</v>
      </c>
      <c r="D17" s="26">
        <v>35</v>
      </c>
      <c r="F17" s="73">
        <f>COUNTIF(T_p12135197532[stack],"&gt;0")</f>
        <v>2</v>
      </c>
      <c r="G17" s="26">
        <f>IF(T_init203447431[[#This Row],[p]]=1,mainpot+sidepot1+sidepot2+uncalled,IF(T_init203447431[[#This Row],[p]]&gt;1,0,T_init203447431[[#This Row],[stack]]-T_init203447431[[#This Row],[anteblinds]]))</f>
        <v>0</v>
      </c>
      <c r="H17" s="26">
        <v>0.32500000000000001</v>
      </c>
      <c r="I17" s="27">
        <f>T_p12135197532[[#This Row],[EQ]]*prize</f>
        <v>35.048000000000002</v>
      </c>
      <c r="J17" s="71">
        <f>IF(T_init203447431[[#This Row],[p]]=1,T_p12135197532[[#This Row],[players]]*T_p12135197532[[#This Row],[stack]]/chips+COUNTIF(T_p12135197532[stack],0),T_p12135197532[[#This Row],[players]]*T_p12135197532[[#This Row],[stack]]/chips)</f>
        <v>0</v>
      </c>
      <c r="K17" s="71">
        <f>T_p12135197532[[#This Row],[ICM]]+bounty*T_p12135197532[[#This Row],[KO]]</f>
        <v>35.048000000000002</v>
      </c>
      <c r="M17" s="29">
        <f>COUNTIF(T_p22236257648[stack],"&gt;0")</f>
        <v>3</v>
      </c>
      <c r="N17" s="26">
        <f>IF(T_init203447431[[#This Row],[p]]=1,uncalled,IF(T_init203447431[[#This Row],[p]]=2,mainpot+sidepot1+sidepot2,IF(T_init203447431[[#This Row],[p]]&gt;2,0,T_init203447431[[#This Row],[stack]]-T_init203447431[[#This Row],[anteblinds]])))</f>
        <v>0</v>
      </c>
      <c r="O17" s="26">
        <v>0.32500000000000001</v>
      </c>
      <c r="P17" s="27">
        <f>T_p22236257648[[#This Row],[EQ]]*prize</f>
        <v>35.048000000000002</v>
      </c>
      <c r="Q17" s="71">
        <f>IF(T_init203447431[[#This Row],[p]]=2,T_p22236257648[[#This Row],[players]]*T_p22236257648[[#This Row],[stack]]/chips+COUNTIF(T_p22236257648[stack],0),T_p22236257648[[#This Row],[players]]*T_p22236257648[[#This Row],[stack]]/chips)</f>
        <v>0</v>
      </c>
      <c r="R17" s="71">
        <f>T_p22236257648[[#This Row],[ICM]]+bounty*T_p22236257648[[#This Row],[KO]]</f>
        <v>35.048000000000002</v>
      </c>
      <c r="T17" s="73">
        <f>COUNTIF(T_p3p12337267749[stack],"&gt;0")</f>
        <v>3</v>
      </c>
      <c r="U17" s="26">
        <f>IF(T_init203447431[[#This Row],[p]]=1,sidepot1+uncalled,IF(T_init203447431[[#This Row],[p]]=3,mainpot,IF(ISBLANK(T_init203447431[[#This Row],[p]]),T_init203447431[[#This Row],[stack]]-T_init203447431[[#This Row],[anteblinds]],0)))</f>
        <v>580</v>
      </c>
      <c r="V17" s="26">
        <v>0.32500000000000001</v>
      </c>
      <c r="W17" s="27">
        <f>T_p3p12337267749[[#This Row],[EQ]]*prize</f>
        <v>35.048000000000002</v>
      </c>
      <c r="X17" s="71">
        <f>IF(T_init203447431[[#This Row],[p]]=1,T_p3p12337267749[[#This Row],[players]]*T_p3p12337267749[[#This Row],[stack]]/chips+COUNTIF(T_p3p12337267749[stack],0),T_p3p12337267749[[#This Row],[players]]*T_p3p12337267749[[#This Row],[stack]]/chips)</f>
        <v>0.87</v>
      </c>
      <c r="Y17" s="71">
        <f>T_p3p12337267749[[#This Row],[ICM]]+bounty*T_p3p12337267749[[#This Row],[KO]]</f>
        <v>35.048000000000002</v>
      </c>
      <c r="AA17" s="73">
        <f>COUNTIF(T_p3p22438277850[stack],"&gt;0")</f>
        <v>4</v>
      </c>
      <c r="AB17" s="26">
        <f>IF(T_init203447431[[#This Row],[p]]=1,uncalled,IF(T_init203447431[[#This Row],[p]]=2,sidepot1,IF(T_init203447431[[#This Row],[p]]=3,mainpot,IF(ISBLANK(T_init203447431[[#This Row],[p]]),T_init203447431[[#This Row],[stack]]-T_init203447431[[#This Row],[anteblinds]],0))))</f>
        <v>580</v>
      </c>
      <c r="AC17" s="26">
        <v>0.32500000000000001</v>
      </c>
      <c r="AD17" s="27">
        <f>T_p3p22438277850[[#This Row],[EQ]]*prize</f>
        <v>35.048000000000002</v>
      </c>
      <c r="AE17" s="71">
        <f>IF(T_init203447431[[#This Row],[p]]=2,T_p3p22438277850[[#This Row],[players]]*T_p3p22438277850[[#This Row],[stack]]/chips+COUNTIF(T_p3p22438277850[stack],0),T_p3p22438277850[[#This Row],[players]]*T_p3p22438277850[[#This Row],[stack]]/chips)</f>
        <v>1.1599999999999999</v>
      </c>
      <c r="AF17" s="71">
        <f>T_p3p22438277850[[#This Row],[ICM]]+bounty*T_p3p22438277850[[#This Row],[KO]]</f>
        <v>35.048000000000002</v>
      </c>
      <c r="AI17" s="73">
        <v>3</v>
      </c>
      <c r="AJ17" s="26">
        <v>580</v>
      </c>
      <c r="AK17" s="26">
        <v>0.32500000000000001</v>
      </c>
      <c r="AL17" s="27">
        <f>T_fact2939287951[[#This Row],[EQ]]*prize</f>
        <v>35.048000000000002</v>
      </c>
      <c r="AM17" s="71">
        <f>IF(T_init203447431[[#This Row],[p]]=1,T_fact2939287951[[#This Row],[players]]*T_fact2939287951[[#This Row],[stack]]/chips+COUNTIF(T_fact2939287951[stack],0),T_fact2939287951[[#This Row],[players]]*T_fact2939287951[[#This Row],[stack]]/chips)</f>
        <v>0.87</v>
      </c>
      <c r="AN17" s="71">
        <f>T_fact2939287951[[#This Row],[ICM]]+bounty*T_fact2939287951[[#This Row],[KO]]</f>
        <v>35.048000000000002</v>
      </c>
      <c r="AQ17" s="72">
        <f>'3wAsQc'!p3win* ('3wAsQc'!p1sp1win*T_p3p12337267749[[#This Row],[ICM]] + '3wAsQc'!p2sp1win*T_p3p22438277850[[#This Row],[ICM]])
+'3wAsQc'!p2win*T_p22236257648[[#This Row],[ICM]]
+'3wAsQc'!p1win*T_p12135197532[[#This Row],[ICM]]</f>
        <v>34.9877577452</v>
      </c>
      <c r="AR17" s="33">
        <f>('3wAsQc'!p3win* ('3wAsQc'!p1sp1win*T_p3p12337267749[[#This Row],[KO]] + '3wAsQc'!p2sp1win*T_p3p22438277850[[#This Row],[KO]])
+'3wAsQc'!p2win*T_p22236257648[[#This Row],[KO]]
+'3wAsQc'!p1win*T_p12135197532[[#This Row],[KO]])*bounty</f>
        <v>0</v>
      </c>
      <c r="AS17" s="72">
        <f>'3wAsQc'!p3win* ('3wAsQc'!p1sp1win*T_p3p12337267749[[#This Row],[$stack]] + '3wAsQc'!p2sp1win*T_p3p22438277850[[#This Row],[$stack]])
+'3wAsQc'!p2win*T_p22236257648[[#This Row],[$stack]]
+'3wAsQc'!p1win*T_p12135197532[[#This Row],[$stack]]</f>
        <v>34.9877577452</v>
      </c>
      <c r="AT17" s="33">
        <f>'3wAsQc'!p3win* ('3wAsQc'!p1sp1win*T_p3p12337267749[[#This Row],[stack]] + '3wAsQc'!p2sp1win*T_p3p22438277850[[#This Row],[stack]])
+'3wAsQc'!p2win*T_p22236257648[[#This Row],[stack]]
+'3wAsQc'!p1win*T_p12135197532[[#This Row],[stack]]</f>
        <v>143.53906700000002</v>
      </c>
      <c r="AU17" s="2">
        <f>T_EV3340308052[[#This Row],[chipEV]]-T_fact2939287951[[#This Row],[stack]]</f>
        <v>-436.46093299999995</v>
      </c>
      <c r="AV17" s="2">
        <f>T_EV3340308052[[#This Row],[EV]]-(T_fact2939287951[[#This Row],[ICM]])</f>
        <v>-6.0242254800002115E-2</v>
      </c>
    </row>
    <row r="18" spans="1:48" x14ac:dyDescent="0.25">
      <c r="A18">
        <v>2</v>
      </c>
      <c r="B18">
        <v>445</v>
      </c>
      <c r="C18" t="s">
        <v>591</v>
      </c>
      <c r="D18">
        <v>60</v>
      </c>
      <c r="F18" s="5">
        <f>COUNTIF(T_p12135197532[stack],"&gt;0")</f>
        <v>2</v>
      </c>
      <c r="G18">
        <f>IF(T_init203447431[[#This Row],[p]]=1,mainpot+sidepot1+sidepot2+uncalled,IF(T_init203447431[[#This Row],[p]]&gt;1,0,T_init203447431[[#This Row],[stack]]-T_init203447431[[#This Row],[anteblinds]]))</f>
        <v>0</v>
      </c>
      <c r="H18">
        <v>0.67500000000000004</v>
      </c>
      <c r="I18" s="2">
        <f>T_p12135197532[[#This Row],[EQ]]*prize</f>
        <v>72.792000000000002</v>
      </c>
      <c r="J18" s="66">
        <f>IF(T_init203447431[[#This Row],[p]]=1,T_p12135197532[[#This Row],[players]]*T_p12135197532[[#This Row],[stack]]/chips+COUNTIF(T_p12135197532[stack],0),T_p12135197532[[#This Row],[players]]*T_p12135197532[[#This Row],[stack]]/chips)</f>
        <v>0</v>
      </c>
      <c r="K18" s="66">
        <f>T_p12135197532[[#This Row],[ICM]]+bounty*T_p12135197532[[#This Row],[KO]]</f>
        <v>72.792000000000002</v>
      </c>
      <c r="M18" s="10">
        <f>COUNTIF(T_p22236257648[stack],"&gt;0")</f>
        <v>3</v>
      </c>
      <c r="N18" s="26">
        <f>IF(T_init203447431[[#This Row],[p]]=1,uncalled,IF(T_init203447431[[#This Row],[p]]=2,mainpot+sidepot1+sidepot2,IF(T_init203447431[[#This Row],[p]]&gt;2,0,T_init203447431[[#This Row],[stack]]-T_init203447431[[#This Row],[anteblinds]])))</f>
        <v>1090</v>
      </c>
      <c r="O18">
        <v>0.58250000000000002</v>
      </c>
      <c r="P18" s="2">
        <f>T_p22236257648[[#This Row],[EQ]]*prize</f>
        <v>62.816800000000001</v>
      </c>
      <c r="Q18" s="66">
        <f>IF(T_init203447431[[#This Row],[p]]=2,T_p22236257648[[#This Row],[players]]*T_p22236257648[[#This Row],[stack]]/chips+COUNTIF(T_p22236257648[stack],0),T_p22236257648[[#This Row],[players]]*T_p22236257648[[#This Row],[stack]]/chips)</f>
        <v>4.6349999999999998</v>
      </c>
      <c r="R18" s="66">
        <f>T_p22236257648[[#This Row],[ICM]]+bounty*T_p22236257648[[#This Row],[KO]]</f>
        <v>62.816800000000001</v>
      </c>
      <c r="T18" s="5">
        <f>COUNTIF(T_p3p12337267749[stack],"&gt;0")</f>
        <v>3</v>
      </c>
      <c r="U18" s="26">
        <f>IF(T_init203447431[[#This Row],[p]]=1,sidepot1+uncalled,IF(T_init203447431[[#This Row],[p]]=3,mainpot,IF(ISBLANK(T_init203447431[[#This Row],[p]]),T_init203447431[[#This Row],[stack]]-T_init203447431[[#This Row],[anteblinds]],0)))</f>
        <v>0</v>
      </c>
      <c r="V18">
        <v>0</v>
      </c>
      <c r="W18" s="2">
        <f>T_p3p12337267749[[#This Row],[EQ]]*prize</f>
        <v>0</v>
      </c>
      <c r="X18" s="66">
        <f>IF(T_init203447431[[#This Row],[p]]=1,T_p3p12337267749[[#This Row],[players]]*T_p3p12337267749[[#This Row],[stack]]/chips+COUNTIF(T_p3p12337267749[stack],0),T_p3p12337267749[[#This Row],[players]]*T_p3p12337267749[[#This Row],[stack]]/chips)</f>
        <v>0</v>
      </c>
      <c r="Y18" s="66">
        <f>T_p3p12337267749[[#This Row],[ICM]]+bounty*T_p3p12337267749[[#This Row],[KO]]</f>
        <v>0</v>
      </c>
      <c r="AA18" s="5">
        <f>COUNTIF(T_p3p22438277850[stack],"&gt;0")</f>
        <v>4</v>
      </c>
      <c r="AB18">
        <f>IF(T_init203447431[[#This Row],[p]]=1,uncalled,IF(T_init203447431[[#This Row],[p]]=2,sidepot1,IF(T_init203447431[[#This Row],[p]]=3,mainpot,IF(ISBLANK(T_init203447431[[#This Row],[p]]),T_init203447431[[#This Row],[stack]]-T_init203447431[[#This Row],[anteblinds]],0))))</f>
        <v>510</v>
      </c>
      <c r="AC18">
        <v>0</v>
      </c>
      <c r="AD18" s="2">
        <f>T_p3p22438277850[[#This Row],[EQ]]*prize</f>
        <v>0</v>
      </c>
      <c r="AE18" s="66">
        <f>IF(T_init203447431[[#This Row],[p]]=2,T_p3p22438277850[[#This Row],[players]]*T_p3p22438277850[[#This Row],[stack]]/chips+COUNTIF(T_p3p22438277850[stack],0),T_p3p22438277850[[#This Row],[players]]*T_p3p22438277850[[#This Row],[stack]]/chips)</f>
        <v>3.02</v>
      </c>
      <c r="AF18" s="16">
        <f>T_p3p22438277850[[#This Row],[ICM]]+bounty*T_p3p22438277850[[#This Row],[KO]]</f>
        <v>0</v>
      </c>
      <c r="AI18" s="73">
        <v>3</v>
      </c>
      <c r="AJ18" s="26">
        <v>0</v>
      </c>
      <c r="AK18">
        <v>0.58250000000000002</v>
      </c>
      <c r="AL18" s="2">
        <f>T_fact2939287951[[#This Row],[EQ]]*prize</f>
        <v>62.816800000000001</v>
      </c>
      <c r="AM18" s="66">
        <f>IF(T_init203447431[[#This Row],[p]]=1,T_fact2939287951[[#This Row],[players]]*T_fact2939287951[[#This Row],[stack]]/chips+COUNTIF(T_fact2939287951[stack],0),T_fact2939287951[[#This Row],[players]]*T_fact2939287951[[#This Row],[stack]]/chips)</f>
        <v>0</v>
      </c>
      <c r="AN18" s="16">
        <f>T_fact2939287951[[#This Row],[ICM]]+bounty*T_fact2939287951[[#This Row],[KO]]</f>
        <v>62.816800000000001</v>
      </c>
      <c r="AQ18" s="68">
        <f>'3wAsQc'!p3win* ('3wAsQc'!p1sp1win*T_p3p12337267749[[#This Row],[ICM]] + '3wAsQc'!p2sp1win*T_p3p22438277850[[#This Row],[ICM]])
+'3wAsQc'!p2win*T_p22236257648[[#This Row],[ICM]]
+'3wAsQc'!p1win*T_p12135197532[[#This Row],[ICM]]</f>
        <v>51.254680480000005</v>
      </c>
      <c r="AR18" s="68">
        <f>('3wAsQc'!p3win* ('3wAsQc'!p1sp1win*T_p3p12337267749[[#This Row],[KO]] + '3wAsQc'!p2sp1win*T_p3p22438277850[[#This Row],[KO]])
+'3wAsQc'!p2win*T_p22236257648[[#This Row],[KO]]
+'3wAsQc'!p1win*T_p12135197532[[#This Row],[KO]])*bounty</f>
        <v>0</v>
      </c>
      <c r="AS18" s="68">
        <f>'3wAsQc'!p3win* ('3wAsQc'!p1sp1win*T_p3p12337267749[[#This Row],[$stack]] + '3wAsQc'!p2sp1win*T_p3p22438277850[[#This Row],[$stack]])
+'3wAsQc'!p2win*T_p22236257648[[#This Row],[$stack]]
+'3wAsQc'!p1win*T_p12135197532[[#This Row],[$stack]]</f>
        <v>51.254680480000005</v>
      </c>
      <c r="AT18" s="68">
        <f>'3wAsQc'!p3win* ('3wAsQc'!p1sp1win*T_p3p12337267749[[#This Row],[stack]] + '3wAsQc'!p2sp1win*T_p3p22438277850[[#This Row],[stack]])
+'3wAsQc'!p2win*T_p22236257648[[#This Row],[stack]]
+'3wAsQc'!p1win*T_p12135197532[[#This Row],[stack]]</f>
        <v>421.36501900000002</v>
      </c>
      <c r="AU18" s="2">
        <f>T_EV3340308052[[#This Row],[chipEV]]-T_fact2939287951[[#This Row],[stack]]</f>
        <v>421.36501900000002</v>
      </c>
      <c r="AV18" s="2">
        <f>T_EV3340308052[[#This Row],[EV]]-(T_fact2939287951[[#This Row],[ICM]])</f>
        <v>-11.562119519999996</v>
      </c>
    </row>
    <row r="19" spans="1:48" x14ac:dyDescent="0.25">
      <c r="B19">
        <v>855</v>
      </c>
      <c r="C19" s="26"/>
      <c r="D19">
        <v>10</v>
      </c>
      <c r="F19" s="5">
        <f>COUNTIF(T_p12135197532[stack],"&gt;0")</f>
        <v>2</v>
      </c>
      <c r="G19">
        <f>IF(T_init203447431[[#This Row],[p]]=1,mainpot+sidepot1+sidepot2+uncalled,IF(T_init203447431[[#This Row],[p]]&gt;1,0,T_init203447431[[#This Row],[stack]]-T_init203447431[[#This Row],[anteblinds]]))</f>
        <v>845</v>
      </c>
      <c r="I19" s="2">
        <f>T_p12135197532[[#This Row],[EQ]]*prize</f>
        <v>0</v>
      </c>
      <c r="J19" s="66">
        <f>IF(T_init203447431[[#This Row],[p]]=1,T_p12135197532[[#This Row],[players]]*T_p12135197532[[#This Row],[stack]]/chips+COUNTIF(T_p12135197532[stack],0),T_p12135197532[[#This Row],[players]]*T_p12135197532[[#This Row],[stack]]/chips)</f>
        <v>0.84499999999999997</v>
      </c>
      <c r="K19" s="66">
        <f>T_p12135197532[[#This Row],[ICM]]+bounty*T_p12135197532[[#This Row],[KO]]</f>
        <v>0</v>
      </c>
      <c r="M19" s="10">
        <f>COUNTIF(T_p22236257648[stack],"&gt;0")</f>
        <v>3</v>
      </c>
      <c r="N19" s="26">
        <f>IF(T_init203447431[[#This Row],[p]]=1,uncalled,IF(T_init203447431[[#This Row],[p]]=2,mainpot+sidepot1+sidepot2,IF(T_init203447431[[#This Row],[p]]&gt;2,0,T_init203447431[[#This Row],[stack]]-T_init203447431[[#This Row],[anteblinds]])))</f>
        <v>845</v>
      </c>
      <c r="P19" s="2">
        <f>T_p22236257648[[#This Row],[EQ]]*prize</f>
        <v>0</v>
      </c>
      <c r="Q19" s="66">
        <f>IF(T_init203447431[[#This Row],[p]]=2,T_p22236257648[[#This Row],[players]]*T_p22236257648[[#This Row],[stack]]/chips+COUNTIF(T_p22236257648[stack],0),T_p22236257648[[#This Row],[players]]*T_p22236257648[[#This Row],[stack]]/chips)</f>
        <v>1.2675000000000001</v>
      </c>
      <c r="R19" s="66">
        <f>T_p22236257648[[#This Row],[ICM]]+bounty*T_p22236257648[[#This Row],[KO]]</f>
        <v>0</v>
      </c>
      <c r="T19" s="5">
        <f>COUNTIF(T_p3p12337267749[stack],"&gt;0")</f>
        <v>3</v>
      </c>
      <c r="U19" s="26">
        <f>IF(T_init203447431[[#This Row],[p]]=1,sidepot1+uncalled,IF(T_init203447431[[#This Row],[p]]=3,mainpot,IF(ISBLANK(T_init203447431[[#This Row],[p]]),T_init203447431[[#This Row],[stack]]-T_init203447431[[#This Row],[anteblinds]],0)))</f>
        <v>845</v>
      </c>
      <c r="V19">
        <v>0.58250000000000002</v>
      </c>
      <c r="W19" s="2">
        <f>T_p3p12337267749[[#This Row],[EQ]]*prize</f>
        <v>62.816800000000001</v>
      </c>
      <c r="X19" s="66">
        <f>IF(T_init203447431[[#This Row],[p]]=1,T_p3p12337267749[[#This Row],[players]]*T_p3p12337267749[[#This Row],[stack]]/chips+COUNTIF(T_p3p12337267749[stack],0),T_p3p12337267749[[#This Row],[players]]*T_p3p12337267749[[#This Row],[stack]]/chips)</f>
        <v>1.2675000000000001</v>
      </c>
      <c r="Y19" s="66">
        <f>T_p3p12337267749[[#This Row],[ICM]]+bounty*T_p3p12337267749[[#This Row],[KO]]</f>
        <v>62.816800000000001</v>
      </c>
      <c r="AA19" s="5">
        <f>COUNTIF(T_p3p22438277850[stack],"&gt;0")</f>
        <v>4</v>
      </c>
      <c r="AB19">
        <f>IF(T_init203447431[[#This Row],[p]]=1,uncalled,IF(T_init203447431[[#This Row],[p]]=2,sidepot1,IF(T_init203447431[[#This Row],[p]]=3,mainpot,IF(ISBLANK(T_init203447431[[#This Row],[p]]),T_init203447431[[#This Row],[stack]]-T_init203447431[[#This Row],[anteblinds]],0))))</f>
        <v>845</v>
      </c>
      <c r="AC19">
        <v>0.58250000000000002</v>
      </c>
      <c r="AD19" s="2">
        <f>T_p3p22438277850[[#This Row],[EQ]]*prize</f>
        <v>62.816800000000001</v>
      </c>
      <c r="AE19" s="66">
        <f>IF(T_init203447431[[#This Row],[p]]=2,T_p3p22438277850[[#This Row],[players]]*T_p3p22438277850[[#This Row],[stack]]/chips+COUNTIF(T_p3p22438277850[stack],0),T_p3p22438277850[[#This Row],[players]]*T_p3p22438277850[[#This Row],[stack]]/chips)</f>
        <v>1.69</v>
      </c>
      <c r="AF19" s="16">
        <f>T_p3p22438277850[[#This Row],[ICM]]+bounty*T_p3p22438277850[[#This Row],[KO]]</f>
        <v>62.816800000000001</v>
      </c>
      <c r="AI19" s="73">
        <v>3</v>
      </c>
      <c r="AJ19" s="26">
        <v>845</v>
      </c>
      <c r="AL19" s="2">
        <f>T_fact2939287951[[#This Row],[EQ]]*prize</f>
        <v>0</v>
      </c>
      <c r="AM19" s="66">
        <f>IF(T_init203447431[[#This Row],[p]]=1,T_fact2939287951[[#This Row],[players]]*T_fact2939287951[[#This Row],[stack]]/chips+COUNTIF(T_fact2939287951[stack],0),T_fact2939287951[[#This Row],[players]]*T_fact2939287951[[#This Row],[stack]]/chips)</f>
        <v>1.2675000000000001</v>
      </c>
      <c r="AN19" s="16">
        <f>T_fact2939287951[[#This Row],[ICM]]+bounty*T_fact2939287951[[#This Row],[KO]]</f>
        <v>0</v>
      </c>
      <c r="AQ19" s="68">
        <f>'3wAsQc'!p3win* ('3wAsQc'!p1sp1win*T_p3p12337267749[[#This Row],[ICM]] + '3wAsQc'!p2sp1win*T_p3p22438277850[[#This Row],[ICM]])
+'3wAsQc'!p2win*T_p22236257648[[#This Row],[ICM]]
+'3wAsQc'!p1win*T_p12135197532[[#This Row],[ICM]]</f>
        <v>15.54597390332</v>
      </c>
      <c r="AR19" s="68">
        <f>('3wAsQc'!p3win* ('3wAsQc'!p1sp1win*T_p3p12337267749[[#This Row],[KO]] + '3wAsQc'!p2sp1win*T_p3p22438277850[[#This Row],[KO]])
+'3wAsQc'!p2win*T_p22236257648[[#This Row],[KO]]
+'3wAsQc'!p1win*T_p12135197532[[#This Row],[KO]])*bounty</f>
        <v>0</v>
      </c>
      <c r="AS19" s="68">
        <f>'3wAsQc'!p3win* ('3wAsQc'!p1sp1win*T_p3p12337267749[[#This Row],[$stack]] + '3wAsQc'!p2sp1win*T_p3p22438277850[[#This Row],[$stack]])
+'3wAsQc'!p2win*T_p22236257648[[#This Row],[$stack]]
+'3wAsQc'!p1win*T_p12135197532[[#This Row],[$stack]]</f>
        <v>15.54597390332</v>
      </c>
      <c r="AT19" s="68">
        <f>'3wAsQc'!p3win* ('3wAsQc'!p1sp1win*T_p3p12337267749[[#This Row],[stack]] + '3wAsQc'!p2sp1win*T_p3p22438277850[[#This Row],[stack]])
+'3wAsQc'!p2win*T_p22236257648[[#This Row],[stack]]
+'3wAsQc'!p1win*T_p12135197532[[#This Row],[stack]]</f>
        <v>843.54757175000009</v>
      </c>
      <c r="AU19" s="2">
        <f>T_EV3340308052[[#This Row],[chipEV]]-T_fact2939287951[[#This Row],[stack]]</f>
        <v>-1.4524282499999117</v>
      </c>
      <c r="AV19" s="2">
        <f>T_EV3340308052[[#This Row],[EV]]-(T_fact2939287951[[#This Row],[ICM]])</f>
        <v>15.54597390332</v>
      </c>
    </row>
    <row r="20" spans="1:48" s="17" customFormat="1" x14ac:dyDescent="0.25">
      <c r="A20" s="17">
        <v>1</v>
      </c>
      <c r="B20" s="17">
        <v>510</v>
      </c>
      <c r="C20" s="17" t="s">
        <v>590</v>
      </c>
      <c r="D20" s="17">
        <v>10</v>
      </c>
      <c r="F20" s="83">
        <f>COUNTIF(T_p12135197532[stack],"&gt;0")</f>
        <v>2</v>
      </c>
      <c r="G20" s="17">
        <f>IF(T_init203447431[[#This Row],[p]]=1,mainpot+sidepot1+sidepot2+uncalled,IF(T_init203447431[[#This Row],[p]]&gt;1,0,T_init203447431[[#This Row],[stack]]-T_init203447431[[#This Row],[anteblinds]]))</f>
        <v>1155</v>
      </c>
      <c r="I20" s="18">
        <f>T_p12135197532[[#This Row],[EQ]]*prize</f>
        <v>0</v>
      </c>
      <c r="J20" s="67">
        <f>IF(T_init203447431[[#This Row],[p]]=1,T_p12135197532[[#This Row],[players]]*T_p12135197532[[#This Row],[stack]]/chips+COUNTIF(T_p12135197532[stack],0),T_p12135197532[[#This Row],[players]]*T_p12135197532[[#This Row],[stack]]/chips)</f>
        <v>5.1550000000000002</v>
      </c>
      <c r="K20" s="67">
        <f>T_p12135197532[[#This Row],[ICM]]+bounty*T_p12135197532[[#This Row],[KO]]</f>
        <v>0</v>
      </c>
      <c r="M20" s="19">
        <f>COUNTIF(T_p22236257648[stack],"&gt;0")</f>
        <v>3</v>
      </c>
      <c r="N20" s="17">
        <f>IF(T_init203447431[[#This Row],[p]]=1,uncalled,IF(T_init203447431[[#This Row],[p]]=2,mainpot+sidepot1+sidepot2,IF(T_init203447431[[#This Row],[p]]&gt;2,0,T_init203447431[[#This Row],[stack]]-T_init203447431[[#This Row],[anteblinds]])))</f>
        <v>65</v>
      </c>
      <c r="O20" s="17">
        <v>9.2499999999999999E-2</v>
      </c>
      <c r="P20" s="18">
        <f>T_p22236257648[[#This Row],[EQ]]*prize</f>
        <v>9.975200000000001</v>
      </c>
      <c r="Q20" s="67">
        <f>IF(T_init203447431[[#This Row],[p]]=2,T_p22236257648[[#This Row],[players]]*T_p22236257648[[#This Row],[stack]]/chips+COUNTIF(T_p22236257648[stack],0),T_p22236257648[[#This Row],[players]]*T_p22236257648[[#This Row],[stack]]/chips)</f>
        <v>9.7500000000000003E-2</v>
      </c>
      <c r="R20" s="67">
        <f>T_p22236257648[[#This Row],[ICM]]+bounty*T_p22236257648[[#This Row],[KO]]</f>
        <v>9.975200000000001</v>
      </c>
      <c r="T20" s="83">
        <f>COUNTIF(T_p3p12337267749[stack],"&gt;0")</f>
        <v>3</v>
      </c>
      <c r="U20" s="17">
        <f>IF(T_init203447431[[#This Row],[p]]=1,sidepot1+uncalled,IF(T_init203447431[[#This Row],[p]]=3,mainpot,IF(ISBLANK(T_init203447431[[#This Row],[p]]),T_init203447431[[#This Row],[stack]]-T_init203447431[[#This Row],[anteblinds]],0)))</f>
        <v>575</v>
      </c>
      <c r="V20" s="17">
        <v>9.2499999999999999E-2</v>
      </c>
      <c r="W20" s="18">
        <f>T_p3p12337267749[[#This Row],[EQ]]*prize</f>
        <v>9.975200000000001</v>
      </c>
      <c r="X20" s="67">
        <f>IF(T_init203447431[[#This Row],[p]]=1,T_p3p12337267749[[#This Row],[players]]*T_p3p12337267749[[#This Row],[stack]]/chips+COUNTIF(T_p3p12337267749[stack],0),T_p3p12337267749[[#This Row],[players]]*T_p3p12337267749[[#This Row],[stack]]/chips)</f>
        <v>3.8624999999999998</v>
      </c>
      <c r="Y20" s="67">
        <f>T_p3p12337267749[[#This Row],[ICM]]+bounty*T_p3p12337267749[[#This Row],[KO]]</f>
        <v>9.975200000000001</v>
      </c>
      <c r="AA20" s="83">
        <f>COUNTIF(T_p3p22438277850[stack],"&gt;0")</f>
        <v>4</v>
      </c>
      <c r="AB20" s="17">
        <f>IF(T_init203447431[[#This Row],[p]]=1,uncalled,IF(T_init203447431[[#This Row],[p]]=2,sidepot1,IF(T_init203447431[[#This Row],[p]]=3,mainpot,IF(ISBLANK(T_init203447431[[#This Row],[p]]),T_init203447431[[#This Row],[stack]]-T_init203447431[[#This Row],[anteblinds]],0))))</f>
        <v>65</v>
      </c>
      <c r="AC20" s="17">
        <v>9.2499999999999999E-2</v>
      </c>
      <c r="AD20" s="18">
        <f>T_p3p22438277850[[#This Row],[EQ]]*prize</f>
        <v>9.975200000000001</v>
      </c>
      <c r="AE20" s="67">
        <f>IF(T_init203447431[[#This Row],[p]]=2,T_p3p22438277850[[#This Row],[players]]*T_p3p22438277850[[#This Row],[stack]]/chips+COUNTIF(T_p3p22438277850[stack],0),T_p3p22438277850[[#This Row],[players]]*T_p3p22438277850[[#This Row],[stack]]/chips)</f>
        <v>0.13</v>
      </c>
      <c r="AF20" s="24">
        <f>T_p3p22438277850[[#This Row],[ICM]]+bounty*T_p3p22438277850[[#This Row],[KO]]</f>
        <v>9.975200000000001</v>
      </c>
      <c r="AI20" s="83">
        <v>3</v>
      </c>
      <c r="AJ20" s="17">
        <v>575</v>
      </c>
      <c r="AK20" s="17">
        <v>9.2499999999999999E-2</v>
      </c>
      <c r="AL20" s="18">
        <f>T_fact2939287951[[#This Row],[EQ]]*prize</f>
        <v>9.975200000000001</v>
      </c>
      <c r="AM20" s="67">
        <f>IF(T_init203447431[[#This Row],[p]]=1,T_fact2939287951[[#This Row],[players]]*T_fact2939287951[[#This Row],[stack]]/chips+COUNTIF(T_fact2939287951[stack],0),T_fact2939287951[[#This Row],[players]]*T_fact2939287951[[#This Row],[stack]]/chips)</f>
        <v>3.8624999999999998</v>
      </c>
      <c r="AN20" s="24">
        <f>T_fact2939287951[[#This Row],[ICM]]+bounty*T_fact2939287951[[#This Row],[KO]]</f>
        <v>9.975200000000001</v>
      </c>
      <c r="AQ20" s="69">
        <f>'3wAsQc'!p3win* ('3wAsQc'!p1sp1win*T_p3p12337267749[[#This Row],[ICM]] + '3wAsQc'!p2sp1win*T_p3p22438277850[[#This Row],[ICM]])
+'3wAsQc'!p2win*T_p22236257648[[#This Row],[ICM]]
+'3wAsQc'!p1win*T_p12135197532[[#This Row],[ICM]]</f>
        <v>5.8662270874800004</v>
      </c>
      <c r="AR20" s="69">
        <f>('3wAsQc'!p3win* ('3wAsQc'!p1sp1win*T_p3p12337267749[[#This Row],[KO]] + '3wAsQc'!p2sp1win*T_p3p22438277850[[#This Row],[KO]])
+'3wAsQc'!p2win*T_p22236257648[[#This Row],[KO]]
+'3wAsQc'!p1win*T_p12135197532[[#This Row],[KO]])*bounty</f>
        <v>0</v>
      </c>
      <c r="AS20" s="69">
        <f>'3wAsQc'!p3win* ('3wAsQc'!p1sp1win*T_p3p12337267749[[#This Row],[$stack]] + '3wAsQc'!p2sp1win*T_p3p22438277850[[#This Row],[$stack]])
+'3wAsQc'!p2win*T_p22236257648[[#This Row],[$stack]]
+'3wAsQc'!p1win*T_p12135197532[[#This Row],[$stack]]</f>
        <v>5.8662270874800004</v>
      </c>
      <c r="AT20" s="69">
        <f>'3wAsQc'!p3win* ('3wAsQc'!p1sp1win*T_p3p12337267749[[#This Row],[stack]] + '3wAsQc'!p2sp1win*T_p3p22438277850[[#This Row],[stack]])
+'3wAsQc'!p2win*T_p22236257648[[#This Row],[stack]]
+'3wAsQc'!p1win*T_p12135197532[[#This Row],[stack]]</f>
        <v>588.11064224999996</v>
      </c>
      <c r="AU20" s="18">
        <f>T_EV3340308052[[#This Row],[chipEV]]-T_fact2939287951[[#This Row],[stack]]</f>
        <v>13.110642249999955</v>
      </c>
      <c r="AV20" s="18">
        <f>T_EV3340308052[[#This Row],[EV]]-(T_fact2939287951[[#This Row],[ICM]])</f>
        <v>-4.1089729125200005</v>
      </c>
    </row>
    <row r="21" spans="1:48" x14ac:dyDescent="0.25">
      <c r="B21">
        <v>0</v>
      </c>
      <c r="F21" s="5">
        <f>COUNTIF(T_p12135197532[stack],"&gt;0")</f>
        <v>2</v>
      </c>
      <c r="G21">
        <f>IF(T_init203447431[[#This Row],[p]]=1,mainpot+sidepot1+sidepot2+uncalled,IF(T_init203447431[[#This Row],[p]]&gt;1,0,T_init203447431[[#This Row],[stack]]-T_init203447431[[#This Row],[anteblinds]]))</f>
        <v>0</v>
      </c>
      <c r="I21" s="2">
        <f>T_p12135197532[[#This Row],[EQ]]*prize</f>
        <v>0</v>
      </c>
      <c r="J21" s="66">
        <f>IF(T_init203447431[[#This Row],[p]]=1,T_p12135197532[[#This Row],[players]]*T_p12135197532[[#This Row],[stack]]/chips+COUNTIF(T_p12135197532[stack],0),T_p12135197532[[#This Row],[players]]*T_p12135197532[[#This Row],[stack]]/chips)</f>
        <v>0</v>
      </c>
      <c r="K21" s="66">
        <f>T_p12135197532[[#This Row],[ICM]]+bounty*T_p12135197532[[#This Row],[KO]]</f>
        <v>0</v>
      </c>
      <c r="M21" s="10">
        <f>COUNTIF(T_p22236257648[stack],"&gt;0")</f>
        <v>3</v>
      </c>
      <c r="N21" s="26">
        <f>IF(T_init203447431[[#This Row],[p]]=1,uncalled,IF(T_init203447431[[#This Row],[p]]=2,mainpot+sidepot1+sidepot2,IF(T_init203447431[[#This Row],[p]]&gt;2,0,T_init203447431[[#This Row],[stack]]-T_init203447431[[#This Row],[anteblinds]])))</f>
        <v>0</v>
      </c>
      <c r="O21">
        <v>0</v>
      </c>
      <c r="P21" s="2">
        <f>T_p22236257648[[#This Row],[EQ]]*prize</f>
        <v>0</v>
      </c>
      <c r="Q21" s="66">
        <f>IF(T_init203447431[[#This Row],[p]]=2,T_p22236257648[[#This Row],[players]]*T_p22236257648[[#This Row],[stack]]/chips+COUNTIF(T_p22236257648[stack],0),T_p22236257648[[#This Row],[players]]*T_p22236257648[[#This Row],[stack]]/chips)</f>
        <v>0</v>
      </c>
      <c r="R21" s="66">
        <f>T_p22236257648[[#This Row],[ICM]]+bounty*T_p22236257648[[#This Row],[KO]]</f>
        <v>0</v>
      </c>
      <c r="T21" s="5">
        <f>COUNTIF(T_p3p12337267749[stack],"&gt;0")</f>
        <v>3</v>
      </c>
      <c r="U21" s="26">
        <f>IF(T_init203447431[[#This Row],[p]]=1,sidepot1+uncalled,IF(T_init203447431[[#This Row],[p]]=3,mainpot,IF(ISBLANK(T_init203447431[[#This Row],[p]]),T_init203447431[[#This Row],[stack]]-T_init203447431[[#This Row],[anteblinds]],0)))</f>
        <v>0</v>
      </c>
      <c r="V21">
        <v>0</v>
      </c>
      <c r="W21" s="2">
        <f>T_p3p12337267749[[#This Row],[EQ]]*prize</f>
        <v>0</v>
      </c>
      <c r="X21" s="66">
        <f>IF(T_init203447431[[#This Row],[p]]=1,T_p3p12337267749[[#This Row],[players]]*T_p3p12337267749[[#This Row],[stack]]/chips+COUNTIF(T_p3p12337267749[stack],0),T_p3p12337267749[[#This Row],[players]]*T_p3p12337267749[[#This Row],[stack]]/chips)</f>
        <v>0</v>
      </c>
      <c r="Y21" s="66">
        <f>T_p3p12337267749[[#This Row],[ICM]]+bounty*T_p3p12337267749[[#This Row],[KO]]</f>
        <v>0</v>
      </c>
      <c r="AA21" s="5">
        <f>COUNTIF(T_p3p22438277850[stack],"&gt;0")</f>
        <v>4</v>
      </c>
      <c r="AB21">
        <f>IF(T_init203447431[[#This Row],[p]]=1,uncalled,IF(T_init203447431[[#This Row],[p]]=2,sidepot1,IF(T_init203447431[[#This Row],[p]]=3,mainpot,IF(ISBLANK(T_init203447431[[#This Row],[p]]),T_init203447431[[#This Row],[stack]]-T_init203447431[[#This Row],[anteblinds]],0))))</f>
        <v>0</v>
      </c>
      <c r="AC21">
        <v>0</v>
      </c>
      <c r="AD21" s="2">
        <f>T_p3p22438277850[[#This Row],[EQ]]*prize</f>
        <v>0</v>
      </c>
      <c r="AE21" s="66">
        <f>IF(T_init203447431[[#This Row],[p]]=2,T_p3p22438277850[[#This Row],[players]]*T_p3p22438277850[[#This Row],[stack]]/chips+COUNTIF(T_p3p22438277850[stack],0),T_p3p22438277850[[#This Row],[players]]*T_p3p22438277850[[#This Row],[stack]]/chips)</f>
        <v>0</v>
      </c>
      <c r="AF21" s="16">
        <f>T_p3p22438277850[[#This Row],[ICM]]+bounty*T_p3p22438277850[[#This Row],[KO]]</f>
        <v>0</v>
      </c>
      <c r="AI21" s="73">
        <v>3</v>
      </c>
      <c r="AJ21" s="26">
        <v>0</v>
      </c>
      <c r="AL21" s="2">
        <f>T_fact2939287951[[#This Row],[EQ]]*prize</f>
        <v>0</v>
      </c>
      <c r="AM21" s="66">
        <f>IF(T_init203447431[[#This Row],[p]]=1,T_fact2939287951[[#This Row],[players]]*T_fact2939287951[[#This Row],[stack]]/chips+COUNTIF(T_fact2939287951[stack],0),T_fact2939287951[[#This Row],[players]]*T_fact2939287951[[#This Row],[stack]]/chips)</f>
        <v>0</v>
      </c>
      <c r="AN21" s="16">
        <f>T_fact2939287951[[#This Row],[ICM]]+bounty*T_fact2939287951[[#This Row],[KO]]</f>
        <v>0</v>
      </c>
      <c r="AQ21" s="68">
        <f>'3wAsQc'!p3win* ('3wAsQc'!p1sp1win*T_p3p12337267749[[#This Row],[ICM]] + '3wAsQc'!p2sp1win*T_p3p22438277850[[#This Row],[ICM]])
+'3wAsQc'!p2win*T_p22236257648[[#This Row],[ICM]]
+'3wAsQc'!p1win*T_p12135197532[[#This Row],[ICM]]</f>
        <v>0</v>
      </c>
      <c r="AR21" s="68">
        <f>('3wAsQc'!p3win* ('3wAsQc'!p1sp1win*T_p3p12337267749[[#This Row],[KO]] + '3wAsQc'!p2sp1win*T_p3p22438277850[[#This Row],[KO]])
+'3wAsQc'!p2win*T_p22236257648[[#This Row],[KO]]
+'3wAsQc'!p1win*T_p12135197532[[#This Row],[KO]])*bounty</f>
        <v>0</v>
      </c>
      <c r="AS21" s="68">
        <f>'3wAsQc'!p3win* ('3wAsQc'!p1sp1win*T_p3p12337267749[[#This Row],[$stack]] + '3wAsQc'!p2sp1win*T_p3p22438277850[[#This Row],[$stack]])
+'3wAsQc'!p2win*T_p22236257648[[#This Row],[$stack]]
+'3wAsQc'!p1win*T_p12135197532[[#This Row],[$stack]]</f>
        <v>0</v>
      </c>
      <c r="AT21" s="68">
        <f>'3wAsQc'!p3win* ('3wAsQc'!p1sp1win*T_p3p12337267749[[#This Row],[stack]] + '3wAsQc'!p2sp1win*T_p3p22438277850[[#This Row],[stack]])
+'3wAsQc'!p2win*T_p22236257648[[#This Row],[stack]]
+'3wAsQc'!p1win*T_p12135197532[[#This Row],[stack]]</f>
        <v>0</v>
      </c>
      <c r="AU21" s="2">
        <f>T_EV3340308052[[#This Row],[chipEV]]-T_fact2939287951[[#This Row],[stack]]</f>
        <v>0</v>
      </c>
      <c r="AV21" s="2">
        <f>T_EV3340308052[[#This Row],[EV]]-(T_fact2939287951[[#This Row],[ICM]])</f>
        <v>0</v>
      </c>
    </row>
    <row r="22" spans="1:48" x14ac:dyDescent="0.25">
      <c r="B22">
        <v>0</v>
      </c>
      <c r="F22" s="5">
        <f>COUNTIF(T_p12135197532[stack],"&gt;0")</f>
        <v>2</v>
      </c>
      <c r="G22">
        <f>IF(T_init203447431[[#This Row],[p]]=1,mainpot+sidepot1+sidepot2+uncalled,IF(T_init203447431[[#This Row],[p]]&gt;1,0,T_init203447431[[#This Row],[stack]]-T_init203447431[[#This Row],[anteblinds]]))</f>
        <v>0</v>
      </c>
      <c r="I22" s="2">
        <f>T_p12135197532[[#This Row],[EQ]]*prize</f>
        <v>0</v>
      </c>
      <c r="J22" s="66">
        <f>IF(T_init203447431[[#This Row],[p]]=1,T_p12135197532[[#This Row],[players]]*T_p12135197532[[#This Row],[stack]]/chips+COUNTIF(T_p12135197532[stack],0),T_p12135197532[[#This Row],[players]]*T_p12135197532[[#This Row],[stack]]/chips)</f>
        <v>0</v>
      </c>
      <c r="K22" s="66">
        <f>T_p12135197532[[#This Row],[ICM]]+bounty*T_p12135197532[[#This Row],[KO]]</f>
        <v>0</v>
      </c>
      <c r="M22" s="10">
        <f>COUNTIF(T_p22236257648[stack],"&gt;0")</f>
        <v>3</v>
      </c>
      <c r="N22" s="26">
        <f>IF(T_init203447431[[#This Row],[p]]=1,uncalled,IF(T_init203447431[[#This Row],[p]]=2,mainpot+sidepot1+sidepot2,IF(T_init203447431[[#This Row],[p]]&gt;2,0,T_init203447431[[#This Row],[stack]]-T_init203447431[[#This Row],[anteblinds]])))</f>
        <v>0</v>
      </c>
      <c r="P22" s="2">
        <f>T_p22236257648[[#This Row],[EQ]]*prize</f>
        <v>0</v>
      </c>
      <c r="Q22" s="66">
        <f>IF(T_init203447431[[#This Row],[p]]=2,T_p22236257648[[#This Row],[players]]*T_p22236257648[[#This Row],[stack]]/chips+COUNTIF(T_p22236257648[stack],0),T_p22236257648[[#This Row],[players]]*T_p22236257648[[#This Row],[stack]]/chips)</f>
        <v>0</v>
      </c>
      <c r="R22" s="66">
        <f>T_p22236257648[[#This Row],[ICM]]+bounty*T_p22236257648[[#This Row],[KO]]</f>
        <v>0</v>
      </c>
      <c r="T22" s="5">
        <f>COUNTIF(T_p3p12337267749[stack],"&gt;0")</f>
        <v>3</v>
      </c>
      <c r="U22" s="26">
        <f>IF(T_init203447431[[#This Row],[p]]=1,sidepot1+uncalled,IF(T_init203447431[[#This Row],[p]]=3,mainpot,IF(ISBLANK(T_init203447431[[#This Row],[p]]),T_init203447431[[#This Row],[stack]]-T_init203447431[[#This Row],[anteblinds]],0)))</f>
        <v>0</v>
      </c>
      <c r="V22">
        <v>0</v>
      </c>
      <c r="W22" s="2">
        <f>T_p3p12337267749[[#This Row],[EQ]]*prize</f>
        <v>0</v>
      </c>
      <c r="X22" s="66">
        <f>IF(T_init203447431[[#This Row],[p]]=1,T_p3p12337267749[[#This Row],[players]]*T_p3p12337267749[[#This Row],[stack]]/chips+COUNTIF(T_p3p12337267749[stack],0),T_p3p12337267749[[#This Row],[players]]*T_p3p12337267749[[#This Row],[stack]]/chips)</f>
        <v>0</v>
      </c>
      <c r="Y22" s="66">
        <f>T_p3p12337267749[[#This Row],[ICM]]+bounty*T_p3p12337267749[[#This Row],[KO]]</f>
        <v>0</v>
      </c>
      <c r="AA22" s="5">
        <f>COUNTIF(T_p3p22438277850[stack],"&gt;0")</f>
        <v>4</v>
      </c>
      <c r="AB22">
        <f>IF(T_init203447431[[#This Row],[p]]=1,uncalled,IF(T_init203447431[[#This Row],[p]]=2,sidepot1,IF(T_init203447431[[#This Row],[p]]=3,mainpot,IF(ISBLANK(T_init203447431[[#This Row],[p]]),T_init203447431[[#This Row],[stack]]-T_init203447431[[#This Row],[anteblinds]],0))))</f>
        <v>0</v>
      </c>
      <c r="AC22">
        <v>0</v>
      </c>
      <c r="AD22" s="2">
        <f>T_p3p22438277850[[#This Row],[EQ]]*prize</f>
        <v>0</v>
      </c>
      <c r="AE22" s="66">
        <f>IF(T_init203447431[[#This Row],[p]]=2,T_p3p22438277850[[#This Row],[players]]*T_p3p22438277850[[#This Row],[stack]]/chips+COUNTIF(T_p3p22438277850[stack],0),T_p3p22438277850[[#This Row],[players]]*T_p3p22438277850[[#This Row],[stack]]/chips)</f>
        <v>0</v>
      </c>
      <c r="AF22" s="16">
        <f>T_p3p22438277850[[#This Row],[ICM]]+bounty*T_p3p22438277850[[#This Row],[KO]]</f>
        <v>0</v>
      </c>
      <c r="AI22" s="73">
        <v>3</v>
      </c>
      <c r="AJ22" s="26">
        <v>0</v>
      </c>
      <c r="AL22" s="2">
        <f>T_fact2939287951[[#This Row],[EQ]]*prize</f>
        <v>0</v>
      </c>
      <c r="AM22" s="66">
        <f>IF(T_init203447431[[#This Row],[p]]=1,T_fact2939287951[[#This Row],[players]]*T_fact2939287951[[#This Row],[stack]]/chips+COUNTIF(T_fact2939287951[stack],0),T_fact2939287951[[#This Row],[players]]*T_fact2939287951[[#This Row],[stack]]/chips)</f>
        <v>0</v>
      </c>
      <c r="AN22" s="16">
        <f>T_fact2939287951[[#This Row],[ICM]]+bounty*T_fact2939287951[[#This Row],[KO]]</f>
        <v>0</v>
      </c>
      <c r="AQ22" s="68">
        <f>'3wAsQc'!p3win* ('3wAsQc'!p1sp1win*T_p3p12337267749[[#This Row],[ICM]] + '3wAsQc'!p2sp1win*T_p3p22438277850[[#This Row],[ICM]])
+'3wAsQc'!p2win*T_p22236257648[[#This Row],[ICM]]
+'3wAsQc'!p1win*T_p12135197532[[#This Row],[ICM]]</f>
        <v>0</v>
      </c>
      <c r="AR22" s="68">
        <f>('3wAsQc'!p3win* ('3wAsQc'!p1sp1win*T_p3p12337267749[[#This Row],[KO]] + '3wAsQc'!p2sp1win*T_p3p22438277850[[#This Row],[KO]])
+'3wAsQc'!p2win*T_p22236257648[[#This Row],[KO]]
+'3wAsQc'!p1win*T_p12135197532[[#This Row],[KO]])*bounty</f>
        <v>0</v>
      </c>
      <c r="AS22" s="68">
        <f>'3wAsQc'!p3win* ('3wAsQc'!p1sp1win*T_p3p12337267749[[#This Row],[$stack]] + '3wAsQc'!p2sp1win*T_p3p22438277850[[#This Row],[$stack]])
+'3wAsQc'!p2win*T_p22236257648[[#This Row],[$stack]]
+'3wAsQc'!p1win*T_p12135197532[[#This Row],[$stack]]</f>
        <v>0</v>
      </c>
      <c r="AT22" s="68">
        <f>'3wAsQc'!p3win* ('3wAsQc'!p1sp1win*T_p3p12337267749[[#This Row],[stack]] + '3wAsQc'!p2sp1win*T_p3p22438277850[[#This Row],[stack]])
+'3wAsQc'!p2win*T_p22236257648[[#This Row],[stack]]
+'3wAsQc'!p1win*T_p12135197532[[#This Row],[stack]]</f>
        <v>0</v>
      </c>
      <c r="AU22" s="2">
        <f>T_EV3340308052[[#This Row],[chipEV]]-T_fact2939287951[[#This Row],[stack]]</f>
        <v>0</v>
      </c>
      <c r="AV22" s="2">
        <f>T_EV3340308052[[#This Row],[EV]]-(T_fact2939287951[[#This Row],[ICM]])</f>
        <v>0</v>
      </c>
    </row>
    <row r="23" spans="1:48" x14ac:dyDescent="0.25">
      <c r="A23" t="s">
        <v>95</v>
      </c>
      <c r="D23">
        <f>SUBTOTAL(109,T_init203447431[anteblinds])</f>
        <v>115</v>
      </c>
      <c r="F23" s="53"/>
      <c r="G23" s="50">
        <f>SUM(T_p12135197532[stack])</f>
        <v>2000</v>
      </c>
      <c r="H23" s="50">
        <f>SUM(T_p12135197532[EQ])</f>
        <v>1</v>
      </c>
      <c r="I23" s="50">
        <f>SUM(T_p12135197532[ICM])</f>
        <v>107.84</v>
      </c>
      <c r="J23" s="50">
        <f>SUM(T_p12135197532[KO])</f>
        <v>6</v>
      </c>
      <c r="K23" s="50">
        <f>SUM(T_p12135197532[$stack])</f>
        <v>107.84</v>
      </c>
      <c r="M23" s="53"/>
      <c r="N23" s="55">
        <f>SUM(T_p22236257648[stack])</f>
        <v>2000</v>
      </c>
      <c r="O23" s="50">
        <f>SUM(T_p22236257648[EQ])</f>
        <v>1</v>
      </c>
      <c r="P23" s="51">
        <f>SUM(T_p22236257648[ICM])</f>
        <v>107.84</v>
      </c>
      <c r="Q23" s="52">
        <f>SUM(T_p22236257648[KO])</f>
        <v>6</v>
      </c>
      <c r="R23" s="50">
        <f>SUM(T_p22236257648[$stack])</f>
        <v>107.84</v>
      </c>
      <c r="T23" s="53"/>
      <c r="U23" s="55">
        <f>SUM(T_p3p12337267749[stack])</f>
        <v>2000</v>
      </c>
      <c r="V23" s="50">
        <f>SUM(T_p3p12337267749[EQ])</f>
        <v>1</v>
      </c>
      <c r="W23" s="51">
        <f>SUM(T_p3p12337267749[ICM])</f>
        <v>107.84</v>
      </c>
      <c r="X23" s="52">
        <f>SUM(T_p3p12337267749[KO])</f>
        <v>6</v>
      </c>
      <c r="Y23" s="50">
        <f>SUM(T_p3p12337267749[$stack])</f>
        <v>107.84</v>
      </c>
      <c r="AA23" s="53"/>
      <c r="AB23" s="55">
        <f>SUM(T_p3p22438277850[stack])</f>
        <v>2000</v>
      </c>
      <c r="AC23" s="50">
        <f>SUM(T_p3p22438277850[EQ])</f>
        <v>1</v>
      </c>
      <c r="AD23" s="51">
        <f>SUM(T_p3p22438277850[ICM])</f>
        <v>107.84</v>
      </c>
      <c r="AE23" s="52">
        <f>SUM(T_p3p22438277850[KO])</f>
        <v>5.9999999999999991</v>
      </c>
      <c r="AF23" s="50">
        <f>SUM(T_p3p12337267749[$stack])</f>
        <v>107.84</v>
      </c>
      <c r="AI23" s="53"/>
      <c r="AJ23" s="55">
        <f>SUM(T_fact2939287951[stack])</f>
        <v>2000</v>
      </c>
      <c r="AK23" s="50">
        <f>SUM(T_fact2939287951[EQ])</f>
        <v>1</v>
      </c>
      <c r="AL23" s="51">
        <f>SUM(T_fact2939287951[ICM])</f>
        <v>107.84</v>
      </c>
      <c r="AM23" s="52">
        <f>SUM(T_fact2939287951[KO])</f>
        <v>6</v>
      </c>
      <c r="AN23" s="51">
        <f>SUM(T_fact2939287951[$stack])</f>
        <v>107.84</v>
      </c>
      <c r="AQ23" s="52">
        <f>SUM(T_EV3340308052[ICM])</f>
        <v>107.65463921600001</v>
      </c>
      <c r="AR23" s="52">
        <f>SUM(T_EV3340308052[KO])</f>
        <v>0</v>
      </c>
      <c r="AS23" s="52">
        <f>SUM(T_EV3340308052[EV])</f>
        <v>107.65463921600001</v>
      </c>
      <c r="AT23" s="50">
        <f>SUM(T_EV3340308052[chipEV])</f>
        <v>1996.5623000000001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559</v>
      </c>
    </row>
    <row r="27" spans="1:48" x14ac:dyDescent="0.25">
      <c r="C27" t="s">
        <v>120</v>
      </c>
      <c r="M27" t="s">
        <v>560</v>
      </c>
    </row>
    <row r="28" spans="1:48" x14ac:dyDescent="0.25">
      <c r="C28" t="s">
        <v>122</v>
      </c>
      <c r="M28" t="s">
        <v>561</v>
      </c>
    </row>
    <row r="29" spans="1:48" x14ac:dyDescent="0.25">
      <c r="M29" t="s">
        <v>562</v>
      </c>
    </row>
    <row r="30" spans="1:48" x14ac:dyDescent="0.25">
      <c r="M30" t="s">
        <v>563</v>
      </c>
    </row>
    <row r="31" spans="1:48" x14ac:dyDescent="0.25">
      <c r="C31" t="s">
        <v>126</v>
      </c>
      <c r="M31" t="s">
        <v>564</v>
      </c>
    </row>
    <row r="32" spans="1:48" x14ac:dyDescent="0.25">
      <c r="M32" t="s">
        <v>565</v>
      </c>
    </row>
    <row r="33" spans="2:13" x14ac:dyDescent="0.25">
      <c r="B33" t="s">
        <v>129</v>
      </c>
      <c r="M33" t="s">
        <v>566</v>
      </c>
    </row>
    <row r="34" spans="2:13" x14ac:dyDescent="0.25">
      <c r="B34" t="s">
        <v>131</v>
      </c>
      <c r="M34" t="s">
        <v>567</v>
      </c>
    </row>
    <row r="35" spans="2:13" x14ac:dyDescent="0.25">
      <c r="C35" t="s">
        <v>133</v>
      </c>
      <c r="M35" t="s">
        <v>189</v>
      </c>
    </row>
    <row r="36" spans="2:13" x14ac:dyDescent="0.25">
      <c r="D36" t="s">
        <v>135</v>
      </c>
      <c r="M36" t="s">
        <v>568</v>
      </c>
    </row>
    <row r="37" spans="2:13" x14ac:dyDescent="0.25">
      <c r="C37" t="s">
        <v>137</v>
      </c>
      <c r="M37" t="s">
        <v>569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570</v>
      </c>
    </row>
    <row r="40" spans="2:13" x14ac:dyDescent="0.25">
      <c r="D40" t="s">
        <v>142</v>
      </c>
      <c r="M40" t="s">
        <v>571</v>
      </c>
    </row>
    <row r="41" spans="2:13" x14ac:dyDescent="0.25">
      <c r="D41" t="s">
        <v>144</v>
      </c>
      <c r="E41" t="s">
        <v>145</v>
      </c>
      <c r="M41" t="s">
        <v>572</v>
      </c>
    </row>
    <row r="42" spans="2:13" x14ac:dyDescent="0.25">
      <c r="F42" t="s">
        <v>147</v>
      </c>
      <c r="M42" t="s">
        <v>573</v>
      </c>
    </row>
    <row r="43" spans="2:13" x14ac:dyDescent="0.25">
      <c r="E43" t="s">
        <v>149</v>
      </c>
      <c r="M43" t="s">
        <v>574</v>
      </c>
    </row>
    <row r="44" spans="2:13" x14ac:dyDescent="0.25">
      <c r="F44" t="s">
        <v>151</v>
      </c>
      <c r="M44" t="s">
        <v>575</v>
      </c>
    </row>
    <row r="45" spans="2:13" x14ac:dyDescent="0.25">
      <c r="M45" t="s">
        <v>576</v>
      </c>
    </row>
    <row r="46" spans="2:13" x14ac:dyDescent="0.25">
      <c r="C46" t="s">
        <v>154</v>
      </c>
      <c r="M46" t="s">
        <v>577</v>
      </c>
    </row>
    <row r="47" spans="2:13" x14ac:dyDescent="0.25">
      <c r="D47" t="s">
        <v>156</v>
      </c>
      <c r="M47" t="s">
        <v>578</v>
      </c>
    </row>
    <row r="48" spans="2:13" x14ac:dyDescent="0.25">
      <c r="D48" t="s">
        <v>158</v>
      </c>
      <c r="E48" t="s">
        <v>145</v>
      </c>
      <c r="M48" t="s">
        <v>166</v>
      </c>
    </row>
    <row r="49" spans="5:13" x14ac:dyDescent="0.25">
      <c r="F49" t="s">
        <v>160</v>
      </c>
      <c r="M49" t="s">
        <v>579</v>
      </c>
    </row>
    <row r="50" spans="5:13" x14ac:dyDescent="0.25">
      <c r="E50" t="s">
        <v>149</v>
      </c>
      <c r="M50" t="s">
        <v>580</v>
      </c>
    </row>
    <row r="51" spans="5:13" x14ac:dyDescent="0.25">
      <c r="F51" t="s">
        <v>163</v>
      </c>
      <c r="M51" t="s">
        <v>581</v>
      </c>
    </row>
    <row r="52" spans="5:13" x14ac:dyDescent="0.25">
      <c r="E52" t="s">
        <v>165</v>
      </c>
      <c r="M52" t="s">
        <v>582</v>
      </c>
    </row>
    <row r="53" spans="5:13" x14ac:dyDescent="0.25">
      <c r="F53" t="s">
        <v>167</v>
      </c>
      <c r="M53" t="s">
        <v>583</v>
      </c>
    </row>
    <row r="54" spans="5:13" x14ac:dyDescent="0.25">
      <c r="F54" t="s">
        <v>144</v>
      </c>
      <c r="M54" t="s">
        <v>173</v>
      </c>
    </row>
    <row r="55" spans="5:13" x14ac:dyDescent="0.25">
      <c r="G55" t="s">
        <v>145</v>
      </c>
      <c r="M55" t="s">
        <v>584</v>
      </c>
    </row>
    <row r="56" spans="5:13" x14ac:dyDescent="0.25">
      <c r="H56" t="s">
        <v>147</v>
      </c>
      <c r="M56" t="s">
        <v>585</v>
      </c>
    </row>
    <row r="57" spans="5:13" x14ac:dyDescent="0.25">
      <c r="G57" t="s">
        <v>149</v>
      </c>
      <c r="M57" t="s">
        <v>586</v>
      </c>
    </row>
    <row r="58" spans="5:13" x14ac:dyDescent="0.25">
      <c r="H58" t="s">
        <v>151</v>
      </c>
      <c r="M58" t="s">
        <v>587</v>
      </c>
    </row>
    <row r="59" spans="5:13" x14ac:dyDescent="0.25">
      <c r="M59" t="s">
        <v>588</v>
      </c>
    </row>
    <row r="60" spans="5:13" x14ac:dyDescent="0.25">
      <c r="M60" t="s">
        <v>589</v>
      </c>
    </row>
    <row r="61" spans="5:13" x14ac:dyDescent="0.25">
      <c r="M61" t="s">
        <v>176</v>
      </c>
    </row>
    <row r="62" spans="5:13" x14ac:dyDescent="0.25">
      <c r="M62" t="s">
        <v>177</v>
      </c>
    </row>
    <row r="63" spans="5:13" x14ac:dyDescent="0.25">
      <c r="M63" t="s">
        <v>178</v>
      </c>
    </row>
    <row r="64" spans="5:13" x14ac:dyDescent="0.25">
      <c r="M64" t="s">
        <v>179</v>
      </c>
    </row>
    <row r="67" spans="13:13" x14ac:dyDescent="0.25">
      <c r="M67" s="97" t="s">
        <v>593</v>
      </c>
    </row>
    <row r="68" spans="13:13" x14ac:dyDescent="0.25">
      <c r="M68" s="97" t="s">
        <v>513</v>
      </c>
    </row>
    <row r="69" spans="13:13" x14ac:dyDescent="0.25">
      <c r="M69" s="97" t="s">
        <v>594</v>
      </c>
    </row>
    <row r="70" spans="13:13" x14ac:dyDescent="0.25">
      <c r="M70" s="97" t="s">
        <v>595</v>
      </c>
    </row>
    <row r="71" spans="13:13" x14ac:dyDescent="0.25">
      <c r="M71" s="97" t="s">
        <v>596</v>
      </c>
    </row>
    <row r="72" spans="13:13" x14ac:dyDescent="0.25">
      <c r="M72" s="97" t="s">
        <v>597</v>
      </c>
    </row>
    <row r="73" spans="13:13" x14ac:dyDescent="0.25">
      <c r="M73" s="97" t="s">
        <v>598</v>
      </c>
    </row>
    <row r="74" spans="13:13" x14ac:dyDescent="0.25">
      <c r="M74" s="97" t="s">
        <v>519</v>
      </c>
    </row>
    <row r="75" spans="13:13" x14ac:dyDescent="0.25">
      <c r="M75" s="97" t="s">
        <v>520</v>
      </c>
    </row>
    <row r="77" spans="13:13" x14ac:dyDescent="0.25">
      <c r="M77" s="98" t="s">
        <v>599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F818-E583-4115-931E-340920F5F09E}">
  <dimension ref="A1:AV60"/>
  <sheetViews>
    <sheetView topLeftCell="A7" workbookViewId="0">
      <selection activeCell="N29" sqref="N29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14.71*4</f>
        <v>58.84</v>
      </c>
      <c r="F1" s="80" t="s">
        <v>71</v>
      </c>
      <c r="G1">
        <v>0.70879999999999999</v>
      </c>
      <c r="I1" s="80" t="s">
        <v>72</v>
      </c>
      <c r="J1">
        <v>0.70609999999999995</v>
      </c>
      <c r="M1" s="80" t="s">
        <v>73</v>
      </c>
      <c r="N1">
        <v>1225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0.16589999999999999</v>
      </c>
      <c r="I2" s="80" t="s">
        <v>75</v>
      </c>
      <c r="J2">
        <v>0.29389999999999999</v>
      </c>
      <c r="M2" s="80" t="s">
        <v>76</v>
      </c>
      <c r="N2">
        <v>280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0.12540000000000001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50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4"/>
      <c r="K11" s="84"/>
    </row>
    <row r="12" spans="1:48" ht="19.5" thickBot="1" x14ac:dyDescent="0.35">
      <c r="F12" s="84"/>
      <c r="G12" s="84"/>
      <c r="H12" s="84"/>
      <c r="I12" s="84"/>
      <c r="J12" s="84"/>
      <c r="K12" s="84"/>
      <c r="V12" t="s">
        <v>92</v>
      </c>
      <c r="AC12" t="s">
        <v>93</v>
      </c>
    </row>
    <row r="13" spans="1:48" ht="20.25" thickTop="1" thickBot="1" x14ac:dyDescent="0.35">
      <c r="F13" s="84"/>
      <c r="G13" s="84"/>
      <c r="H13" s="84"/>
      <c r="I13" s="84"/>
      <c r="J13" s="84"/>
      <c r="K13" s="84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4"/>
      <c r="G14" s="84"/>
      <c r="H14" s="84" t="s">
        <v>96</v>
      </c>
      <c r="I14" s="84"/>
      <c r="J14" s="84"/>
      <c r="K14" s="84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4"/>
      <c r="M15" s="134" t="s">
        <v>101</v>
      </c>
      <c r="N15" s="135"/>
      <c r="O15" s="135"/>
      <c r="P15" s="135"/>
      <c r="Q15" s="136"/>
      <c r="R15" s="84"/>
      <c r="T15" s="118" t="s">
        <v>102</v>
      </c>
      <c r="U15" s="119"/>
      <c r="V15" s="119"/>
      <c r="W15" s="119"/>
      <c r="X15" s="120"/>
      <c r="Y15" s="84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s="17" customFormat="1" x14ac:dyDescent="0.25">
      <c r="A17" s="17">
        <v>1</v>
      </c>
      <c r="B17" s="17">
        <v>595</v>
      </c>
      <c r="C17" s="17" t="s">
        <v>180</v>
      </c>
      <c r="D17" s="17">
        <v>60</v>
      </c>
      <c r="F17" s="83">
        <f>COUNTIF(T_p1213519[stack],"&gt;0")</f>
        <v>2</v>
      </c>
      <c r="G17" s="17">
        <f>IF(T_init20344[[#This Row],[p]]=1,mainpot+sidepot1+sidepot2+uncalled,IF(T_init20344[[#This Row],[p]]&gt;1,0,T_init20344[[#This Row],[stack]]-T_init20344[[#This Row],[anteblinds]]))</f>
        <v>1555</v>
      </c>
      <c r="H17" s="17">
        <v>0.77749999999999997</v>
      </c>
      <c r="I17" s="18">
        <f>T_p1213519[[#This Row],[EQ]]*prize</f>
        <v>45.748100000000001</v>
      </c>
      <c r="J17" s="67">
        <f>IF(T_init20344[[#This Row],[p]]=1,T_p1213519[[#This Row],[players]]*T_p1213519[[#This Row],[stack]]/chips+COUNTIF(T_p1213519[stack],0),T_p1213519[[#This Row],[players]]*T_p1213519[[#This Row],[stack]]/chips)</f>
        <v>5.5549999999999997</v>
      </c>
      <c r="K17" s="67">
        <f>T_p1213519[[#This Row],[ICM]]+bounty*T_p1213519[[#This Row],[KO]]</f>
        <v>45.748100000000001</v>
      </c>
      <c r="M17" s="19">
        <f>COUNTIF(T_p2223625[stack],"&gt;0")</f>
        <v>3</v>
      </c>
      <c r="N17" s="17">
        <f>IF(T_init20344[[#This Row],[p]]=1,uncalled,IF(T_init20344[[#This Row],[p]]=2,mainpot+sidepot1+sidepot2,IF(T_init20344[[#This Row],[p]]&gt;2,0,T_init20344[[#This Row],[stack]]-T_init20344[[#This Row],[anteblinds]])))</f>
        <v>50</v>
      </c>
      <c r="O17" s="17">
        <v>2.5000000000000001E-2</v>
      </c>
      <c r="P17" s="18">
        <f>T_p2223625[[#This Row],[EQ]]*prize</f>
        <v>1.4710000000000001</v>
      </c>
      <c r="Q17" s="67">
        <f>IF(T_init20344[[#This Row],[p]]=2,T_p2223625[[#This Row],[players]]*T_p2223625[[#This Row],[stack]]/chips+COUNTIF(T_p2223625[stack],0),T_p2223625[[#This Row],[players]]*T_p2223625[[#This Row],[stack]]/chips)</f>
        <v>7.4999999999999997E-2</v>
      </c>
      <c r="R17" s="67">
        <f>T_p2223625[[#This Row],[ICM]]+bounty*T_p2223625[[#This Row],[KO]]</f>
        <v>1.4710000000000001</v>
      </c>
      <c r="T17" s="83">
        <f>COUNTIF(T_p3p1233726[stack],"&gt;0")</f>
        <v>3</v>
      </c>
      <c r="U17" s="17">
        <f>IF(T_init20344[[#This Row],[p]]=1,sidepot1+uncalled,IF(T_init20344[[#This Row],[p]]=3,mainpot,IF(ISBLANK(T_init20344[[#This Row],[p]]),T_init20344[[#This Row],[stack]]-T_init20344[[#This Row],[anteblinds]],0)))</f>
        <v>330</v>
      </c>
      <c r="V17" s="17">
        <v>0.16500000000000001</v>
      </c>
      <c r="W17" s="18">
        <f>T_p3p1233726[[#This Row],[EQ]]*prize</f>
        <v>9.7086000000000006</v>
      </c>
      <c r="X17" s="67">
        <f>IF(T_init20344[[#This Row],[p]]=1,T_p3p1233726[[#This Row],[players]]*T_p3p1233726[[#This Row],[stack]]/chips+COUNTIF(T_p3p1233726[stack],0),T_p3p1233726[[#This Row],[players]]*T_p3p1233726[[#This Row],[stack]]/chips)</f>
        <v>3.4950000000000001</v>
      </c>
      <c r="Y17" s="67">
        <f>T_p3p1233726[[#This Row],[ICM]]+bounty*T_p3p1233726[[#This Row],[KO]]</f>
        <v>9.7086000000000006</v>
      </c>
      <c r="AA17" s="83">
        <f>COUNTIF(T_p3p2243827[stack],"&gt;0")</f>
        <v>4</v>
      </c>
      <c r="AB17" s="17">
        <f>IF(T_init20344[[#This Row],[p]]=1,uncalled,IF(T_init20344[[#This Row],[p]]=2,sidepot1,IF(T_init20344[[#This Row],[p]]=3,mainpot,IF(ISBLANK(T_init20344[[#This Row],[p]]),T_init20344[[#This Row],[stack]]-T_init20344[[#This Row],[anteblinds]],0))))</f>
        <v>50</v>
      </c>
      <c r="AC17" s="17">
        <v>2.5000000000000001E-2</v>
      </c>
      <c r="AD17" s="18">
        <f>T_p3p2243827[[#This Row],[EQ]]*prize</f>
        <v>1.4710000000000001</v>
      </c>
      <c r="AE17" s="67">
        <f>IF(T_init20344[[#This Row],[p]]=2,T_p3p2243827[[#This Row],[players]]*T_p3p2243827[[#This Row],[stack]]/chips+COUNTIF(T_p3p2243827[stack],0),T_p3p2243827[[#This Row],[players]]*T_p3p2243827[[#This Row],[stack]]/chips)</f>
        <v>0.1</v>
      </c>
      <c r="AF17" s="67">
        <f>T_p3p2243827[[#This Row],[ICM]]+bounty*T_p3p2243827[[#This Row],[KO]]</f>
        <v>1.4710000000000001</v>
      </c>
      <c r="AI17" s="83">
        <v>4</v>
      </c>
      <c r="AJ17" s="17">
        <v>50</v>
      </c>
      <c r="AK17" s="17">
        <v>2.5000000000000001E-2</v>
      </c>
      <c r="AL17" s="18">
        <f>T_fact293928[[#This Row],[EQ]]*prize</f>
        <v>1.4710000000000001</v>
      </c>
      <c r="AM17" s="67">
        <f>IF(T_init20344[[#This Row],[p]]=1,T_fact293928[[#This Row],[players]]*T_fact293928[[#This Row],[stack]]/chips+COUNTIF(T_fact293928[stack],0),T_fact293928[[#This Row],[players]]*T_fact293928[[#This Row],[stack]]/chips)</f>
        <v>2.1</v>
      </c>
      <c r="AN17" s="67">
        <f>T_fact293928[[#This Row],[ICM]]+bounty*T_fact293928[[#This Row],[KO]]</f>
        <v>1.4710000000000001</v>
      </c>
      <c r="AQ17" s="69">
        <f>'3w9h9s'!p3win* ('3w9h9s'!p1sp1win*T_p3p1233726[[#This Row],[ICM]] + '3w9h9s'!p2sp1win*T_p3p2243827[[#This Row],[ICM]])
+'3w9h9s'!p2win*T_p2223625[[#This Row],[ICM]]
+'3w9h9s'!p1win*T_p1213519[[#This Row],[ICM]]</f>
        <v>33.584153377743995</v>
      </c>
      <c r="AR17" s="23">
        <f>('3w9h9s'!p3win* ('3w9h9s'!p1sp1win*T_p3p1233726[[#This Row],[KO]] + '3w9h9s'!p2sp1win*T_p3p2243827[[#This Row],[KO]])
+'3w9h9s'!p2win*T_p2223625[[#This Row],[KO]]
+'3w9h9s'!p1win*T_p1213519[[#This Row],[KO]])*bounty</f>
        <v>0</v>
      </c>
      <c r="AS17" s="69">
        <f>'3w9h9s'!p3win* ('3w9h9s'!p1sp1win*T_p3p1233726[[#This Row],[$stack]] + '3w9h9s'!p2sp1win*T_p3p2243827[[#This Row],[$stack]])
+'3w9h9s'!p2win*T_p2223625[[#This Row],[$stack]]
+'3w9h9s'!p1win*T_p1213519[[#This Row],[$stack]]</f>
        <v>33.584153377743995</v>
      </c>
      <c r="AT17" s="23">
        <f>'3w9h9s'!p3win* ('3w9h9s'!p1sp1win*T_p3p1233726[[#This Row],[stack]] + '3w9h9s'!p2sp1win*T_p3p2243827[[#This Row],[stack]])
+'3w9h9s'!p2win*T_p2223625[[#This Row],[stack]]
+'3w9h9s'!p1win*T_p1213519[[#This Row],[stack]]</f>
        <v>1141.5415831999999</v>
      </c>
      <c r="AU17" s="18">
        <f>T_EV334030[[#This Row],[chipEV]]-T_fact293928[[#This Row],[stack]]</f>
        <v>1091.5415831999999</v>
      </c>
      <c r="AV17" s="18">
        <f>T_EV334030[[#This Row],[EV]]-(T_fact293928[[#This Row],[ICM]]+bounty*T_fact293928[[#This Row],[KO]])</f>
        <v>32.113153377743998</v>
      </c>
    </row>
    <row r="18" spans="1:48" x14ac:dyDescent="0.25">
      <c r="B18">
        <v>455</v>
      </c>
      <c r="D18">
        <v>10</v>
      </c>
      <c r="F18" s="5">
        <f>COUNTIF(T_p1213519[stack],"&gt;0")</f>
        <v>2</v>
      </c>
      <c r="G18">
        <f>IF(T_init20344[[#This Row],[p]]=1,mainpot+sidepot1+sidepot2+uncalled,IF(T_init20344[[#This Row],[p]]&gt;1,0,T_init20344[[#This Row],[stack]]-T_init20344[[#This Row],[anteblinds]]))</f>
        <v>445</v>
      </c>
      <c r="H18">
        <v>0.2225</v>
      </c>
      <c r="I18" s="2">
        <f>T_p1213519[[#This Row],[EQ]]*prize</f>
        <v>13.091900000000001</v>
      </c>
      <c r="J18" s="66">
        <f>IF(T_init20344[[#This Row],[p]]=1,T_p1213519[[#This Row],[players]]*T_p1213519[[#This Row],[stack]]/chips+COUNTIF(T_p1213519[stack],0),T_p1213519[[#This Row],[players]]*T_p1213519[[#This Row],[stack]]/chips)</f>
        <v>0.44500000000000001</v>
      </c>
      <c r="K18" s="66">
        <f>T_p1213519[[#This Row],[ICM]]+bounty*T_p1213519[[#This Row],[KO]]</f>
        <v>13.091900000000001</v>
      </c>
      <c r="M18" s="10">
        <f>COUNTIF(T_p2223625[stack],"&gt;0")</f>
        <v>3</v>
      </c>
      <c r="N18" s="26">
        <f>IF(T_init20344[[#This Row],[p]]=1,uncalled,IF(T_init20344[[#This Row],[p]]=2,mainpot+sidepot1+sidepot2,IF(T_init20344[[#This Row],[p]]&gt;2,0,T_init20344[[#This Row],[stack]]-T_init20344[[#This Row],[anteblinds]])))</f>
        <v>445</v>
      </c>
      <c r="O18">
        <v>0.2225</v>
      </c>
      <c r="P18" s="2">
        <f>T_p2223625[[#This Row],[EQ]]*prize</f>
        <v>13.091900000000001</v>
      </c>
      <c r="Q18" s="66">
        <f>IF(T_init20344[[#This Row],[p]]=2,T_p2223625[[#This Row],[players]]*T_p2223625[[#This Row],[stack]]/chips+COUNTIF(T_p2223625[stack],0),T_p2223625[[#This Row],[players]]*T_p2223625[[#This Row],[stack]]/chips)</f>
        <v>0.66749999999999998</v>
      </c>
      <c r="R18" s="66">
        <f>T_p2223625[[#This Row],[ICM]]+bounty*T_p2223625[[#This Row],[KO]]</f>
        <v>13.091900000000001</v>
      </c>
      <c r="T18" s="5">
        <f>COUNTIF(T_p3p1233726[stack],"&gt;0")</f>
        <v>3</v>
      </c>
      <c r="U18" s="26">
        <f>IF(T_init20344[[#This Row],[p]]=1,sidepot1+uncalled,IF(T_init20344[[#This Row],[p]]=3,mainpot,IF(ISBLANK(T_init20344[[#This Row],[p]]),T_init20344[[#This Row],[stack]]-T_init20344[[#This Row],[anteblinds]],0)))</f>
        <v>445</v>
      </c>
      <c r="V18">
        <v>0.2225</v>
      </c>
      <c r="W18" s="2">
        <f>T_p3p1233726[[#This Row],[EQ]]*prize</f>
        <v>13.091900000000001</v>
      </c>
      <c r="X18" s="66">
        <f>IF(T_init20344[[#This Row],[p]]=1,T_p3p1233726[[#This Row],[players]]*T_p3p1233726[[#This Row],[stack]]/chips+COUNTIF(T_p3p1233726[stack],0),T_p3p1233726[[#This Row],[players]]*T_p3p1233726[[#This Row],[stack]]/chips)</f>
        <v>0.66749999999999998</v>
      </c>
      <c r="Y18" s="66">
        <f>T_p3p1233726[[#This Row],[ICM]]+bounty*T_p3p1233726[[#This Row],[KO]]</f>
        <v>13.091900000000001</v>
      </c>
      <c r="AA18" s="5">
        <f>COUNTIF(T_p3p2243827[stack],"&gt;0")</f>
        <v>4</v>
      </c>
      <c r="AB18">
        <f>IF(T_init20344[[#This Row],[p]]=1,uncalled,IF(T_init20344[[#This Row],[p]]=2,sidepot1,IF(T_init20344[[#This Row],[p]]=3,mainpot,IF(ISBLANK(T_init20344[[#This Row],[p]]),T_init20344[[#This Row],[stack]]-T_init20344[[#This Row],[anteblinds]],0))))</f>
        <v>445</v>
      </c>
      <c r="AC18">
        <v>0.2225</v>
      </c>
      <c r="AD18" s="2">
        <f>T_p3p2243827[[#This Row],[EQ]]*prize</f>
        <v>13.091900000000001</v>
      </c>
      <c r="AE18" s="66">
        <f>IF(T_init20344[[#This Row],[p]]=2,T_p3p2243827[[#This Row],[players]]*T_p3p2243827[[#This Row],[stack]]/chips+COUNTIF(T_p3p2243827[stack],0),T_p3p2243827[[#This Row],[players]]*T_p3p2243827[[#This Row],[stack]]/chips)</f>
        <v>0.89</v>
      </c>
      <c r="AF18" s="16">
        <f>T_p3p2243827[[#This Row],[ICM]]+bounty*T_p3p2243827[[#This Row],[KO]]</f>
        <v>13.091900000000001</v>
      </c>
      <c r="AI18" s="73">
        <v>4</v>
      </c>
      <c r="AJ18" s="26">
        <v>445</v>
      </c>
      <c r="AK18">
        <v>0.2225</v>
      </c>
      <c r="AL18" s="2">
        <f>T_fact293928[[#This Row],[EQ]]*prize</f>
        <v>13.091900000000001</v>
      </c>
      <c r="AM18" s="66">
        <f>IF(T_init20344[[#This Row],[p]]=1,T_fact293928[[#This Row],[players]]*T_fact293928[[#This Row],[stack]]/chips+COUNTIF(T_fact293928[stack],0),T_fact293928[[#This Row],[players]]*T_fact293928[[#This Row],[stack]]/chips)</f>
        <v>0.89</v>
      </c>
      <c r="AN18" s="16">
        <f>T_fact293928[[#This Row],[ICM]]+bounty*T_fact293928[[#This Row],[KO]]</f>
        <v>13.091900000000001</v>
      </c>
      <c r="AQ18" s="68">
        <f>'3w9h9s'!p3win* ('3w9h9s'!p1sp1win*T_p3p1233726[[#This Row],[ICM]] + '3w9h9s'!p2sp1win*T_p3p2243827[[#This Row],[ICM]])
+'3w9h9s'!p2win*T_p2223625[[#This Row],[ICM]]
+'3w9h9s'!p1win*T_p1213519[[#This Row],[ICM]]</f>
        <v>13.09320919</v>
      </c>
      <c r="AR18" s="68">
        <f>('3w9h9s'!p3win* ('3w9h9s'!p1sp1win*T_p3p1233726[[#This Row],[KO]] + '3w9h9s'!p2sp1win*T_p3p2243827[[#This Row],[KO]])
+'3w9h9s'!p2win*T_p2223625[[#This Row],[KO]]
+'3w9h9s'!p1win*T_p1213519[[#This Row],[KO]])*bounty</f>
        <v>0</v>
      </c>
      <c r="AS18" s="68">
        <f>'3w9h9s'!p3win* ('3w9h9s'!p1sp1win*T_p3p1233726[[#This Row],[$stack]] + '3w9h9s'!p2sp1win*T_p3p2243827[[#This Row],[$stack]])
+'3w9h9s'!p2win*T_p2223625[[#This Row],[$stack]]
+'3w9h9s'!p1win*T_p1213519[[#This Row],[$stack]]</f>
        <v>13.09320919</v>
      </c>
      <c r="AT18" s="68">
        <f>'3w9h9s'!p3win* ('3w9h9s'!p1sp1win*T_p3p1233726[[#This Row],[stack]] + '3w9h9s'!p2sp1win*T_p3p2243827[[#This Row],[stack]])
+'3w9h9s'!p2win*T_p2223625[[#This Row],[stack]]
+'3w9h9s'!p1win*T_p1213519[[#This Row],[stack]]</f>
        <v>445.04449999999997</v>
      </c>
      <c r="AU18" s="2">
        <f>T_EV334030[[#This Row],[chipEV]]-T_fact293928[[#This Row],[stack]]</f>
        <v>4.4499999999970896E-2</v>
      </c>
      <c r="AV18" s="2">
        <f>T_EV334030[[#This Row],[EV]]-(T_fact293928[[#This Row],[ICM]]+bounty*T_fact293928[[#This Row],[KO]])</f>
        <v>1.3091899999988499E-3</v>
      </c>
    </row>
    <row r="19" spans="1:48" x14ac:dyDescent="0.25">
      <c r="A19">
        <v>3</v>
      </c>
      <c r="B19">
        <v>405</v>
      </c>
      <c r="C19" s="26" t="s">
        <v>181</v>
      </c>
      <c r="D19">
        <v>10</v>
      </c>
      <c r="F19" s="5">
        <f>COUNTIF(T_p1213519[stack],"&gt;0")</f>
        <v>2</v>
      </c>
      <c r="G19">
        <f>IF(T_init20344[[#This Row],[p]]=1,mainpot+sidepot1+sidepot2+uncalled,IF(T_init20344[[#This Row],[p]]&gt;1,0,T_init20344[[#This Row],[stack]]-T_init20344[[#This Row],[anteblinds]]))</f>
        <v>0</v>
      </c>
      <c r="I19" s="2">
        <f>T_p1213519[[#This Row],[EQ]]*prize</f>
        <v>0</v>
      </c>
      <c r="J19" s="66">
        <f>IF(T_init20344[[#This Row],[p]]=1,T_p1213519[[#This Row],[players]]*T_p1213519[[#This Row],[stack]]/chips+COUNTIF(T_p1213519[stack],0),T_p1213519[[#This Row],[players]]*T_p1213519[[#This Row],[stack]]/chips)</f>
        <v>0</v>
      </c>
      <c r="K19" s="66">
        <f>T_p1213519[[#This Row],[ICM]]+bounty*T_p1213519[[#This Row],[KO]]</f>
        <v>0</v>
      </c>
      <c r="M19" s="10">
        <f>COUNTIF(T_p2223625[stack],"&gt;0")</f>
        <v>3</v>
      </c>
      <c r="N19" s="26">
        <f>IF(T_init20344[[#This Row],[p]]=1,uncalled,IF(T_init20344[[#This Row],[p]]=2,mainpot+sidepot1+sidepot2,IF(T_init20344[[#This Row],[p]]&gt;2,0,T_init20344[[#This Row],[stack]]-T_init20344[[#This Row],[anteblinds]])))</f>
        <v>0</v>
      </c>
      <c r="P19" s="2">
        <f>T_p2223625[[#This Row],[EQ]]*prize</f>
        <v>0</v>
      </c>
      <c r="Q19" s="66">
        <f>IF(T_init20344[[#This Row],[p]]=2,T_p2223625[[#This Row],[players]]*T_p2223625[[#This Row],[stack]]/chips+COUNTIF(T_p2223625[stack],0),T_p2223625[[#This Row],[players]]*T_p2223625[[#This Row],[stack]]/chips)</f>
        <v>0</v>
      </c>
      <c r="R19" s="66">
        <f>T_p2223625[[#This Row],[ICM]]+bounty*T_p2223625[[#This Row],[KO]]</f>
        <v>0</v>
      </c>
      <c r="T19" s="5">
        <f>COUNTIF(T_p3p1233726[stack],"&gt;0")</f>
        <v>3</v>
      </c>
      <c r="U19" s="26">
        <f>IF(T_init20344[[#This Row],[p]]=1,sidepot1+uncalled,IF(T_init20344[[#This Row],[p]]=3,mainpot,IF(ISBLANK(T_init20344[[#This Row],[p]]),T_init20344[[#This Row],[stack]]-T_init20344[[#This Row],[anteblinds]],0)))</f>
        <v>1225</v>
      </c>
      <c r="V19">
        <v>0.61250000000000004</v>
      </c>
      <c r="W19" s="2">
        <f>T_p3p1233726[[#This Row],[EQ]]*prize</f>
        <v>36.039500000000004</v>
      </c>
      <c r="X19" s="66">
        <f>IF(T_init20344[[#This Row],[p]]=1,T_p3p1233726[[#This Row],[players]]*T_p3p1233726[[#This Row],[stack]]/chips+COUNTIF(T_p3p1233726[stack],0),T_p3p1233726[[#This Row],[players]]*T_p3p1233726[[#This Row],[stack]]/chips)</f>
        <v>1.8374999999999999</v>
      </c>
      <c r="Y19" s="66">
        <f>T_p3p1233726[[#This Row],[ICM]]+bounty*T_p3p1233726[[#This Row],[KO]]</f>
        <v>36.039500000000004</v>
      </c>
      <c r="AA19" s="5">
        <f>COUNTIF(T_p3p2243827[stack],"&gt;0")</f>
        <v>4</v>
      </c>
      <c r="AB19">
        <f>IF(T_init20344[[#This Row],[p]]=1,uncalled,IF(T_init20344[[#This Row],[p]]=2,sidepot1,IF(T_init20344[[#This Row],[p]]=3,mainpot,IF(ISBLANK(T_init20344[[#This Row],[p]]),T_init20344[[#This Row],[stack]]-T_init20344[[#This Row],[anteblinds]],0))))</f>
        <v>1225</v>
      </c>
      <c r="AC19">
        <v>0.61250000000000004</v>
      </c>
      <c r="AD19" s="2">
        <f>T_p3p2243827[[#This Row],[EQ]]*prize</f>
        <v>36.039500000000004</v>
      </c>
      <c r="AE19" s="66">
        <f>IF(T_init20344[[#This Row],[p]]=2,T_p3p2243827[[#This Row],[players]]*T_p3p2243827[[#This Row],[stack]]/chips+COUNTIF(T_p3p2243827[stack],0),T_p3p2243827[[#This Row],[players]]*T_p3p2243827[[#This Row],[stack]]/chips)</f>
        <v>2.4500000000000002</v>
      </c>
      <c r="AF19" s="16">
        <f>T_p3p2243827[[#This Row],[ICM]]+bounty*T_p3p2243827[[#This Row],[KO]]</f>
        <v>36.039500000000004</v>
      </c>
      <c r="AI19" s="73">
        <v>4</v>
      </c>
      <c r="AJ19" s="26">
        <v>612</v>
      </c>
      <c r="AK19">
        <v>0.30599999999999999</v>
      </c>
      <c r="AL19" s="2">
        <f>T_fact293928[[#This Row],[EQ]]*prize</f>
        <v>18.005040000000001</v>
      </c>
      <c r="AM19" s="66">
        <f>IF(T_init20344[[#This Row],[p]]=1,T_fact293928[[#This Row],[players]]*T_fact293928[[#This Row],[stack]]/chips+COUNTIF(T_fact293928[stack],0),T_fact293928[[#This Row],[players]]*T_fact293928[[#This Row],[stack]]/chips)</f>
        <v>1.224</v>
      </c>
      <c r="AN19" s="16">
        <f>T_fact293928[[#This Row],[ICM]]+bounty*T_fact293928[[#This Row],[KO]]</f>
        <v>18.005040000000001</v>
      </c>
      <c r="AQ19" s="68">
        <f>'3w9h9s'!p3win* ('3w9h9s'!p1sp1win*T_p3p1233726[[#This Row],[ICM]] + '3w9h9s'!p2sp1win*T_p3p2243827[[#This Row],[ICM]])
+'3w9h9s'!p2win*T_p2223625[[#This Row],[ICM]]
+'3w9h9s'!p1win*T_p1213519[[#This Row],[ICM]]</f>
        <v>4.5193533000000006</v>
      </c>
      <c r="AR19" s="68">
        <f>('3w9h9s'!p3win* ('3w9h9s'!p1sp1win*T_p3p1233726[[#This Row],[KO]] + '3w9h9s'!p2sp1win*T_p3p2243827[[#This Row],[KO]])
+'3w9h9s'!p2win*T_p2223625[[#This Row],[KO]]
+'3w9h9s'!p1win*T_p1213519[[#This Row],[KO]])*bounty</f>
        <v>0</v>
      </c>
      <c r="AS19" s="68">
        <f>'3w9h9s'!p3win* ('3w9h9s'!p1sp1win*T_p3p1233726[[#This Row],[$stack]] + '3w9h9s'!p2sp1win*T_p3p2243827[[#This Row],[$stack]])
+'3w9h9s'!p2win*T_p2223625[[#This Row],[$stack]]
+'3w9h9s'!p1win*T_p1213519[[#This Row],[$stack]]</f>
        <v>4.5193533000000006</v>
      </c>
      <c r="AT19" s="68">
        <f>'3w9h9s'!p3win* ('3w9h9s'!p1sp1win*T_p3p1233726[[#This Row],[stack]] + '3w9h9s'!p2sp1win*T_p3p2243827[[#This Row],[stack]])
+'3w9h9s'!p2win*T_p2223625[[#This Row],[stack]]
+'3w9h9s'!p1win*T_p1213519[[#This Row],[stack]]</f>
        <v>153.61500000000001</v>
      </c>
      <c r="AU19" s="2">
        <f>T_EV334030[[#This Row],[chipEV]]-T_fact293928[[#This Row],[stack]]</f>
        <v>-458.38499999999999</v>
      </c>
      <c r="AV19" s="2">
        <f>T_EV334030[[#This Row],[EV]]-(T_fact293928[[#This Row],[ICM]]+bounty*T_fact293928[[#This Row],[KO]])</f>
        <v>-13.4856867</v>
      </c>
    </row>
    <row r="20" spans="1:48" x14ac:dyDescent="0.25">
      <c r="A20" s="26">
        <v>2</v>
      </c>
      <c r="B20" s="26">
        <v>545</v>
      </c>
      <c r="C20" t="s">
        <v>182</v>
      </c>
      <c r="D20" s="26">
        <v>35</v>
      </c>
      <c r="F20" s="73">
        <f>COUNTIF(T_p1213519[stack],"&gt;0")</f>
        <v>2</v>
      </c>
      <c r="G20" s="26">
        <f>IF(T_init20344[[#This Row],[p]]=1,mainpot+sidepot1+sidepot2+uncalled,IF(T_init20344[[#This Row],[p]]&gt;1,0,T_init20344[[#This Row],[stack]]-T_init20344[[#This Row],[anteblinds]]))</f>
        <v>0</v>
      </c>
      <c r="H20" s="26"/>
      <c r="I20" s="27">
        <f>T_p1213519[[#This Row],[EQ]]*prize</f>
        <v>0</v>
      </c>
      <c r="J20" s="71">
        <f>IF(T_init20344[[#This Row],[p]]=1,T_p1213519[[#This Row],[players]]*T_p1213519[[#This Row],[stack]]/chips+COUNTIF(T_p1213519[stack],0),T_p1213519[[#This Row],[players]]*T_p1213519[[#This Row],[stack]]/chips)</f>
        <v>0</v>
      </c>
      <c r="K20" s="71">
        <f>T_p1213519[[#This Row],[ICM]]+bounty*T_p1213519[[#This Row],[KO]]</f>
        <v>0</v>
      </c>
      <c r="M20" s="29">
        <f>COUNTIF(T_p2223625[stack],"&gt;0")</f>
        <v>3</v>
      </c>
      <c r="N20" s="26">
        <f>IF(T_init20344[[#This Row],[p]]=1,uncalled,IF(T_init20344[[#This Row],[p]]=2,mainpot+sidepot1+sidepot2,IF(T_init20344[[#This Row],[p]]&gt;2,0,T_init20344[[#This Row],[stack]]-T_init20344[[#This Row],[anteblinds]])))</f>
        <v>1505</v>
      </c>
      <c r="O20" s="26">
        <v>0.75249999999999995</v>
      </c>
      <c r="P20" s="27">
        <f>T_p2223625[[#This Row],[EQ]]*prize</f>
        <v>44.277099999999997</v>
      </c>
      <c r="Q20" s="71">
        <f>IF(T_init20344[[#This Row],[p]]=2,T_p2223625[[#This Row],[players]]*T_p2223625[[#This Row],[stack]]/chips+COUNTIF(T_p2223625[stack],0),T_p2223625[[#This Row],[players]]*T_p2223625[[#This Row],[stack]]/chips)</f>
        <v>5.2575000000000003</v>
      </c>
      <c r="R20" s="71">
        <f>T_p2223625[[#This Row],[ICM]]+bounty*T_p2223625[[#This Row],[KO]]</f>
        <v>44.277099999999997</v>
      </c>
      <c r="T20" s="73">
        <f>COUNTIF(T_p3p1233726[stack],"&gt;0")</f>
        <v>3</v>
      </c>
      <c r="U20" s="26">
        <f>IF(T_init20344[[#This Row],[p]]=1,sidepot1+uncalled,IF(T_init20344[[#This Row],[p]]=3,mainpot,IF(ISBLANK(T_init20344[[#This Row],[p]]),T_init20344[[#This Row],[stack]]-T_init20344[[#This Row],[anteblinds]],0)))</f>
        <v>0</v>
      </c>
      <c r="V20" s="26">
        <v>0</v>
      </c>
      <c r="W20" s="27">
        <f>T_p3p1233726[[#This Row],[EQ]]*prize</f>
        <v>0</v>
      </c>
      <c r="X20" s="71">
        <f>IF(T_init20344[[#This Row],[p]]=1,T_p3p1233726[[#This Row],[players]]*T_p3p1233726[[#This Row],[stack]]/chips+COUNTIF(T_p3p1233726[stack],0),T_p3p1233726[[#This Row],[players]]*T_p3p1233726[[#This Row],[stack]]/chips)</f>
        <v>0</v>
      </c>
      <c r="Y20" s="71">
        <f>T_p3p1233726[[#This Row],[ICM]]+bounty*T_p3p1233726[[#This Row],[KO]]</f>
        <v>0</v>
      </c>
      <c r="AA20" s="73">
        <f>COUNTIF(T_p3p2243827[stack],"&gt;0")</f>
        <v>4</v>
      </c>
      <c r="AB20" s="26">
        <f>IF(T_init20344[[#This Row],[p]]=1,uncalled,IF(T_init20344[[#This Row],[p]]=2,sidepot1,IF(T_init20344[[#This Row],[p]]=3,mainpot,IF(ISBLANK(T_init20344[[#This Row],[p]]),T_init20344[[#This Row],[stack]]-T_init20344[[#This Row],[anteblinds]],0))))</f>
        <v>280</v>
      </c>
      <c r="AC20" s="26">
        <v>0.14000000000000001</v>
      </c>
      <c r="AD20" s="27">
        <f>T_p3p2243827[[#This Row],[EQ]]*prize</f>
        <v>8.2376000000000005</v>
      </c>
      <c r="AE20" s="71">
        <f>IF(T_init20344[[#This Row],[p]]=2,T_p3p2243827[[#This Row],[players]]*T_p3p2243827[[#This Row],[stack]]/chips+COUNTIF(T_p3p2243827[stack],0),T_p3p2243827[[#This Row],[players]]*T_p3p2243827[[#This Row],[stack]]/chips)</f>
        <v>2.56</v>
      </c>
      <c r="AF20" s="16">
        <f>T_p3p2243827[[#This Row],[ICM]]+bounty*T_p3p2243827[[#This Row],[KO]]</f>
        <v>8.2376000000000005</v>
      </c>
      <c r="AI20" s="73">
        <v>4</v>
      </c>
      <c r="AJ20" s="26">
        <v>893</v>
      </c>
      <c r="AK20" s="26">
        <v>0.44650000000000001</v>
      </c>
      <c r="AL20" s="27">
        <f>T_fact293928[[#This Row],[EQ]]*prize</f>
        <v>26.272060000000003</v>
      </c>
      <c r="AM20" s="71">
        <f>IF(T_init20344[[#This Row],[p]]=1,T_fact293928[[#This Row],[players]]*T_fact293928[[#This Row],[stack]]/chips+COUNTIF(T_fact293928[stack],0),T_fact293928[[#This Row],[players]]*T_fact293928[[#This Row],[stack]]/chips)</f>
        <v>1.786</v>
      </c>
      <c r="AN20" s="16">
        <f>T_fact293928[[#This Row],[ICM]]+bounty*T_fact293928[[#This Row],[KO]]</f>
        <v>26.272060000000003</v>
      </c>
      <c r="AQ20" s="68">
        <f>'3w9h9s'!p3win* ('3w9h9s'!p1sp1win*T_p3p1233726[[#This Row],[ICM]] + '3w9h9s'!p2sp1win*T_p3p2243827[[#This Row],[ICM]])
+'3w9h9s'!p2win*T_p2223625[[#This Row],[ICM]]
+'3w9h9s'!p1win*T_p1213519[[#This Row],[ICM]]</f>
        <v>7.6491681322559995</v>
      </c>
      <c r="AR20" s="72">
        <f>('3w9h9s'!p3win* ('3w9h9s'!p1sp1win*T_p3p1233726[[#This Row],[KO]] + '3w9h9s'!p2sp1win*T_p3p2243827[[#This Row],[KO]])
+'3w9h9s'!p2win*T_p2223625[[#This Row],[KO]]
+'3w9h9s'!p1win*T_p1213519[[#This Row],[KO]])*bounty</f>
        <v>0</v>
      </c>
      <c r="AS20" s="72">
        <f>'3w9h9s'!p3win* ('3w9h9s'!p1sp1win*T_p3p1233726[[#This Row],[$stack]] + '3w9h9s'!p2sp1win*T_p3p2243827[[#This Row],[$stack]])
+'3w9h9s'!p2win*T_p2223625[[#This Row],[$stack]]
+'3w9h9s'!p1win*T_p1213519[[#This Row],[$stack]]</f>
        <v>7.6491681322559995</v>
      </c>
      <c r="AT20" s="72">
        <f>'3w9h9s'!p3win* ('3w9h9s'!p1sp1win*T_p3p1233726[[#This Row],[stack]] + '3w9h9s'!p2sp1win*T_p3p2243827[[#This Row],[stack]])
+'3w9h9s'!p2win*T_p2223625[[#This Row],[stack]]
+'3w9h9s'!p1win*T_p1213519[[#This Row],[stack]]</f>
        <v>259.99891680000002</v>
      </c>
      <c r="AU20" s="2">
        <f>T_EV334030[[#This Row],[chipEV]]-T_fact293928[[#This Row],[stack]]</f>
        <v>-633.00108320000004</v>
      </c>
      <c r="AV20" s="2">
        <f>T_EV334030[[#This Row],[EV]]-(T_fact293928[[#This Row],[ICM]]+bounty*T_fact293928[[#This Row],[KO]])</f>
        <v>-18.622891867744002</v>
      </c>
    </row>
    <row r="21" spans="1:48" x14ac:dyDescent="0.25">
      <c r="B21">
        <v>0</v>
      </c>
      <c r="F21" s="5">
        <f>COUNTIF(T_p1213519[stack],"&gt;0")</f>
        <v>2</v>
      </c>
      <c r="G21">
        <f>IF(T_init20344[[#This Row],[p]]=1,mainpot+sidepot1+sidepot2+uncalled,IF(T_init20344[[#This Row],[p]]&gt;1,0,T_init20344[[#This Row],[stack]]-T_init20344[[#This Row],[anteblinds]]))</f>
        <v>0</v>
      </c>
      <c r="I21" s="2">
        <f>T_p1213519[[#This Row],[EQ]]*prize</f>
        <v>0</v>
      </c>
      <c r="J21" s="66">
        <f>IF(T_init20344[[#This Row],[p]]=1,T_p1213519[[#This Row],[players]]*T_p1213519[[#This Row],[stack]]/chips+COUNTIF(T_p1213519[stack],0),T_p1213519[[#This Row],[players]]*T_p1213519[[#This Row],[stack]]/chips)</f>
        <v>0</v>
      </c>
      <c r="K21" s="66">
        <f>T_p1213519[[#This Row],[ICM]]+bounty*T_p1213519[[#This Row],[KO]]</f>
        <v>0</v>
      </c>
      <c r="M21" s="10">
        <f>COUNTIF(T_p2223625[stack],"&gt;0")</f>
        <v>3</v>
      </c>
      <c r="N21" s="26">
        <f>IF(T_init20344[[#This Row],[p]]=1,uncalled,IF(T_init20344[[#This Row],[p]]=2,mainpot+sidepot1+sidepot2,IF(T_init20344[[#This Row],[p]]&gt;2,0,T_init20344[[#This Row],[stack]]-T_init20344[[#This Row],[anteblinds]])))</f>
        <v>0</v>
      </c>
      <c r="O21">
        <v>0</v>
      </c>
      <c r="P21" s="2">
        <f>T_p2223625[[#This Row],[EQ]]*prize</f>
        <v>0</v>
      </c>
      <c r="Q21" s="66">
        <f>IF(T_init20344[[#This Row],[p]]=2,T_p2223625[[#This Row],[players]]*T_p2223625[[#This Row],[stack]]/chips+COUNTIF(T_p2223625[stack],0),T_p2223625[[#This Row],[players]]*T_p2223625[[#This Row],[stack]]/chips)</f>
        <v>0</v>
      </c>
      <c r="R21" s="66">
        <f>T_p2223625[[#This Row],[ICM]]+bounty*T_p2223625[[#This Row],[KO]]</f>
        <v>0</v>
      </c>
      <c r="T21" s="5">
        <f>COUNTIF(T_p3p1233726[stack],"&gt;0")</f>
        <v>3</v>
      </c>
      <c r="U21" s="26">
        <f>IF(T_init20344[[#This Row],[p]]=1,sidepot1+uncalled,IF(T_init20344[[#This Row],[p]]=3,mainpot,IF(ISBLANK(T_init20344[[#This Row],[p]]),T_init20344[[#This Row],[stack]]-T_init20344[[#This Row],[anteblinds]],0)))</f>
        <v>0</v>
      </c>
      <c r="V21">
        <v>0</v>
      </c>
      <c r="W21" s="2">
        <f>T_p3p1233726[[#This Row],[EQ]]*prize</f>
        <v>0</v>
      </c>
      <c r="X21" s="66">
        <f>IF(T_init20344[[#This Row],[p]]=1,T_p3p1233726[[#This Row],[players]]*T_p3p1233726[[#This Row],[stack]]/chips+COUNTIF(T_p3p1233726[stack],0),T_p3p1233726[[#This Row],[players]]*T_p3p1233726[[#This Row],[stack]]/chips)</f>
        <v>0</v>
      </c>
      <c r="Y21" s="66">
        <f>T_p3p1233726[[#This Row],[ICM]]+bounty*T_p3p1233726[[#This Row],[KO]]</f>
        <v>0</v>
      </c>
      <c r="AA21" s="5">
        <f>COUNTIF(T_p3p2243827[stack],"&gt;0")</f>
        <v>4</v>
      </c>
      <c r="AB21">
        <f>IF(T_init20344[[#This Row],[p]]=1,uncalled,IF(T_init20344[[#This Row],[p]]=2,sidepot1,IF(T_init20344[[#This Row],[p]]=3,mainpot,IF(ISBLANK(T_init20344[[#This Row],[p]]),T_init20344[[#This Row],[stack]]-T_init20344[[#This Row],[anteblinds]],0))))</f>
        <v>0</v>
      </c>
      <c r="AC21">
        <v>0</v>
      </c>
      <c r="AD21" s="2">
        <f>T_p3p2243827[[#This Row],[EQ]]*prize</f>
        <v>0</v>
      </c>
      <c r="AE21" s="66">
        <f>IF(T_init20344[[#This Row],[p]]=2,T_p3p2243827[[#This Row],[players]]*T_p3p2243827[[#This Row],[stack]]/chips+COUNTIF(T_p3p2243827[stack],0),T_p3p2243827[[#This Row],[players]]*T_p3p2243827[[#This Row],[stack]]/chips)</f>
        <v>0</v>
      </c>
      <c r="AF21" s="16">
        <f>T_p3p2243827[[#This Row],[ICM]]+bounty*T_p3p2243827[[#This Row],[KO]]</f>
        <v>0</v>
      </c>
      <c r="AI21" s="73">
        <v>4</v>
      </c>
      <c r="AJ21" s="26">
        <v>0</v>
      </c>
      <c r="AL21" s="2">
        <f>T_fact293928[[#This Row],[EQ]]*prize</f>
        <v>0</v>
      </c>
      <c r="AM21" s="66">
        <f>IF(T_init20344[[#This Row],[p]]=1,T_fact293928[[#This Row],[players]]*T_fact293928[[#This Row],[stack]]/chips+COUNTIF(T_fact293928[stack],0),T_fact293928[[#This Row],[players]]*T_fact293928[[#This Row],[stack]]/chips)</f>
        <v>0</v>
      </c>
      <c r="AN21" s="16">
        <f>T_fact293928[[#This Row],[ICM]]+bounty*T_fact293928[[#This Row],[KO]]</f>
        <v>0</v>
      </c>
      <c r="AQ21" s="68">
        <f>'3w9h9s'!p3win* ('3w9h9s'!p1sp1win*T_p3p1233726[[#This Row],[ICM]] + '3w9h9s'!p2sp1win*T_p3p2243827[[#This Row],[ICM]])
+'3w9h9s'!p2win*T_p2223625[[#This Row],[ICM]]
+'3w9h9s'!p1win*T_p1213519[[#This Row],[ICM]]</f>
        <v>0</v>
      </c>
      <c r="AR21" s="68">
        <f>('3w9h9s'!p3win* ('3w9h9s'!p1sp1win*T_p3p1233726[[#This Row],[KO]] + '3w9h9s'!p2sp1win*T_p3p2243827[[#This Row],[KO]])
+'3w9h9s'!p2win*T_p2223625[[#This Row],[KO]]
+'3w9h9s'!p1win*T_p1213519[[#This Row],[KO]])*bounty</f>
        <v>0</v>
      </c>
      <c r="AS21" s="68">
        <f>'3w9h9s'!p3win* ('3w9h9s'!p1sp1win*T_p3p1233726[[#This Row],[$stack]] + '3w9h9s'!p2sp1win*T_p3p2243827[[#This Row],[$stack]])
+'3w9h9s'!p2win*T_p2223625[[#This Row],[$stack]]
+'3w9h9s'!p1win*T_p1213519[[#This Row],[$stack]]</f>
        <v>0</v>
      </c>
      <c r="AT21" s="68">
        <f>'3w9h9s'!p3win* ('3w9h9s'!p1sp1win*T_p3p1233726[[#This Row],[stack]] + '3w9h9s'!p2sp1win*T_p3p2243827[[#This Row],[stack]])
+'3w9h9s'!p2win*T_p2223625[[#This Row],[stack]]
+'3w9h9s'!p1win*T_p1213519[[#This Row],[stack]]</f>
        <v>0</v>
      </c>
      <c r="AU21" s="2">
        <f>T_EV334030[[#This Row],[chipEV]]-T_fact293928[[#This Row],[stack]]</f>
        <v>0</v>
      </c>
      <c r="AV21" s="2">
        <f>T_EV334030[[#This Row],[EV]]-(T_fact293928[[#This Row],[ICM]]+bounty*T_fact293928[[#This Row],[KO]])</f>
        <v>0</v>
      </c>
    </row>
    <row r="22" spans="1:48" x14ac:dyDescent="0.25">
      <c r="B22">
        <v>0</v>
      </c>
      <c r="F22" s="5">
        <f>COUNTIF(T_p1213519[stack],"&gt;0")</f>
        <v>2</v>
      </c>
      <c r="G22">
        <f>IF(T_init20344[[#This Row],[p]]=1,mainpot+sidepot1+sidepot2+uncalled,IF(T_init20344[[#This Row],[p]]&gt;1,0,T_init20344[[#This Row],[stack]]-T_init20344[[#This Row],[anteblinds]]))</f>
        <v>0</v>
      </c>
      <c r="I22" s="2">
        <f>T_p1213519[[#This Row],[EQ]]*prize</f>
        <v>0</v>
      </c>
      <c r="J22" s="66">
        <f>IF(T_init20344[[#This Row],[p]]=1,T_p1213519[[#This Row],[players]]*T_p1213519[[#This Row],[stack]]/chips+COUNTIF(T_p1213519[stack],0),T_p1213519[[#This Row],[players]]*T_p1213519[[#This Row],[stack]]/chips)</f>
        <v>0</v>
      </c>
      <c r="K22" s="66">
        <f>T_p1213519[[#This Row],[ICM]]+bounty*T_p1213519[[#This Row],[KO]]</f>
        <v>0</v>
      </c>
      <c r="M22" s="10">
        <f>COUNTIF(T_p2223625[stack],"&gt;0")</f>
        <v>3</v>
      </c>
      <c r="N22" s="26">
        <f>IF(T_init20344[[#This Row],[p]]=1,uncalled,IF(T_init20344[[#This Row],[p]]=2,mainpot+sidepot1+sidepot2,IF(T_init20344[[#This Row],[p]]&gt;2,0,T_init20344[[#This Row],[stack]]-T_init20344[[#This Row],[anteblinds]])))</f>
        <v>0</v>
      </c>
      <c r="P22" s="2">
        <f>T_p2223625[[#This Row],[EQ]]*prize</f>
        <v>0</v>
      </c>
      <c r="Q22" s="66">
        <f>IF(T_init20344[[#This Row],[p]]=2,T_p2223625[[#This Row],[players]]*T_p2223625[[#This Row],[stack]]/chips+COUNTIF(T_p2223625[stack],0),T_p2223625[[#This Row],[players]]*T_p2223625[[#This Row],[stack]]/chips)</f>
        <v>0</v>
      </c>
      <c r="R22" s="66">
        <f>T_p2223625[[#This Row],[ICM]]+bounty*T_p2223625[[#This Row],[KO]]</f>
        <v>0</v>
      </c>
      <c r="T22" s="5">
        <f>COUNTIF(T_p3p1233726[stack],"&gt;0")</f>
        <v>3</v>
      </c>
      <c r="U22" s="26">
        <f>IF(T_init20344[[#This Row],[p]]=1,sidepot1+uncalled,IF(T_init20344[[#This Row],[p]]=3,mainpot,IF(ISBLANK(T_init20344[[#This Row],[p]]),T_init20344[[#This Row],[stack]]-T_init20344[[#This Row],[anteblinds]],0)))</f>
        <v>0</v>
      </c>
      <c r="V22">
        <v>0</v>
      </c>
      <c r="W22" s="2">
        <f>T_p3p1233726[[#This Row],[EQ]]*prize</f>
        <v>0</v>
      </c>
      <c r="X22" s="66">
        <f>IF(T_init20344[[#This Row],[p]]=1,T_p3p1233726[[#This Row],[players]]*T_p3p1233726[[#This Row],[stack]]/chips+COUNTIF(T_p3p1233726[stack],0),T_p3p1233726[[#This Row],[players]]*T_p3p1233726[[#This Row],[stack]]/chips)</f>
        <v>0</v>
      </c>
      <c r="Y22" s="66">
        <f>T_p3p1233726[[#This Row],[ICM]]+bounty*T_p3p1233726[[#This Row],[KO]]</f>
        <v>0</v>
      </c>
      <c r="AA22" s="5">
        <f>COUNTIF(T_p3p2243827[stack],"&gt;0")</f>
        <v>4</v>
      </c>
      <c r="AB22">
        <f>IF(T_init20344[[#This Row],[p]]=1,uncalled,IF(T_init20344[[#This Row],[p]]=2,sidepot1,IF(T_init20344[[#This Row],[p]]=3,mainpot,IF(ISBLANK(T_init20344[[#This Row],[p]]),T_init20344[[#This Row],[stack]]-T_init20344[[#This Row],[anteblinds]],0))))</f>
        <v>0</v>
      </c>
      <c r="AC22">
        <v>0</v>
      </c>
      <c r="AD22" s="2">
        <f>T_p3p2243827[[#This Row],[EQ]]*prize</f>
        <v>0</v>
      </c>
      <c r="AE22" s="66">
        <f>IF(T_init20344[[#This Row],[p]]=2,T_p3p2243827[[#This Row],[players]]*T_p3p2243827[[#This Row],[stack]]/chips+COUNTIF(T_p3p2243827[stack],0),T_p3p2243827[[#This Row],[players]]*T_p3p2243827[[#This Row],[stack]]/chips)</f>
        <v>0</v>
      </c>
      <c r="AF22" s="16">
        <f>T_p3p2243827[[#This Row],[ICM]]+bounty*T_p3p2243827[[#This Row],[KO]]</f>
        <v>0</v>
      </c>
      <c r="AI22" s="73">
        <v>4</v>
      </c>
      <c r="AJ22" s="26">
        <v>0</v>
      </c>
      <c r="AL22" s="2">
        <f>T_fact293928[[#This Row],[EQ]]*prize</f>
        <v>0</v>
      </c>
      <c r="AM22" s="66">
        <f>IF(T_init20344[[#This Row],[p]]=1,T_fact293928[[#This Row],[players]]*T_fact293928[[#This Row],[stack]]/chips+COUNTIF(T_fact293928[stack],0),T_fact293928[[#This Row],[players]]*T_fact293928[[#This Row],[stack]]/chips)</f>
        <v>0</v>
      </c>
      <c r="AN22" s="16">
        <f>T_fact293928[[#This Row],[ICM]]+bounty*T_fact293928[[#This Row],[KO]]</f>
        <v>0</v>
      </c>
      <c r="AQ22" s="68">
        <f>'3w9h9s'!p3win* ('3w9h9s'!p1sp1win*T_p3p1233726[[#This Row],[ICM]] + '3w9h9s'!p2sp1win*T_p3p2243827[[#This Row],[ICM]])
+'3w9h9s'!p2win*T_p2223625[[#This Row],[ICM]]
+'3w9h9s'!p1win*T_p1213519[[#This Row],[ICM]]</f>
        <v>0</v>
      </c>
      <c r="AR22" s="68">
        <f>('3w9h9s'!p3win* ('3w9h9s'!p1sp1win*T_p3p1233726[[#This Row],[KO]] + '3w9h9s'!p2sp1win*T_p3p2243827[[#This Row],[KO]])
+'3w9h9s'!p2win*T_p2223625[[#This Row],[KO]]
+'3w9h9s'!p1win*T_p1213519[[#This Row],[KO]])*bounty</f>
        <v>0</v>
      </c>
      <c r="AS22" s="68">
        <f>'3w9h9s'!p3win* ('3w9h9s'!p1sp1win*T_p3p1233726[[#This Row],[$stack]] + '3w9h9s'!p2sp1win*T_p3p2243827[[#This Row],[$stack]])
+'3w9h9s'!p2win*T_p2223625[[#This Row],[$stack]]
+'3w9h9s'!p1win*T_p1213519[[#This Row],[$stack]]</f>
        <v>0</v>
      </c>
      <c r="AT22" s="68">
        <f>'3w9h9s'!p3win* ('3w9h9s'!p1sp1win*T_p3p1233726[[#This Row],[stack]] + '3w9h9s'!p2sp1win*T_p3p2243827[[#This Row],[stack]])
+'3w9h9s'!p2win*T_p2223625[[#This Row],[stack]]
+'3w9h9s'!p1win*T_p1213519[[#This Row],[stack]]</f>
        <v>0</v>
      </c>
      <c r="AU22" s="2">
        <f>T_EV334030[[#This Row],[chipEV]]-T_fact293928[[#This Row],[stack]]</f>
        <v>0</v>
      </c>
      <c r="AV22" s="2">
        <f>T_EV334030[[#This Row],[EV]]-(T_fact293928[[#This Row],[ICM]]+bounty*T_fact293928[[#This Row],[KO]])</f>
        <v>0</v>
      </c>
    </row>
    <row r="23" spans="1:48" x14ac:dyDescent="0.25">
      <c r="A23" t="s">
        <v>95</v>
      </c>
      <c r="D23">
        <f>SUBTOTAL(109,T_init20344[anteblinds])</f>
        <v>115</v>
      </c>
      <c r="F23" s="53"/>
      <c r="G23" s="50">
        <f>SUM(T_p1213519[stack])</f>
        <v>2000</v>
      </c>
      <c r="H23" s="50">
        <f>SUM(T_p1213519[EQ])</f>
        <v>1</v>
      </c>
      <c r="I23" s="50">
        <f>SUM(T_p1213519[ICM])</f>
        <v>58.84</v>
      </c>
      <c r="J23" s="50">
        <f>SUM(T_p1213519[KO])</f>
        <v>6</v>
      </c>
      <c r="K23" s="50">
        <f>SUM(T_p1213519[$stack])</f>
        <v>58.84</v>
      </c>
      <c r="M23" s="53"/>
      <c r="N23" s="55">
        <f>SUM(T_p2223625[stack])</f>
        <v>2000</v>
      </c>
      <c r="O23" s="50">
        <f>SUM(T_p2223625[EQ])</f>
        <v>1</v>
      </c>
      <c r="P23" s="51">
        <f>SUM(T_p2223625[ICM])</f>
        <v>58.839999999999996</v>
      </c>
      <c r="Q23" s="52">
        <f>SUM(T_p2223625[KO])</f>
        <v>6</v>
      </c>
      <c r="R23" s="50">
        <f>SUM(T_p2223625[$stack])</f>
        <v>58.839999999999996</v>
      </c>
      <c r="T23" s="53"/>
      <c r="U23" s="55">
        <f>SUM(T_p3p1233726[stack])</f>
        <v>2000</v>
      </c>
      <c r="V23" s="50">
        <f>SUM(T_p3p1233726[EQ])</f>
        <v>1</v>
      </c>
      <c r="W23" s="51">
        <f>SUM(T_p3p1233726[ICM])</f>
        <v>58.84</v>
      </c>
      <c r="X23" s="52">
        <f>SUM(T_p3p1233726[KO])</f>
        <v>6</v>
      </c>
      <c r="Y23" s="50">
        <f>SUM(T_p3p1233726[$stack])</f>
        <v>58.84</v>
      </c>
      <c r="AA23" s="53"/>
      <c r="AB23" s="55">
        <f>SUM(T_p3p2243827[stack])</f>
        <v>2000</v>
      </c>
      <c r="AC23" s="50">
        <f>SUM(T_p3p2243827[EQ])</f>
        <v>1</v>
      </c>
      <c r="AD23" s="51">
        <f>SUM(T_p3p2243827[ICM])</f>
        <v>58.84</v>
      </c>
      <c r="AE23" s="52">
        <f>SUM(T_p3p2243827[KO])</f>
        <v>6</v>
      </c>
      <c r="AF23" s="50">
        <f>SUM(T_p3p1233726[$stack])</f>
        <v>58.84</v>
      </c>
      <c r="AI23" s="53"/>
      <c r="AJ23" s="55">
        <f>SUM(T_fact293928[stack])</f>
        <v>2000</v>
      </c>
      <c r="AK23" s="50">
        <f>SUM(T_fact293928[EQ])</f>
        <v>1</v>
      </c>
      <c r="AL23" s="51">
        <f>SUM(T_fact293928[ICM])</f>
        <v>58.84</v>
      </c>
      <c r="AM23" s="52">
        <f>SUM(T_fact293928[KO])</f>
        <v>6</v>
      </c>
      <c r="AN23" s="51">
        <f>SUM(T_fact293928[$stack])</f>
        <v>58.84</v>
      </c>
      <c r="AQ23" s="52">
        <f>SUM(T_EV334030[ICM])</f>
        <v>58.845883999999998</v>
      </c>
      <c r="AR23" s="52">
        <f>SUM(T_EV334030[KO])</f>
        <v>0</v>
      </c>
      <c r="AS23" s="52">
        <f>SUM(T_EV334030[EV])</f>
        <v>58.845883999999998</v>
      </c>
      <c r="AT23" s="50">
        <f>SUM(T_EV334030[chipEV])</f>
        <v>2000.1999999999998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183</v>
      </c>
    </row>
    <row r="27" spans="1:48" x14ac:dyDescent="0.25">
      <c r="C27" t="s">
        <v>120</v>
      </c>
      <c r="M27" t="s">
        <v>184</v>
      </c>
    </row>
    <row r="28" spans="1:48" x14ac:dyDescent="0.25">
      <c r="C28" t="s">
        <v>122</v>
      </c>
      <c r="M28" t="s">
        <v>185</v>
      </c>
    </row>
    <row r="29" spans="1:48" x14ac:dyDescent="0.25">
      <c r="M29" t="s">
        <v>186</v>
      </c>
    </row>
    <row r="30" spans="1:48" x14ac:dyDescent="0.25">
      <c r="M30" t="s">
        <v>187</v>
      </c>
    </row>
    <row r="31" spans="1:48" x14ac:dyDescent="0.25">
      <c r="C31" t="s">
        <v>126</v>
      </c>
      <c r="M31" t="s">
        <v>188</v>
      </c>
    </row>
    <row r="32" spans="1:48" x14ac:dyDescent="0.25">
      <c r="M32" t="s">
        <v>189</v>
      </c>
    </row>
    <row r="33" spans="2:13" x14ac:dyDescent="0.25">
      <c r="B33" t="s">
        <v>129</v>
      </c>
      <c r="M33" t="s">
        <v>190</v>
      </c>
    </row>
    <row r="34" spans="2:13" x14ac:dyDescent="0.25">
      <c r="B34" t="s">
        <v>131</v>
      </c>
      <c r="M34" t="s">
        <v>191</v>
      </c>
    </row>
    <row r="35" spans="2:13" x14ac:dyDescent="0.25">
      <c r="C35" t="s">
        <v>133</v>
      </c>
      <c r="M35" t="s">
        <v>192</v>
      </c>
    </row>
    <row r="36" spans="2:13" x14ac:dyDescent="0.25">
      <c r="D36" t="s">
        <v>135</v>
      </c>
      <c r="M36" t="s">
        <v>193</v>
      </c>
    </row>
    <row r="37" spans="2:13" x14ac:dyDescent="0.25">
      <c r="C37" t="s">
        <v>137</v>
      </c>
      <c r="M37" t="s">
        <v>194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195</v>
      </c>
    </row>
    <row r="40" spans="2:13" x14ac:dyDescent="0.25">
      <c r="D40" t="s">
        <v>142</v>
      </c>
      <c r="M40" t="s">
        <v>196</v>
      </c>
    </row>
    <row r="41" spans="2:13" x14ac:dyDescent="0.25">
      <c r="D41" t="s">
        <v>144</v>
      </c>
      <c r="E41" t="s">
        <v>145</v>
      </c>
      <c r="M41" t="s">
        <v>197</v>
      </c>
    </row>
    <row r="42" spans="2:13" x14ac:dyDescent="0.25">
      <c r="F42" t="s">
        <v>147</v>
      </c>
      <c r="M42" t="s">
        <v>198</v>
      </c>
    </row>
    <row r="43" spans="2:13" x14ac:dyDescent="0.25">
      <c r="E43" t="s">
        <v>149</v>
      </c>
      <c r="M43" t="s">
        <v>199</v>
      </c>
    </row>
    <row r="44" spans="2:13" x14ac:dyDescent="0.25">
      <c r="F44" t="s">
        <v>151</v>
      </c>
      <c r="M44" t="s">
        <v>200</v>
      </c>
    </row>
    <row r="45" spans="2:13" x14ac:dyDescent="0.25">
      <c r="M45" t="s">
        <v>201</v>
      </c>
    </row>
    <row r="46" spans="2:13" x14ac:dyDescent="0.25">
      <c r="C46" t="s">
        <v>154</v>
      </c>
      <c r="M46" t="s">
        <v>202</v>
      </c>
    </row>
    <row r="47" spans="2:13" x14ac:dyDescent="0.25">
      <c r="D47" t="s">
        <v>156</v>
      </c>
      <c r="M47" t="s">
        <v>166</v>
      </c>
    </row>
    <row r="48" spans="2:13" x14ac:dyDescent="0.25">
      <c r="D48" t="s">
        <v>158</v>
      </c>
      <c r="E48" t="s">
        <v>145</v>
      </c>
      <c r="M48" t="s">
        <v>203</v>
      </c>
    </row>
    <row r="49" spans="5:13" x14ac:dyDescent="0.25">
      <c r="F49" t="s">
        <v>160</v>
      </c>
      <c r="M49" t="s">
        <v>204</v>
      </c>
    </row>
    <row r="50" spans="5:13" x14ac:dyDescent="0.25">
      <c r="E50" t="s">
        <v>149</v>
      </c>
      <c r="M50" t="s">
        <v>205</v>
      </c>
    </row>
    <row r="51" spans="5:13" x14ac:dyDescent="0.25">
      <c r="F51" t="s">
        <v>163</v>
      </c>
      <c r="M51" t="s">
        <v>206</v>
      </c>
    </row>
    <row r="52" spans="5:13" x14ac:dyDescent="0.25">
      <c r="E52" t="s">
        <v>165</v>
      </c>
      <c r="M52" t="s">
        <v>207</v>
      </c>
    </row>
    <row r="53" spans="5:13" x14ac:dyDescent="0.25">
      <c r="F53" t="s">
        <v>167</v>
      </c>
      <c r="M53" t="s">
        <v>208</v>
      </c>
    </row>
    <row r="54" spans="5:13" x14ac:dyDescent="0.25">
      <c r="F54" t="s">
        <v>144</v>
      </c>
      <c r="M54" t="s">
        <v>173</v>
      </c>
    </row>
    <row r="55" spans="5:13" x14ac:dyDescent="0.25">
      <c r="G55" t="s">
        <v>145</v>
      </c>
      <c r="M55" t="s">
        <v>209</v>
      </c>
    </row>
    <row r="56" spans="5:13" x14ac:dyDescent="0.25">
      <c r="H56" t="s">
        <v>147</v>
      </c>
      <c r="M56" t="s">
        <v>210</v>
      </c>
    </row>
    <row r="57" spans="5:13" x14ac:dyDescent="0.25">
      <c r="G57" t="s">
        <v>149</v>
      </c>
      <c r="M57" t="s">
        <v>211</v>
      </c>
    </row>
    <row r="58" spans="5:13" x14ac:dyDescent="0.25">
      <c r="H58" t="s">
        <v>151</v>
      </c>
      <c r="M58" t="s">
        <v>212</v>
      </c>
    </row>
    <row r="59" spans="5:13" x14ac:dyDescent="0.25">
      <c r="M59" t="s">
        <v>213</v>
      </c>
    </row>
    <row r="60" spans="5:13" x14ac:dyDescent="0.25">
      <c r="M60" t="s">
        <v>214</v>
      </c>
    </row>
  </sheetData>
  <mergeCells count="11">
    <mergeCell ref="AQ15:AT15"/>
    <mergeCell ref="F15:J15"/>
    <mergeCell ref="M15:Q15"/>
    <mergeCell ref="T15:X15"/>
    <mergeCell ref="AA15:AE15"/>
    <mergeCell ref="AI15:AM15"/>
    <mergeCell ref="F10:F11"/>
    <mergeCell ref="T13:AE13"/>
    <mergeCell ref="AQ13:AT13"/>
    <mergeCell ref="T14:AE14"/>
    <mergeCell ref="AQ14:AT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5578-7C0E-4DEE-B9C9-3B1F2A8CCB65}">
  <dimension ref="A1:AV72"/>
  <sheetViews>
    <sheetView workbookViewId="0">
      <selection activeCell="P10" sqref="P10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7.36*4</f>
        <v>29.44</v>
      </c>
      <c r="F1" s="80" t="s">
        <v>71</v>
      </c>
      <c r="G1">
        <v>0.5484</v>
      </c>
      <c r="I1" s="80" t="s">
        <v>72</v>
      </c>
      <c r="J1">
        <v>0.65010000000000001</v>
      </c>
      <c r="M1" s="80" t="s">
        <v>73</v>
      </c>
      <c r="N1">
        <v>520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0.24529999999999999</v>
      </c>
      <c r="I2" s="80" t="s">
        <v>75</v>
      </c>
      <c r="J2">
        <v>0.34989999999999999</v>
      </c>
      <c r="M2" s="80" t="s">
        <v>76</v>
      </c>
      <c r="N2">
        <v>310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0.20630000000000001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515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4"/>
      <c r="K11" s="84"/>
    </row>
    <row r="12" spans="1:48" ht="19.5" thickBot="1" x14ac:dyDescent="0.35">
      <c r="F12" s="84"/>
      <c r="G12" s="84"/>
      <c r="H12" s="84"/>
      <c r="I12" s="84"/>
      <c r="J12" s="84"/>
      <c r="K12" s="84"/>
      <c r="V12" t="s">
        <v>92</v>
      </c>
      <c r="AC12" t="s">
        <v>93</v>
      </c>
    </row>
    <row r="13" spans="1:48" ht="20.25" thickTop="1" thickBot="1" x14ac:dyDescent="0.35">
      <c r="F13" s="84"/>
      <c r="G13" s="84"/>
      <c r="H13" s="84"/>
      <c r="I13" s="84"/>
      <c r="J13" s="84"/>
      <c r="K13" s="84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4"/>
      <c r="G14" s="84"/>
      <c r="H14" s="84" t="s">
        <v>96</v>
      </c>
      <c r="I14" s="84"/>
      <c r="J14" s="84"/>
      <c r="K14" s="84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4"/>
      <c r="M15" s="134" t="s">
        <v>101</v>
      </c>
      <c r="N15" s="135"/>
      <c r="O15" s="135"/>
      <c r="P15" s="135"/>
      <c r="Q15" s="136"/>
      <c r="R15" s="84"/>
      <c r="T15" s="118" t="s">
        <v>102</v>
      </c>
      <c r="U15" s="119"/>
      <c r="V15" s="119"/>
      <c r="W15" s="119"/>
      <c r="X15" s="120"/>
      <c r="Y15" s="84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s="86" customFormat="1" x14ac:dyDescent="0.25">
      <c r="A17" s="86">
        <v>1</v>
      </c>
      <c r="B17" s="86">
        <v>840</v>
      </c>
      <c r="C17" s="86" t="s">
        <v>245</v>
      </c>
      <c r="D17" s="86">
        <v>10</v>
      </c>
      <c r="F17" s="87">
        <f>COUNTIF(T_p12135198289[stack],"&gt;0")</f>
        <v>2</v>
      </c>
      <c r="G17" s="86">
        <f>IF(T_init203448188[[#This Row],[p]]=1,mainpot+sidepot1+sidepot2+uncalled,IF(T_init203448188[[#This Row],[p]]&gt;1,0,T_init203448188[[#This Row],[stack]]-T_init203448188[[#This Row],[anteblinds]]))</f>
        <v>1345</v>
      </c>
      <c r="H17" s="86">
        <v>0.67249999999999999</v>
      </c>
      <c r="I17" s="88">
        <f>T_p12135198289[[#This Row],[EQ]]*prize</f>
        <v>19.798400000000001</v>
      </c>
      <c r="J17" s="89">
        <f>IF(T_init203448188[[#This Row],[p]]=1,T_p12135198289[[#This Row],[players]]*T_p12135198289[[#This Row],[stack]]/chips+COUNTIF(T_p12135198289[stack],0),T_p12135198289[[#This Row],[players]]*T_p12135198289[[#This Row],[stack]]/chips)</f>
        <v>5.3449999999999998</v>
      </c>
      <c r="K17" s="89">
        <f>T_p12135198289[[#This Row],[ICM]]+bounty*T_p12135198289[[#This Row],[KO]]</f>
        <v>19.798400000000001</v>
      </c>
      <c r="M17" s="90">
        <f>COUNTIF(T_p22236258390[stack],"&gt;0")</f>
        <v>3</v>
      </c>
      <c r="N17" s="86">
        <f>IF(T_init203448188[[#This Row],[p]]=1,uncalled,IF(T_init203448188[[#This Row],[p]]=2,mainpot+sidepot1+sidepot2,IF(T_init203448188[[#This Row],[p]]&gt;2,0,T_init203448188[[#This Row],[stack]]-T_init203448188[[#This Row],[anteblinds]])))</f>
        <v>515</v>
      </c>
      <c r="O17" s="86">
        <v>0.25750000000000001</v>
      </c>
      <c r="P17" s="88">
        <f>T_p22236258390[[#This Row],[EQ]]*prize</f>
        <v>7.5808000000000009</v>
      </c>
      <c r="Q17" s="89">
        <f>IF(T_init203448188[[#This Row],[p]]=2,T_p22236258390[[#This Row],[players]]*T_p22236258390[[#This Row],[stack]]/chips+COUNTIF(T_p22236258390[stack],0),T_p22236258390[[#This Row],[players]]*T_p22236258390[[#This Row],[stack]]/chips)</f>
        <v>0.77249999999999996</v>
      </c>
      <c r="R17" s="89">
        <f>T_p22236258390[[#This Row],[ICM]]+bounty*T_p22236258390[[#This Row],[KO]]</f>
        <v>7.5808000000000009</v>
      </c>
      <c r="T17" s="87">
        <f>COUNTIF(T_p3p12337268491[stack],"&gt;0")</f>
        <v>3</v>
      </c>
      <c r="U17" s="86">
        <f>IF(T_init203448188[[#This Row],[p]]=1,sidepot1+uncalled,IF(T_init203448188[[#This Row],[p]]=3,mainpot,IF(ISBLANK(T_init203448188[[#This Row],[p]]),T_init203448188[[#This Row],[stack]]-T_init203448188[[#This Row],[anteblinds]],0)))</f>
        <v>825</v>
      </c>
      <c r="V17" s="86">
        <v>0.41249999999999998</v>
      </c>
      <c r="W17" s="88">
        <f>T_p3p12337268491[[#This Row],[EQ]]*prize</f>
        <v>12.144</v>
      </c>
      <c r="X17" s="89">
        <f>IF(T_init203448188[[#This Row],[p]]=1,T_p3p12337268491[[#This Row],[players]]*T_p3p12337268491[[#This Row],[stack]]/chips+COUNTIF(T_p3p12337268491[stack],0),T_p3p12337268491[[#This Row],[players]]*T_p3p12337268491[[#This Row],[stack]]/chips)</f>
        <v>4.2374999999999998</v>
      </c>
      <c r="Y17" s="89">
        <f>T_p3p12337268491[[#This Row],[ICM]]+bounty*T_p3p12337268491[[#This Row],[KO]]</f>
        <v>12.144</v>
      </c>
      <c r="AA17" s="87">
        <f>COUNTIF(T_p3p22438278592[stack],"&gt;0")</f>
        <v>4</v>
      </c>
      <c r="AB17" s="86">
        <f>IF(T_init203448188[[#This Row],[p]]=1,uncalled,IF(T_init203448188[[#This Row],[p]]=2,sidepot1,IF(T_init203448188[[#This Row],[p]]=3,mainpot,IF(ISBLANK(T_init203448188[[#This Row],[p]]),T_init203448188[[#This Row],[stack]]-T_init203448188[[#This Row],[anteblinds]],0))))</f>
        <v>515</v>
      </c>
      <c r="AC17" s="86">
        <v>0.26</v>
      </c>
      <c r="AD17" s="88">
        <f>T_p3p22438278592[[#This Row],[EQ]]*prize</f>
        <v>7.6544000000000008</v>
      </c>
      <c r="AE17" s="89">
        <f>IF(T_init203448188[[#This Row],[p]]=2,T_p3p22438278592[[#This Row],[players]]*T_p3p22438278592[[#This Row],[stack]]/chips+COUNTIF(T_p3p22438278592[stack],0),T_p3p22438278592[[#This Row],[players]]*T_p3p22438278592[[#This Row],[stack]]/chips)</f>
        <v>1.03</v>
      </c>
      <c r="AF17" s="89">
        <f>T_p3p22438278592[[#This Row],[ICM]]+bounty*T_p3p22438278592[[#This Row],[KO]]</f>
        <v>7.6544000000000008</v>
      </c>
      <c r="AI17" s="87">
        <v>2</v>
      </c>
      <c r="AJ17" s="86">
        <f>IF(T_init203448188[[#This Row],[p]]=1,mainpot+sidepot1+sidepot2+uncalled,IF(T_init203448188[[#This Row],[p]]&gt;1,0,T_init203448188[[#This Row],[stack]]-T_init203448188[[#This Row],[anteblinds]]))</f>
        <v>1345</v>
      </c>
      <c r="AK17" s="86">
        <v>0.67249999999999999</v>
      </c>
      <c r="AL17" s="88">
        <f>T_fact2939288693[[#This Row],[EQ]]*prize</f>
        <v>19.798400000000001</v>
      </c>
      <c r="AM17" s="89">
        <f>IF(T_init203448188[[#This Row],[p]]=1,T_fact2939288693[[#This Row],[players]]*T_fact2939288693[[#This Row],[stack]]/chips+COUNTIF(T_fact2939288693[stack],0),T_fact2939288693[[#This Row],[players]]*T_fact2939288693[[#This Row],[stack]]/chips)</f>
        <v>5.3449999999999998</v>
      </c>
      <c r="AN17" s="89">
        <f>T_fact2939288693[[#This Row],[ICM]]+bounty*T_fact2939288693[[#This Row],[KO]]</f>
        <v>19.798400000000001</v>
      </c>
      <c r="AQ17" s="91">
        <f>'3wKs2s Ден v2'!p3win* ('3wKs2s Ден v2'!p1sp1win*T_p3p12337268491[[#This Row],[ICM]] + '3wKs2s Ден v2'!p2sp1win*T_p3p22438278592[[#This Row],[ICM]])
+'3wKs2s Ден v2'!p2win*T_p22236258390[[#This Row],[ICM]]
+'3wKs2s Ден v2'!p1win*T_p12135198289[[#This Row],[ICM]]</f>
        <v>14.898241052448</v>
      </c>
      <c r="AR17" s="92">
        <f>('3wKs2s Ден v2'!p3win* ('3wKs2s Ден v2'!p1sp1win*T_p3p12337268491[[#This Row],[KO]] + '3wKs2s Ден v2'!p2sp1win*T_p3p22438278592[[#This Row],[KO]])
+'3wKs2s Ден v2'!p2win*T_p22236258390[[#This Row],[KO]]
+'3wKs2s Ден v2'!p1win*T_p12135198289[[#This Row],[KO]])*bounty</f>
        <v>0</v>
      </c>
      <c r="AS17" s="91">
        <f>'3wKs2s Ден v2'!p3win* ('3wKs2s Ден v2'!p1sp1win*T_p3p12337268491[[#This Row],[$stack]] + '3wKs2s Ден v2'!p2sp1win*T_p3p22438278592[[#This Row],[$stack]])
+'3wKs2s Ден v2'!p2win*T_p22236258390[[#This Row],[$stack]]
+'3wKs2s Ден v2'!p1win*T_p12135198289[[#This Row],[$stack]]</f>
        <v>14.898241052448</v>
      </c>
      <c r="AT17" s="92">
        <f>'3wKs2s Ден v2'!p3win* ('3wKs2s Ден v2'!p1sp1win*T_p3p12337268491[[#This Row],[stack]] + '3wKs2s Ден v2'!p2sp1win*T_p3p22438278592[[#This Row],[stack]])
+'3wKs2s Ден v2'!p2win*T_p22236258390[[#This Row],[stack]]
+'3wKs2s Ден v2'!p1win*T_p12135198289[[#This Row],[stack]]</f>
        <v>1011.7478452999999</v>
      </c>
      <c r="AU17" s="88">
        <f>T_EV3340308794[[#This Row],[chipEV]]-T_fact2939288693[[#This Row],[stack]]</f>
        <v>-333.25215470000012</v>
      </c>
      <c r="AV17" s="88">
        <f>T_EV3340308794[[#This Row],[EV]]-(T_fact2939288693[[#This Row],[ICM]]+bounty*T_fact2939288693[[#This Row],[KO]])</f>
        <v>-4.9001589475520007</v>
      </c>
    </row>
    <row r="18" spans="1:48" x14ac:dyDescent="0.25">
      <c r="B18">
        <v>665</v>
      </c>
      <c r="D18">
        <v>10</v>
      </c>
      <c r="F18" s="5">
        <f>COUNTIF(T_p12135198289[stack],"&gt;0")</f>
        <v>2</v>
      </c>
      <c r="G18">
        <f>IF(T_init203448188[[#This Row],[p]]=1,mainpot+sidepot1+sidepot2+uncalled,IF(T_init203448188[[#This Row],[p]]&gt;1,0,T_init203448188[[#This Row],[stack]]-T_init203448188[[#This Row],[anteblinds]]))</f>
        <v>655</v>
      </c>
      <c r="H18">
        <v>0.32750000000000001</v>
      </c>
      <c r="I18" s="2">
        <f>T_p12135198289[[#This Row],[EQ]]*prize</f>
        <v>9.6416000000000004</v>
      </c>
      <c r="J18" s="66">
        <f>IF(T_init203448188[[#This Row],[p]]=1,T_p12135198289[[#This Row],[players]]*T_p12135198289[[#This Row],[stack]]/chips+COUNTIF(T_p12135198289[stack],0),T_p12135198289[[#This Row],[players]]*T_p12135198289[[#This Row],[stack]]/chips)</f>
        <v>0.65500000000000003</v>
      </c>
      <c r="K18" s="66">
        <f>T_p12135198289[[#This Row],[ICM]]+bounty*T_p12135198289[[#This Row],[KO]]</f>
        <v>9.6416000000000004</v>
      </c>
      <c r="M18" s="10">
        <f>COUNTIF(T_p22236258390[stack],"&gt;0")</f>
        <v>3</v>
      </c>
      <c r="N18" s="26">
        <f>IF(T_init203448188[[#This Row],[p]]=1,uncalled,IF(T_init203448188[[#This Row],[p]]=2,mainpot+sidepot1+sidepot2,IF(T_init203448188[[#This Row],[p]]&gt;2,0,T_init203448188[[#This Row],[stack]]-T_init203448188[[#This Row],[anteblinds]])))</f>
        <v>655</v>
      </c>
      <c r="O18">
        <v>0.32750000000000001</v>
      </c>
      <c r="P18" s="2">
        <f>T_p22236258390[[#This Row],[EQ]]*prize</f>
        <v>9.6416000000000004</v>
      </c>
      <c r="Q18" s="66">
        <f>IF(T_init203448188[[#This Row],[p]]=2,T_p22236258390[[#This Row],[players]]*T_p22236258390[[#This Row],[stack]]/chips+COUNTIF(T_p22236258390[stack],0),T_p22236258390[[#This Row],[players]]*T_p22236258390[[#This Row],[stack]]/chips)</f>
        <v>0.98250000000000004</v>
      </c>
      <c r="R18" s="66">
        <f>T_p22236258390[[#This Row],[ICM]]+bounty*T_p22236258390[[#This Row],[KO]]</f>
        <v>9.6416000000000004</v>
      </c>
      <c r="T18" s="5">
        <f>COUNTIF(T_p3p12337268491[stack],"&gt;0")</f>
        <v>3</v>
      </c>
      <c r="U18" s="26">
        <f>IF(T_init203448188[[#This Row],[p]]=1,sidepot1+uncalled,IF(T_init203448188[[#This Row],[p]]=3,mainpot,IF(ISBLANK(T_init203448188[[#This Row],[p]]),T_init203448188[[#This Row],[stack]]-T_init203448188[[#This Row],[anteblinds]],0)))</f>
        <v>655</v>
      </c>
      <c r="V18">
        <v>0.32750000000000001</v>
      </c>
      <c r="W18" s="2">
        <f>T_p3p12337268491[[#This Row],[EQ]]*prize</f>
        <v>9.6416000000000004</v>
      </c>
      <c r="X18" s="66">
        <f>IF(T_init203448188[[#This Row],[p]]=1,T_p3p12337268491[[#This Row],[players]]*T_p3p12337268491[[#This Row],[stack]]/chips+COUNTIF(T_p3p12337268491[stack],0),T_p3p12337268491[[#This Row],[players]]*T_p3p12337268491[[#This Row],[stack]]/chips)</f>
        <v>0.98250000000000004</v>
      </c>
      <c r="Y18" s="66">
        <f>T_p3p12337268491[[#This Row],[ICM]]+bounty*T_p3p12337268491[[#This Row],[KO]]</f>
        <v>9.6416000000000004</v>
      </c>
      <c r="AA18" s="5">
        <f>COUNTIF(T_p3p22438278592[stack],"&gt;0")</f>
        <v>4</v>
      </c>
      <c r="AB18">
        <f>IF(T_init203448188[[#This Row],[p]]=1,uncalled,IF(T_init203448188[[#This Row],[p]]=2,sidepot1,IF(T_init203448188[[#This Row],[p]]=3,mainpot,IF(ISBLANK(T_init203448188[[#This Row],[p]]),T_init203448188[[#This Row],[stack]]-T_init203448188[[#This Row],[anteblinds]],0))))</f>
        <v>655</v>
      </c>
      <c r="AC18">
        <v>0.32750000000000001</v>
      </c>
      <c r="AD18" s="2">
        <f>T_p3p22438278592[[#This Row],[EQ]]*prize</f>
        <v>9.6416000000000004</v>
      </c>
      <c r="AE18" s="66">
        <f>IF(T_init203448188[[#This Row],[p]]=2,T_p3p22438278592[[#This Row],[players]]*T_p3p22438278592[[#This Row],[stack]]/chips+COUNTIF(T_p3p22438278592[stack],0),T_p3p22438278592[[#This Row],[players]]*T_p3p22438278592[[#This Row],[stack]]/chips)</f>
        <v>1.31</v>
      </c>
      <c r="AF18" s="16">
        <f>T_p3p22438278592[[#This Row],[ICM]]+bounty*T_p3p22438278592[[#This Row],[KO]]</f>
        <v>9.6416000000000004</v>
      </c>
      <c r="AI18" s="73">
        <v>2</v>
      </c>
      <c r="AJ18">
        <f>IF(T_init203448188[[#This Row],[p]]=1,mainpot+sidepot1+sidepot2+uncalled,IF(T_init203448188[[#This Row],[p]]&gt;1,0,T_init203448188[[#This Row],[stack]]-T_init203448188[[#This Row],[anteblinds]]))</f>
        <v>655</v>
      </c>
      <c r="AK18">
        <v>0.32750000000000001</v>
      </c>
      <c r="AL18" s="2">
        <f>T_fact2939288693[[#This Row],[EQ]]*prize</f>
        <v>9.6416000000000004</v>
      </c>
      <c r="AM18" s="66">
        <f>IF(T_init203448188[[#This Row],[p]]=1,T_fact2939288693[[#This Row],[players]]*T_fact2939288693[[#This Row],[stack]]/chips+COUNTIF(T_fact2939288693[stack],0),T_fact2939288693[[#This Row],[players]]*T_fact2939288693[[#This Row],[stack]]/chips)</f>
        <v>0.65500000000000003</v>
      </c>
      <c r="AN18" s="16">
        <f>T_fact2939288693[[#This Row],[ICM]]+bounty*T_fact2939288693[[#This Row],[KO]]</f>
        <v>9.6416000000000004</v>
      </c>
      <c r="AQ18" s="68">
        <f>'3wKs2s Ден v2'!p3win* ('3wKs2s Ден v2'!p1sp1win*T_p3p12337268491[[#This Row],[ICM]] + '3wKs2s Ден v2'!p2sp1win*T_p3p22438278592[[#This Row],[ICM]])
+'3wKs2s Ден v2'!p2win*T_p22236258390[[#This Row],[ICM]]
+'3wKs2s Ден v2'!p1win*T_p12135198289[[#This Row],[ICM]]</f>
        <v>9.6416000000000004</v>
      </c>
      <c r="AR18" s="68">
        <f>('3wKs2s Ден v2'!p3win* ('3wKs2s Ден v2'!p1sp1win*T_p3p12337268491[[#This Row],[KO]] + '3wKs2s Ден v2'!p2sp1win*T_p3p22438278592[[#This Row],[KO]])
+'3wKs2s Ден v2'!p2win*T_p22236258390[[#This Row],[KO]]
+'3wKs2s Ден v2'!p1win*T_p12135198289[[#This Row],[KO]])*bounty</f>
        <v>0</v>
      </c>
      <c r="AS18" s="68">
        <f>'3wKs2s Ден v2'!p3win* ('3wKs2s Ден v2'!p1sp1win*T_p3p12337268491[[#This Row],[$stack]] + '3wKs2s Ден v2'!p2sp1win*T_p3p22438278592[[#This Row],[$stack]])
+'3wKs2s Ден v2'!p2win*T_p22236258390[[#This Row],[$stack]]
+'3wKs2s Ден v2'!p1win*T_p12135198289[[#This Row],[$stack]]</f>
        <v>9.6416000000000004</v>
      </c>
      <c r="AT18" s="68">
        <f>'3wKs2s Ден v2'!p3win* ('3wKs2s Ден v2'!p1sp1win*T_p3p12337268491[[#This Row],[stack]] + '3wKs2s Ден v2'!p2sp1win*T_p3p22438278592[[#This Row],[stack]])
+'3wKs2s Ден v2'!p2win*T_p22236258390[[#This Row],[stack]]
+'3wKs2s Ден v2'!p1win*T_p12135198289[[#This Row],[stack]]</f>
        <v>655</v>
      </c>
      <c r="AU18" s="2">
        <f>T_EV3340308794[[#This Row],[chipEV]]-T_fact2939288693[[#This Row],[stack]]</f>
        <v>0</v>
      </c>
      <c r="AV18" s="2">
        <f>T_EV3340308794[[#This Row],[EV]]-(T_fact2939288693[[#This Row],[ICM]]+bounty*T_fact2939288693[[#This Row],[KO]])</f>
        <v>0</v>
      </c>
    </row>
    <row r="19" spans="1:48" s="17" customFormat="1" x14ac:dyDescent="0.25">
      <c r="A19" s="17">
        <v>3</v>
      </c>
      <c r="B19" s="17">
        <v>170</v>
      </c>
      <c r="C19" s="17" t="s">
        <v>246</v>
      </c>
      <c r="D19" s="17">
        <v>60</v>
      </c>
      <c r="F19" s="83">
        <f>COUNTIF(T_p12135198289[stack],"&gt;0")</f>
        <v>2</v>
      </c>
      <c r="G19" s="17">
        <f>IF(T_init203448188[[#This Row],[p]]=1,mainpot+sidepot1+sidepot2+uncalled,IF(T_init203448188[[#This Row],[p]]&gt;1,0,T_init203448188[[#This Row],[stack]]-T_init203448188[[#This Row],[anteblinds]]))</f>
        <v>0</v>
      </c>
      <c r="I19" s="18">
        <f>T_p12135198289[[#This Row],[EQ]]*prize</f>
        <v>0</v>
      </c>
      <c r="J19" s="67">
        <f>IF(T_init203448188[[#This Row],[p]]=1,T_p12135198289[[#This Row],[players]]*T_p12135198289[[#This Row],[stack]]/chips+COUNTIF(T_p12135198289[stack],0),T_p12135198289[[#This Row],[players]]*T_p12135198289[[#This Row],[stack]]/chips)</f>
        <v>0</v>
      </c>
      <c r="K19" s="67">
        <f>T_p12135198289[[#This Row],[ICM]]+bounty*T_p12135198289[[#This Row],[KO]]</f>
        <v>0</v>
      </c>
      <c r="M19" s="19">
        <f>COUNTIF(T_p22236258390[stack],"&gt;0")</f>
        <v>3</v>
      </c>
      <c r="N19" s="17">
        <f>IF(T_init203448188[[#This Row],[p]]=1,uncalled,IF(T_init203448188[[#This Row],[p]]=2,mainpot+sidepot1+sidepot2,IF(T_init203448188[[#This Row],[p]]&gt;2,0,T_init203448188[[#This Row],[stack]]-T_init203448188[[#This Row],[anteblinds]])))</f>
        <v>0</v>
      </c>
      <c r="P19" s="18">
        <f>T_p22236258390[[#This Row],[EQ]]*prize</f>
        <v>0</v>
      </c>
      <c r="Q19" s="67">
        <f>IF(T_init203448188[[#This Row],[p]]=2,T_p22236258390[[#This Row],[players]]*T_p22236258390[[#This Row],[stack]]/chips+COUNTIF(T_p22236258390[stack],0),T_p22236258390[[#This Row],[players]]*T_p22236258390[[#This Row],[stack]]/chips)</f>
        <v>0</v>
      </c>
      <c r="R19" s="67">
        <f>T_p22236258390[[#This Row],[ICM]]+bounty*T_p22236258390[[#This Row],[KO]]</f>
        <v>0</v>
      </c>
      <c r="T19" s="83">
        <f>COUNTIF(T_p3p12337268491[stack],"&gt;0")</f>
        <v>3</v>
      </c>
      <c r="U19" s="17">
        <f>IF(T_init203448188[[#This Row],[p]]=1,sidepot1+uncalled,IF(T_init203448188[[#This Row],[p]]=3,mainpot,IF(ISBLANK(T_init203448188[[#This Row],[p]]),T_init203448188[[#This Row],[stack]]-T_init203448188[[#This Row],[anteblinds]],0)))</f>
        <v>520</v>
      </c>
      <c r="V19" s="17">
        <v>0.26</v>
      </c>
      <c r="W19" s="18">
        <f>T_p3p12337268491[[#This Row],[EQ]]*prize</f>
        <v>7.6544000000000008</v>
      </c>
      <c r="X19" s="67">
        <f>IF(T_init203448188[[#This Row],[p]]=1,T_p3p12337268491[[#This Row],[players]]*T_p3p12337268491[[#This Row],[stack]]/chips+COUNTIF(T_p3p12337268491[stack],0),T_p3p12337268491[[#This Row],[players]]*T_p3p12337268491[[#This Row],[stack]]/chips)</f>
        <v>0.78</v>
      </c>
      <c r="Y19" s="67">
        <f>T_p3p12337268491[[#This Row],[ICM]]+bounty*T_p3p12337268491[[#This Row],[KO]]</f>
        <v>7.6544000000000008</v>
      </c>
      <c r="AA19" s="83">
        <f>COUNTIF(T_p3p22438278592[stack],"&gt;0")</f>
        <v>4</v>
      </c>
      <c r="AB19" s="17">
        <f>IF(T_init203448188[[#This Row],[p]]=1,uncalled,IF(T_init203448188[[#This Row],[p]]=2,sidepot1,IF(T_init203448188[[#This Row],[p]]=3,mainpot,IF(ISBLANK(T_init203448188[[#This Row],[p]]),T_init203448188[[#This Row],[stack]]-T_init203448188[[#This Row],[anteblinds]],0))))</f>
        <v>520</v>
      </c>
      <c r="AC19" s="17">
        <v>0.155</v>
      </c>
      <c r="AD19" s="18">
        <f>T_p3p22438278592[[#This Row],[EQ]]*prize</f>
        <v>4.5632000000000001</v>
      </c>
      <c r="AE19" s="67">
        <f>IF(T_init203448188[[#This Row],[p]]=2,T_p3p22438278592[[#This Row],[players]]*T_p3p22438278592[[#This Row],[stack]]/chips+COUNTIF(T_p3p22438278592[stack],0),T_p3p22438278592[[#This Row],[players]]*T_p3p22438278592[[#This Row],[stack]]/chips)</f>
        <v>1.04</v>
      </c>
      <c r="AF19" s="24">
        <f>T_p3p22438278592[[#This Row],[ICM]]+bounty*T_p3p22438278592[[#This Row],[KO]]</f>
        <v>4.5632000000000001</v>
      </c>
      <c r="AI19" s="83">
        <v>2</v>
      </c>
      <c r="AJ19" s="17">
        <v>0</v>
      </c>
      <c r="AK19" s="17">
        <v>0</v>
      </c>
      <c r="AL19" s="18">
        <f>T_fact2939288693[[#This Row],[EQ]]*prize</f>
        <v>0</v>
      </c>
      <c r="AM19" s="67">
        <f>IF(T_init203448188[[#This Row],[p]]=1,T_fact2939288693[[#This Row],[players]]*T_fact2939288693[[#This Row],[stack]]/chips+COUNTIF(T_fact2939288693[stack],0),T_fact2939288693[[#This Row],[players]]*T_fact2939288693[[#This Row],[stack]]/chips)</f>
        <v>0</v>
      </c>
      <c r="AN19" s="24">
        <f>T_fact2939288693[[#This Row],[ICM]]+bounty*T_fact2939288693[[#This Row],[KO]]</f>
        <v>0</v>
      </c>
      <c r="AQ19" s="69">
        <f>'3wKs2s Ден v2'!p3win* ('3wKs2s Ден v2'!p1sp1win*T_p3p12337268491[[#This Row],[ICM]] + '3wKs2s Ден v2'!p2sp1win*T_p3p22438278592[[#This Row],[ICM]])
+'3wKs2s Ден v2'!p2win*T_p22236258390[[#This Row],[ICM]]
+'3wKs2s Ден v2'!p1win*T_p12135198289[[#This Row],[ICM]]</f>
        <v>1.3559663954560002</v>
      </c>
      <c r="AR19" s="69">
        <f>('3wKs2s Ден v2'!p3win* ('3wKs2s Ден v2'!p1sp1win*T_p3p12337268491[[#This Row],[KO]] + '3wKs2s Ден v2'!p2sp1win*T_p3p22438278592[[#This Row],[KO]])
+'3wKs2s Ден v2'!p2win*T_p22236258390[[#This Row],[KO]]
+'3wKs2s Ден v2'!p1win*T_p12135198289[[#This Row],[KO]])*bounty</f>
        <v>0</v>
      </c>
      <c r="AS19" s="69">
        <f>'3wKs2s Ден v2'!p3win* ('3wKs2s Ден v2'!p1sp1win*T_p3p12337268491[[#This Row],[$stack]] + '3wKs2s Ден v2'!p2sp1win*T_p3p22438278592[[#This Row],[$stack]])
+'3wKs2s Ден v2'!p2win*T_p22236258390[[#This Row],[$stack]]
+'3wKs2s Ден v2'!p1win*T_p12135198289[[#This Row],[$stack]]</f>
        <v>1.3559663954560002</v>
      </c>
      <c r="AT19" s="69">
        <f>'3wKs2s Ден v2'!p3win* ('3wKs2s Ден v2'!p1sp1win*T_p3p12337268491[[#This Row],[stack]] + '3wKs2s Ден v2'!p2sp1win*T_p3p22438278592[[#This Row],[stack]])
+'3wKs2s Ден v2'!p2win*T_p22236258390[[#This Row],[stack]]
+'3wKs2s Ден v2'!p1win*T_p12135198289[[#This Row],[stack]]</f>
        <v>107.27600000000001</v>
      </c>
      <c r="AU19" s="18">
        <f>T_EV3340308794[[#This Row],[chipEV]]-T_fact2939288693[[#This Row],[stack]]</f>
        <v>107.27600000000001</v>
      </c>
      <c r="AV19" s="18">
        <f>T_EV3340308794[[#This Row],[EV]]-(T_fact2939288693[[#This Row],[ICM]]+bounty*T_fact2939288693[[#This Row],[KO]])</f>
        <v>1.3559663954560002</v>
      </c>
    </row>
    <row r="20" spans="1:48" x14ac:dyDescent="0.25">
      <c r="A20" s="26">
        <v>2</v>
      </c>
      <c r="B20" s="26">
        <v>325</v>
      </c>
      <c r="C20" t="s">
        <v>247</v>
      </c>
      <c r="D20" s="26">
        <v>35</v>
      </c>
      <c r="F20" s="73">
        <f>COUNTIF(T_p12135198289[stack],"&gt;0")</f>
        <v>2</v>
      </c>
      <c r="G20" s="26">
        <f>IF(T_init203448188[[#This Row],[p]]=1,mainpot+sidepot1+sidepot2+uncalled,IF(T_init203448188[[#This Row],[p]]&gt;1,0,T_init203448188[[#This Row],[stack]]-T_init203448188[[#This Row],[anteblinds]]))</f>
        <v>0</v>
      </c>
      <c r="H20" s="26"/>
      <c r="I20" s="27">
        <f>T_p12135198289[[#This Row],[EQ]]*prize</f>
        <v>0</v>
      </c>
      <c r="J20" s="71">
        <f>IF(T_init203448188[[#This Row],[p]]=1,T_p12135198289[[#This Row],[players]]*T_p12135198289[[#This Row],[stack]]/chips+COUNTIF(T_p12135198289[stack],0),T_p12135198289[[#This Row],[players]]*T_p12135198289[[#This Row],[stack]]/chips)</f>
        <v>0</v>
      </c>
      <c r="K20" s="71">
        <f>T_p12135198289[[#This Row],[ICM]]+bounty*T_p12135198289[[#This Row],[KO]]</f>
        <v>0</v>
      </c>
      <c r="M20" s="29">
        <f>COUNTIF(T_p22236258390[stack],"&gt;0")</f>
        <v>3</v>
      </c>
      <c r="N20" s="26">
        <f>IF(T_init203448188[[#This Row],[p]]=1,uncalled,IF(T_init203448188[[#This Row],[p]]=2,mainpot+sidepot1+sidepot2,IF(T_init203448188[[#This Row],[p]]&gt;2,0,T_init203448188[[#This Row],[stack]]-T_init203448188[[#This Row],[anteblinds]])))</f>
        <v>830</v>
      </c>
      <c r="O20" s="26">
        <v>0.41499999999999998</v>
      </c>
      <c r="P20" s="27">
        <f>T_p22236258390[[#This Row],[EQ]]*prize</f>
        <v>12.217599999999999</v>
      </c>
      <c r="Q20" s="71">
        <f>IF(T_init203448188[[#This Row],[p]]=2,T_p22236258390[[#This Row],[players]]*T_p22236258390[[#This Row],[stack]]/chips+COUNTIF(T_p22236258390[stack],0),T_p22236258390[[#This Row],[players]]*T_p22236258390[[#This Row],[stack]]/chips)</f>
        <v>4.2450000000000001</v>
      </c>
      <c r="R20" s="71">
        <f>T_p22236258390[[#This Row],[ICM]]+bounty*T_p22236258390[[#This Row],[KO]]</f>
        <v>12.217599999999999</v>
      </c>
      <c r="T20" s="73">
        <f>COUNTIF(T_p3p12337268491[stack],"&gt;0")</f>
        <v>3</v>
      </c>
      <c r="U20" s="26">
        <f>IF(T_init203448188[[#This Row],[p]]=1,sidepot1+uncalled,IF(T_init203448188[[#This Row],[p]]=3,mainpot,IF(ISBLANK(T_init203448188[[#This Row],[p]]),T_init203448188[[#This Row],[stack]]-T_init203448188[[#This Row],[anteblinds]],0)))</f>
        <v>0</v>
      </c>
      <c r="V20" s="26">
        <v>0</v>
      </c>
      <c r="W20" s="27">
        <f>T_p3p12337268491[[#This Row],[EQ]]*prize</f>
        <v>0</v>
      </c>
      <c r="X20" s="71">
        <f>IF(T_init203448188[[#This Row],[p]]=1,T_p3p12337268491[[#This Row],[players]]*T_p3p12337268491[[#This Row],[stack]]/chips+COUNTIF(T_p3p12337268491[stack],0),T_p3p12337268491[[#This Row],[players]]*T_p3p12337268491[[#This Row],[stack]]/chips)</f>
        <v>0</v>
      </c>
      <c r="Y20" s="71">
        <f>T_p3p12337268491[[#This Row],[ICM]]+bounty*T_p3p12337268491[[#This Row],[KO]]</f>
        <v>0</v>
      </c>
      <c r="AA20" s="73">
        <f>COUNTIF(T_p3p22438278592[stack],"&gt;0")</f>
        <v>4</v>
      </c>
      <c r="AB20" s="26">
        <f>IF(T_init203448188[[#This Row],[p]]=1,uncalled,IF(T_init203448188[[#This Row],[p]]=2,sidepot1,IF(T_init203448188[[#This Row],[p]]=3,mainpot,IF(ISBLANK(T_init203448188[[#This Row],[p]]),T_init203448188[[#This Row],[stack]]-T_init203448188[[#This Row],[anteblinds]],0))))</f>
        <v>310</v>
      </c>
      <c r="AC20" s="26">
        <v>0.25750000000000001</v>
      </c>
      <c r="AD20" s="27">
        <f>T_p3p22438278592[[#This Row],[EQ]]*prize</f>
        <v>7.5808000000000009</v>
      </c>
      <c r="AE20" s="71">
        <f>IF(T_init203448188[[#This Row],[p]]=2,T_p3p22438278592[[#This Row],[players]]*T_p3p22438278592[[#This Row],[stack]]/chips+COUNTIF(T_p3p22438278592[stack],0),T_p3p22438278592[[#This Row],[players]]*T_p3p22438278592[[#This Row],[stack]]/chips)</f>
        <v>2.62</v>
      </c>
      <c r="AF20" s="16">
        <f>T_p3p22438278592[[#This Row],[ICM]]+bounty*T_p3p22438278592[[#This Row],[KO]]</f>
        <v>7.5808000000000009</v>
      </c>
      <c r="AI20" s="73">
        <v>2</v>
      </c>
      <c r="AJ20" s="26">
        <v>0</v>
      </c>
      <c r="AK20" s="26">
        <v>0</v>
      </c>
      <c r="AL20" s="27">
        <f>T_fact2939288693[[#This Row],[EQ]]*prize</f>
        <v>0</v>
      </c>
      <c r="AM20" s="71">
        <f>IF(T_init203448188[[#This Row],[p]]=1,T_fact2939288693[[#This Row],[players]]*T_fact2939288693[[#This Row],[stack]]/chips+COUNTIF(T_fact2939288693[stack],0),T_fact2939288693[[#This Row],[players]]*T_fact2939288693[[#This Row],[stack]]/chips)</f>
        <v>0</v>
      </c>
      <c r="AN20" s="16">
        <f>T_fact2939288693[[#This Row],[ICM]]+bounty*T_fact2939288693[[#This Row],[KO]]</f>
        <v>0</v>
      </c>
      <c r="AQ20" s="68">
        <f>'3wKs2s Ден v2'!p3win* ('3wKs2s Ден v2'!p1sp1win*T_p3p12337268491[[#This Row],[ICM]] + '3wKs2s Ден v2'!p2sp1win*T_p3p22438278592[[#This Row],[ICM]])
+'3wKs2s Ден v2'!p2win*T_p22236258390[[#This Row],[ICM]]
+'3wKs2s Ден v2'!p1win*T_p12135198289[[#This Row],[ICM]]</f>
        <v>3.5441925520959998</v>
      </c>
      <c r="AR20" s="72">
        <f>('3wKs2s Ден v2'!p3win* ('3wKs2s Ден v2'!p1sp1win*T_p3p12337268491[[#This Row],[KO]] + '3wKs2s Ден v2'!p2sp1win*T_p3p22438278592[[#This Row],[KO]])
+'3wKs2s Ден v2'!p2win*T_p22236258390[[#This Row],[KO]]
+'3wKs2s Ден v2'!p1win*T_p12135198289[[#This Row],[KO]])*bounty</f>
        <v>0</v>
      </c>
      <c r="AS20" s="72">
        <f>'3wKs2s Ден v2'!p3win* ('3wKs2s Ден v2'!p1sp1win*T_p3p12337268491[[#This Row],[$stack]] + '3wKs2s Ден v2'!p2sp1win*T_p3p22438278592[[#This Row],[$stack]])
+'3wKs2s Ден v2'!p2win*T_p22236258390[[#This Row],[$stack]]
+'3wKs2s Ден v2'!p1win*T_p12135198289[[#This Row],[$stack]]</f>
        <v>3.5441925520959998</v>
      </c>
      <c r="AT20" s="72">
        <f>'3wKs2s Ден v2'!p3win* ('3wKs2s Ден v2'!p1sp1win*T_p3p12337268491[[#This Row],[stack]] + '3wKs2s Ден v2'!p2sp1win*T_p3p22438278592[[#This Row],[stack]])
+'3wKs2s Ден v2'!p2win*T_p22236258390[[#This Row],[stack]]
+'3wKs2s Ден v2'!p1win*T_p12135198289[[#This Row],[stack]]</f>
        <v>225.9761547</v>
      </c>
      <c r="AU20" s="2">
        <f>T_EV3340308794[[#This Row],[chipEV]]-T_fact2939288693[[#This Row],[stack]]</f>
        <v>225.9761547</v>
      </c>
      <c r="AV20" s="2">
        <f>T_EV3340308794[[#This Row],[EV]]-(T_fact2939288693[[#This Row],[ICM]]+bounty*T_fact2939288693[[#This Row],[KO]])</f>
        <v>3.5441925520959998</v>
      </c>
    </row>
    <row r="21" spans="1:48" x14ac:dyDescent="0.25">
      <c r="B21">
        <v>0</v>
      </c>
      <c r="F21" s="5">
        <f>COUNTIF(T_p12135198289[stack],"&gt;0")</f>
        <v>2</v>
      </c>
      <c r="G21">
        <f>IF(T_init203448188[[#This Row],[p]]=1,mainpot+sidepot1+sidepot2+uncalled,IF(T_init203448188[[#This Row],[p]]&gt;1,0,T_init203448188[[#This Row],[stack]]-T_init203448188[[#This Row],[anteblinds]]))</f>
        <v>0</v>
      </c>
      <c r="I21" s="2">
        <f>T_p12135198289[[#This Row],[EQ]]*prize</f>
        <v>0</v>
      </c>
      <c r="J21" s="66">
        <f>IF(T_init203448188[[#This Row],[p]]=1,T_p12135198289[[#This Row],[players]]*T_p12135198289[[#This Row],[stack]]/chips+COUNTIF(T_p12135198289[stack],0),T_p12135198289[[#This Row],[players]]*T_p12135198289[[#This Row],[stack]]/chips)</f>
        <v>0</v>
      </c>
      <c r="K21" s="66">
        <f>T_p12135198289[[#This Row],[ICM]]+bounty*T_p12135198289[[#This Row],[KO]]</f>
        <v>0</v>
      </c>
      <c r="M21" s="10">
        <f>COUNTIF(T_p22236258390[stack],"&gt;0")</f>
        <v>3</v>
      </c>
      <c r="N21" s="26">
        <f>IF(T_init203448188[[#This Row],[p]]=1,uncalled,IF(T_init203448188[[#This Row],[p]]=2,mainpot+sidepot1+sidepot2,IF(T_init203448188[[#This Row],[p]]&gt;2,0,T_init203448188[[#This Row],[stack]]-T_init203448188[[#This Row],[anteblinds]])))</f>
        <v>0</v>
      </c>
      <c r="O21">
        <v>0</v>
      </c>
      <c r="P21" s="2">
        <f>T_p22236258390[[#This Row],[EQ]]*prize</f>
        <v>0</v>
      </c>
      <c r="Q21" s="66">
        <f>IF(T_init203448188[[#This Row],[p]]=2,T_p22236258390[[#This Row],[players]]*T_p22236258390[[#This Row],[stack]]/chips+COUNTIF(T_p22236258390[stack],0),T_p22236258390[[#This Row],[players]]*T_p22236258390[[#This Row],[stack]]/chips)</f>
        <v>0</v>
      </c>
      <c r="R21" s="66">
        <f>T_p22236258390[[#This Row],[ICM]]+bounty*T_p22236258390[[#This Row],[KO]]</f>
        <v>0</v>
      </c>
      <c r="T21" s="5">
        <f>COUNTIF(T_p3p12337268491[stack],"&gt;0")</f>
        <v>3</v>
      </c>
      <c r="U21" s="26">
        <f>IF(T_init203448188[[#This Row],[p]]=1,sidepot1+uncalled,IF(T_init203448188[[#This Row],[p]]=3,mainpot,IF(ISBLANK(T_init203448188[[#This Row],[p]]),T_init203448188[[#This Row],[stack]]-T_init203448188[[#This Row],[anteblinds]],0)))</f>
        <v>0</v>
      </c>
      <c r="V21">
        <v>0</v>
      </c>
      <c r="W21" s="2">
        <f>T_p3p12337268491[[#This Row],[EQ]]*prize</f>
        <v>0</v>
      </c>
      <c r="X21" s="66">
        <f>IF(T_init203448188[[#This Row],[p]]=1,T_p3p12337268491[[#This Row],[players]]*T_p3p12337268491[[#This Row],[stack]]/chips+COUNTIF(T_p3p12337268491[stack],0),T_p3p12337268491[[#This Row],[players]]*T_p3p12337268491[[#This Row],[stack]]/chips)</f>
        <v>0</v>
      </c>
      <c r="Y21" s="66">
        <f>T_p3p12337268491[[#This Row],[ICM]]+bounty*T_p3p12337268491[[#This Row],[KO]]</f>
        <v>0</v>
      </c>
      <c r="AA21" s="5">
        <f>COUNTIF(T_p3p22438278592[stack],"&gt;0")</f>
        <v>4</v>
      </c>
      <c r="AB21">
        <f>IF(T_init203448188[[#This Row],[p]]=1,uncalled,IF(T_init203448188[[#This Row],[p]]=2,sidepot1,IF(T_init203448188[[#This Row],[p]]=3,mainpot,IF(ISBLANK(T_init203448188[[#This Row],[p]]),T_init203448188[[#This Row],[stack]]-T_init203448188[[#This Row],[anteblinds]],0))))</f>
        <v>0</v>
      </c>
      <c r="AC21">
        <v>0</v>
      </c>
      <c r="AD21" s="2">
        <f>T_p3p22438278592[[#This Row],[EQ]]*prize</f>
        <v>0</v>
      </c>
      <c r="AE21" s="66">
        <f>IF(T_init203448188[[#This Row],[p]]=2,T_p3p22438278592[[#This Row],[players]]*T_p3p22438278592[[#This Row],[stack]]/chips+COUNTIF(T_p3p22438278592[stack],0),T_p3p22438278592[[#This Row],[players]]*T_p3p22438278592[[#This Row],[stack]]/chips)</f>
        <v>0</v>
      </c>
      <c r="AF21" s="16">
        <f>T_p3p22438278592[[#This Row],[ICM]]+bounty*T_p3p22438278592[[#This Row],[KO]]</f>
        <v>0</v>
      </c>
      <c r="AI21" s="73">
        <v>2</v>
      </c>
      <c r="AJ21" s="26">
        <v>0</v>
      </c>
      <c r="AL21" s="2">
        <f>T_fact2939288693[[#This Row],[EQ]]*prize</f>
        <v>0</v>
      </c>
      <c r="AM21" s="66">
        <f>IF(T_init203448188[[#This Row],[p]]=1,T_fact2939288693[[#This Row],[players]]*T_fact2939288693[[#This Row],[stack]]/chips+COUNTIF(T_fact2939288693[stack],0),T_fact2939288693[[#This Row],[players]]*T_fact2939288693[[#This Row],[stack]]/chips)</f>
        <v>0</v>
      </c>
      <c r="AN21" s="16">
        <f>T_fact2939288693[[#This Row],[ICM]]+bounty*T_fact2939288693[[#This Row],[KO]]</f>
        <v>0</v>
      </c>
      <c r="AQ21" s="68">
        <f>'3wKs2s Ден v2'!p3win* ('3wKs2s Ден v2'!p1sp1win*T_p3p12337268491[[#This Row],[ICM]] + '3wKs2s Ден v2'!p2sp1win*T_p3p22438278592[[#This Row],[ICM]])
+'3wKs2s Ден v2'!p2win*T_p22236258390[[#This Row],[ICM]]
+'3wKs2s Ден v2'!p1win*T_p12135198289[[#This Row],[ICM]]</f>
        <v>0</v>
      </c>
      <c r="AR21" s="68">
        <f>('3wKs2s Ден v2'!p3win* ('3wKs2s Ден v2'!p1sp1win*T_p3p12337268491[[#This Row],[KO]] + '3wKs2s Ден v2'!p2sp1win*T_p3p22438278592[[#This Row],[KO]])
+'3wKs2s Ден v2'!p2win*T_p22236258390[[#This Row],[KO]]
+'3wKs2s Ден v2'!p1win*T_p12135198289[[#This Row],[KO]])*bounty</f>
        <v>0</v>
      </c>
      <c r="AS21" s="68">
        <f>'3wKs2s Ден v2'!p3win* ('3wKs2s Ден v2'!p1sp1win*T_p3p12337268491[[#This Row],[$stack]] + '3wKs2s Ден v2'!p2sp1win*T_p3p22438278592[[#This Row],[$stack]])
+'3wKs2s Ден v2'!p2win*T_p22236258390[[#This Row],[$stack]]
+'3wKs2s Ден v2'!p1win*T_p12135198289[[#This Row],[$stack]]</f>
        <v>0</v>
      </c>
      <c r="AT21" s="68">
        <f>'3wKs2s Ден v2'!p3win* ('3wKs2s Ден v2'!p1sp1win*T_p3p12337268491[[#This Row],[stack]] + '3wKs2s Ден v2'!p2sp1win*T_p3p22438278592[[#This Row],[stack]])
+'3wKs2s Ден v2'!p2win*T_p22236258390[[#This Row],[stack]]
+'3wKs2s Ден v2'!p1win*T_p12135198289[[#This Row],[stack]]</f>
        <v>0</v>
      </c>
      <c r="AU21" s="2">
        <f>T_EV3340308794[[#This Row],[chipEV]]-T_fact2939288693[[#This Row],[stack]]</f>
        <v>0</v>
      </c>
      <c r="AV21" s="2">
        <f>T_EV3340308794[[#This Row],[EV]]-(T_fact2939288693[[#This Row],[ICM]]+bounty*T_fact2939288693[[#This Row],[KO]])</f>
        <v>0</v>
      </c>
    </row>
    <row r="22" spans="1:48" x14ac:dyDescent="0.25">
      <c r="B22">
        <v>0</v>
      </c>
      <c r="F22" s="5">
        <f>COUNTIF(T_p12135198289[stack],"&gt;0")</f>
        <v>2</v>
      </c>
      <c r="G22">
        <f>IF(T_init203448188[[#This Row],[p]]=1,mainpot+sidepot1+sidepot2+uncalled,IF(T_init203448188[[#This Row],[p]]&gt;1,0,T_init203448188[[#This Row],[stack]]-T_init203448188[[#This Row],[anteblinds]]))</f>
        <v>0</v>
      </c>
      <c r="I22" s="2">
        <f>T_p12135198289[[#This Row],[EQ]]*prize</f>
        <v>0</v>
      </c>
      <c r="J22" s="66">
        <f>IF(T_init203448188[[#This Row],[p]]=1,T_p12135198289[[#This Row],[players]]*T_p12135198289[[#This Row],[stack]]/chips+COUNTIF(T_p12135198289[stack],0),T_p12135198289[[#This Row],[players]]*T_p12135198289[[#This Row],[stack]]/chips)</f>
        <v>0</v>
      </c>
      <c r="K22" s="66">
        <f>T_p12135198289[[#This Row],[ICM]]+bounty*T_p12135198289[[#This Row],[KO]]</f>
        <v>0</v>
      </c>
      <c r="M22" s="10">
        <f>COUNTIF(T_p22236258390[stack],"&gt;0")</f>
        <v>3</v>
      </c>
      <c r="N22" s="26">
        <f>IF(T_init203448188[[#This Row],[p]]=1,uncalled,IF(T_init203448188[[#This Row],[p]]=2,mainpot+sidepot1+sidepot2,IF(T_init203448188[[#This Row],[p]]&gt;2,0,T_init203448188[[#This Row],[stack]]-T_init203448188[[#This Row],[anteblinds]])))</f>
        <v>0</v>
      </c>
      <c r="P22" s="2">
        <f>T_p22236258390[[#This Row],[EQ]]*prize</f>
        <v>0</v>
      </c>
      <c r="Q22" s="66">
        <f>IF(T_init203448188[[#This Row],[p]]=2,T_p22236258390[[#This Row],[players]]*T_p22236258390[[#This Row],[stack]]/chips+COUNTIF(T_p22236258390[stack],0),T_p22236258390[[#This Row],[players]]*T_p22236258390[[#This Row],[stack]]/chips)</f>
        <v>0</v>
      </c>
      <c r="R22" s="66">
        <f>T_p22236258390[[#This Row],[ICM]]+bounty*T_p22236258390[[#This Row],[KO]]</f>
        <v>0</v>
      </c>
      <c r="T22" s="5">
        <f>COUNTIF(T_p3p12337268491[stack],"&gt;0")</f>
        <v>3</v>
      </c>
      <c r="U22" s="26">
        <f>IF(T_init203448188[[#This Row],[p]]=1,sidepot1+uncalled,IF(T_init203448188[[#This Row],[p]]=3,mainpot,IF(ISBLANK(T_init203448188[[#This Row],[p]]),T_init203448188[[#This Row],[stack]]-T_init203448188[[#This Row],[anteblinds]],0)))</f>
        <v>0</v>
      </c>
      <c r="V22">
        <v>0</v>
      </c>
      <c r="W22" s="2">
        <f>T_p3p12337268491[[#This Row],[EQ]]*prize</f>
        <v>0</v>
      </c>
      <c r="X22" s="66">
        <f>IF(T_init203448188[[#This Row],[p]]=1,T_p3p12337268491[[#This Row],[players]]*T_p3p12337268491[[#This Row],[stack]]/chips+COUNTIF(T_p3p12337268491[stack],0),T_p3p12337268491[[#This Row],[players]]*T_p3p12337268491[[#This Row],[stack]]/chips)</f>
        <v>0</v>
      </c>
      <c r="Y22" s="66">
        <f>T_p3p12337268491[[#This Row],[ICM]]+bounty*T_p3p12337268491[[#This Row],[KO]]</f>
        <v>0</v>
      </c>
      <c r="AA22" s="5">
        <f>COUNTIF(T_p3p22438278592[stack],"&gt;0")</f>
        <v>4</v>
      </c>
      <c r="AB22">
        <f>IF(T_init203448188[[#This Row],[p]]=1,uncalled,IF(T_init203448188[[#This Row],[p]]=2,sidepot1,IF(T_init203448188[[#This Row],[p]]=3,mainpot,IF(ISBLANK(T_init203448188[[#This Row],[p]]),T_init203448188[[#This Row],[stack]]-T_init203448188[[#This Row],[anteblinds]],0))))</f>
        <v>0</v>
      </c>
      <c r="AC22">
        <v>0</v>
      </c>
      <c r="AD22" s="2">
        <f>T_p3p22438278592[[#This Row],[EQ]]*prize</f>
        <v>0</v>
      </c>
      <c r="AE22" s="66">
        <f>IF(T_init203448188[[#This Row],[p]]=2,T_p3p22438278592[[#This Row],[players]]*T_p3p22438278592[[#This Row],[stack]]/chips+COUNTIF(T_p3p22438278592[stack],0),T_p3p22438278592[[#This Row],[players]]*T_p3p22438278592[[#This Row],[stack]]/chips)</f>
        <v>0</v>
      </c>
      <c r="AF22" s="16">
        <f>T_p3p22438278592[[#This Row],[ICM]]+bounty*T_p3p22438278592[[#This Row],[KO]]</f>
        <v>0</v>
      </c>
      <c r="AI22" s="73">
        <v>2</v>
      </c>
      <c r="AJ22" s="26">
        <v>0</v>
      </c>
      <c r="AL22" s="2">
        <f>T_fact2939288693[[#This Row],[EQ]]*prize</f>
        <v>0</v>
      </c>
      <c r="AM22" s="66">
        <f>IF(T_init203448188[[#This Row],[p]]=1,T_fact2939288693[[#This Row],[players]]*T_fact2939288693[[#This Row],[stack]]/chips+COUNTIF(T_fact2939288693[stack],0),T_fact2939288693[[#This Row],[players]]*T_fact2939288693[[#This Row],[stack]]/chips)</f>
        <v>0</v>
      </c>
      <c r="AN22" s="16">
        <f>T_fact2939288693[[#This Row],[ICM]]+bounty*T_fact2939288693[[#This Row],[KO]]</f>
        <v>0</v>
      </c>
      <c r="AQ22" s="68">
        <f>'3wKs2s Ден v2'!p3win* ('3wKs2s Ден v2'!p1sp1win*T_p3p12337268491[[#This Row],[ICM]] + '3wKs2s Ден v2'!p2sp1win*T_p3p22438278592[[#This Row],[ICM]])
+'3wKs2s Ден v2'!p2win*T_p22236258390[[#This Row],[ICM]]
+'3wKs2s Ден v2'!p1win*T_p12135198289[[#This Row],[ICM]]</f>
        <v>0</v>
      </c>
      <c r="AR22" s="68">
        <f>('3wKs2s Ден v2'!p3win* ('3wKs2s Ден v2'!p1sp1win*T_p3p12337268491[[#This Row],[KO]] + '3wKs2s Ден v2'!p2sp1win*T_p3p22438278592[[#This Row],[KO]])
+'3wKs2s Ден v2'!p2win*T_p22236258390[[#This Row],[KO]]
+'3wKs2s Ден v2'!p1win*T_p12135198289[[#This Row],[KO]])*bounty</f>
        <v>0</v>
      </c>
      <c r="AS22" s="68">
        <f>'3wKs2s Ден v2'!p3win* ('3wKs2s Ден v2'!p1sp1win*T_p3p12337268491[[#This Row],[$stack]] + '3wKs2s Ден v2'!p2sp1win*T_p3p22438278592[[#This Row],[$stack]])
+'3wKs2s Ден v2'!p2win*T_p22236258390[[#This Row],[$stack]]
+'3wKs2s Ден v2'!p1win*T_p12135198289[[#This Row],[$stack]]</f>
        <v>0</v>
      </c>
      <c r="AT22" s="68">
        <f>'3wKs2s Ден v2'!p3win* ('3wKs2s Ден v2'!p1sp1win*T_p3p12337268491[[#This Row],[stack]] + '3wKs2s Ден v2'!p2sp1win*T_p3p22438278592[[#This Row],[stack]])
+'3wKs2s Ден v2'!p2win*T_p22236258390[[#This Row],[stack]]
+'3wKs2s Ден v2'!p1win*T_p12135198289[[#This Row],[stack]]</f>
        <v>0</v>
      </c>
      <c r="AU22" s="2">
        <f>T_EV3340308794[[#This Row],[chipEV]]-T_fact2939288693[[#This Row],[stack]]</f>
        <v>0</v>
      </c>
      <c r="AV22" s="2">
        <f>T_EV3340308794[[#This Row],[EV]]-(T_fact2939288693[[#This Row],[ICM]]+bounty*T_fact2939288693[[#This Row],[KO]])</f>
        <v>0</v>
      </c>
    </row>
    <row r="23" spans="1:48" x14ac:dyDescent="0.25">
      <c r="A23" t="s">
        <v>95</v>
      </c>
      <c r="D23">
        <f>SUBTOTAL(109,T_init203448188[anteblinds])</f>
        <v>115</v>
      </c>
      <c r="F23" s="53"/>
      <c r="G23" s="50">
        <f>SUM(T_p12135198289[stack])</f>
        <v>2000</v>
      </c>
      <c r="H23" s="50">
        <f>SUM(T_p12135198289[EQ])</f>
        <v>1</v>
      </c>
      <c r="I23" s="50">
        <f>SUM(T_p12135198289[ICM])</f>
        <v>29.44</v>
      </c>
      <c r="J23" s="50">
        <f>SUM(T_p12135198289[KO])</f>
        <v>6</v>
      </c>
      <c r="K23" s="50">
        <f>SUM(T_p12135198289[$stack])</f>
        <v>29.44</v>
      </c>
      <c r="M23" s="53"/>
      <c r="N23" s="55">
        <f>SUM(T_p22236258390[stack])</f>
        <v>2000</v>
      </c>
      <c r="O23" s="50">
        <f>SUM(T_p22236258390[EQ])</f>
        <v>1</v>
      </c>
      <c r="P23" s="51">
        <f>SUM(T_p22236258390[ICM])</f>
        <v>29.439999999999998</v>
      </c>
      <c r="Q23" s="52">
        <f>SUM(T_p22236258390[KO])</f>
        <v>6</v>
      </c>
      <c r="R23" s="50">
        <f>SUM(T_p22236258390[$stack])</f>
        <v>29.439999999999998</v>
      </c>
      <c r="T23" s="53"/>
      <c r="U23" s="55">
        <f>SUM(T_p3p12337268491[stack])</f>
        <v>2000</v>
      </c>
      <c r="V23" s="50">
        <f>SUM(T_p3p12337268491[EQ])</f>
        <v>1</v>
      </c>
      <c r="W23" s="51">
        <f>SUM(T_p3p12337268491[ICM])</f>
        <v>29.440000000000005</v>
      </c>
      <c r="X23" s="52">
        <f>SUM(T_p3p12337268491[KO])</f>
        <v>6</v>
      </c>
      <c r="Y23" s="50">
        <f>SUM(T_p3p12337268491[$stack])</f>
        <v>29.440000000000005</v>
      </c>
      <c r="AA23" s="53"/>
      <c r="AB23" s="55">
        <f>SUM(T_p3p22438278592[stack])</f>
        <v>2000</v>
      </c>
      <c r="AC23" s="50">
        <f>SUM(T_p3p22438278592[EQ])</f>
        <v>1</v>
      </c>
      <c r="AD23" s="51">
        <f>SUM(T_p3p22438278592[ICM])</f>
        <v>29.44</v>
      </c>
      <c r="AE23" s="52">
        <f>SUM(T_p3p22438278592[KO])</f>
        <v>6</v>
      </c>
      <c r="AF23" s="50">
        <f>SUM(T_p3p12337268491[$stack])</f>
        <v>29.440000000000005</v>
      </c>
      <c r="AI23" s="53"/>
      <c r="AJ23" s="55">
        <f>SUM(T_fact2939288693[stack])</f>
        <v>2000</v>
      </c>
      <c r="AK23" s="50">
        <f>SUM(T_fact2939288693[EQ])</f>
        <v>1</v>
      </c>
      <c r="AL23" s="51">
        <f>SUM(T_fact2939288693[ICM])</f>
        <v>29.44</v>
      </c>
      <c r="AM23" s="52">
        <f>SUM(T_fact2939288693[KO])</f>
        <v>6</v>
      </c>
      <c r="AN23" s="51">
        <f>SUM(T_fact2939288693[$stack])</f>
        <v>29.44</v>
      </c>
      <c r="AQ23" s="52">
        <f>SUM(T_EV3340308794[ICM])</f>
        <v>29.44</v>
      </c>
      <c r="AR23" s="52">
        <f>SUM(T_EV3340308794[KO])</f>
        <v>0</v>
      </c>
      <c r="AS23" s="52">
        <f>SUM(T_EV3340308794[EV])</f>
        <v>29.44</v>
      </c>
      <c r="AT23" s="50">
        <f>SUM(T_EV3340308794[chipEV])</f>
        <v>2000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248</v>
      </c>
    </row>
    <row r="27" spans="1:48" x14ac:dyDescent="0.25">
      <c r="C27" t="s">
        <v>120</v>
      </c>
      <c r="M27" t="s">
        <v>249</v>
      </c>
    </row>
    <row r="28" spans="1:48" x14ac:dyDescent="0.25">
      <c r="C28" t="s">
        <v>122</v>
      </c>
      <c r="M28" t="s">
        <v>250</v>
      </c>
    </row>
    <row r="29" spans="1:48" x14ac:dyDescent="0.25">
      <c r="M29" t="s">
        <v>251</v>
      </c>
    </row>
    <row r="30" spans="1:48" x14ac:dyDescent="0.25">
      <c r="M30" t="s">
        <v>252</v>
      </c>
    </row>
    <row r="31" spans="1:48" x14ac:dyDescent="0.25">
      <c r="C31" t="s">
        <v>126</v>
      </c>
      <c r="M31" t="s">
        <v>253</v>
      </c>
    </row>
    <row r="32" spans="1:48" x14ac:dyDescent="0.25">
      <c r="M32" t="s">
        <v>254</v>
      </c>
    </row>
    <row r="33" spans="2:13" x14ac:dyDescent="0.25">
      <c r="B33" t="s">
        <v>129</v>
      </c>
      <c r="M33" t="s">
        <v>255</v>
      </c>
    </row>
    <row r="34" spans="2:13" x14ac:dyDescent="0.25">
      <c r="B34" t="s">
        <v>131</v>
      </c>
      <c r="M34" t="s">
        <v>256</v>
      </c>
    </row>
    <row r="35" spans="2:13" x14ac:dyDescent="0.25">
      <c r="C35" t="s">
        <v>133</v>
      </c>
      <c r="M35" t="s">
        <v>132</v>
      </c>
    </row>
    <row r="36" spans="2:13" x14ac:dyDescent="0.25">
      <c r="D36" t="s">
        <v>135</v>
      </c>
      <c r="M36" t="s">
        <v>257</v>
      </c>
    </row>
    <row r="37" spans="2:13" x14ac:dyDescent="0.25">
      <c r="C37" t="s">
        <v>137</v>
      </c>
      <c r="M37" t="s">
        <v>138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258</v>
      </c>
    </row>
    <row r="40" spans="2:13" x14ac:dyDescent="0.25">
      <c r="D40" t="s">
        <v>142</v>
      </c>
      <c r="M40" t="s">
        <v>259</v>
      </c>
    </row>
    <row r="41" spans="2:13" x14ac:dyDescent="0.25">
      <c r="D41" t="s">
        <v>144</v>
      </c>
      <c r="E41" t="s">
        <v>145</v>
      </c>
      <c r="M41" t="s">
        <v>260</v>
      </c>
    </row>
    <row r="42" spans="2:13" x14ac:dyDescent="0.25">
      <c r="F42" t="s">
        <v>147</v>
      </c>
      <c r="M42" t="s">
        <v>261</v>
      </c>
    </row>
    <row r="43" spans="2:13" x14ac:dyDescent="0.25">
      <c r="E43" t="s">
        <v>149</v>
      </c>
      <c r="M43" t="s">
        <v>262</v>
      </c>
    </row>
    <row r="44" spans="2:13" x14ac:dyDescent="0.25">
      <c r="F44" t="s">
        <v>151</v>
      </c>
      <c r="M44" t="s">
        <v>263</v>
      </c>
    </row>
    <row r="45" spans="2:13" x14ac:dyDescent="0.25">
      <c r="M45" t="s">
        <v>264</v>
      </c>
    </row>
    <row r="46" spans="2:13" x14ac:dyDescent="0.25">
      <c r="C46" t="s">
        <v>154</v>
      </c>
      <c r="M46" t="s">
        <v>265</v>
      </c>
    </row>
    <row r="47" spans="2:13" x14ac:dyDescent="0.25">
      <c r="D47" t="s">
        <v>156</v>
      </c>
      <c r="M47" t="s">
        <v>266</v>
      </c>
    </row>
    <row r="48" spans="2:13" x14ac:dyDescent="0.25">
      <c r="D48" t="s">
        <v>158</v>
      </c>
      <c r="E48" t="s">
        <v>145</v>
      </c>
      <c r="M48" t="s">
        <v>166</v>
      </c>
    </row>
    <row r="49" spans="5:13" x14ac:dyDescent="0.25">
      <c r="F49" t="s">
        <v>160</v>
      </c>
      <c r="M49" t="s">
        <v>267</v>
      </c>
    </row>
    <row r="50" spans="5:13" x14ac:dyDescent="0.25">
      <c r="E50" t="s">
        <v>149</v>
      </c>
      <c r="M50" t="s">
        <v>268</v>
      </c>
    </row>
    <row r="51" spans="5:13" x14ac:dyDescent="0.25">
      <c r="F51" t="s">
        <v>163</v>
      </c>
      <c r="M51" t="s">
        <v>269</v>
      </c>
    </row>
    <row r="52" spans="5:13" x14ac:dyDescent="0.25">
      <c r="E52" t="s">
        <v>165</v>
      </c>
      <c r="M52" t="s">
        <v>270</v>
      </c>
    </row>
    <row r="53" spans="5:13" x14ac:dyDescent="0.25">
      <c r="F53" t="s">
        <v>167</v>
      </c>
      <c r="M53" t="s">
        <v>271</v>
      </c>
    </row>
    <row r="54" spans="5:13" x14ac:dyDescent="0.25">
      <c r="F54" t="s">
        <v>144</v>
      </c>
      <c r="M54" t="s">
        <v>272</v>
      </c>
    </row>
    <row r="55" spans="5:13" x14ac:dyDescent="0.25">
      <c r="G55" t="s">
        <v>145</v>
      </c>
      <c r="M55" t="s">
        <v>273</v>
      </c>
    </row>
    <row r="56" spans="5:13" x14ac:dyDescent="0.25">
      <c r="H56" t="s">
        <v>147</v>
      </c>
      <c r="M56" t="s">
        <v>173</v>
      </c>
    </row>
    <row r="57" spans="5:13" x14ac:dyDescent="0.25">
      <c r="G57" t="s">
        <v>149</v>
      </c>
      <c r="M57" t="s">
        <v>274</v>
      </c>
    </row>
    <row r="58" spans="5:13" x14ac:dyDescent="0.25">
      <c r="H58" t="s">
        <v>151</v>
      </c>
      <c r="M58" t="s">
        <v>275</v>
      </c>
    </row>
    <row r="59" spans="5:13" x14ac:dyDescent="0.25">
      <c r="M59" t="s">
        <v>276</v>
      </c>
    </row>
    <row r="60" spans="5:13" x14ac:dyDescent="0.25">
      <c r="M60" t="s">
        <v>277</v>
      </c>
    </row>
    <row r="61" spans="5:13" x14ac:dyDescent="0.25">
      <c r="M61" t="s">
        <v>278</v>
      </c>
    </row>
    <row r="62" spans="5:13" x14ac:dyDescent="0.25">
      <c r="M62" t="s">
        <v>279</v>
      </c>
    </row>
    <row r="64" spans="5:13" x14ac:dyDescent="0.25">
      <c r="M64" s="93" t="s">
        <v>548</v>
      </c>
    </row>
    <row r="65" spans="13:13" x14ac:dyDescent="0.25">
      <c r="M65" s="93" t="s">
        <v>513</v>
      </c>
    </row>
    <row r="66" spans="13:13" x14ac:dyDescent="0.25">
      <c r="M66" s="93" t="s">
        <v>549</v>
      </c>
    </row>
    <row r="67" spans="13:13" x14ac:dyDescent="0.25">
      <c r="M67" s="93" t="s">
        <v>550</v>
      </c>
    </row>
    <row r="68" spans="13:13" x14ac:dyDescent="0.25">
      <c r="M68" s="93" t="s">
        <v>551</v>
      </c>
    </row>
    <row r="69" spans="13:13" x14ac:dyDescent="0.25">
      <c r="M69" s="93" t="s">
        <v>552</v>
      </c>
    </row>
    <row r="70" spans="13:13" x14ac:dyDescent="0.25">
      <c r="M70" s="93" t="s">
        <v>537</v>
      </c>
    </row>
    <row r="71" spans="13:13" x14ac:dyDescent="0.25">
      <c r="M71" s="93" t="s">
        <v>519</v>
      </c>
    </row>
    <row r="72" spans="13:13" x14ac:dyDescent="0.25">
      <c r="M72" s="93" t="s">
        <v>520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071E-B384-4CA3-A761-9A796562515E}">
  <dimension ref="A1:AV72"/>
  <sheetViews>
    <sheetView workbookViewId="0">
      <selection activeCell="O64" sqref="O64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14.71*4</f>
        <v>58.84</v>
      </c>
      <c r="F1" s="80" t="s">
        <v>71</v>
      </c>
      <c r="G1">
        <v>0.41310000000000002</v>
      </c>
      <c r="I1" s="80" t="s">
        <v>72</v>
      </c>
      <c r="J1">
        <v>0.40789999999999998</v>
      </c>
      <c r="M1" s="80" t="s">
        <v>73</v>
      </c>
      <c r="N1">
        <v>1195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0.2341</v>
      </c>
      <c r="I2" s="80" t="s">
        <v>75</v>
      </c>
      <c r="J2">
        <v>0.59209999999999996</v>
      </c>
      <c r="M2" s="80" t="s">
        <v>76</v>
      </c>
      <c r="N2">
        <v>100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0.3528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205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4"/>
      <c r="K11" s="84"/>
    </row>
    <row r="12" spans="1:48" ht="19.5" thickBot="1" x14ac:dyDescent="0.35">
      <c r="F12" s="84"/>
      <c r="G12" s="84"/>
      <c r="H12" s="84"/>
      <c r="I12" s="84"/>
      <c r="J12" s="84"/>
      <c r="K12" s="84"/>
      <c r="V12" t="s">
        <v>92</v>
      </c>
      <c r="AC12" t="s">
        <v>93</v>
      </c>
    </row>
    <row r="13" spans="1:48" ht="20.25" thickTop="1" thickBot="1" x14ac:dyDescent="0.35">
      <c r="F13" s="84"/>
      <c r="G13" s="84"/>
      <c r="H13" s="84"/>
      <c r="I13" s="84"/>
      <c r="J13" s="84"/>
      <c r="K13" s="84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4"/>
      <c r="G14" s="84"/>
      <c r="H14" s="84" t="s">
        <v>96</v>
      </c>
      <c r="I14" s="84"/>
      <c r="J14" s="84"/>
      <c r="K14" s="84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4"/>
      <c r="M15" s="134" t="s">
        <v>101</v>
      </c>
      <c r="N15" s="135"/>
      <c r="O15" s="135"/>
      <c r="P15" s="135"/>
      <c r="Q15" s="136"/>
      <c r="R15" s="84"/>
      <c r="T15" s="118" t="s">
        <v>102</v>
      </c>
      <c r="U15" s="119"/>
      <c r="V15" s="119"/>
      <c r="W15" s="119"/>
      <c r="X15" s="120"/>
      <c r="Y15" s="84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s="86" customFormat="1" x14ac:dyDescent="0.25">
      <c r="A17" s="86">
        <v>3</v>
      </c>
      <c r="B17" s="86">
        <v>395</v>
      </c>
      <c r="C17" s="86" t="s">
        <v>46</v>
      </c>
      <c r="D17" s="86">
        <v>10</v>
      </c>
      <c r="F17" s="87">
        <f>COUNTIF(T_p1213519828996117124131[stack],"&gt;0")</f>
        <v>2</v>
      </c>
      <c r="G17" s="86">
        <f>IF(T_init20344818895116123130[[#This Row],[p]]=1,mainpot+sidepot1+sidepot2+uncalled,IF(T_init20344818895116123130[[#This Row],[p]]&gt;1,0,T_init20344818895116123130[[#This Row],[stack]]-T_init20344818895116123130[[#This Row],[anteblinds]]))</f>
        <v>0</v>
      </c>
      <c r="I17" s="88">
        <f>T_p1213519828996117124131[[#This Row],[EQ]]*prize</f>
        <v>0</v>
      </c>
      <c r="J17" s="89">
        <f>IF(T_init20344818895116123130[[#This Row],[p]]=1,T_p1213519828996117124131[[#This Row],[players]]*T_p1213519828996117124131[[#This Row],[stack]]/chips+COUNTIF(T_p1213519828996117124131[stack],0),T_p1213519828996117124131[[#This Row],[players]]*T_p1213519828996117124131[[#This Row],[stack]]/chips)</f>
        <v>0</v>
      </c>
      <c r="K17" s="89">
        <f>T_p1213519828996117124131[[#This Row],[ICM]]+bounty*T_p1213519828996117124131[[#This Row],[KO]]</f>
        <v>0</v>
      </c>
      <c r="M17" s="90">
        <f>COUNTIF(T_p2223625839097118125132[stack],"&gt;0")</f>
        <v>3</v>
      </c>
      <c r="N17" s="86">
        <f>IF(T_init20344818895116123130[[#This Row],[p]]=1,uncalled,IF(T_init20344818895116123130[[#This Row],[p]]=2,mainpot+sidepot1+sidepot2,IF(T_init20344818895116123130[[#This Row],[p]]&gt;2,0,T_init20344818895116123130[[#This Row],[stack]]-T_init20344818895116123130[[#This Row],[anteblinds]])))</f>
        <v>0</v>
      </c>
      <c r="P17" s="88">
        <f>T_p2223625839097118125132[[#This Row],[EQ]]*prize</f>
        <v>0</v>
      </c>
      <c r="Q17" s="89">
        <f>IF(T_init20344818895116123130[[#This Row],[p]]=2,T_p2223625839097118125132[[#This Row],[players]]*T_p2223625839097118125132[[#This Row],[stack]]/chips+COUNTIF(T_p2223625839097118125132[stack],0),T_p2223625839097118125132[[#This Row],[players]]*T_p2223625839097118125132[[#This Row],[stack]]/chips)</f>
        <v>0</v>
      </c>
      <c r="R17" s="89">
        <f>T_p2223625839097118125132[[#This Row],[ICM]]+bounty*T_p2223625839097118125132[[#This Row],[KO]]</f>
        <v>0</v>
      </c>
      <c r="T17" s="87">
        <f>COUNTIF(T_p3p1233726849198119126133[stack],"&gt;0")</f>
        <v>3</v>
      </c>
      <c r="U17" s="86">
        <f>IF(T_init20344818895116123130[[#This Row],[p]]=1,sidepot1+uncalled,IF(T_init20344818895116123130[[#This Row],[p]]=3,mainpot,IF(ISBLANK(T_init20344818895116123130[[#This Row],[p]]),T_init20344818895116123130[[#This Row],[stack]]-T_init20344818895116123130[[#This Row],[anteblinds]],0)))</f>
        <v>1195</v>
      </c>
      <c r="V17" s="86">
        <v>0.59750000000000003</v>
      </c>
      <c r="W17" s="88">
        <f>T_p3p1233726849198119126133[[#This Row],[EQ]]*prize</f>
        <v>35.156900000000007</v>
      </c>
      <c r="X17" s="89">
        <f>IF(T_init20344818895116123130[[#This Row],[p]]=1,T_p3p1233726849198119126133[[#This Row],[players]]*T_p3p1233726849198119126133[[#This Row],[stack]]/chips+COUNTIF(T_p3p1233726849198119126133[stack],0),T_p3p1233726849198119126133[[#This Row],[players]]*T_p3p1233726849198119126133[[#This Row],[stack]]/chips)</f>
        <v>1.7925</v>
      </c>
      <c r="Y17" s="89">
        <f>T_p3p1233726849198119126133[[#This Row],[ICM]]+bounty*T_p3p1233726849198119126133[[#This Row],[KO]]</f>
        <v>35.156900000000007</v>
      </c>
      <c r="AA17" s="87">
        <f>COUNTIF(T_p3p2243827859299120127134[stack],"&gt;0")</f>
        <v>4</v>
      </c>
      <c r="AB17" s="86">
        <f>IF(T_init20344818895116123130[[#This Row],[p]]=1,uncalled,IF(T_init20344818895116123130[[#This Row],[p]]=2,sidepot1,IF(T_init20344818895116123130[[#This Row],[p]]=3,mainpot,IF(ISBLANK(T_init20344818895116123130[[#This Row],[p]]),T_init20344818895116123130[[#This Row],[stack]]-T_init20344818895116123130[[#This Row],[anteblinds]],0))))</f>
        <v>1195</v>
      </c>
      <c r="AC17" s="86">
        <v>0.59750000000000003</v>
      </c>
      <c r="AD17" s="88">
        <f>T_p3p2243827859299120127134[[#This Row],[EQ]]*prize</f>
        <v>35.156900000000007</v>
      </c>
      <c r="AE17" s="89">
        <f>IF(T_init20344818895116123130[[#This Row],[p]]=2,T_p3p2243827859299120127134[[#This Row],[players]]*T_p3p2243827859299120127134[[#This Row],[stack]]/chips+COUNTIF(T_p3p2243827859299120127134[stack],0),T_p3p2243827859299120127134[[#This Row],[players]]*T_p3p2243827859299120127134[[#This Row],[stack]]/chips)</f>
        <v>2.39</v>
      </c>
      <c r="AF17" s="89">
        <f>T_p3p2243827859299120127134[[#This Row],[ICM]]+bounty*T_p3p2243827859299120127134[[#This Row],[KO]]</f>
        <v>35.156900000000007</v>
      </c>
      <c r="AI17" s="87">
        <v>2</v>
      </c>
      <c r="AJ17" s="86">
        <v>0</v>
      </c>
      <c r="AK17" s="86">
        <v>0</v>
      </c>
      <c r="AL17" s="88">
        <f>T_fact2939288693100121128135[[#This Row],[EQ]]*prize</f>
        <v>0</v>
      </c>
      <c r="AM17" s="89">
        <f>IF(T_init20344818895116123130[[#This Row],[p]]=1,T_fact2939288693100121128135[[#This Row],[players]]*T_fact2939288693100121128135[[#This Row],[stack]]/chips+COUNTIF(T_fact2939288693100121128135[stack],0),T_fact2939288693100121128135[[#This Row],[players]]*T_fact2939288693100121128135[[#This Row],[stack]]/chips)</f>
        <v>0</v>
      </c>
      <c r="AN17" s="89">
        <f>T_fact2939288693100121128135[[#This Row],[ICM]]+bounty*T_fact2939288693100121128135[[#This Row],[KO]]</f>
        <v>0</v>
      </c>
      <c r="AQ17" s="91">
        <f>'3w Ac5c Ден'!p3win* ('3w Ac5c Ден'!p1sp1win*T_p3p1233726849198119126133[[#This Row],[ICM]] + '3w Ac5c Ден'!p2sp1win*T_p3p2243827859299120127134[[#This Row],[ICM]])
+'3w Ac5c Ден'!p2win*T_p2223625839097118125132[[#This Row],[ICM]]
+'3w Ac5c Ден'!p1win*T_p1213519828996117124131[[#This Row],[ICM]]</f>
        <v>12.403354320000002</v>
      </c>
      <c r="AR17" s="92">
        <f>('3w Ac5c Ден'!p3win* ('3w Ac5c Ден'!p1sp1win*T_p3p1233726849198119126133[[#This Row],[KO]] + '3w Ac5c Ден'!p2sp1win*T_p3p2243827859299120127134[[#This Row],[KO]])
+'3w Ac5c Ден'!p2win*T_p2223625839097118125132[[#This Row],[KO]]
+'3w Ac5c Ден'!p1win*T_p1213519828996117124131[[#This Row],[KO]])*bounty</f>
        <v>0</v>
      </c>
      <c r="AS17" s="91">
        <f>'3w Ac5c Ден'!p3win* ('3w Ac5c Ден'!p1sp1win*T_p3p1233726849198119126133[[#This Row],[$stack]] + '3w Ac5c Ден'!p2sp1win*T_p3p2243827859299120127134[[#This Row],[$stack]])
+'3w Ac5c Ден'!p2win*T_p2223625839097118125132[[#This Row],[$stack]]
+'3w Ac5c Ден'!p1win*T_p1213519828996117124131[[#This Row],[$stack]]</f>
        <v>12.403354320000002</v>
      </c>
      <c r="AT17" s="92">
        <f>'3w Ac5c Ден'!p3win* ('3w Ac5c Ден'!p1sp1win*T_p3p1233726849198119126133[[#This Row],[stack]] + '3w Ac5c Ден'!p2sp1win*T_p3p2243827859299120127134[[#This Row],[stack]])
+'3w Ac5c Ден'!p2win*T_p2223625839097118125132[[#This Row],[stack]]
+'3w Ac5c Ден'!p1win*T_p1213519828996117124131[[#This Row],[stack]]</f>
        <v>421.596</v>
      </c>
      <c r="AU17" s="88">
        <f>T_EV3340308794101122129136[[#This Row],[chipEV]]-T_fact2939288693100121128135[[#This Row],[stack]]</f>
        <v>421.596</v>
      </c>
      <c r="AV17" s="88">
        <f>T_EV3340308794101122129136[[#This Row],[EV]]-(T_fact2939288693100121128135[[#This Row],[ICM]]+bounty*T_fact2939288693100121128135[[#This Row],[KO]])</f>
        <v>12.403354320000002</v>
      </c>
    </row>
    <row r="18" spans="1:48" x14ac:dyDescent="0.25">
      <c r="B18">
        <v>510</v>
      </c>
      <c r="D18">
        <v>10</v>
      </c>
      <c r="F18" s="5">
        <f>COUNTIF(T_p1213519828996117124131[stack],"&gt;0")</f>
        <v>2</v>
      </c>
      <c r="G18">
        <f>IF(T_init20344818895116123130[[#This Row],[p]]=1,mainpot+sidepot1+sidepot2+uncalled,IF(T_init20344818895116123130[[#This Row],[p]]&gt;1,0,T_init20344818895116123130[[#This Row],[stack]]-T_init20344818895116123130[[#This Row],[anteblinds]]))</f>
        <v>500</v>
      </c>
      <c r="H18">
        <v>0.25</v>
      </c>
      <c r="I18" s="2">
        <f>T_p1213519828996117124131[[#This Row],[EQ]]*prize</f>
        <v>14.71</v>
      </c>
      <c r="J18" s="66">
        <f>IF(T_init20344818895116123130[[#This Row],[p]]=1,T_p1213519828996117124131[[#This Row],[players]]*T_p1213519828996117124131[[#This Row],[stack]]/chips+COUNTIF(T_p1213519828996117124131[stack],0),T_p1213519828996117124131[[#This Row],[players]]*T_p1213519828996117124131[[#This Row],[stack]]/chips)</f>
        <v>0.5</v>
      </c>
      <c r="K18" s="66">
        <f>T_p1213519828996117124131[[#This Row],[ICM]]+bounty*T_p1213519828996117124131[[#This Row],[KO]]</f>
        <v>14.71</v>
      </c>
      <c r="M18" s="10">
        <f>COUNTIF(T_p2223625839097118125132[stack],"&gt;0")</f>
        <v>3</v>
      </c>
      <c r="N18" s="26">
        <f>IF(T_init20344818895116123130[[#This Row],[p]]=1,uncalled,IF(T_init20344818895116123130[[#This Row],[p]]=2,mainpot+sidepot1+sidepot2,IF(T_init20344818895116123130[[#This Row],[p]]&gt;2,0,T_init20344818895116123130[[#This Row],[stack]]-T_init20344818895116123130[[#This Row],[anteblinds]])))</f>
        <v>500</v>
      </c>
      <c r="O18">
        <v>0.25</v>
      </c>
      <c r="P18" s="2">
        <f>T_p2223625839097118125132[[#This Row],[EQ]]*prize</f>
        <v>14.71</v>
      </c>
      <c r="Q18" s="66">
        <f>IF(T_init20344818895116123130[[#This Row],[p]]=2,T_p2223625839097118125132[[#This Row],[players]]*T_p2223625839097118125132[[#This Row],[stack]]/chips+COUNTIF(T_p2223625839097118125132[stack],0),T_p2223625839097118125132[[#This Row],[players]]*T_p2223625839097118125132[[#This Row],[stack]]/chips)</f>
        <v>0.75</v>
      </c>
      <c r="R18" s="66">
        <f>T_p2223625839097118125132[[#This Row],[ICM]]+bounty*T_p2223625839097118125132[[#This Row],[KO]]</f>
        <v>14.71</v>
      </c>
      <c r="T18" s="5">
        <f>COUNTIF(T_p3p1233726849198119126133[stack],"&gt;0")</f>
        <v>3</v>
      </c>
      <c r="U18" s="26">
        <f>IF(T_init20344818895116123130[[#This Row],[p]]=1,sidepot1+uncalled,IF(T_init20344818895116123130[[#This Row],[p]]=3,mainpot,IF(ISBLANK(T_init20344818895116123130[[#This Row],[p]]),T_init20344818895116123130[[#This Row],[stack]]-T_init20344818895116123130[[#This Row],[anteblinds]],0)))</f>
        <v>500</v>
      </c>
      <c r="V18">
        <v>0.25</v>
      </c>
      <c r="W18" s="2">
        <f>T_p3p1233726849198119126133[[#This Row],[EQ]]*prize</f>
        <v>14.71</v>
      </c>
      <c r="X18" s="66">
        <f>IF(T_init20344818895116123130[[#This Row],[p]]=1,T_p3p1233726849198119126133[[#This Row],[players]]*T_p3p1233726849198119126133[[#This Row],[stack]]/chips+COUNTIF(T_p3p1233726849198119126133[stack],0),T_p3p1233726849198119126133[[#This Row],[players]]*T_p3p1233726849198119126133[[#This Row],[stack]]/chips)</f>
        <v>0.75</v>
      </c>
      <c r="Y18" s="66">
        <f>T_p3p1233726849198119126133[[#This Row],[ICM]]+bounty*T_p3p1233726849198119126133[[#This Row],[KO]]</f>
        <v>14.71</v>
      </c>
      <c r="AA18" s="5">
        <f>COUNTIF(T_p3p2243827859299120127134[stack],"&gt;0")</f>
        <v>4</v>
      </c>
      <c r="AB18">
        <f>IF(T_init20344818895116123130[[#This Row],[p]]=1,uncalled,IF(T_init20344818895116123130[[#This Row],[p]]=2,sidepot1,IF(T_init20344818895116123130[[#This Row],[p]]=3,mainpot,IF(ISBLANK(T_init20344818895116123130[[#This Row],[p]]),T_init20344818895116123130[[#This Row],[stack]]-T_init20344818895116123130[[#This Row],[anteblinds]],0))))</f>
        <v>500</v>
      </c>
      <c r="AC18">
        <v>0.25</v>
      </c>
      <c r="AD18" s="2">
        <f>T_p3p2243827859299120127134[[#This Row],[EQ]]*prize</f>
        <v>14.71</v>
      </c>
      <c r="AE18" s="66">
        <f>IF(T_init20344818895116123130[[#This Row],[p]]=2,T_p3p2243827859299120127134[[#This Row],[players]]*T_p3p2243827859299120127134[[#This Row],[stack]]/chips+COUNTIF(T_p3p2243827859299120127134[stack],0),T_p3p2243827859299120127134[[#This Row],[players]]*T_p3p2243827859299120127134[[#This Row],[stack]]/chips)</f>
        <v>1</v>
      </c>
      <c r="AF18" s="16">
        <f>T_p3p2243827859299120127134[[#This Row],[ICM]]+bounty*T_p3p2243827859299120127134[[#This Row],[KO]]</f>
        <v>14.71</v>
      </c>
      <c r="AI18" s="73">
        <v>2</v>
      </c>
      <c r="AJ18">
        <f>IF(T_init20344818895116123130[[#This Row],[p]]=1,mainpot+sidepot1+sidepot2+uncalled,IF(T_init20344818895116123130[[#This Row],[p]]&gt;1,0,T_init20344818895116123130[[#This Row],[stack]]-T_init20344818895116123130[[#This Row],[anteblinds]]))</f>
        <v>500</v>
      </c>
      <c r="AK18">
        <v>0.25</v>
      </c>
      <c r="AL18" s="2">
        <f>T_fact2939288693100121128135[[#This Row],[EQ]]*prize</f>
        <v>14.71</v>
      </c>
      <c r="AM18" s="66">
        <f>IF(T_init20344818895116123130[[#This Row],[p]]=1,T_fact2939288693100121128135[[#This Row],[players]]*T_fact2939288693100121128135[[#This Row],[stack]]/chips+COUNTIF(T_fact2939288693100121128135[stack],0),T_fact2939288693100121128135[[#This Row],[players]]*T_fact2939288693100121128135[[#This Row],[stack]]/chips)</f>
        <v>0.5</v>
      </c>
      <c r="AN18" s="16">
        <f>T_fact2939288693100121128135[[#This Row],[ICM]]+bounty*T_fact2939288693100121128135[[#This Row],[KO]]</f>
        <v>14.71</v>
      </c>
      <c r="AQ18" s="68">
        <f>'3w Ac5c Ден'!p3win* ('3w Ac5c Ден'!p1sp1win*T_p3p1233726849198119126133[[#This Row],[ICM]] + '3w Ac5c Ден'!p2sp1win*T_p3p2243827859299120127134[[#This Row],[ICM]])
+'3w Ac5c Ден'!p2win*T_p2223625839097118125132[[#This Row],[ICM]]
+'3w Ac5c Ден'!p1win*T_p1213519828996117124131[[#This Row],[ICM]]</f>
        <v>14.71</v>
      </c>
      <c r="AR18" s="68">
        <f>('3w Ac5c Ден'!p3win* ('3w Ac5c Ден'!p1sp1win*T_p3p1233726849198119126133[[#This Row],[KO]] + '3w Ac5c Ден'!p2sp1win*T_p3p2243827859299120127134[[#This Row],[KO]])
+'3w Ac5c Ден'!p2win*T_p2223625839097118125132[[#This Row],[KO]]
+'3w Ac5c Ден'!p1win*T_p1213519828996117124131[[#This Row],[KO]])*bounty</f>
        <v>0</v>
      </c>
      <c r="AS18" s="68">
        <f>'3w Ac5c Ден'!p3win* ('3w Ac5c Ден'!p1sp1win*T_p3p1233726849198119126133[[#This Row],[$stack]] + '3w Ac5c Ден'!p2sp1win*T_p3p2243827859299120127134[[#This Row],[$stack]])
+'3w Ac5c Ден'!p2win*T_p2223625839097118125132[[#This Row],[$stack]]
+'3w Ac5c Ден'!p1win*T_p1213519828996117124131[[#This Row],[$stack]]</f>
        <v>14.71</v>
      </c>
      <c r="AT18" s="68">
        <f>'3w Ac5c Ден'!p3win* ('3w Ac5c Ден'!p1sp1win*T_p3p1233726849198119126133[[#This Row],[stack]] + '3w Ac5c Ден'!p2sp1win*T_p3p2243827859299120127134[[#This Row],[stack]])
+'3w Ac5c Ден'!p2win*T_p2223625839097118125132[[#This Row],[stack]]
+'3w Ac5c Ден'!p1win*T_p1213519828996117124131[[#This Row],[stack]]</f>
        <v>500</v>
      </c>
      <c r="AU18" s="2">
        <f>T_EV3340308794101122129136[[#This Row],[chipEV]]-T_fact2939288693100121128135[[#This Row],[stack]]</f>
        <v>0</v>
      </c>
      <c r="AV18" s="2">
        <f>T_EV3340308794101122129136[[#This Row],[EV]]-(T_fact2939288693100121128135[[#This Row],[ICM]]+bounty*T_fact2939288693100121128135[[#This Row],[KO]])</f>
        <v>0</v>
      </c>
    </row>
    <row r="19" spans="1:48" x14ac:dyDescent="0.25">
      <c r="A19">
        <v>1</v>
      </c>
      <c r="B19">
        <v>650</v>
      </c>
      <c r="C19" s="26" t="s">
        <v>412</v>
      </c>
      <c r="D19">
        <v>35</v>
      </c>
      <c r="F19" s="5">
        <f>COUNTIF(T_p1213519828996117124131[stack],"&gt;0")</f>
        <v>2</v>
      </c>
      <c r="G19">
        <f>IF(T_init20344818895116123130[[#This Row],[p]]=1,mainpot+sidepot1+sidepot2+uncalled,IF(T_init20344818895116123130[[#This Row],[p]]&gt;1,0,T_init20344818895116123130[[#This Row],[stack]]-T_init20344818895116123130[[#This Row],[anteblinds]]))</f>
        <v>1500</v>
      </c>
      <c r="H19">
        <v>0.75</v>
      </c>
      <c r="I19" s="2">
        <f>T_p1213519828996117124131[[#This Row],[EQ]]*prize</f>
        <v>44.13</v>
      </c>
      <c r="J19" s="66">
        <f>IF(T_init20344818895116123130[[#This Row],[p]]=1,T_p1213519828996117124131[[#This Row],[players]]*T_p1213519828996117124131[[#This Row],[stack]]/chips+COUNTIF(T_p1213519828996117124131[stack],0),T_p1213519828996117124131[[#This Row],[players]]*T_p1213519828996117124131[[#This Row],[stack]]/chips)</f>
        <v>5.5</v>
      </c>
      <c r="K19" s="66">
        <f>T_p1213519828996117124131[[#This Row],[ICM]]+bounty*T_p1213519828996117124131[[#This Row],[KO]]</f>
        <v>44.13</v>
      </c>
      <c r="M19" s="10">
        <f>COUNTIF(T_p2223625839097118125132[stack],"&gt;0")</f>
        <v>3</v>
      </c>
      <c r="N19" s="26">
        <f>IF(T_init20344818895116123130[[#This Row],[p]]=1,uncalled,IF(T_init20344818895116123130[[#This Row],[p]]=2,mainpot+sidepot1+sidepot2,IF(T_init20344818895116123130[[#This Row],[p]]&gt;2,0,T_init20344818895116123130[[#This Row],[stack]]-T_init20344818895116123130[[#This Row],[anteblinds]])))</f>
        <v>205</v>
      </c>
      <c r="O19">
        <v>0.10249999999999999</v>
      </c>
      <c r="P19" s="2">
        <f>T_p2223625839097118125132[[#This Row],[EQ]]*prize</f>
        <v>6.0311000000000003</v>
      </c>
      <c r="Q19" s="66">
        <f>IF(T_init20344818895116123130[[#This Row],[p]]=2,T_p2223625839097118125132[[#This Row],[players]]*T_p2223625839097118125132[[#This Row],[stack]]/chips+COUNTIF(T_p2223625839097118125132[stack],0),T_p2223625839097118125132[[#This Row],[players]]*T_p2223625839097118125132[[#This Row],[stack]]/chips)</f>
        <v>0.3075</v>
      </c>
      <c r="R19" s="66">
        <f>T_p2223625839097118125132[[#This Row],[ICM]]+bounty*T_p2223625839097118125132[[#This Row],[KO]]</f>
        <v>6.0311000000000003</v>
      </c>
      <c r="T19" s="5">
        <f>COUNTIF(T_p3p1233726849198119126133[stack],"&gt;0")</f>
        <v>3</v>
      </c>
      <c r="U19" s="26">
        <f>IF(T_init20344818895116123130[[#This Row],[p]]=1,sidepot1+uncalled,IF(T_init20344818895116123130[[#This Row],[p]]=3,mainpot,IF(ISBLANK(T_init20344818895116123130[[#This Row],[p]]),T_init20344818895116123130[[#This Row],[stack]]-T_init20344818895116123130[[#This Row],[anteblinds]],0)))</f>
        <v>305</v>
      </c>
      <c r="V19">
        <v>0.1525</v>
      </c>
      <c r="W19" s="2">
        <f>T_p3p1233726849198119126133[[#This Row],[EQ]]*prize</f>
        <v>8.9731000000000005</v>
      </c>
      <c r="X19" s="66">
        <f>IF(T_init20344818895116123130[[#This Row],[p]]=1,T_p3p1233726849198119126133[[#This Row],[players]]*T_p3p1233726849198119126133[[#This Row],[stack]]/chips+COUNTIF(T_p3p1233726849198119126133[stack],0),T_p3p1233726849198119126133[[#This Row],[players]]*T_p3p1233726849198119126133[[#This Row],[stack]]/chips)</f>
        <v>3.4575</v>
      </c>
      <c r="Y19" s="66">
        <f>T_p3p1233726849198119126133[[#This Row],[ICM]]+bounty*T_p3p1233726849198119126133[[#This Row],[KO]]</f>
        <v>8.9731000000000005</v>
      </c>
      <c r="AA19" s="5">
        <f>COUNTIF(T_p3p2243827859299120127134[stack],"&gt;0")</f>
        <v>4</v>
      </c>
      <c r="AB19">
        <f>IF(T_init20344818895116123130[[#This Row],[p]]=1,uncalled,IF(T_init20344818895116123130[[#This Row],[p]]=2,sidepot1,IF(T_init20344818895116123130[[#This Row],[p]]=3,mainpot,IF(ISBLANK(T_init20344818895116123130[[#This Row],[p]]),T_init20344818895116123130[[#This Row],[stack]]-T_init20344818895116123130[[#This Row],[anteblinds]],0))))</f>
        <v>205</v>
      </c>
      <c r="AC19">
        <v>0.10249999999999999</v>
      </c>
      <c r="AD19" s="2">
        <f>T_p3p2243827859299120127134[[#This Row],[EQ]]*prize</f>
        <v>6.0311000000000003</v>
      </c>
      <c r="AE19" s="66">
        <f>IF(T_init20344818895116123130[[#This Row],[p]]=2,T_p3p2243827859299120127134[[#This Row],[players]]*T_p3p2243827859299120127134[[#This Row],[stack]]/chips+COUNTIF(T_p3p2243827859299120127134[stack],0),T_p3p2243827859299120127134[[#This Row],[players]]*T_p3p2243827859299120127134[[#This Row],[stack]]/chips)</f>
        <v>0.41</v>
      </c>
      <c r="AF19" s="16">
        <f>T_p3p2243827859299120127134[[#This Row],[ICM]]+bounty*T_p3p2243827859299120127134[[#This Row],[KO]]</f>
        <v>6.0311000000000003</v>
      </c>
      <c r="AI19" s="73">
        <v>2</v>
      </c>
      <c r="AJ19">
        <f>IF(T_init20344818895116123130[[#This Row],[p]]=1,mainpot+sidepot1+sidepot2+uncalled,IF(T_init20344818895116123130[[#This Row],[p]]&gt;1,0,T_init20344818895116123130[[#This Row],[stack]]-T_init20344818895116123130[[#This Row],[anteblinds]]))</f>
        <v>1500</v>
      </c>
      <c r="AK19">
        <v>0.75</v>
      </c>
      <c r="AL19" s="2">
        <f>T_fact2939288693100121128135[[#This Row],[EQ]]*prize</f>
        <v>44.13</v>
      </c>
      <c r="AM19" s="66">
        <f>IF(T_init20344818895116123130[[#This Row],[p]]=1,T_fact2939288693100121128135[[#This Row],[players]]*T_fact2939288693100121128135[[#This Row],[stack]]/chips+COUNTIF(T_fact2939288693100121128135[stack],0),T_fact2939288693100121128135[[#This Row],[players]]*T_fact2939288693100121128135[[#This Row],[stack]]/chips)</f>
        <v>5.5</v>
      </c>
      <c r="AN19" s="16">
        <f>T_fact2939288693100121128135[[#This Row],[ICM]]+bounty*T_fact2939288693100121128135[[#This Row],[KO]]</f>
        <v>44.13</v>
      </c>
      <c r="AQ19" s="68">
        <f>'3w Ac5c Ден'!p3win* ('3w Ac5c Ден'!p1sp1win*T_p3p1233726849198119126133[[#This Row],[ICM]] + '3w Ac5c Ден'!p2sp1win*T_p3p2243827859299120127134[[#This Row],[ICM]])
+'3w Ac5c Ден'!p2win*T_p2223625839097118125132[[#This Row],[ICM]]
+'3w Ac5c Ден'!p1win*T_p1213519828996117124131[[#This Row],[ICM]]</f>
        <v>22.193130337040003</v>
      </c>
      <c r="AR19" s="68">
        <f>('3w Ac5c Ден'!p3win* ('3w Ac5c Ден'!p1sp1win*T_p3p1233726849198119126133[[#This Row],[KO]] + '3w Ac5c Ден'!p2sp1win*T_p3p2243827859299120127134[[#This Row],[KO]])
+'3w Ac5c Ден'!p2win*T_p2223625839097118125132[[#This Row],[KO]]
+'3w Ac5c Ден'!p1win*T_p1213519828996117124131[[#This Row],[KO]])*bounty</f>
        <v>0</v>
      </c>
      <c r="AS19" s="68">
        <f>'3w Ac5c Ден'!p3win* ('3w Ac5c Ден'!p1sp1win*T_p3p1233726849198119126133[[#This Row],[$stack]] + '3w Ac5c Ден'!p2sp1win*T_p3p2243827859299120127134[[#This Row],[$stack]])
+'3w Ac5c Ден'!p2win*T_p2223625839097118125132[[#This Row],[$stack]]
+'3w Ac5c Ден'!p1win*T_p1213519828996117124131[[#This Row],[$stack]]</f>
        <v>22.193130337040003</v>
      </c>
      <c r="AT19" s="68">
        <f>'3w Ac5c Ден'!p3win* ('3w Ac5c Ден'!p1sp1win*T_p3p1233726849198119126133[[#This Row],[stack]] + '3w Ac5c Ден'!p2sp1win*T_p3p2243827859299120127134[[#This Row],[stack]])
+'3w Ac5c Ден'!p2win*T_p2223625839097118125132[[#This Row],[stack]]
+'3w Ac5c Ден'!p1win*T_p1213519828996117124131[[#This Row],[stack]]</f>
        <v>754.35521200000005</v>
      </c>
      <c r="AU19" s="2">
        <f>T_EV3340308794101122129136[[#This Row],[chipEV]]-T_fact2939288693100121128135[[#This Row],[stack]]</f>
        <v>-745.64478799999995</v>
      </c>
      <c r="AV19" s="2">
        <f>T_EV3340308794101122129136[[#This Row],[EV]]-(T_fact2939288693100121128135[[#This Row],[ICM]]+bounty*T_fact2939288693100121128135[[#This Row],[KO]])</f>
        <v>-21.93686966296</v>
      </c>
    </row>
    <row r="20" spans="1:48" s="17" customFormat="1" x14ac:dyDescent="0.25">
      <c r="A20" s="17">
        <v>2</v>
      </c>
      <c r="B20" s="17">
        <v>445</v>
      </c>
      <c r="C20" s="17" t="s">
        <v>413</v>
      </c>
      <c r="D20" s="17">
        <v>60</v>
      </c>
      <c r="F20" s="83">
        <f>COUNTIF(T_p1213519828996117124131[stack],"&gt;0")</f>
        <v>2</v>
      </c>
      <c r="G20" s="17">
        <f>IF(T_init20344818895116123130[[#This Row],[p]]=1,mainpot+sidepot1+sidepot2+uncalled,IF(T_init20344818895116123130[[#This Row],[p]]&gt;1,0,T_init20344818895116123130[[#This Row],[stack]]-T_init20344818895116123130[[#This Row],[anteblinds]]))</f>
        <v>0</v>
      </c>
      <c r="I20" s="18">
        <f>T_p1213519828996117124131[[#This Row],[EQ]]*prize</f>
        <v>0</v>
      </c>
      <c r="J20" s="67">
        <f>IF(T_init20344818895116123130[[#This Row],[p]]=1,T_p1213519828996117124131[[#This Row],[players]]*T_p1213519828996117124131[[#This Row],[stack]]/chips+COUNTIF(T_p1213519828996117124131[stack],0),T_p1213519828996117124131[[#This Row],[players]]*T_p1213519828996117124131[[#This Row],[stack]]/chips)</f>
        <v>0</v>
      </c>
      <c r="K20" s="67">
        <f>T_p1213519828996117124131[[#This Row],[ICM]]+bounty*T_p1213519828996117124131[[#This Row],[KO]]</f>
        <v>0</v>
      </c>
      <c r="M20" s="19">
        <f>COUNTIF(T_p2223625839097118125132[stack],"&gt;0")</f>
        <v>3</v>
      </c>
      <c r="N20" s="17">
        <f>IF(T_init20344818895116123130[[#This Row],[p]]=1,uncalled,IF(T_init20344818895116123130[[#This Row],[p]]=2,mainpot+sidepot1+sidepot2,IF(T_init20344818895116123130[[#This Row],[p]]&gt;2,0,T_init20344818895116123130[[#This Row],[stack]]-T_init20344818895116123130[[#This Row],[anteblinds]])))</f>
        <v>1295</v>
      </c>
      <c r="O20" s="17">
        <v>0.64749999999999996</v>
      </c>
      <c r="P20" s="18">
        <f>T_p2223625839097118125132[[#This Row],[EQ]]*prize</f>
        <v>38.0989</v>
      </c>
      <c r="Q20" s="67">
        <f>IF(T_init20344818895116123130[[#This Row],[p]]=2,T_p2223625839097118125132[[#This Row],[players]]*T_p2223625839097118125132[[#This Row],[stack]]/chips+COUNTIF(T_p2223625839097118125132[stack],0),T_p2223625839097118125132[[#This Row],[players]]*T_p2223625839097118125132[[#This Row],[stack]]/chips)</f>
        <v>4.9424999999999999</v>
      </c>
      <c r="R20" s="67">
        <f>T_p2223625839097118125132[[#This Row],[ICM]]+bounty*T_p2223625839097118125132[[#This Row],[KO]]</f>
        <v>38.0989</v>
      </c>
      <c r="T20" s="83">
        <f>COUNTIF(T_p3p1233726849198119126133[stack],"&gt;0")</f>
        <v>3</v>
      </c>
      <c r="U20" s="17">
        <f>IF(T_init20344818895116123130[[#This Row],[p]]=1,sidepot1+uncalled,IF(T_init20344818895116123130[[#This Row],[p]]=3,mainpot,IF(ISBLANK(T_init20344818895116123130[[#This Row],[p]]),T_init20344818895116123130[[#This Row],[stack]]-T_init20344818895116123130[[#This Row],[anteblinds]],0)))</f>
        <v>0</v>
      </c>
      <c r="W20" s="18">
        <f>T_p3p1233726849198119126133[[#This Row],[EQ]]*prize</f>
        <v>0</v>
      </c>
      <c r="X20" s="67">
        <f>IF(T_init20344818895116123130[[#This Row],[p]]=1,T_p3p1233726849198119126133[[#This Row],[players]]*T_p3p1233726849198119126133[[#This Row],[stack]]/chips+COUNTIF(T_p3p1233726849198119126133[stack],0),T_p3p1233726849198119126133[[#This Row],[players]]*T_p3p1233726849198119126133[[#This Row],[stack]]/chips)</f>
        <v>0</v>
      </c>
      <c r="Y20" s="67">
        <f>T_p3p1233726849198119126133[[#This Row],[ICM]]+bounty*T_p3p1233726849198119126133[[#This Row],[KO]]</f>
        <v>0</v>
      </c>
      <c r="AA20" s="83">
        <f>COUNTIF(T_p3p2243827859299120127134[stack],"&gt;0")</f>
        <v>4</v>
      </c>
      <c r="AB20" s="17">
        <f>IF(T_init20344818895116123130[[#This Row],[p]]=1,uncalled,IF(T_init20344818895116123130[[#This Row],[p]]=2,sidepot1,IF(T_init20344818895116123130[[#This Row],[p]]=3,mainpot,IF(ISBLANK(T_init20344818895116123130[[#This Row],[p]]),T_init20344818895116123130[[#This Row],[stack]]-T_init20344818895116123130[[#This Row],[anteblinds]],0))))</f>
        <v>100</v>
      </c>
      <c r="AC20" s="17">
        <v>0.05</v>
      </c>
      <c r="AD20" s="18">
        <f>T_p3p2243827859299120127134[[#This Row],[EQ]]*prize</f>
        <v>2.9420000000000002</v>
      </c>
      <c r="AE20" s="67">
        <f>IF(T_init20344818895116123130[[#This Row],[p]]=2,T_p3p2243827859299120127134[[#This Row],[players]]*T_p3p2243827859299120127134[[#This Row],[stack]]/chips+COUNTIF(T_p3p2243827859299120127134[stack],0),T_p3p2243827859299120127134[[#This Row],[players]]*T_p3p2243827859299120127134[[#This Row],[stack]]/chips)</f>
        <v>2.2000000000000002</v>
      </c>
      <c r="AF20" s="24">
        <f>T_p3p2243827859299120127134[[#This Row],[ICM]]+bounty*T_p3p2243827859299120127134[[#This Row],[KO]]</f>
        <v>2.9420000000000002</v>
      </c>
      <c r="AI20" s="83">
        <v>2</v>
      </c>
      <c r="AJ20" s="17">
        <v>0</v>
      </c>
      <c r="AK20" s="17">
        <v>0</v>
      </c>
      <c r="AL20" s="18">
        <f>T_fact2939288693100121128135[[#This Row],[EQ]]*prize</f>
        <v>0</v>
      </c>
      <c r="AM20" s="67">
        <f>IF(T_init20344818895116123130[[#This Row],[p]]=1,T_fact2939288693100121128135[[#This Row],[players]]*T_fact2939288693100121128135[[#This Row],[stack]]/chips+COUNTIF(T_fact2939288693100121128135[stack],0),T_fact2939288693100121128135[[#This Row],[players]]*T_fact2939288693100121128135[[#This Row],[stack]]/chips)</f>
        <v>0</v>
      </c>
      <c r="AN20" s="24">
        <f>T_fact2939288693100121128135[[#This Row],[ICM]]+bounty*T_fact2939288693100121128135[[#This Row],[KO]]</f>
        <v>0</v>
      </c>
      <c r="AQ20" s="69">
        <f>'3w Ac5c Ден'!p3win* ('3w Ac5c Ден'!p1sp1win*T_p3p1233726849198119126133[[#This Row],[ICM]] + '3w Ac5c Ден'!p2sp1win*T_p3p2243827859299120127134[[#This Row],[ICM]])
+'3w Ac5c Ден'!p2win*T_p2223625839097118125132[[#This Row],[ICM]]
+'3w Ac5c Ден'!p1win*T_p1213519828996117124131[[#This Row],[ICM]]</f>
        <v>9.5335153429600012</v>
      </c>
      <c r="AR20" s="69">
        <f>('3w Ac5c Ден'!p3win* ('3w Ac5c Ден'!p1sp1win*T_p3p1233726849198119126133[[#This Row],[KO]] + '3w Ac5c Ден'!p2sp1win*T_p3p2243827859299120127134[[#This Row],[KO]])
+'3w Ac5c Ден'!p2win*T_p2223625839097118125132[[#This Row],[KO]]
+'3w Ac5c Ден'!p1win*T_p1213519828996117124131[[#This Row],[KO]])*bounty</f>
        <v>0</v>
      </c>
      <c r="AS20" s="69">
        <f>'3w Ac5c Ден'!p3win* ('3w Ac5c Ден'!p1sp1win*T_p3p1233726849198119126133[[#This Row],[$stack]] + '3w Ac5c Ден'!p2sp1win*T_p3p2243827859299120127134[[#This Row],[$stack]])
+'3w Ac5c Ден'!p2win*T_p2223625839097118125132[[#This Row],[$stack]]
+'3w Ac5c Ден'!p1win*T_p1213519828996117124131[[#This Row],[$stack]]</f>
        <v>9.5335153429600012</v>
      </c>
      <c r="AT20" s="69">
        <f>'3w Ac5c Ден'!p3win* ('3w Ac5c Ден'!p1sp1win*T_p3p1233726849198119126133[[#This Row],[stack]] + '3w Ac5c Ден'!p2sp1win*T_p3p2243827859299120127134[[#This Row],[stack]])
+'3w Ac5c Ден'!p2win*T_p2223625839097118125132[[#This Row],[stack]]
+'3w Ac5c Ден'!p1win*T_p1213519828996117124131[[#This Row],[stack]]</f>
        <v>324.048788</v>
      </c>
      <c r="AU20" s="18">
        <f>T_EV3340308794101122129136[[#This Row],[chipEV]]-T_fact2939288693100121128135[[#This Row],[stack]]</f>
        <v>324.048788</v>
      </c>
      <c r="AV20" s="18">
        <f>T_EV3340308794101122129136[[#This Row],[EV]]-(T_fact2939288693100121128135[[#This Row],[ICM]]+bounty*T_fact2939288693100121128135[[#This Row],[KO]])</f>
        <v>9.5335153429600012</v>
      </c>
    </row>
    <row r="21" spans="1:48" x14ac:dyDescent="0.25">
      <c r="B21">
        <v>0</v>
      </c>
      <c r="F21" s="5">
        <f>COUNTIF(T_p1213519828996117124131[stack],"&gt;0")</f>
        <v>2</v>
      </c>
      <c r="G21">
        <f>IF(T_init20344818895116123130[[#This Row],[p]]=1,mainpot+sidepot1+sidepot2+uncalled,IF(T_init20344818895116123130[[#This Row],[p]]&gt;1,0,T_init20344818895116123130[[#This Row],[stack]]-T_init20344818895116123130[[#This Row],[anteblinds]]))</f>
        <v>0</v>
      </c>
      <c r="I21" s="2">
        <f>T_p1213519828996117124131[[#This Row],[EQ]]*prize</f>
        <v>0</v>
      </c>
      <c r="J21" s="66">
        <f>IF(T_init20344818895116123130[[#This Row],[p]]=1,T_p1213519828996117124131[[#This Row],[players]]*T_p1213519828996117124131[[#This Row],[stack]]/chips+COUNTIF(T_p1213519828996117124131[stack],0),T_p1213519828996117124131[[#This Row],[players]]*T_p1213519828996117124131[[#This Row],[stack]]/chips)</f>
        <v>0</v>
      </c>
      <c r="K21" s="66">
        <f>T_p1213519828996117124131[[#This Row],[ICM]]+bounty*T_p1213519828996117124131[[#This Row],[KO]]</f>
        <v>0</v>
      </c>
      <c r="M21" s="10">
        <f>COUNTIF(T_p2223625839097118125132[stack],"&gt;0")</f>
        <v>3</v>
      </c>
      <c r="N21" s="26">
        <f>IF(T_init20344818895116123130[[#This Row],[p]]=1,uncalled,IF(T_init20344818895116123130[[#This Row],[p]]=2,mainpot+sidepot1+sidepot2,IF(T_init20344818895116123130[[#This Row],[p]]&gt;2,0,T_init20344818895116123130[[#This Row],[stack]]-T_init20344818895116123130[[#This Row],[anteblinds]])))</f>
        <v>0</v>
      </c>
      <c r="O21">
        <v>0</v>
      </c>
      <c r="P21" s="2">
        <f>T_p2223625839097118125132[[#This Row],[EQ]]*prize</f>
        <v>0</v>
      </c>
      <c r="Q21" s="66">
        <f>IF(T_init20344818895116123130[[#This Row],[p]]=2,T_p2223625839097118125132[[#This Row],[players]]*T_p2223625839097118125132[[#This Row],[stack]]/chips+COUNTIF(T_p2223625839097118125132[stack],0),T_p2223625839097118125132[[#This Row],[players]]*T_p2223625839097118125132[[#This Row],[stack]]/chips)</f>
        <v>0</v>
      </c>
      <c r="R21" s="66">
        <f>T_p2223625839097118125132[[#This Row],[ICM]]+bounty*T_p2223625839097118125132[[#This Row],[KO]]</f>
        <v>0</v>
      </c>
      <c r="T21" s="5">
        <f>COUNTIF(T_p3p1233726849198119126133[stack],"&gt;0")</f>
        <v>3</v>
      </c>
      <c r="U21" s="26">
        <f>IF(T_init20344818895116123130[[#This Row],[p]]=1,sidepot1+uncalled,IF(T_init20344818895116123130[[#This Row],[p]]=3,mainpot,IF(ISBLANK(T_init20344818895116123130[[#This Row],[p]]),T_init20344818895116123130[[#This Row],[stack]]-T_init20344818895116123130[[#This Row],[anteblinds]],0)))</f>
        <v>0</v>
      </c>
      <c r="V21">
        <v>0</v>
      </c>
      <c r="W21" s="2">
        <f>T_p3p1233726849198119126133[[#This Row],[EQ]]*prize</f>
        <v>0</v>
      </c>
      <c r="X21" s="66">
        <f>IF(T_init20344818895116123130[[#This Row],[p]]=1,T_p3p1233726849198119126133[[#This Row],[players]]*T_p3p1233726849198119126133[[#This Row],[stack]]/chips+COUNTIF(T_p3p1233726849198119126133[stack],0),T_p3p1233726849198119126133[[#This Row],[players]]*T_p3p1233726849198119126133[[#This Row],[stack]]/chips)</f>
        <v>0</v>
      </c>
      <c r="Y21" s="66">
        <f>T_p3p1233726849198119126133[[#This Row],[ICM]]+bounty*T_p3p1233726849198119126133[[#This Row],[KO]]</f>
        <v>0</v>
      </c>
      <c r="AA21" s="5">
        <f>COUNTIF(T_p3p2243827859299120127134[stack],"&gt;0")</f>
        <v>4</v>
      </c>
      <c r="AB21">
        <f>IF(T_init20344818895116123130[[#This Row],[p]]=1,uncalled,IF(T_init20344818895116123130[[#This Row],[p]]=2,sidepot1,IF(T_init20344818895116123130[[#This Row],[p]]=3,mainpot,IF(ISBLANK(T_init20344818895116123130[[#This Row],[p]]),T_init20344818895116123130[[#This Row],[stack]]-T_init20344818895116123130[[#This Row],[anteblinds]],0))))</f>
        <v>0</v>
      </c>
      <c r="AC21">
        <v>0</v>
      </c>
      <c r="AD21" s="2">
        <f>T_p3p2243827859299120127134[[#This Row],[EQ]]*prize</f>
        <v>0</v>
      </c>
      <c r="AE21" s="66">
        <f>IF(T_init20344818895116123130[[#This Row],[p]]=2,T_p3p2243827859299120127134[[#This Row],[players]]*T_p3p2243827859299120127134[[#This Row],[stack]]/chips+COUNTIF(T_p3p2243827859299120127134[stack],0),T_p3p2243827859299120127134[[#This Row],[players]]*T_p3p2243827859299120127134[[#This Row],[stack]]/chips)</f>
        <v>0</v>
      </c>
      <c r="AF21" s="16">
        <f>T_p3p2243827859299120127134[[#This Row],[ICM]]+bounty*T_p3p2243827859299120127134[[#This Row],[KO]]</f>
        <v>0</v>
      </c>
      <c r="AI21" s="73">
        <v>2</v>
      </c>
      <c r="AJ21" s="26">
        <v>0</v>
      </c>
      <c r="AL21" s="2">
        <f>T_fact2939288693100121128135[[#This Row],[EQ]]*prize</f>
        <v>0</v>
      </c>
      <c r="AM21" s="66">
        <f>IF(T_init20344818895116123130[[#This Row],[p]]=1,T_fact2939288693100121128135[[#This Row],[players]]*T_fact2939288693100121128135[[#This Row],[stack]]/chips+COUNTIF(T_fact2939288693100121128135[stack],0),T_fact2939288693100121128135[[#This Row],[players]]*T_fact2939288693100121128135[[#This Row],[stack]]/chips)</f>
        <v>0</v>
      </c>
      <c r="AN21" s="16">
        <f>T_fact2939288693100121128135[[#This Row],[ICM]]+bounty*T_fact2939288693100121128135[[#This Row],[KO]]</f>
        <v>0</v>
      </c>
      <c r="AQ21" s="68">
        <f>'3w Ac5c Ден'!p3win* ('3w Ac5c Ден'!p1sp1win*T_p3p1233726849198119126133[[#This Row],[ICM]] + '3w Ac5c Ден'!p2sp1win*T_p3p2243827859299120127134[[#This Row],[ICM]])
+'3w Ac5c Ден'!p2win*T_p2223625839097118125132[[#This Row],[ICM]]
+'3w Ac5c Ден'!p1win*T_p1213519828996117124131[[#This Row],[ICM]]</f>
        <v>0</v>
      </c>
      <c r="AR21" s="68">
        <f>('3w Ac5c Ден'!p3win* ('3w Ac5c Ден'!p1sp1win*T_p3p1233726849198119126133[[#This Row],[KO]] + '3w Ac5c Ден'!p2sp1win*T_p3p2243827859299120127134[[#This Row],[KO]])
+'3w Ac5c Ден'!p2win*T_p2223625839097118125132[[#This Row],[KO]]
+'3w Ac5c Ден'!p1win*T_p1213519828996117124131[[#This Row],[KO]])*bounty</f>
        <v>0</v>
      </c>
      <c r="AS21" s="68">
        <f>'3w Ac5c Ден'!p3win* ('3w Ac5c Ден'!p1sp1win*T_p3p1233726849198119126133[[#This Row],[$stack]] + '3w Ac5c Ден'!p2sp1win*T_p3p2243827859299120127134[[#This Row],[$stack]])
+'3w Ac5c Ден'!p2win*T_p2223625839097118125132[[#This Row],[$stack]]
+'3w Ac5c Ден'!p1win*T_p1213519828996117124131[[#This Row],[$stack]]</f>
        <v>0</v>
      </c>
      <c r="AT21" s="68">
        <f>'3w Ac5c Ден'!p3win* ('3w Ac5c Ден'!p1sp1win*T_p3p1233726849198119126133[[#This Row],[stack]] + '3w Ac5c Ден'!p2sp1win*T_p3p2243827859299120127134[[#This Row],[stack]])
+'3w Ac5c Ден'!p2win*T_p2223625839097118125132[[#This Row],[stack]]
+'3w Ac5c Ден'!p1win*T_p1213519828996117124131[[#This Row],[stack]]</f>
        <v>0</v>
      </c>
      <c r="AU21" s="2">
        <f>T_EV3340308794101122129136[[#This Row],[chipEV]]-T_fact2939288693100121128135[[#This Row],[stack]]</f>
        <v>0</v>
      </c>
      <c r="AV21" s="2">
        <f>T_EV3340308794101122129136[[#This Row],[EV]]-(T_fact2939288693100121128135[[#This Row],[ICM]]+bounty*T_fact2939288693100121128135[[#This Row],[KO]])</f>
        <v>0</v>
      </c>
    </row>
    <row r="22" spans="1:48" x14ac:dyDescent="0.25">
      <c r="B22">
        <v>0</v>
      </c>
      <c r="F22" s="5">
        <f>COUNTIF(T_p1213519828996117124131[stack],"&gt;0")</f>
        <v>2</v>
      </c>
      <c r="G22">
        <f>IF(T_init20344818895116123130[[#This Row],[p]]=1,mainpot+sidepot1+sidepot2+uncalled,IF(T_init20344818895116123130[[#This Row],[p]]&gt;1,0,T_init20344818895116123130[[#This Row],[stack]]-T_init20344818895116123130[[#This Row],[anteblinds]]))</f>
        <v>0</v>
      </c>
      <c r="I22" s="2">
        <f>T_p1213519828996117124131[[#This Row],[EQ]]*prize</f>
        <v>0</v>
      </c>
      <c r="J22" s="66">
        <f>IF(T_init20344818895116123130[[#This Row],[p]]=1,T_p1213519828996117124131[[#This Row],[players]]*T_p1213519828996117124131[[#This Row],[stack]]/chips+COUNTIF(T_p1213519828996117124131[stack],0),T_p1213519828996117124131[[#This Row],[players]]*T_p1213519828996117124131[[#This Row],[stack]]/chips)</f>
        <v>0</v>
      </c>
      <c r="K22" s="66">
        <f>T_p1213519828996117124131[[#This Row],[ICM]]+bounty*T_p1213519828996117124131[[#This Row],[KO]]</f>
        <v>0</v>
      </c>
      <c r="M22" s="10">
        <f>COUNTIF(T_p2223625839097118125132[stack],"&gt;0")</f>
        <v>3</v>
      </c>
      <c r="N22" s="26">
        <f>IF(T_init20344818895116123130[[#This Row],[p]]=1,uncalled,IF(T_init20344818895116123130[[#This Row],[p]]=2,mainpot+sidepot1+sidepot2,IF(T_init20344818895116123130[[#This Row],[p]]&gt;2,0,T_init20344818895116123130[[#This Row],[stack]]-T_init20344818895116123130[[#This Row],[anteblinds]])))</f>
        <v>0</v>
      </c>
      <c r="P22" s="2">
        <f>T_p2223625839097118125132[[#This Row],[EQ]]*prize</f>
        <v>0</v>
      </c>
      <c r="Q22" s="66">
        <f>IF(T_init20344818895116123130[[#This Row],[p]]=2,T_p2223625839097118125132[[#This Row],[players]]*T_p2223625839097118125132[[#This Row],[stack]]/chips+COUNTIF(T_p2223625839097118125132[stack],0),T_p2223625839097118125132[[#This Row],[players]]*T_p2223625839097118125132[[#This Row],[stack]]/chips)</f>
        <v>0</v>
      </c>
      <c r="R22" s="66">
        <f>T_p2223625839097118125132[[#This Row],[ICM]]+bounty*T_p2223625839097118125132[[#This Row],[KO]]</f>
        <v>0</v>
      </c>
      <c r="T22" s="5">
        <f>COUNTIF(T_p3p1233726849198119126133[stack],"&gt;0")</f>
        <v>3</v>
      </c>
      <c r="U22" s="26">
        <f>IF(T_init20344818895116123130[[#This Row],[p]]=1,sidepot1+uncalled,IF(T_init20344818895116123130[[#This Row],[p]]=3,mainpot,IF(ISBLANK(T_init20344818895116123130[[#This Row],[p]]),T_init20344818895116123130[[#This Row],[stack]]-T_init20344818895116123130[[#This Row],[anteblinds]],0)))</f>
        <v>0</v>
      </c>
      <c r="V22">
        <v>0</v>
      </c>
      <c r="W22" s="2">
        <f>T_p3p1233726849198119126133[[#This Row],[EQ]]*prize</f>
        <v>0</v>
      </c>
      <c r="X22" s="66">
        <f>IF(T_init20344818895116123130[[#This Row],[p]]=1,T_p3p1233726849198119126133[[#This Row],[players]]*T_p3p1233726849198119126133[[#This Row],[stack]]/chips+COUNTIF(T_p3p1233726849198119126133[stack],0),T_p3p1233726849198119126133[[#This Row],[players]]*T_p3p1233726849198119126133[[#This Row],[stack]]/chips)</f>
        <v>0</v>
      </c>
      <c r="Y22" s="66">
        <f>T_p3p1233726849198119126133[[#This Row],[ICM]]+bounty*T_p3p1233726849198119126133[[#This Row],[KO]]</f>
        <v>0</v>
      </c>
      <c r="AA22" s="5">
        <f>COUNTIF(T_p3p2243827859299120127134[stack],"&gt;0")</f>
        <v>4</v>
      </c>
      <c r="AB22">
        <f>IF(T_init20344818895116123130[[#This Row],[p]]=1,uncalled,IF(T_init20344818895116123130[[#This Row],[p]]=2,sidepot1,IF(T_init20344818895116123130[[#This Row],[p]]=3,mainpot,IF(ISBLANK(T_init20344818895116123130[[#This Row],[p]]),T_init20344818895116123130[[#This Row],[stack]]-T_init20344818895116123130[[#This Row],[anteblinds]],0))))</f>
        <v>0</v>
      </c>
      <c r="AC22">
        <v>0</v>
      </c>
      <c r="AD22" s="2">
        <f>T_p3p2243827859299120127134[[#This Row],[EQ]]*prize</f>
        <v>0</v>
      </c>
      <c r="AE22" s="66">
        <f>IF(T_init20344818895116123130[[#This Row],[p]]=2,T_p3p2243827859299120127134[[#This Row],[players]]*T_p3p2243827859299120127134[[#This Row],[stack]]/chips+COUNTIF(T_p3p2243827859299120127134[stack],0),T_p3p2243827859299120127134[[#This Row],[players]]*T_p3p2243827859299120127134[[#This Row],[stack]]/chips)</f>
        <v>0</v>
      </c>
      <c r="AF22" s="16">
        <f>T_p3p2243827859299120127134[[#This Row],[ICM]]+bounty*T_p3p2243827859299120127134[[#This Row],[KO]]</f>
        <v>0</v>
      </c>
      <c r="AI22" s="73">
        <v>2</v>
      </c>
      <c r="AJ22" s="26">
        <v>0</v>
      </c>
      <c r="AL22" s="2">
        <f>T_fact2939288693100121128135[[#This Row],[EQ]]*prize</f>
        <v>0</v>
      </c>
      <c r="AM22" s="66">
        <f>IF(T_init20344818895116123130[[#This Row],[p]]=1,T_fact2939288693100121128135[[#This Row],[players]]*T_fact2939288693100121128135[[#This Row],[stack]]/chips+COUNTIF(T_fact2939288693100121128135[stack],0),T_fact2939288693100121128135[[#This Row],[players]]*T_fact2939288693100121128135[[#This Row],[stack]]/chips)</f>
        <v>0</v>
      </c>
      <c r="AN22" s="16">
        <f>T_fact2939288693100121128135[[#This Row],[ICM]]+bounty*T_fact2939288693100121128135[[#This Row],[KO]]</f>
        <v>0</v>
      </c>
      <c r="AQ22" s="68">
        <f>'3w Ac5c Ден'!p3win* ('3w Ac5c Ден'!p1sp1win*T_p3p1233726849198119126133[[#This Row],[ICM]] + '3w Ac5c Ден'!p2sp1win*T_p3p2243827859299120127134[[#This Row],[ICM]])
+'3w Ac5c Ден'!p2win*T_p2223625839097118125132[[#This Row],[ICM]]
+'3w Ac5c Ден'!p1win*T_p1213519828996117124131[[#This Row],[ICM]]</f>
        <v>0</v>
      </c>
      <c r="AR22" s="68">
        <f>('3w Ac5c Ден'!p3win* ('3w Ac5c Ден'!p1sp1win*T_p3p1233726849198119126133[[#This Row],[KO]] + '3w Ac5c Ден'!p2sp1win*T_p3p2243827859299120127134[[#This Row],[KO]])
+'3w Ac5c Ден'!p2win*T_p2223625839097118125132[[#This Row],[KO]]
+'3w Ac5c Ден'!p1win*T_p1213519828996117124131[[#This Row],[KO]])*bounty</f>
        <v>0</v>
      </c>
      <c r="AS22" s="68">
        <f>'3w Ac5c Ден'!p3win* ('3w Ac5c Ден'!p1sp1win*T_p3p1233726849198119126133[[#This Row],[$stack]] + '3w Ac5c Ден'!p2sp1win*T_p3p2243827859299120127134[[#This Row],[$stack]])
+'3w Ac5c Ден'!p2win*T_p2223625839097118125132[[#This Row],[$stack]]
+'3w Ac5c Ден'!p1win*T_p1213519828996117124131[[#This Row],[$stack]]</f>
        <v>0</v>
      </c>
      <c r="AT22" s="68">
        <f>'3w Ac5c Ден'!p3win* ('3w Ac5c Ден'!p1sp1win*T_p3p1233726849198119126133[[#This Row],[stack]] + '3w Ac5c Ден'!p2sp1win*T_p3p2243827859299120127134[[#This Row],[stack]])
+'3w Ac5c Ден'!p2win*T_p2223625839097118125132[[#This Row],[stack]]
+'3w Ac5c Ден'!p1win*T_p1213519828996117124131[[#This Row],[stack]]</f>
        <v>0</v>
      </c>
      <c r="AU22" s="2">
        <f>T_EV3340308794101122129136[[#This Row],[chipEV]]-T_fact2939288693100121128135[[#This Row],[stack]]</f>
        <v>0</v>
      </c>
      <c r="AV22" s="2">
        <f>T_EV3340308794101122129136[[#This Row],[EV]]-(T_fact2939288693100121128135[[#This Row],[ICM]]+bounty*T_fact2939288693100121128135[[#This Row],[KO]])</f>
        <v>0</v>
      </c>
    </row>
    <row r="23" spans="1:48" x14ac:dyDescent="0.25">
      <c r="A23" t="s">
        <v>95</v>
      </c>
      <c r="D23">
        <f>SUBTOTAL(109,T_init20344818895116123130[anteblinds])</f>
        <v>115</v>
      </c>
      <c r="F23" s="53"/>
      <c r="G23" s="50">
        <f>SUM(T_p1213519828996117124131[stack])</f>
        <v>2000</v>
      </c>
      <c r="H23" s="50">
        <f>SUM(T_p1213519828996117124131[EQ])</f>
        <v>1</v>
      </c>
      <c r="I23" s="50">
        <f>SUM(T_p1213519828996117124131[ICM])</f>
        <v>58.84</v>
      </c>
      <c r="J23" s="50">
        <f>SUM(T_p1213519828996117124131[KO])</f>
        <v>6</v>
      </c>
      <c r="K23" s="50">
        <f>SUM(T_p1213519828996117124131[$stack])</f>
        <v>58.84</v>
      </c>
      <c r="M23" s="53"/>
      <c r="N23" s="55">
        <f>SUM(T_p2223625839097118125132[stack])</f>
        <v>2000</v>
      </c>
      <c r="O23" s="50">
        <f>SUM(T_p2223625839097118125132[EQ])</f>
        <v>1</v>
      </c>
      <c r="P23" s="51">
        <f>SUM(T_p2223625839097118125132[ICM])</f>
        <v>58.84</v>
      </c>
      <c r="Q23" s="52">
        <f>SUM(T_p2223625839097118125132[KO])</f>
        <v>6</v>
      </c>
      <c r="R23" s="50">
        <f>SUM(T_p2223625839097118125132[$stack])</f>
        <v>58.84</v>
      </c>
      <c r="T23" s="53"/>
      <c r="U23" s="55">
        <f>SUM(T_p3p1233726849198119126133[stack])</f>
        <v>2000</v>
      </c>
      <c r="V23" s="50">
        <f>SUM(T_p3p1233726849198119126133[EQ])</f>
        <v>1</v>
      </c>
      <c r="W23" s="51">
        <f>SUM(T_p3p1233726849198119126133[ICM])</f>
        <v>58.840000000000011</v>
      </c>
      <c r="X23" s="52">
        <f>SUM(T_p3p1233726849198119126133[KO])</f>
        <v>6</v>
      </c>
      <c r="Y23" s="50">
        <f>SUM(T_p3p1233726849198119126133[$stack])</f>
        <v>58.840000000000011</v>
      </c>
      <c r="AA23" s="53"/>
      <c r="AB23" s="55">
        <f>SUM(T_p3p2243827859299120127134[stack])</f>
        <v>2000</v>
      </c>
      <c r="AC23" s="50">
        <f>SUM(T_p3p2243827859299120127134[EQ])</f>
        <v>1</v>
      </c>
      <c r="AD23" s="51">
        <f>SUM(T_p3p2243827859299120127134[ICM])</f>
        <v>58.840000000000011</v>
      </c>
      <c r="AE23" s="52">
        <f>SUM(T_p3p2243827859299120127134[KO])</f>
        <v>6</v>
      </c>
      <c r="AF23" s="50">
        <f>SUM(T_p3p1233726849198119126133[$stack])</f>
        <v>58.840000000000011</v>
      </c>
      <c r="AI23" s="53"/>
      <c r="AJ23" s="55">
        <f>SUM(T_fact2939288693100121128135[stack])</f>
        <v>2000</v>
      </c>
      <c r="AK23" s="50">
        <f>SUM(T_fact2939288693100121128135[EQ])</f>
        <v>1</v>
      </c>
      <c r="AL23" s="51">
        <f>SUM(T_fact2939288693100121128135[ICM])</f>
        <v>58.84</v>
      </c>
      <c r="AM23" s="52">
        <f>SUM(T_fact2939288693100121128135[KO])</f>
        <v>6</v>
      </c>
      <c r="AN23" s="51">
        <f>SUM(T_fact2939288693100121128135[$stack])</f>
        <v>58.84</v>
      </c>
      <c r="AQ23" s="52">
        <f>SUM(T_EV3340308794101122129136[ICM])</f>
        <v>58.84</v>
      </c>
      <c r="AR23" s="52">
        <f>SUM(T_EV3340308794101122129136[KO])</f>
        <v>0</v>
      </c>
      <c r="AS23" s="52">
        <f>SUM(T_EV3340308794101122129136[EV])</f>
        <v>58.84</v>
      </c>
      <c r="AT23" s="50">
        <f>SUM(T_EV3340308794101122129136[chipEV])</f>
        <v>2000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414</v>
      </c>
    </row>
    <row r="27" spans="1:48" x14ac:dyDescent="0.25">
      <c r="C27" t="s">
        <v>120</v>
      </c>
      <c r="M27" t="s">
        <v>415</v>
      </c>
    </row>
    <row r="28" spans="1:48" x14ac:dyDescent="0.25">
      <c r="C28" t="s">
        <v>122</v>
      </c>
      <c r="M28" t="s">
        <v>416</v>
      </c>
    </row>
    <row r="29" spans="1:48" x14ac:dyDescent="0.25">
      <c r="M29" t="s">
        <v>385</v>
      </c>
    </row>
    <row r="30" spans="1:48" x14ac:dyDescent="0.25">
      <c r="M30" t="s">
        <v>417</v>
      </c>
    </row>
    <row r="31" spans="1:48" x14ac:dyDescent="0.25">
      <c r="C31" t="s">
        <v>126</v>
      </c>
      <c r="M31" t="s">
        <v>418</v>
      </c>
    </row>
    <row r="32" spans="1:48" x14ac:dyDescent="0.25">
      <c r="M32" t="s">
        <v>419</v>
      </c>
    </row>
    <row r="33" spans="2:13" x14ac:dyDescent="0.25">
      <c r="B33" t="s">
        <v>129</v>
      </c>
      <c r="M33" t="s">
        <v>132</v>
      </c>
    </row>
    <row r="34" spans="2:13" x14ac:dyDescent="0.25">
      <c r="B34" t="s">
        <v>131</v>
      </c>
      <c r="M34" t="s">
        <v>291</v>
      </c>
    </row>
    <row r="35" spans="2:13" x14ac:dyDescent="0.25">
      <c r="C35" t="s">
        <v>133</v>
      </c>
      <c r="M35" t="s">
        <v>420</v>
      </c>
    </row>
    <row r="36" spans="2:13" x14ac:dyDescent="0.25">
      <c r="D36" t="s">
        <v>135</v>
      </c>
      <c r="M36" t="s">
        <v>421</v>
      </c>
    </row>
    <row r="37" spans="2:13" x14ac:dyDescent="0.25">
      <c r="C37" t="s">
        <v>137</v>
      </c>
      <c r="M37" t="s">
        <v>138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422</v>
      </c>
    </row>
    <row r="40" spans="2:13" x14ac:dyDescent="0.25">
      <c r="D40" t="s">
        <v>142</v>
      </c>
      <c r="M40" t="s">
        <v>423</v>
      </c>
    </row>
    <row r="41" spans="2:13" x14ac:dyDescent="0.25">
      <c r="D41" t="s">
        <v>144</v>
      </c>
      <c r="E41" t="s">
        <v>145</v>
      </c>
      <c r="M41" t="s">
        <v>424</v>
      </c>
    </row>
    <row r="42" spans="2:13" x14ac:dyDescent="0.25">
      <c r="F42" t="s">
        <v>147</v>
      </c>
      <c r="M42" t="s">
        <v>425</v>
      </c>
    </row>
    <row r="43" spans="2:13" x14ac:dyDescent="0.25">
      <c r="E43" t="s">
        <v>149</v>
      </c>
      <c r="M43" t="s">
        <v>426</v>
      </c>
    </row>
    <row r="44" spans="2:13" x14ac:dyDescent="0.25">
      <c r="F44" t="s">
        <v>151</v>
      </c>
      <c r="M44" t="s">
        <v>427</v>
      </c>
    </row>
    <row r="45" spans="2:13" x14ac:dyDescent="0.25">
      <c r="M45" t="s">
        <v>428</v>
      </c>
    </row>
    <row r="46" spans="2:13" x14ac:dyDescent="0.25">
      <c r="C46" t="s">
        <v>154</v>
      </c>
      <c r="M46" t="s">
        <v>429</v>
      </c>
    </row>
    <row r="47" spans="2:13" x14ac:dyDescent="0.25">
      <c r="D47" t="s">
        <v>156</v>
      </c>
      <c r="M47" t="s">
        <v>430</v>
      </c>
    </row>
    <row r="48" spans="2:13" x14ac:dyDescent="0.25">
      <c r="D48" t="s">
        <v>158</v>
      </c>
      <c r="E48" t="s">
        <v>145</v>
      </c>
      <c r="M48" t="s">
        <v>166</v>
      </c>
    </row>
    <row r="49" spans="5:15" x14ac:dyDescent="0.25">
      <c r="F49" t="s">
        <v>160</v>
      </c>
      <c r="M49" t="s">
        <v>431</v>
      </c>
    </row>
    <row r="50" spans="5:15" x14ac:dyDescent="0.25">
      <c r="E50" t="s">
        <v>149</v>
      </c>
      <c r="M50" t="s">
        <v>432</v>
      </c>
    </row>
    <row r="51" spans="5:15" x14ac:dyDescent="0.25">
      <c r="F51" t="s">
        <v>163</v>
      </c>
      <c r="M51" t="s">
        <v>433</v>
      </c>
    </row>
    <row r="52" spans="5:15" x14ac:dyDescent="0.25">
      <c r="E52" t="s">
        <v>165</v>
      </c>
      <c r="M52" t="s">
        <v>434</v>
      </c>
    </row>
    <row r="53" spans="5:15" x14ac:dyDescent="0.25">
      <c r="F53" t="s">
        <v>167</v>
      </c>
      <c r="M53" t="s">
        <v>435</v>
      </c>
    </row>
    <row r="54" spans="5:15" x14ac:dyDescent="0.25">
      <c r="F54" t="s">
        <v>144</v>
      </c>
      <c r="M54" t="s">
        <v>436</v>
      </c>
    </row>
    <row r="55" spans="5:15" x14ac:dyDescent="0.25">
      <c r="G55" t="s">
        <v>145</v>
      </c>
      <c r="M55" t="s">
        <v>437</v>
      </c>
    </row>
    <row r="56" spans="5:15" x14ac:dyDescent="0.25">
      <c r="H56" t="s">
        <v>147</v>
      </c>
      <c r="M56" t="s">
        <v>173</v>
      </c>
    </row>
    <row r="57" spans="5:15" x14ac:dyDescent="0.25">
      <c r="G57" t="s">
        <v>149</v>
      </c>
      <c r="M57" t="s">
        <v>438</v>
      </c>
    </row>
    <row r="58" spans="5:15" x14ac:dyDescent="0.25">
      <c r="H58" t="s">
        <v>151</v>
      </c>
      <c r="M58" t="s">
        <v>439</v>
      </c>
    </row>
    <row r="59" spans="5:15" x14ac:dyDescent="0.25">
      <c r="M59" t="s">
        <v>440</v>
      </c>
    </row>
    <row r="60" spans="5:15" x14ac:dyDescent="0.25">
      <c r="M60" t="s">
        <v>441</v>
      </c>
    </row>
    <row r="61" spans="5:15" x14ac:dyDescent="0.25">
      <c r="M61" t="s">
        <v>442</v>
      </c>
    </row>
    <row r="62" spans="5:15" x14ac:dyDescent="0.25">
      <c r="M62" t="s">
        <v>443</v>
      </c>
    </row>
    <row r="64" spans="5:15" x14ac:dyDescent="0.25">
      <c r="M64" s="93" t="s">
        <v>512</v>
      </c>
      <c r="O64" t="s">
        <v>557</v>
      </c>
    </row>
    <row r="65" spans="13:15" x14ac:dyDescent="0.25">
      <c r="M65" s="93" t="s">
        <v>513</v>
      </c>
      <c r="O65" t="s">
        <v>558</v>
      </c>
    </row>
    <row r="66" spans="13:15" x14ac:dyDescent="0.25">
      <c r="M66" s="93" t="s">
        <v>514</v>
      </c>
    </row>
    <row r="67" spans="13:15" x14ac:dyDescent="0.25">
      <c r="M67" s="93" t="s">
        <v>515</v>
      </c>
    </row>
    <row r="68" spans="13:15" x14ac:dyDescent="0.25">
      <c r="M68" s="93" t="s">
        <v>516</v>
      </c>
    </row>
    <row r="69" spans="13:15" x14ac:dyDescent="0.25">
      <c r="M69" s="93" t="s">
        <v>517</v>
      </c>
    </row>
    <row r="70" spans="13:15" x14ac:dyDescent="0.25">
      <c r="M70" s="93" t="s">
        <v>518</v>
      </c>
    </row>
    <row r="71" spans="13:15" x14ac:dyDescent="0.25">
      <c r="M71" s="93" t="s">
        <v>519</v>
      </c>
    </row>
    <row r="72" spans="13:15" x14ac:dyDescent="0.25">
      <c r="M72" s="93" t="s">
        <v>520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AAA9-6193-47C2-A35D-C74AC839D87C}">
  <dimension ref="A1:AV69"/>
  <sheetViews>
    <sheetView workbookViewId="0">
      <selection activeCell="M61" sqref="M61:M69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14.71*4</f>
        <v>58.84</v>
      </c>
      <c r="F1" s="80" t="s">
        <v>71</v>
      </c>
      <c r="G1">
        <v>0.26019999999999999</v>
      </c>
      <c r="I1" s="80" t="s">
        <v>72</v>
      </c>
      <c r="J1">
        <v>0.5</v>
      </c>
      <c r="M1" s="80" t="s">
        <v>73</v>
      </c>
      <c r="N1">
        <v>1165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0.35099999999999998</v>
      </c>
      <c r="I2" s="80" t="s">
        <v>75</v>
      </c>
      <c r="J2">
        <v>0.5</v>
      </c>
      <c r="M2" s="80" t="s">
        <v>76</v>
      </c>
      <c r="N2">
        <v>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0.38890000000000002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345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4"/>
      <c r="K11" s="84"/>
    </row>
    <row r="12" spans="1:48" ht="19.5" thickBot="1" x14ac:dyDescent="0.35">
      <c r="F12" s="84"/>
      <c r="G12" s="84"/>
      <c r="H12" s="84"/>
      <c r="I12" s="84"/>
      <c r="J12" s="84"/>
      <c r="K12" s="84"/>
      <c r="V12" t="s">
        <v>92</v>
      </c>
      <c r="AC12" t="s">
        <v>93</v>
      </c>
    </row>
    <row r="13" spans="1:48" ht="20.25" thickTop="1" thickBot="1" x14ac:dyDescent="0.35">
      <c r="F13" s="84"/>
      <c r="G13" s="84"/>
      <c r="H13" s="84"/>
      <c r="I13" s="84"/>
      <c r="J13" s="84"/>
      <c r="K13" s="84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4"/>
      <c r="G14" s="84"/>
      <c r="H14" s="84" t="s">
        <v>96</v>
      </c>
      <c r="I14" s="84"/>
      <c r="J14" s="84"/>
      <c r="K14" s="84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4"/>
      <c r="M15" s="134" t="s">
        <v>101</v>
      </c>
      <c r="N15" s="135"/>
      <c r="O15" s="135"/>
      <c r="P15" s="135"/>
      <c r="Q15" s="136"/>
      <c r="R15" s="84"/>
      <c r="T15" s="118" t="s">
        <v>102</v>
      </c>
      <c r="U15" s="119"/>
      <c r="V15" s="119"/>
      <c r="W15" s="119"/>
      <c r="X15" s="120"/>
      <c r="Y15" s="84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s="17" customFormat="1" x14ac:dyDescent="0.25">
      <c r="A17" s="17">
        <v>1</v>
      </c>
      <c r="B17" s="26">
        <v>730</v>
      </c>
      <c r="C17" s="26" t="s">
        <v>215</v>
      </c>
      <c r="D17" s="17">
        <v>60</v>
      </c>
      <c r="F17" s="83">
        <f>COUNTIF(T_p121351982[stack],"&gt;0")</f>
        <v>2</v>
      </c>
      <c r="G17" s="17">
        <f>IF(T_init2034481[[#This Row],[p]]=1,mainpot+sidepot1+sidepot2+uncalled,IF(T_init2034481[[#This Row],[p]]&gt;1,0,T_init2034481[[#This Row],[stack]]-T_init2034481[[#This Row],[anteblinds]]))</f>
        <v>1510</v>
      </c>
      <c r="H17" s="26">
        <v>0.755</v>
      </c>
      <c r="I17" s="18">
        <f>T_p121351982[[#This Row],[EQ]]*prize</f>
        <v>44.424200000000006</v>
      </c>
      <c r="J17" s="67">
        <f>IF(T_init2034481[[#This Row],[p]]=1,T_p121351982[[#This Row],[players]]*T_p121351982[[#This Row],[stack]]/chips+COUNTIF(T_p121351982[stack],0),T_p121351982[[#This Row],[players]]*T_p121351982[[#This Row],[stack]]/chips)</f>
        <v>5.51</v>
      </c>
      <c r="K17" s="67">
        <f>T_p121351982[[#This Row],[ICM]]+bounty*T_p121351982[[#This Row],[KO]]</f>
        <v>44.424200000000006</v>
      </c>
      <c r="M17" s="19">
        <f>COUNTIF(T_p222362583[stack],"&gt;0")</f>
        <v>3</v>
      </c>
      <c r="N17" s="17">
        <f>IF(T_init2034481[[#This Row],[p]]=1,uncalled,IF(T_init2034481[[#This Row],[p]]=2,mainpot+sidepot1+sidepot2,IF(T_init2034481[[#This Row],[p]]&gt;2,0,T_init2034481[[#This Row],[stack]]-T_init2034481[[#This Row],[anteblinds]])))</f>
        <v>345</v>
      </c>
      <c r="O17" s="26">
        <v>0.17249999999999999</v>
      </c>
      <c r="P17" s="18">
        <f>T_p222362583[[#This Row],[EQ]]*prize</f>
        <v>10.149900000000001</v>
      </c>
      <c r="Q17" s="67">
        <f>IF(T_init2034481[[#This Row],[p]]=2,T_p222362583[[#This Row],[players]]*T_p222362583[[#This Row],[stack]]/chips+COUNTIF(T_p222362583[stack],0),T_p222362583[[#This Row],[players]]*T_p222362583[[#This Row],[stack]]/chips)</f>
        <v>0.51749999999999996</v>
      </c>
      <c r="R17" s="67">
        <f>T_p222362583[[#This Row],[ICM]]+bounty*T_p222362583[[#This Row],[KO]]</f>
        <v>10.149900000000001</v>
      </c>
      <c r="T17" s="83">
        <f>COUNTIF(T_p3p123372684[stack],"&gt;0")</f>
        <v>3</v>
      </c>
      <c r="U17" s="17">
        <f>IF(T_init2034481[[#This Row],[p]]=1,sidepot1+uncalled,IF(T_init2034481[[#This Row],[p]]=3,mainpot,IF(ISBLANK(T_init2034481[[#This Row],[p]]),T_init2034481[[#This Row],[stack]]-T_init2034481[[#This Row],[anteblinds]],0)))</f>
        <v>345</v>
      </c>
      <c r="V17">
        <v>0.17249999999999999</v>
      </c>
      <c r="W17" s="18">
        <f>T_p3p123372684[[#This Row],[EQ]]*prize</f>
        <v>10.149900000000001</v>
      </c>
      <c r="X17" s="67">
        <f>IF(T_init2034481[[#This Row],[p]]=1,T_p3p123372684[[#This Row],[players]]*T_p3p123372684[[#This Row],[stack]]/chips+COUNTIF(T_p3p123372684[stack],0),T_p3p123372684[[#This Row],[players]]*T_p3p123372684[[#This Row],[stack]]/chips)</f>
        <v>3.5175000000000001</v>
      </c>
      <c r="Y17" s="67">
        <f>T_p3p123372684[[#This Row],[ICM]]+bounty*T_p3p123372684[[#This Row],[KO]]</f>
        <v>10.149900000000001</v>
      </c>
      <c r="AA17" s="83">
        <f>COUNTIF(T_p3p224382785[stack],"&gt;0")</f>
        <v>3</v>
      </c>
      <c r="AB17" s="17">
        <f>IF(T_init2034481[[#This Row],[p]]=1,uncalled,IF(T_init2034481[[#This Row],[p]]=2,sidepot1,IF(T_init2034481[[#This Row],[p]]=3,mainpot,IF(ISBLANK(T_init2034481[[#This Row],[p]]),T_init2034481[[#This Row],[stack]]-T_init2034481[[#This Row],[anteblinds]],0))))</f>
        <v>345</v>
      </c>
      <c r="AC17">
        <v>0.17249999999999999</v>
      </c>
      <c r="AD17" s="18">
        <f>T_p3p224382785[[#This Row],[EQ]]*prize</f>
        <v>10.149900000000001</v>
      </c>
      <c r="AE17" s="67">
        <f>IF(T_init2034481[[#This Row],[p]]=2,T_p3p224382785[[#This Row],[players]]*T_p3p224382785[[#This Row],[stack]]/chips+COUNTIF(T_p3p224382785[stack],0),T_p3p224382785[[#This Row],[players]]*T_p3p224382785[[#This Row],[stack]]/chips)</f>
        <v>0.51749999999999996</v>
      </c>
      <c r="AF17" s="67">
        <f>T_p3p224382785[[#This Row],[ICM]]+bounty*T_p3p224382785[[#This Row],[KO]]</f>
        <v>10.149900000000001</v>
      </c>
      <c r="AI17" s="83">
        <v>3</v>
      </c>
      <c r="AJ17" s="17">
        <v>345</v>
      </c>
      <c r="AK17">
        <v>0.17249999999999999</v>
      </c>
      <c r="AL17" s="18">
        <f>T_fact29392886[[#This Row],[EQ]]*prize</f>
        <v>10.149900000000001</v>
      </c>
      <c r="AM17" s="67">
        <f>IF(T_init2034481[[#This Row],[p]]=1,T_fact29392886[[#This Row],[players]]*T_fact29392886[[#This Row],[stack]]/chips+COUNTIF(T_fact29392886[stack],0),T_fact29392886[[#This Row],[players]]*T_fact29392886[[#This Row],[stack]]/chips)</f>
        <v>3.5175000000000001</v>
      </c>
      <c r="AN17" s="67">
        <f>T_fact29392886[[#This Row],[ICM]]+bounty*T_fact29392886[[#This Row],[KO]]</f>
        <v>10.149900000000001</v>
      </c>
      <c r="AQ17" s="69">
        <f>'3w 98s v2'!p3win* ('3w 98s v2'!p1sp1win*T_p3p123372684[[#This Row],[ICM]] + '3w 98s v2'!p2sp1win*T_p3p224382785[[#This Row],[ICM]])
+'3w 98s v2'!p2win*T_p222362583[[#This Row],[ICM]]
+'3w 98s v2'!p1win*T_p121351982[[#This Row],[ICM]]</f>
        <v>19.069087850000003</v>
      </c>
      <c r="AR17" s="23">
        <f>('3w 98s v2'!p3win* ('3w 98s v2'!p1sp1win*T_p3p123372684[[#This Row],[KO]] + '3w 98s v2'!p2sp1win*T_p3p224382785[[#This Row],[KO]])
+'3w 98s v2'!p2win*T_p222362583[[#This Row],[KO]]
+'3w 98s v2'!p1win*T_p121351982[[#This Row],[KO]])*bounty</f>
        <v>0</v>
      </c>
      <c r="AS17" s="69">
        <f>'3w 98s v2'!p3win* ('3w 98s v2'!p1sp1win*T_p3p123372684[[#This Row],[$stack]] + '3w 98s v2'!p2sp1win*T_p3p224382785[[#This Row],[$stack]])
+'3w 98s v2'!p2win*T_p222362583[[#This Row],[$stack]]
+'3w 98s v2'!p1win*T_p121351982[[#This Row],[$stack]]</f>
        <v>19.069087850000003</v>
      </c>
      <c r="AT17" s="23">
        <f>'3w 98s v2'!p3win* ('3w 98s v2'!p1sp1win*T_p3p123372684[[#This Row],[stack]] + '3w 98s v2'!p2sp1win*T_p3p224382785[[#This Row],[stack]])
+'3w 98s v2'!p2win*T_p222362583[[#This Row],[stack]]
+'3w 98s v2'!p1win*T_p121351982[[#This Row],[stack]]</f>
        <v>648.16750000000002</v>
      </c>
      <c r="AU17" s="18">
        <f>T_EV33403087[[#This Row],[chipEV]]-T_fact29392886[[#This Row],[stack]]</f>
        <v>303.16750000000002</v>
      </c>
      <c r="AV17" s="18">
        <f>T_EV33403087[[#This Row],[EV]]-(T_fact29392886[[#This Row],[ICM]]+bounty*T_fact29392886[[#This Row],[KO]])</f>
        <v>8.9191878500000019</v>
      </c>
    </row>
    <row r="18" spans="1:48" x14ac:dyDescent="0.25">
      <c r="B18">
        <v>500</v>
      </c>
      <c r="D18">
        <v>10</v>
      </c>
      <c r="F18" s="5">
        <f>COUNTIF(T_p121351982[stack],"&gt;0")</f>
        <v>2</v>
      </c>
      <c r="G18">
        <f>IF(T_init2034481[[#This Row],[p]]=1,mainpot+sidepot1+sidepot2+uncalled,IF(T_init2034481[[#This Row],[p]]&gt;1,0,T_init2034481[[#This Row],[stack]]-T_init2034481[[#This Row],[anteblinds]]))</f>
        <v>490</v>
      </c>
      <c r="H18">
        <v>0.245</v>
      </c>
      <c r="I18" s="2">
        <f>T_p121351982[[#This Row],[EQ]]*prize</f>
        <v>14.415800000000001</v>
      </c>
      <c r="J18" s="66">
        <f>IF(T_init2034481[[#This Row],[p]]=1,T_p121351982[[#This Row],[players]]*T_p121351982[[#This Row],[stack]]/chips+COUNTIF(T_p121351982[stack],0),T_p121351982[[#This Row],[players]]*T_p121351982[[#This Row],[stack]]/chips)</f>
        <v>0.49</v>
      </c>
      <c r="K18" s="66">
        <f>T_p121351982[[#This Row],[ICM]]+bounty*T_p121351982[[#This Row],[KO]]</f>
        <v>14.415800000000001</v>
      </c>
      <c r="M18" s="10">
        <f>COUNTIF(T_p222362583[stack],"&gt;0")</f>
        <v>3</v>
      </c>
      <c r="N18" s="26">
        <f>IF(T_init2034481[[#This Row],[p]]=1,uncalled,IF(T_init2034481[[#This Row],[p]]=2,mainpot+sidepot1+sidepot2,IF(T_init2034481[[#This Row],[p]]&gt;2,0,T_init2034481[[#This Row],[stack]]-T_init2034481[[#This Row],[anteblinds]])))</f>
        <v>490</v>
      </c>
      <c r="O18">
        <v>0.245</v>
      </c>
      <c r="P18" s="2">
        <f>T_p222362583[[#This Row],[EQ]]*prize</f>
        <v>14.415800000000001</v>
      </c>
      <c r="Q18" s="66">
        <f>IF(T_init2034481[[#This Row],[p]]=2,T_p222362583[[#This Row],[players]]*T_p222362583[[#This Row],[stack]]/chips+COUNTIF(T_p222362583[stack],0),T_p222362583[[#This Row],[players]]*T_p222362583[[#This Row],[stack]]/chips)</f>
        <v>0.73499999999999999</v>
      </c>
      <c r="R18" s="66">
        <f>T_p222362583[[#This Row],[ICM]]+bounty*T_p222362583[[#This Row],[KO]]</f>
        <v>14.415800000000001</v>
      </c>
      <c r="T18" s="5">
        <f>COUNTIF(T_p3p123372684[stack],"&gt;0")</f>
        <v>3</v>
      </c>
      <c r="U18" s="26">
        <f>IF(T_init2034481[[#This Row],[p]]=1,sidepot1+uncalled,IF(T_init2034481[[#This Row],[p]]=3,mainpot,IF(ISBLANK(T_init2034481[[#This Row],[p]]),T_init2034481[[#This Row],[stack]]-T_init2034481[[#This Row],[anteblinds]],0)))</f>
        <v>490</v>
      </c>
      <c r="V18">
        <v>0.245</v>
      </c>
      <c r="W18" s="2">
        <f>T_p3p123372684[[#This Row],[EQ]]*prize</f>
        <v>14.415800000000001</v>
      </c>
      <c r="X18" s="66">
        <f>IF(T_init2034481[[#This Row],[p]]=1,T_p3p123372684[[#This Row],[players]]*T_p3p123372684[[#This Row],[stack]]/chips+COUNTIF(T_p3p123372684[stack],0),T_p3p123372684[[#This Row],[players]]*T_p3p123372684[[#This Row],[stack]]/chips)</f>
        <v>0.73499999999999999</v>
      </c>
      <c r="Y18" s="66">
        <f>T_p3p123372684[[#This Row],[ICM]]+bounty*T_p3p123372684[[#This Row],[KO]]</f>
        <v>14.415800000000001</v>
      </c>
      <c r="AA18" s="5">
        <f>COUNTIF(T_p3p224382785[stack],"&gt;0")</f>
        <v>3</v>
      </c>
      <c r="AB18">
        <f>IF(T_init2034481[[#This Row],[p]]=1,uncalled,IF(T_init2034481[[#This Row],[p]]=2,sidepot1,IF(T_init2034481[[#This Row],[p]]=3,mainpot,IF(ISBLANK(T_init2034481[[#This Row],[p]]),T_init2034481[[#This Row],[stack]]-T_init2034481[[#This Row],[anteblinds]],0))))</f>
        <v>490</v>
      </c>
      <c r="AC18">
        <v>0.245</v>
      </c>
      <c r="AD18" s="2">
        <f>T_p3p224382785[[#This Row],[EQ]]*prize</f>
        <v>14.415800000000001</v>
      </c>
      <c r="AE18" s="66">
        <f>IF(T_init2034481[[#This Row],[p]]=2,T_p3p224382785[[#This Row],[players]]*T_p3p224382785[[#This Row],[stack]]/chips+COUNTIF(T_p3p224382785[stack],0),T_p3p224382785[[#This Row],[players]]*T_p3p224382785[[#This Row],[stack]]/chips)</f>
        <v>0.73499999999999999</v>
      </c>
      <c r="AF18" s="16">
        <f>T_p3p224382785[[#This Row],[ICM]]+bounty*T_p3p224382785[[#This Row],[KO]]</f>
        <v>14.415800000000001</v>
      </c>
      <c r="AI18" s="73">
        <v>3</v>
      </c>
      <c r="AJ18" s="26">
        <v>490</v>
      </c>
      <c r="AK18">
        <v>0.245</v>
      </c>
      <c r="AL18" s="2">
        <f>T_fact29392886[[#This Row],[EQ]]*prize</f>
        <v>14.415800000000001</v>
      </c>
      <c r="AM18" s="66">
        <f>IF(T_init2034481[[#This Row],[p]]=1,T_fact29392886[[#This Row],[players]]*T_fact29392886[[#This Row],[stack]]/chips+COUNTIF(T_fact29392886[stack],0),T_fact29392886[[#This Row],[players]]*T_fact29392886[[#This Row],[stack]]/chips)</f>
        <v>0.73499999999999999</v>
      </c>
      <c r="AN18" s="16">
        <f>T_fact29392886[[#This Row],[ICM]]+bounty*T_fact29392886[[#This Row],[KO]]</f>
        <v>14.415800000000001</v>
      </c>
      <c r="AQ18" s="68">
        <f>'3w 98s v2'!p3win* ('3w 98s v2'!p1sp1win*T_p3p123372684[[#This Row],[ICM]] + '3w 98s v2'!p2sp1win*T_p3p224382785[[#This Row],[ICM]])
+'3w 98s v2'!p2win*T_p222362583[[#This Row],[ICM]]
+'3w 98s v2'!p1win*T_p121351982[[#This Row],[ICM]]</f>
        <v>14.417241580000001</v>
      </c>
      <c r="AR18" s="68">
        <f>('3w 98s v2'!p3win* ('3w 98s v2'!p1sp1win*T_p3p123372684[[#This Row],[KO]] + '3w 98s v2'!p2sp1win*T_p3p224382785[[#This Row],[KO]])
+'3w 98s v2'!p2win*T_p222362583[[#This Row],[KO]]
+'3w 98s v2'!p1win*T_p121351982[[#This Row],[KO]])*bounty</f>
        <v>0</v>
      </c>
      <c r="AS18" s="68">
        <f>'3w 98s v2'!p3win* ('3w 98s v2'!p1sp1win*T_p3p123372684[[#This Row],[$stack]] + '3w 98s v2'!p2sp1win*T_p3p224382785[[#This Row],[$stack]])
+'3w 98s v2'!p2win*T_p222362583[[#This Row],[$stack]]
+'3w 98s v2'!p1win*T_p121351982[[#This Row],[$stack]]</f>
        <v>14.417241580000001</v>
      </c>
      <c r="AT18" s="68">
        <f>'3w 98s v2'!p3win* ('3w 98s v2'!p1sp1win*T_p3p123372684[[#This Row],[stack]] + '3w 98s v2'!p2sp1win*T_p3p224382785[[#This Row],[stack]])
+'3w 98s v2'!p2win*T_p222362583[[#This Row],[stack]]
+'3w 98s v2'!p1win*T_p121351982[[#This Row],[stack]]</f>
        <v>490.04899999999998</v>
      </c>
      <c r="AU18" s="2">
        <f>T_EV33403087[[#This Row],[chipEV]]-T_fact29392886[[#This Row],[stack]]</f>
        <v>4.8999999999978172E-2</v>
      </c>
      <c r="AV18" s="2">
        <f>T_EV33403087[[#This Row],[EV]]-(T_fact29392886[[#This Row],[ICM]]+bounty*T_fact29392886[[#This Row],[KO]])</f>
        <v>1.4415799999998313E-3</v>
      </c>
    </row>
    <row r="19" spans="1:48" x14ac:dyDescent="0.25">
      <c r="A19">
        <v>3</v>
      </c>
      <c r="B19">
        <v>385</v>
      </c>
      <c r="C19" s="26" t="s">
        <v>216</v>
      </c>
      <c r="D19">
        <v>10</v>
      </c>
      <c r="F19" s="5">
        <f>COUNTIF(T_p121351982[stack],"&gt;0")</f>
        <v>2</v>
      </c>
      <c r="G19">
        <f>IF(T_init2034481[[#This Row],[p]]=1,mainpot+sidepot1+sidepot2+uncalled,IF(T_init2034481[[#This Row],[p]]&gt;1,0,T_init2034481[[#This Row],[stack]]-T_init2034481[[#This Row],[anteblinds]]))</f>
        <v>0</v>
      </c>
      <c r="I19" s="2">
        <f>T_p121351982[[#This Row],[EQ]]*prize</f>
        <v>0</v>
      </c>
      <c r="J19" s="66">
        <f>IF(T_init2034481[[#This Row],[p]]=1,T_p121351982[[#This Row],[players]]*T_p121351982[[#This Row],[stack]]/chips+COUNTIF(T_p121351982[stack],0),T_p121351982[[#This Row],[players]]*T_p121351982[[#This Row],[stack]]/chips)</f>
        <v>0</v>
      </c>
      <c r="K19" s="66">
        <f>T_p121351982[[#This Row],[ICM]]+bounty*T_p121351982[[#This Row],[KO]]</f>
        <v>0</v>
      </c>
      <c r="M19" s="10">
        <f>COUNTIF(T_p222362583[stack],"&gt;0")</f>
        <v>3</v>
      </c>
      <c r="N19" s="26">
        <f>IF(T_init2034481[[#This Row],[p]]=1,uncalled,IF(T_init2034481[[#This Row],[p]]=2,mainpot+sidepot1+sidepot2,IF(T_init2034481[[#This Row],[p]]&gt;2,0,T_init2034481[[#This Row],[stack]]-T_init2034481[[#This Row],[anteblinds]])))</f>
        <v>0</v>
      </c>
      <c r="P19" s="2">
        <f>T_p222362583[[#This Row],[EQ]]*prize</f>
        <v>0</v>
      </c>
      <c r="Q19" s="66">
        <f>IF(T_init2034481[[#This Row],[p]]=2,T_p222362583[[#This Row],[players]]*T_p222362583[[#This Row],[stack]]/chips+COUNTIF(T_p222362583[stack],0),T_p222362583[[#This Row],[players]]*T_p222362583[[#This Row],[stack]]/chips)</f>
        <v>0</v>
      </c>
      <c r="R19" s="66">
        <f>T_p222362583[[#This Row],[ICM]]+bounty*T_p222362583[[#This Row],[KO]]</f>
        <v>0</v>
      </c>
      <c r="T19" s="5">
        <f>COUNTIF(T_p3p123372684[stack],"&gt;0")</f>
        <v>3</v>
      </c>
      <c r="U19" s="26">
        <f>IF(T_init2034481[[#This Row],[p]]=1,sidepot1+uncalled,IF(T_init2034481[[#This Row],[p]]=3,mainpot,IF(ISBLANK(T_init2034481[[#This Row],[p]]),T_init2034481[[#This Row],[stack]]-T_init2034481[[#This Row],[anteblinds]],0)))</f>
        <v>1165</v>
      </c>
      <c r="V19" s="26">
        <v>0.58250000000000002</v>
      </c>
      <c r="W19" s="2">
        <f>T_p3p123372684[[#This Row],[EQ]]*prize</f>
        <v>34.274300000000004</v>
      </c>
      <c r="X19" s="66">
        <f>IF(T_init2034481[[#This Row],[p]]=1,T_p3p123372684[[#This Row],[players]]*T_p3p123372684[[#This Row],[stack]]/chips+COUNTIF(T_p3p123372684[stack],0),T_p3p123372684[[#This Row],[players]]*T_p3p123372684[[#This Row],[stack]]/chips)</f>
        <v>1.7475000000000001</v>
      </c>
      <c r="Y19" s="66">
        <f>T_p3p123372684[[#This Row],[ICM]]+bounty*T_p3p123372684[[#This Row],[KO]]</f>
        <v>34.274300000000004</v>
      </c>
      <c r="AA19" s="5">
        <f>COUNTIF(T_p3p224382785[stack],"&gt;0")</f>
        <v>3</v>
      </c>
      <c r="AB19">
        <f>IF(T_init2034481[[#This Row],[p]]=1,uncalled,IF(T_init2034481[[#This Row],[p]]=2,sidepot1,IF(T_init2034481[[#This Row],[p]]=3,mainpot,IF(ISBLANK(T_init2034481[[#This Row],[p]]),T_init2034481[[#This Row],[stack]]-T_init2034481[[#This Row],[anteblinds]],0))))</f>
        <v>1165</v>
      </c>
      <c r="AC19" s="26">
        <v>0.58250000000000002</v>
      </c>
      <c r="AD19" s="2">
        <f>T_p3p224382785[[#This Row],[EQ]]*prize</f>
        <v>34.274300000000004</v>
      </c>
      <c r="AE19" s="66">
        <f>IF(T_init2034481[[#This Row],[p]]=2,T_p3p224382785[[#This Row],[players]]*T_p3p224382785[[#This Row],[stack]]/chips+COUNTIF(T_p3p224382785[stack],0),T_p3p224382785[[#This Row],[players]]*T_p3p224382785[[#This Row],[stack]]/chips)</f>
        <v>1.7475000000000001</v>
      </c>
      <c r="AF19" s="16">
        <f>T_p3p224382785[[#This Row],[ICM]]+bounty*T_p3p224382785[[#This Row],[KO]]</f>
        <v>34.274300000000004</v>
      </c>
      <c r="AI19" s="73">
        <v>3</v>
      </c>
      <c r="AJ19" s="26">
        <v>1165</v>
      </c>
      <c r="AK19" s="26">
        <v>0.58250000000000002</v>
      </c>
      <c r="AL19" s="2">
        <f>T_fact29392886[[#This Row],[EQ]]*prize</f>
        <v>34.274300000000004</v>
      </c>
      <c r="AM19" s="66">
        <f>IF(T_init2034481[[#This Row],[p]]=1,T_fact29392886[[#This Row],[players]]*T_fact29392886[[#This Row],[stack]]/chips+COUNTIF(T_fact29392886[stack],0),T_fact29392886[[#This Row],[players]]*T_fact29392886[[#This Row],[stack]]/chips)</f>
        <v>1.7475000000000001</v>
      </c>
      <c r="AN19" s="16">
        <f>T_fact29392886[[#This Row],[ICM]]+bounty*T_fact29392886[[#This Row],[KO]]</f>
        <v>34.274300000000004</v>
      </c>
      <c r="AQ19" s="68">
        <f>'3w 98s v2'!p3win* ('3w 98s v2'!p1sp1win*T_p3p123372684[[#This Row],[ICM]] + '3w 98s v2'!p2sp1win*T_p3p224382785[[#This Row],[ICM]])
+'3w 98s v2'!p2win*T_p222362583[[#This Row],[ICM]]
+'3w 98s v2'!p1win*T_p121351982[[#This Row],[ICM]]</f>
        <v>13.329275270000002</v>
      </c>
      <c r="AR19" s="68">
        <f>('3w 98s v2'!p3win* ('3w 98s v2'!p1sp1win*T_p3p123372684[[#This Row],[KO]] + '3w 98s v2'!p2sp1win*T_p3p224382785[[#This Row],[KO]])
+'3w 98s v2'!p2win*T_p222362583[[#This Row],[KO]]
+'3w 98s v2'!p1win*T_p121351982[[#This Row],[KO]])*bounty</f>
        <v>0</v>
      </c>
      <c r="AS19" s="68">
        <f>'3w 98s v2'!p3win* ('3w 98s v2'!p1sp1win*T_p3p123372684[[#This Row],[$stack]] + '3w 98s v2'!p2sp1win*T_p3p224382785[[#This Row],[$stack]])
+'3w 98s v2'!p2win*T_p222362583[[#This Row],[$stack]]
+'3w 98s v2'!p1win*T_p121351982[[#This Row],[$stack]]</f>
        <v>13.329275270000002</v>
      </c>
      <c r="AT19" s="68">
        <f>'3w 98s v2'!p3win* ('3w 98s v2'!p1sp1win*T_p3p123372684[[#This Row],[stack]] + '3w 98s v2'!p2sp1win*T_p3p224382785[[#This Row],[stack]])
+'3w 98s v2'!p2win*T_p222362583[[#This Row],[stack]]
+'3w 98s v2'!p1win*T_p121351982[[#This Row],[stack]]</f>
        <v>453.06850000000003</v>
      </c>
      <c r="AU19" s="2">
        <f>T_EV33403087[[#This Row],[chipEV]]-T_fact29392886[[#This Row],[stack]]</f>
        <v>-711.93149999999991</v>
      </c>
      <c r="AV19" s="2">
        <f>T_EV33403087[[#This Row],[EV]]-(T_fact29392886[[#This Row],[ICM]]+bounty*T_fact29392886[[#This Row],[KO]])</f>
        <v>-20.94502473</v>
      </c>
    </row>
    <row r="20" spans="1:48" x14ac:dyDescent="0.25">
      <c r="A20" s="26">
        <v>2</v>
      </c>
      <c r="B20" s="26">
        <v>385</v>
      </c>
      <c r="C20" t="s">
        <v>217</v>
      </c>
      <c r="D20" s="26">
        <v>35</v>
      </c>
      <c r="F20" s="73">
        <f>COUNTIF(T_p121351982[stack],"&gt;0")</f>
        <v>2</v>
      </c>
      <c r="G20" s="26">
        <f>IF(T_init2034481[[#This Row],[p]]=1,mainpot+sidepot1+sidepot2+uncalled,IF(T_init2034481[[#This Row],[p]]&gt;1,0,T_init2034481[[#This Row],[stack]]-T_init2034481[[#This Row],[anteblinds]]))</f>
        <v>0</v>
      </c>
      <c r="H20" s="26"/>
      <c r="I20" s="27">
        <f>T_p121351982[[#This Row],[EQ]]*prize</f>
        <v>0</v>
      </c>
      <c r="J20" s="71">
        <f>IF(T_init2034481[[#This Row],[p]]=1,T_p121351982[[#This Row],[players]]*T_p121351982[[#This Row],[stack]]/chips+COUNTIF(T_p121351982[stack],0),T_p121351982[[#This Row],[players]]*T_p121351982[[#This Row],[stack]]/chips)</f>
        <v>0</v>
      </c>
      <c r="K20" s="71">
        <f>T_p121351982[[#This Row],[ICM]]+bounty*T_p121351982[[#This Row],[KO]]</f>
        <v>0</v>
      </c>
      <c r="M20" s="29">
        <f>COUNTIF(T_p222362583[stack],"&gt;0")</f>
        <v>3</v>
      </c>
      <c r="N20" s="26">
        <f>IF(T_init2034481[[#This Row],[p]]=1,uncalled,IF(T_init2034481[[#This Row],[p]]=2,mainpot+sidepot1+sidepot2,IF(T_init2034481[[#This Row],[p]]&gt;2,0,T_init2034481[[#This Row],[stack]]-T_init2034481[[#This Row],[anteblinds]])))</f>
        <v>1165</v>
      </c>
      <c r="O20">
        <v>0.58250000000000002</v>
      </c>
      <c r="P20" s="27">
        <f>T_p222362583[[#This Row],[EQ]]*prize</f>
        <v>34.274300000000004</v>
      </c>
      <c r="Q20" s="71">
        <f>IF(T_init2034481[[#This Row],[p]]=2,T_p222362583[[#This Row],[players]]*T_p222362583[[#This Row],[stack]]/chips+COUNTIF(T_p222362583[stack],0),T_p222362583[[#This Row],[players]]*T_p222362583[[#This Row],[stack]]/chips)</f>
        <v>4.7475000000000005</v>
      </c>
      <c r="R20" s="71">
        <f>T_p222362583[[#This Row],[ICM]]+bounty*T_p222362583[[#This Row],[KO]]</f>
        <v>34.274300000000004</v>
      </c>
      <c r="T20" s="73">
        <f>COUNTIF(T_p3p123372684[stack],"&gt;0")</f>
        <v>3</v>
      </c>
      <c r="U20" s="26">
        <f>IF(T_init2034481[[#This Row],[p]]=1,sidepot1+uncalled,IF(T_init2034481[[#This Row],[p]]=3,mainpot,IF(ISBLANK(T_init2034481[[#This Row],[p]]),T_init2034481[[#This Row],[stack]]-T_init2034481[[#This Row],[anteblinds]],0)))</f>
        <v>0</v>
      </c>
      <c r="V20" s="26">
        <v>0</v>
      </c>
      <c r="W20" s="27">
        <f>T_p3p123372684[[#This Row],[EQ]]*prize</f>
        <v>0</v>
      </c>
      <c r="X20" s="71">
        <f>IF(T_init2034481[[#This Row],[p]]=1,T_p3p123372684[[#This Row],[players]]*T_p3p123372684[[#This Row],[stack]]/chips+COUNTIF(T_p3p123372684[stack],0),T_p3p123372684[[#This Row],[players]]*T_p3p123372684[[#This Row],[stack]]/chips)</f>
        <v>0</v>
      </c>
      <c r="Y20" s="71">
        <f>T_p3p123372684[[#This Row],[ICM]]+bounty*T_p3p123372684[[#This Row],[KO]]</f>
        <v>0</v>
      </c>
      <c r="AA20" s="73">
        <f>COUNTIF(T_p3p224382785[stack],"&gt;0")</f>
        <v>3</v>
      </c>
      <c r="AB20" s="26">
        <f>IF(T_init2034481[[#This Row],[p]]=1,uncalled,IF(T_init2034481[[#This Row],[p]]=2,sidepot1,IF(T_init2034481[[#This Row],[p]]=3,mainpot,IF(ISBLANK(T_init2034481[[#This Row],[p]]),T_init2034481[[#This Row],[stack]]-T_init2034481[[#This Row],[anteblinds]],0))))</f>
        <v>0</v>
      </c>
      <c r="AC20" s="26">
        <v>0</v>
      </c>
      <c r="AD20" s="27">
        <f>T_p3p224382785[[#This Row],[EQ]]*prize</f>
        <v>0</v>
      </c>
      <c r="AE20" s="71">
        <f>IF(T_init2034481[[#This Row],[p]]=2,T_p3p224382785[[#This Row],[players]]*T_p3p224382785[[#This Row],[stack]]/chips+COUNTIF(T_p3p224382785[stack],0),T_p3p224382785[[#This Row],[players]]*T_p3p224382785[[#This Row],[stack]]/chips)</f>
        <v>3</v>
      </c>
      <c r="AF20" s="16">
        <f>T_p3p224382785[[#This Row],[ICM]]+bounty*T_p3p224382785[[#This Row],[KO]]</f>
        <v>0</v>
      </c>
      <c r="AI20" s="73">
        <v>3</v>
      </c>
      <c r="AJ20" s="26">
        <v>0</v>
      </c>
      <c r="AK20" s="26">
        <v>0</v>
      </c>
      <c r="AL20" s="27">
        <f>T_fact29392886[[#This Row],[EQ]]*prize</f>
        <v>0</v>
      </c>
      <c r="AM20" s="71">
        <f>IF(T_init2034481[[#This Row],[p]]=1,T_fact29392886[[#This Row],[players]]*T_fact29392886[[#This Row],[stack]]/chips+COUNTIF(T_fact29392886[stack],0),T_fact29392886[[#This Row],[players]]*T_fact29392886[[#This Row],[stack]]/chips)</f>
        <v>0</v>
      </c>
      <c r="AN20" s="16">
        <f>T_fact29392886[[#This Row],[ICM]]+bounty*T_fact29392886[[#This Row],[KO]]</f>
        <v>0</v>
      </c>
      <c r="AQ20" s="68">
        <f>'3w 98s v2'!p3win* ('3w 98s v2'!p1sp1win*T_p3p123372684[[#This Row],[ICM]] + '3w 98s v2'!p2sp1win*T_p3p224382785[[#This Row],[ICM]])
+'3w 98s v2'!p2win*T_p222362583[[#This Row],[ICM]]
+'3w 98s v2'!p1win*T_p121351982[[#This Row],[ICM]]</f>
        <v>12.0302793</v>
      </c>
      <c r="AR20" s="72">
        <f>('3w 98s v2'!p3win* ('3w 98s v2'!p1sp1win*T_p3p123372684[[#This Row],[KO]] + '3w 98s v2'!p2sp1win*T_p3p224382785[[#This Row],[KO]])
+'3w 98s v2'!p2win*T_p222362583[[#This Row],[KO]]
+'3w 98s v2'!p1win*T_p121351982[[#This Row],[KO]])*bounty</f>
        <v>0</v>
      </c>
      <c r="AS20" s="72">
        <f>'3w 98s v2'!p3win* ('3w 98s v2'!p1sp1win*T_p3p123372684[[#This Row],[$stack]] + '3w 98s v2'!p2sp1win*T_p3p224382785[[#This Row],[$stack]])
+'3w 98s v2'!p2win*T_p222362583[[#This Row],[$stack]]
+'3w 98s v2'!p1win*T_p121351982[[#This Row],[$stack]]</f>
        <v>12.0302793</v>
      </c>
      <c r="AT20" s="72">
        <f>'3w 98s v2'!p3win* ('3w 98s v2'!p1sp1win*T_p3p123372684[[#This Row],[stack]] + '3w 98s v2'!p2sp1win*T_p3p224382785[[#This Row],[stack]])
+'3w 98s v2'!p2win*T_p222362583[[#This Row],[stack]]
+'3w 98s v2'!p1win*T_p121351982[[#This Row],[stack]]</f>
        <v>408.91499999999996</v>
      </c>
      <c r="AU20" s="2">
        <f>T_EV33403087[[#This Row],[chipEV]]-T_fact29392886[[#This Row],[stack]]</f>
        <v>408.91499999999996</v>
      </c>
      <c r="AV20" s="2">
        <f>T_EV33403087[[#This Row],[EV]]-(T_fact29392886[[#This Row],[ICM]]+bounty*T_fact29392886[[#This Row],[KO]])</f>
        <v>12.0302793</v>
      </c>
    </row>
    <row r="21" spans="1:48" x14ac:dyDescent="0.25">
      <c r="B21">
        <v>0</v>
      </c>
      <c r="F21" s="5">
        <f>COUNTIF(T_p121351982[stack],"&gt;0")</f>
        <v>2</v>
      </c>
      <c r="G21">
        <f>IF(T_init2034481[[#This Row],[p]]=1,mainpot+sidepot1+sidepot2+uncalled,IF(T_init2034481[[#This Row],[p]]&gt;1,0,T_init2034481[[#This Row],[stack]]-T_init2034481[[#This Row],[anteblinds]]))</f>
        <v>0</v>
      </c>
      <c r="I21" s="2">
        <f>T_p121351982[[#This Row],[EQ]]*prize</f>
        <v>0</v>
      </c>
      <c r="J21" s="66">
        <f>IF(T_init2034481[[#This Row],[p]]=1,T_p121351982[[#This Row],[players]]*T_p121351982[[#This Row],[stack]]/chips+COUNTIF(T_p121351982[stack],0),T_p121351982[[#This Row],[players]]*T_p121351982[[#This Row],[stack]]/chips)</f>
        <v>0</v>
      </c>
      <c r="K21" s="66">
        <f>T_p121351982[[#This Row],[ICM]]+bounty*T_p121351982[[#This Row],[KO]]</f>
        <v>0</v>
      </c>
      <c r="M21" s="10">
        <f>COUNTIF(T_p222362583[stack],"&gt;0")</f>
        <v>3</v>
      </c>
      <c r="N21" s="26">
        <f>IF(T_init2034481[[#This Row],[p]]=1,uncalled,IF(T_init2034481[[#This Row],[p]]=2,mainpot+sidepot1+sidepot2,IF(T_init2034481[[#This Row],[p]]&gt;2,0,T_init2034481[[#This Row],[stack]]-T_init2034481[[#This Row],[anteblinds]])))</f>
        <v>0</v>
      </c>
      <c r="O21">
        <v>0</v>
      </c>
      <c r="P21" s="2">
        <f>T_p222362583[[#This Row],[EQ]]*prize</f>
        <v>0</v>
      </c>
      <c r="Q21" s="66">
        <f>IF(T_init2034481[[#This Row],[p]]=2,T_p222362583[[#This Row],[players]]*T_p222362583[[#This Row],[stack]]/chips+COUNTIF(T_p222362583[stack],0),T_p222362583[[#This Row],[players]]*T_p222362583[[#This Row],[stack]]/chips)</f>
        <v>0</v>
      </c>
      <c r="R21" s="66">
        <f>T_p222362583[[#This Row],[ICM]]+bounty*T_p222362583[[#This Row],[KO]]</f>
        <v>0</v>
      </c>
      <c r="T21" s="5">
        <f>COUNTIF(T_p3p123372684[stack],"&gt;0")</f>
        <v>3</v>
      </c>
      <c r="U21" s="26">
        <f>IF(T_init2034481[[#This Row],[p]]=1,sidepot1+uncalled,IF(T_init2034481[[#This Row],[p]]=3,mainpot,IF(ISBLANK(T_init2034481[[#This Row],[p]]),T_init2034481[[#This Row],[stack]]-T_init2034481[[#This Row],[anteblinds]],0)))</f>
        <v>0</v>
      </c>
      <c r="V21">
        <v>0</v>
      </c>
      <c r="W21" s="2">
        <f>T_p3p123372684[[#This Row],[EQ]]*prize</f>
        <v>0</v>
      </c>
      <c r="X21" s="66">
        <f>IF(T_init2034481[[#This Row],[p]]=1,T_p3p123372684[[#This Row],[players]]*T_p3p123372684[[#This Row],[stack]]/chips+COUNTIF(T_p3p123372684[stack],0),T_p3p123372684[[#This Row],[players]]*T_p3p123372684[[#This Row],[stack]]/chips)</f>
        <v>0</v>
      </c>
      <c r="Y21" s="66">
        <f>T_p3p123372684[[#This Row],[ICM]]+bounty*T_p3p123372684[[#This Row],[KO]]</f>
        <v>0</v>
      </c>
      <c r="AA21" s="5">
        <f>COUNTIF(T_p3p224382785[stack],"&gt;0")</f>
        <v>3</v>
      </c>
      <c r="AB21">
        <f>IF(T_init2034481[[#This Row],[p]]=1,uncalled,IF(T_init2034481[[#This Row],[p]]=2,sidepot1,IF(T_init2034481[[#This Row],[p]]=3,mainpot,IF(ISBLANK(T_init2034481[[#This Row],[p]]),T_init2034481[[#This Row],[stack]]-T_init2034481[[#This Row],[anteblinds]],0))))</f>
        <v>0</v>
      </c>
      <c r="AC21">
        <v>0</v>
      </c>
      <c r="AD21" s="2">
        <f>T_p3p224382785[[#This Row],[EQ]]*prize</f>
        <v>0</v>
      </c>
      <c r="AE21" s="66">
        <f>IF(T_init2034481[[#This Row],[p]]=2,T_p3p224382785[[#This Row],[players]]*T_p3p224382785[[#This Row],[stack]]/chips+COUNTIF(T_p3p224382785[stack],0),T_p3p224382785[[#This Row],[players]]*T_p3p224382785[[#This Row],[stack]]/chips)</f>
        <v>0</v>
      </c>
      <c r="AF21" s="16">
        <f>T_p3p224382785[[#This Row],[ICM]]+bounty*T_p3p224382785[[#This Row],[KO]]</f>
        <v>0</v>
      </c>
      <c r="AI21" s="73">
        <v>3</v>
      </c>
      <c r="AJ21" s="26">
        <v>0</v>
      </c>
      <c r="AL21" s="2">
        <f>T_fact29392886[[#This Row],[EQ]]*prize</f>
        <v>0</v>
      </c>
      <c r="AM21" s="66">
        <f>IF(T_init2034481[[#This Row],[p]]=1,T_fact29392886[[#This Row],[players]]*T_fact29392886[[#This Row],[stack]]/chips+COUNTIF(T_fact29392886[stack],0),T_fact29392886[[#This Row],[players]]*T_fact29392886[[#This Row],[stack]]/chips)</f>
        <v>0</v>
      </c>
      <c r="AN21" s="16">
        <f>T_fact29392886[[#This Row],[ICM]]+bounty*T_fact29392886[[#This Row],[KO]]</f>
        <v>0</v>
      </c>
      <c r="AQ21" s="68">
        <f>'3w 98s v2'!p3win* ('3w 98s v2'!p1sp1win*T_p3p123372684[[#This Row],[ICM]] + '3w 98s v2'!p2sp1win*T_p3p224382785[[#This Row],[ICM]])
+'3w 98s v2'!p2win*T_p222362583[[#This Row],[ICM]]
+'3w 98s v2'!p1win*T_p121351982[[#This Row],[ICM]]</f>
        <v>0</v>
      </c>
      <c r="AR21" s="68">
        <f>('3w 98s v2'!p3win* ('3w 98s v2'!p1sp1win*T_p3p123372684[[#This Row],[KO]] + '3w 98s v2'!p2sp1win*T_p3p224382785[[#This Row],[KO]])
+'3w 98s v2'!p2win*T_p222362583[[#This Row],[KO]]
+'3w 98s v2'!p1win*T_p121351982[[#This Row],[KO]])*bounty</f>
        <v>0</v>
      </c>
      <c r="AS21" s="68">
        <f>'3w 98s v2'!p3win* ('3w 98s v2'!p1sp1win*T_p3p123372684[[#This Row],[$stack]] + '3w 98s v2'!p2sp1win*T_p3p224382785[[#This Row],[$stack]])
+'3w 98s v2'!p2win*T_p222362583[[#This Row],[$stack]]
+'3w 98s v2'!p1win*T_p121351982[[#This Row],[$stack]]</f>
        <v>0</v>
      </c>
      <c r="AT21" s="68">
        <f>'3w 98s v2'!p3win* ('3w 98s v2'!p1sp1win*T_p3p123372684[[#This Row],[stack]] + '3w 98s v2'!p2sp1win*T_p3p224382785[[#This Row],[stack]])
+'3w 98s v2'!p2win*T_p222362583[[#This Row],[stack]]
+'3w 98s v2'!p1win*T_p121351982[[#This Row],[stack]]</f>
        <v>0</v>
      </c>
      <c r="AU21" s="2">
        <f>T_EV33403087[[#This Row],[chipEV]]-T_fact29392886[[#This Row],[stack]]</f>
        <v>0</v>
      </c>
      <c r="AV21" s="2">
        <f>T_EV33403087[[#This Row],[EV]]-(T_fact29392886[[#This Row],[ICM]]+bounty*T_fact29392886[[#This Row],[KO]])</f>
        <v>0</v>
      </c>
    </row>
    <row r="22" spans="1:48" x14ac:dyDescent="0.25">
      <c r="B22">
        <v>0</v>
      </c>
      <c r="F22" s="5">
        <f>COUNTIF(T_p121351982[stack],"&gt;0")</f>
        <v>2</v>
      </c>
      <c r="G22">
        <f>IF(T_init2034481[[#This Row],[p]]=1,mainpot+sidepot1+sidepot2+uncalled,IF(T_init2034481[[#This Row],[p]]&gt;1,0,T_init2034481[[#This Row],[stack]]-T_init2034481[[#This Row],[anteblinds]]))</f>
        <v>0</v>
      </c>
      <c r="I22" s="2">
        <f>T_p121351982[[#This Row],[EQ]]*prize</f>
        <v>0</v>
      </c>
      <c r="J22" s="66">
        <f>IF(T_init2034481[[#This Row],[p]]=1,T_p121351982[[#This Row],[players]]*T_p121351982[[#This Row],[stack]]/chips+COUNTIF(T_p121351982[stack],0),T_p121351982[[#This Row],[players]]*T_p121351982[[#This Row],[stack]]/chips)</f>
        <v>0</v>
      </c>
      <c r="K22" s="66">
        <f>T_p121351982[[#This Row],[ICM]]+bounty*T_p121351982[[#This Row],[KO]]</f>
        <v>0</v>
      </c>
      <c r="M22" s="10">
        <f>COUNTIF(T_p222362583[stack],"&gt;0")</f>
        <v>3</v>
      </c>
      <c r="N22" s="26">
        <f>IF(T_init2034481[[#This Row],[p]]=1,uncalled,IF(T_init2034481[[#This Row],[p]]=2,mainpot+sidepot1+sidepot2,IF(T_init2034481[[#This Row],[p]]&gt;2,0,T_init2034481[[#This Row],[stack]]-T_init2034481[[#This Row],[anteblinds]])))</f>
        <v>0</v>
      </c>
      <c r="P22" s="2">
        <f>T_p222362583[[#This Row],[EQ]]*prize</f>
        <v>0</v>
      </c>
      <c r="Q22" s="66">
        <f>IF(T_init2034481[[#This Row],[p]]=2,T_p222362583[[#This Row],[players]]*T_p222362583[[#This Row],[stack]]/chips+COUNTIF(T_p222362583[stack],0),T_p222362583[[#This Row],[players]]*T_p222362583[[#This Row],[stack]]/chips)</f>
        <v>0</v>
      </c>
      <c r="R22" s="66">
        <f>T_p222362583[[#This Row],[ICM]]+bounty*T_p222362583[[#This Row],[KO]]</f>
        <v>0</v>
      </c>
      <c r="T22" s="5">
        <f>COUNTIF(T_p3p123372684[stack],"&gt;0")</f>
        <v>3</v>
      </c>
      <c r="U22" s="26">
        <f>IF(T_init2034481[[#This Row],[p]]=1,sidepot1+uncalled,IF(T_init2034481[[#This Row],[p]]=3,mainpot,IF(ISBLANK(T_init2034481[[#This Row],[p]]),T_init2034481[[#This Row],[stack]]-T_init2034481[[#This Row],[anteblinds]],0)))</f>
        <v>0</v>
      </c>
      <c r="V22">
        <v>0</v>
      </c>
      <c r="W22" s="2">
        <f>T_p3p123372684[[#This Row],[EQ]]*prize</f>
        <v>0</v>
      </c>
      <c r="X22" s="66">
        <f>IF(T_init2034481[[#This Row],[p]]=1,T_p3p123372684[[#This Row],[players]]*T_p3p123372684[[#This Row],[stack]]/chips+COUNTIF(T_p3p123372684[stack],0),T_p3p123372684[[#This Row],[players]]*T_p3p123372684[[#This Row],[stack]]/chips)</f>
        <v>0</v>
      </c>
      <c r="Y22" s="66">
        <f>T_p3p123372684[[#This Row],[ICM]]+bounty*T_p3p123372684[[#This Row],[KO]]</f>
        <v>0</v>
      </c>
      <c r="AA22" s="5">
        <f>COUNTIF(T_p3p224382785[stack],"&gt;0")</f>
        <v>3</v>
      </c>
      <c r="AB22">
        <f>IF(T_init2034481[[#This Row],[p]]=1,uncalled,IF(T_init2034481[[#This Row],[p]]=2,sidepot1,IF(T_init2034481[[#This Row],[p]]=3,mainpot,IF(ISBLANK(T_init2034481[[#This Row],[p]]),T_init2034481[[#This Row],[stack]]-T_init2034481[[#This Row],[anteblinds]],0))))</f>
        <v>0</v>
      </c>
      <c r="AC22">
        <v>0</v>
      </c>
      <c r="AD22" s="2">
        <f>T_p3p224382785[[#This Row],[EQ]]*prize</f>
        <v>0</v>
      </c>
      <c r="AE22" s="66">
        <f>IF(T_init2034481[[#This Row],[p]]=2,T_p3p224382785[[#This Row],[players]]*T_p3p224382785[[#This Row],[stack]]/chips+COUNTIF(T_p3p224382785[stack],0),T_p3p224382785[[#This Row],[players]]*T_p3p224382785[[#This Row],[stack]]/chips)</f>
        <v>0</v>
      </c>
      <c r="AF22" s="16">
        <f>T_p3p224382785[[#This Row],[ICM]]+bounty*T_p3p224382785[[#This Row],[KO]]</f>
        <v>0</v>
      </c>
      <c r="AI22" s="73">
        <v>3</v>
      </c>
      <c r="AJ22" s="26">
        <v>0</v>
      </c>
      <c r="AL22" s="2">
        <f>T_fact29392886[[#This Row],[EQ]]*prize</f>
        <v>0</v>
      </c>
      <c r="AM22" s="66">
        <f>IF(T_init2034481[[#This Row],[p]]=1,T_fact29392886[[#This Row],[players]]*T_fact29392886[[#This Row],[stack]]/chips+COUNTIF(T_fact29392886[stack],0),T_fact29392886[[#This Row],[players]]*T_fact29392886[[#This Row],[stack]]/chips)</f>
        <v>0</v>
      </c>
      <c r="AN22" s="16">
        <f>T_fact29392886[[#This Row],[ICM]]+bounty*T_fact29392886[[#This Row],[KO]]</f>
        <v>0</v>
      </c>
      <c r="AQ22" s="68">
        <f>'3w 98s v2'!p3win* ('3w 98s v2'!p1sp1win*T_p3p123372684[[#This Row],[ICM]] + '3w 98s v2'!p2sp1win*T_p3p224382785[[#This Row],[ICM]])
+'3w 98s v2'!p2win*T_p222362583[[#This Row],[ICM]]
+'3w 98s v2'!p1win*T_p121351982[[#This Row],[ICM]]</f>
        <v>0</v>
      </c>
      <c r="AR22" s="68">
        <f>('3w 98s v2'!p3win* ('3w 98s v2'!p1sp1win*T_p3p123372684[[#This Row],[KO]] + '3w 98s v2'!p2sp1win*T_p3p224382785[[#This Row],[KO]])
+'3w 98s v2'!p2win*T_p222362583[[#This Row],[KO]]
+'3w 98s v2'!p1win*T_p121351982[[#This Row],[KO]])*bounty</f>
        <v>0</v>
      </c>
      <c r="AS22" s="68">
        <f>'3w 98s v2'!p3win* ('3w 98s v2'!p1sp1win*T_p3p123372684[[#This Row],[$stack]] + '3w 98s v2'!p2sp1win*T_p3p224382785[[#This Row],[$stack]])
+'3w 98s v2'!p2win*T_p222362583[[#This Row],[$stack]]
+'3w 98s v2'!p1win*T_p121351982[[#This Row],[$stack]]</f>
        <v>0</v>
      </c>
      <c r="AT22" s="68">
        <f>'3w 98s v2'!p3win* ('3w 98s v2'!p1sp1win*T_p3p123372684[[#This Row],[stack]] + '3w 98s v2'!p2sp1win*T_p3p224382785[[#This Row],[stack]])
+'3w 98s v2'!p2win*T_p222362583[[#This Row],[stack]]
+'3w 98s v2'!p1win*T_p121351982[[#This Row],[stack]]</f>
        <v>0</v>
      </c>
      <c r="AU22" s="2">
        <f>T_EV33403087[[#This Row],[chipEV]]-T_fact29392886[[#This Row],[stack]]</f>
        <v>0</v>
      </c>
      <c r="AV22" s="2">
        <f>T_EV33403087[[#This Row],[EV]]-(T_fact29392886[[#This Row],[ICM]]+bounty*T_fact29392886[[#This Row],[KO]])</f>
        <v>0</v>
      </c>
    </row>
    <row r="23" spans="1:48" x14ac:dyDescent="0.25">
      <c r="A23" t="s">
        <v>95</v>
      </c>
      <c r="D23">
        <f>SUBTOTAL(109,T_init2034481[anteblinds])</f>
        <v>115</v>
      </c>
      <c r="F23" s="53"/>
      <c r="G23" s="50">
        <f>SUM(T_p121351982[stack])</f>
        <v>2000</v>
      </c>
      <c r="H23" s="50">
        <f>SUM(T_p121351982[EQ])</f>
        <v>1</v>
      </c>
      <c r="I23" s="50">
        <f>SUM(T_p121351982[ICM])</f>
        <v>58.84</v>
      </c>
      <c r="J23" s="50">
        <f>SUM(T_p121351982[KO])</f>
        <v>6</v>
      </c>
      <c r="K23" s="50">
        <f>SUM(T_p121351982[$stack])</f>
        <v>58.84</v>
      </c>
      <c r="M23" s="53"/>
      <c r="N23" s="55">
        <f>SUM(T_p222362583[stack])</f>
        <v>2000</v>
      </c>
      <c r="O23" s="50">
        <f>SUM(T_p222362583[EQ])</f>
        <v>1</v>
      </c>
      <c r="P23" s="51">
        <f>SUM(T_p222362583[ICM])</f>
        <v>58.84</v>
      </c>
      <c r="Q23" s="52">
        <f>SUM(T_p222362583[KO])</f>
        <v>6</v>
      </c>
      <c r="R23" s="50">
        <f>SUM(T_p222362583[$stack])</f>
        <v>58.84</v>
      </c>
      <c r="T23" s="53"/>
      <c r="U23" s="55">
        <f>SUM(T_p3p123372684[stack])</f>
        <v>2000</v>
      </c>
      <c r="V23" s="50">
        <f>SUM(T_p3p123372684[EQ])</f>
        <v>1</v>
      </c>
      <c r="W23" s="51">
        <f>SUM(T_p3p123372684[ICM])</f>
        <v>58.84</v>
      </c>
      <c r="X23" s="52">
        <f>SUM(T_p3p123372684[KO])</f>
        <v>6</v>
      </c>
      <c r="Y23" s="50">
        <f>SUM(T_p3p123372684[$stack])</f>
        <v>58.84</v>
      </c>
      <c r="AA23" s="53"/>
      <c r="AB23" s="55">
        <f>SUM(T_p3p224382785[stack])</f>
        <v>2000</v>
      </c>
      <c r="AC23" s="50">
        <f>SUM(T_p3p224382785[EQ])</f>
        <v>1</v>
      </c>
      <c r="AD23" s="51">
        <f>SUM(T_p3p224382785[ICM])</f>
        <v>58.84</v>
      </c>
      <c r="AE23" s="52">
        <f>SUM(T_p3p224382785[KO])</f>
        <v>6</v>
      </c>
      <c r="AF23" s="50">
        <f>SUM(T_p3p123372684[$stack])</f>
        <v>58.84</v>
      </c>
      <c r="AI23" s="53"/>
      <c r="AJ23" s="55">
        <f>SUM(T_fact29392886[stack])</f>
        <v>2000</v>
      </c>
      <c r="AK23" s="50">
        <f>SUM(T_fact29392886[EQ])</f>
        <v>1</v>
      </c>
      <c r="AL23" s="51">
        <f>SUM(T_fact29392886[ICM])</f>
        <v>58.84</v>
      </c>
      <c r="AM23" s="52">
        <f>SUM(T_fact29392886[KO])</f>
        <v>6</v>
      </c>
      <c r="AN23" s="51">
        <f>SUM(T_fact29392886[$stack])</f>
        <v>58.84</v>
      </c>
      <c r="AQ23" s="52">
        <f>SUM(T_EV33403087[ICM])</f>
        <v>58.845884000000012</v>
      </c>
      <c r="AR23" s="52">
        <f>SUM(T_EV33403087[KO])</f>
        <v>0</v>
      </c>
      <c r="AS23" s="52">
        <f>SUM(T_EV33403087[EV])</f>
        <v>58.845884000000012</v>
      </c>
      <c r="AT23" s="50">
        <f>SUM(T_EV33403087[chipEV])</f>
        <v>2000.2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218</v>
      </c>
    </row>
    <row r="27" spans="1:48" x14ac:dyDescent="0.25">
      <c r="C27" t="s">
        <v>120</v>
      </c>
      <c r="M27" t="s">
        <v>219</v>
      </c>
    </row>
    <row r="28" spans="1:48" x14ac:dyDescent="0.25">
      <c r="C28" t="s">
        <v>122</v>
      </c>
      <c r="M28" t="s">
        <v>220</v>
      </c>
    </row>
    <row r="29" spans="1:48" x14ac:dyDescent="0.25">
      <c r="M29" t="s">
        <v>221</v>
      </c>
    </row>
    <row r="30" spans="1:48" x14ac:dyDescent="0.25">
      <c r="M30" t="s">
        <v>222</v>
      </c>
    </row>
    <row r="31" spans="1:48" x14ac:dyDescent="0.25">
      <c r="C31" t="s">
        <v>126</v>
      </c>
      <c r="M31" t="s">
        <v>223</v>
      </c>
    </row>
    <row r="32" spans="1:48" x14ac:dyDescent="0.25">
      <c r="M32" t="s">
        <v>192</v>
      </c>
    </row>
    <row r="33" spans="2:13" x14ac:dyDescent="0.25">
      <c r="B33" t="s">
        <v>129</v>
      </c>
      <c r="M33" t="s">
        <v>224</v>
      </c>
    </row>
    <row r="34" spans="2:13" x14ac:dyDescent="0.25">
      <c r="B34" t="s">
        <v>131</v>
      </c>
      <c r="M34" t="s">
        <v>132</v>
      </c>
    </row>
    <row r="35" spans="2:13" x14ac:dyDescent="0.25">
      <c r="C35" t="s">
        <v>133</v>
      </c>
      <c r="M35" t="s">
        <v>225</v>
      </c>
    </row>
    <row r="36" spans="2:13" x14ac:dyDescent="0.25">
      <c r="D36" t="s">
        <v>135</v>
      </c>
      <c r="M36" t="s">
        <v>226</v>
      </c>
    </row>
    <row r="37" spans="2:13" x14ac:dyDescent="0.25">
      <c r="C37" t="s">
        <v>137</v>
      </c>
      <c r="M37" t="s">
        <v>138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227</v>
      </c>
    </row>
    <row r="40" spans="2:13" x14ac:dyDescent="0.25">
      <c r="D40" t="s">
        <v>142</v>
      </c>
      <c r="M40" t="s">
        <v>228</v>
      </c>
    </row>
    <row r="41" spans="2:13" x14ac:dyDescent="0.25">
      <c r="D41" t="s">
        <v>144</v>
      </c>
      <c r="E41" t="s">
        <v>145</v>
      </c>
      <c r="M41" t="s">
        <v>229</v>
      </c>
    </row>
    <row r="42" spans="2:13" x14ac:dyDescent="0.25">
      <c r="F42" t="s">
        <v>147</v>
      </c>
      <c r="M42" t="s">
        <v>230</v>
      </c>
    </row>
    <row r="43" spans="2:13" x14ac:dyDescent="0.25">
      <c r="E43" t="s">
        <v>149</v>
      </c>
      <c r="M43" t="s">
        <v>231</v>
      </c>
    </row>
    <row r="44" spans="2:13" x14ac:dyDescent="0.25">
      <c r="F44" t="s">
        <v>151</v>
      </c>
      <c r="M44" t="s">
        <v>232</v>
      </c>
    </row>
    <row r="45" spans="2:13" x14ac:dyDescent="0.25">
      <c r="M45" t="s">
        <v>233</v>
      </c>
    </row>
    <row r="46" spans="2:13" x14ac:dyDescent="0.25">
      <c r="C46" t="s">
        <v>154</v>
      </c>
      <c r="M46" t="s">
        <v>234</v>
      </c>
    </row>
    <row r="47" spans="2:13" x14ac:dyDescent="0.25">
      <c r="D47" t="s">
        <v>156</v>
      </c>
      <c r="M47" t="s">
        <v>166</v>
      </c>
    </row>
    <row r="48" spans="2:13" x14ac:dyDescent="0.25">
      <c r="D48" t="s">
        <v>158</v>
      </c>
      <c r="E48" t="s">
        <v>145</v>
      </c>
      <c r="M48" t="s">
        <v>235</v>
      </c>
    </row>
    <row r="49" spans="5:13" x14ac:dyDescent="0.25">
      <c r="F49" t="s">
        <v>160</v>
      </c>
      <c r="M49" t="s">
        <v>236</v>
      </c>
    </row>
    <row r="50" spans="5:13" x14ac:dyDescent="0.25">
      <c r="E50" t="s">
        <v>149</v>
      </c>
      <c r="M50" t="s">
        <v>237</v>
      </c>
    </row>
    <row r="51" spans="5:13" x14ac:dyDescent="0.25">
      <c r="F51" t="s">
        <v>163</v>
      </c>
      <c r="M51" t="s">
        <v>238</v>
      </c>
    </row>
    <row r="52" spans="5:13" x14ac:dyDescent="0.25">
      <c r="E52" t="s">
        <v>165</v>
      </c>
      <c r="M52" t="s">
        <v>239</v>
      </c>
    </row>
    <row r="53" spans="5:13" x14ac:dyDescent="0.25">
      <c r="F53" t="s">
        <v>167</v>
      </c>
      <c r="M53" t="s">
        <v>173</v>
      </c>
    </row>
    <row r="54" spans="5:13" x14ac:dyDescent="0.25">
      <c r="F54" t="s">
        <v>144</v>
      </c>
      <c r="M54" t="s">
        <v>174</v>
      </c>
    </row>
    <row r="55" spans="5:13" x14ac:dyDescent="0.25">
      <c r="G55" t="s">
        <v>145</v>
      </c>
      <c r="M55" t="s">
        <v>240</v>
      </c>
    </row>
    <row r="56" spans="5:13" x14ac:dyDescent="0.25">
      <c r="H56" t="s">
        <v>147</v>
      </c>
      <c r="M56" t="s">
        <v>241</v>
      </c>
    </row>
    <row r="57" spans="5:13" x14ac:dyDescent="0.25">
      <c r="G57" t="s">
        <v>149</v>
      </c>
      <c r="M57" t="s">
        <v>242</v>
      </c>
    </row>
    <row r="58" spans="5:13" x14ac:dyDescent="0.25">
      <c r="H58" t="s">
        <v>151</v>
      </c>
      <c r="M58" t="s">
        <v>243</v>
      </c>
    </row>
    <row r="59" spans="5:13" x14ac:dyDescent="0.25">
      <c r="M59" t="s">
        <v>244</v>
      </c>
    </row>
    <row r="61" spans="5:13" x14ac:dyDescent="0.25">
      <c r="M61" s="95" t="s">
        <v>553</v>
      </c>
    </row>
    <row r="62" spans="5:13" x14ac:dyDescent="0.25">
      <c r="M62" s="95" t="s">
        <v>513</v>
      </c>
    </row>
    <row r="63" spans="5:13" x14ac:dyDescent="0.25">
      <c r="M63" s="95" t="s">
        <v>554</v>
      </c>
    </row>
    <row r="64" spans="5:13" x14ac:dyDescent="0.25">
      <c r="M64" s="95" t="s">
        <v>555</v>
      </c>
    </row>
    <row r="65" spans="13:13" x14ac:dyDescent="0.25">
      <c r="M65" s="95" t="s">
        <v>524</v>
      </c>
    </row>
    <row r="66" spans="13:13" x14ac:dyDescent="0.25">
      <c r="M66" s="95" t="s">
        <v>556</v>
      </c>
    </row>
    <row r="67" spans="13:13" x14ac:dyDescent="0.25">
      <c r="M67" s="95" t="s">
        <v>518</v>
      </c>
    </row>
    <row r="68" spans="13:13" x14ac:dyDescent="0.25">
      <c r="M68" s="95" t="s">
        <v>519</v>
      </c>
    </row>
    <row r="69" spans="13:13" x14ac:dyDescent="0.25">
      <c r="M69" s="95" t="s">
        <v>520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BD3C-F0A8-4118-A56A-CF50FFB237A5}">
  <dimension ref="A1:AV70"/>
  <sheetViews>
    <sheetView workbookViewId="0">
      <selection activeCell="Q59" sqref="Q59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7.36*4</f>
        <v>29.44</v>
      </c>
      <c r="F1" s="80" t="s">
        <v>71</v>
      </c>
      <c r="G1">
        <v>0.35089999999999999</v>
      </c>
      <c r="I1" s="80" t="s">
        <v>72</v>
      </c>
      <c r="J1">
        <v>0.69820000000000004</v>
      </c>
      <c r="M1" s="80" t="s">
        <v>73</v>
      </c>
      <c r="N1">
        <v>1280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0.2387</v>
      </c>
      <c r="I2" s="80" t="s">
        <v>75</v>
      </c>
      <c r="J2">
        <v>0.30180000000000001</v>
      </c>
      <c r="M2" s="80" t="s">
        <v>76</v>
      </c>
      <c r="N2">
        <v>520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0.41039999999999999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130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4"/>
      <c r="K11" s="84"/>
    </row>
    <row r="12" spans="1:48" ht="19.5" thickBot="1" x14ac:dyDescent="0.35">
      <c r="F12" s="84"/>
      <c r="G12" s="84"/>
      <c r="H12" s="84"/>
      <c r="I12" s="84"/>
      <c r="J12" s="84"/>
      <c r="K12" s="84"/>
      <c r="V12" t="s">
        <v>92</v>
      </c>
      <c r="AC12" t="s">
        <v>93</v>
      </c>
    </row>
    <row r="13" spans="1:48" ht="20.25" thickTop="1" thickBot="1" x14ac:dyDescent="0.35">
      <c r="F13" s="84"/>
      <c r="G13" s="84"/>
      <c r="H13" s="84"/>
      <c r="I13" s="84"/>
      <c r="J13" s="84"/>
      <c r="K13" s="84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4"/>
      <c r="G14" s="84"/>
      <c r="H14" s="84" t="s">
        <v>96</v>
      </c>
      <c r="I14" s="84"/>
      <c r="J14" s="84"/>
      <c r="K14" s="84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4"/>
      <c r="M15" s="134" t="s">
        <v>101</v>
      </c>
      <c r="N15" s="135"/>
      <c r="O15" s="135"/>
      <c r="P15" s="135"/>
      <c r="Q15" s="136"/>
      <c r="R15" s="84"/>
      <c r="T15" s="118" t="s">
        <v>102</v>
      </c>
      <c r="U15" s="119"/>
      <c r="V15" s="119"/>
      <c r="W15" s="119"/>
      <c r="X15" s="120"/>
      <c r="Y15" s="84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s="17" customFormat="1" x14ac:dyDescent="0.25">
      <c r="A17" s="17">
        <v>1</v>
      </c>
      <c r="B17" s="26">
        <v>810</v>
      </c>
      <c r="C17" s="26" t="s">
        <v>344</v>
      </c>
      <c r="D17" s="26">
        <v>120</v>
      </c>
      <c r="F17" s="83">
        <f>COUNTIF(T_p1213519828996[stack],"&gt;0")</f>
        <v>2</v>
      </c>
      <c r="G17" s="17">
        <f>IF(T_init20344818895[[#This Row],[p]]=1,mainpot+sidepot1+sidepot2+uncalled,IF(T_init20344818895[[#This Row],[p]]&gt;1,0,T_init20344818895[[#This Row],[stack]]-T_init20344818895[[#This Row],[anteblinds]]))</f>
        <v>1930</v>
      </c>
      <c r="H17" s="26">
        <v>0.96499999999999997</v>
      </c>
      <c r="I17" s="18">
        <f>T_p1213519828996[[#This Row],[EQ]]*prize</f>
        <v>28.409600000000001</v>
      </c>
      <c r="J17" s="67">
        <f>IF(T_init20344818895[[#This Row],[p]]=1,T_p1213519828996[[#This Row],[players]]*T_p1213519828996[[#This Row],[stack]]/chips+COUNTIF(T_p1213519828996[stack],0),T_p1213519828996[[#This Row],[players]]*T_p1213519828996[[#This Row],[stack]]/chips)</f>
        <v>5.93</v>
      </c>
      <c r="K17" s="67">
        <f>T_p1213519828996[[#This Row],[ICM]]+bounty*T_p1213519828996[[#This Row],[KO]]</f>
        <v>28.409600000000001</v>
      </c>
      <c r="M17" s="19">
        <f>COUNTIF(T_p2223625839097[stack],"&gt;0")</f>
        <v>3</v>
      </c>
      <c r="N17" s="17">
        <f>IF(T_init20344818895[[#This Row],[p]]=1,uncalled,IF(T_init20344818895[[#This Row],[p]]=2,mainpot+sidepot1+sidepot2,IF(T_init20344818895[[#This Row],[p]]&gt;2,0,T_init20344818895[[#This Row],[stack]]-T_init20344818895[[#This Row],[anteblinds]])))</f>
        <v>130</v>
      </c>
      <c r="O17" s="26">
        <v>6.5000000000000002E-2</v>
      </c>
      <c r="P17" s="18">
        <f>T_p2223625839097[[#This Row],[EQ]]*prize</f>
        <v>1.9136000000000002</v>
      </c>
      <c r="Q17" s="67">
        <f>IF(T_init20344818895[[#This Row],[p]]=2,T_p2223625839097[[#This Row],[players]]*T_p2223625839097[[#This Row],[stack]]/chips+COUNTIF(T_p2223625839097[stack],0),T_p2223625839097[[#This Row],[players]]*T_p2223625839097[[#This Row],[stack]]/chips)</f>
        <v>0.19500000000000001</v>
      </c>
      <c r="R17" s="67">
        <f>T_p2223625839097[[#This Row],[ICM]]+bounty*T_p2223625839097[[#This Row],[KO]]</f>
        <v>1.9136000000000002</v>
      </c>
      <c r="T17" s="83">
        <f>COUNTIF(T_p3p1233726849198[stack],"&gt;0")</f>
        <v>3</v>
      </c>
      <c r="U17" s="17">
        <f>IF(T_init20344818895[[#This Row],[p]]=1,sidepot1+uncalled,IF(T_init20344818895[[#This Row],[p]]=3,mainpot,IF(ISBLANK(T_init20344818895[[#This Row],[p]]),T_init20344818895[[#This Row],[stack]]-T_init20344818895[[#This Row],[anteblinds]],0)))</f>
        <v>650</v>
      </c>
      <c r="V17" s="26">
        <v>0.32500000000000001</v>
      </c>
      <c r="W17" s="18">
        <f>T_p3p1233726849198[[#This Row],[EQ]]*prize</f>
        <v>9.5680000000000014</v>
      </c>
      <c r="X17" s="67">
        <f>IF(T_init20344818895[[#This Row],[p]]=1,T_p3p1233726849198[[#This Row],[players]]*T_p3p1233726849198[[#This Row],[stack]]/chips+COUNTIF(T_p3p1233726849198[stack],0),T_p3p1233726849198[[#This Row],[players]]*T_p3p1233726849198[[#This Row],[stack]]/chips)</f>
        <v>3.9750000000000001</v>
      </c>
      <c r="Y17" s="67">
        <f>T_p3p1233726849198[[#This Row],[ICM]]+bounty*T_p3p1233726849198[[#This Row],[KO]]</f>
        <v>9.5680000000000014</v>
      </c>
      <c r="AA17" s="83">
        <f>COUNTIF(T_p3p2243827859299[stack],"&gt;0")</f>
        <v>4</v>
      </c>
      <c r="AB17" s="17">
        <f>IF(T_init20344818895[[#This Row],[p]]=1,uncalled,IF(T_init20344818895[[#This Row],[p]]=2,sidepot1,IF(T_init20344818895[[#This Row],[p]]=3,mainpot,IF(ISBLANK(T_init20344818895[[#This Row],[p]]),T_init20344818895[[#This Row],[stack]]-T_init20344818895[[#This Row],[anteblinds]],0))))</f>
        <v>130</v>
      </c>
      <c r="AC17" s="26">
        <v>6.5000000000000002E-2</v>
      </c>
      <c r="AD17" s="18">
        <f>T_p3p2243827859299[[#This Row],[EQ]]*prize</f>
        <v>1.9136000000000002</v>
      </c>
      <c r="AE17" s="67">
        <f>IF(T_init20344818895[[#This Row],[p]]=2,T_p3p2243827859299[[#This Row],[players]]*T_p3p2243827859299[[#This Row],[stack]]/chips+COUNTIF(T_p3p2243827859299[stack],0),T_p3p2243827859299[[#This Row],[players]]*T_p3p2243827859299[[#This Row],[stack]]/chips)</f>
        <v>0.26</v>
      </c>
      <c r="AF17" s="67">
        <f>T_p3p2243827859299[[#This Row],[ICM]]+bounty*T_p3p2243827859299[[#This Row],[KO]]</f>
        <v>1.9136000000000002</v>
      </c>
      <c r="AI17" s="83">
        <v>3</v>
      </c>
      <c r="AJ17" s="26">
        <v>650</v>
      </c>
      <c r="AK17" s="26">
        <v>0.32500000000000001</v>
      </c>
      <c r="AL17" s="18">
        <f>T_fact2939288693100[[#This Row],[EQ]]*prize</f>
        <v>9.5680000000000014</v>
      </c>
      <c r="AM17" s="67">
        <f>IF(T_init20344818895[[#This Row],[p]]=1,T_fact2939288693100[[#This Row],[players]]*T_fact2939288693100[[#This Row],[stack]]/chips+COUNTIF(T_fact2939288693100[stack],0),T_fact2939288693100[[#This Row],[players]]*T_fact2939288693100[[#This Row],[stack]]/chips)</f>
        <v>3.9750000000000001</v>
      </c>
      <c r="AN17" s="67">
        <f>T_fact2939288693100[[#This Row],[ICM]]+bounty*T_fact2939288693100[[#This Row],[KO]]</f>
        <v>9.5680000000000014</v>
      </c>
      <c r="AQ17" s="69">
        <f>'3w KsJs Ден v2 '!p3win* ('3w KsJs Ден v2 '!p1sp1win*T_p3p1233726849198[[#This Row],[ICM]] + '3w KsJs Ден v2 '!p2sp1win*T_p3p2243827859299[[#This Row],[ICM]])
+'3w KsJs Ден v2 '!p2win*T_p2223625839097[[#This Row],[ICM]]
+'3w KsJs Ден v2 '!p1win*T_p1213519828996[[#This Row],[ICM]]</f>
        <v>13.404347973631999</v>
      </c>
      <c r="AR17" s="23">
        <f>('3w KsJs Ден v2 '!p3win* ('3w KsJs Ден v2 '!p1sp1win*T_p3p1233726849198[[#This Row],[KO]] + '3w KsJs Ден v2 '!p2sp1win*T_p3p2243827859299[[#This Row],[KO]])
+'3w KsJs Ден v2 '!p2win*T_p2223625839097[[#This Row],[KO]]
+'3w KsJs Ден v2 '!p1win*T_p1213519828996[[#This Row],[KO]])*bounty</f>
        <v>0</v>
      </c>
      <c r="AS17" s="69">
        <f>'3w KsJs Ден v2 '!p3win* ('3w KsJs Ден v2 '!p1sp1win*T_p3p1233726849198[[#This Row],[$stack]] + '3w KsJs Ден v2 '!p2sp1win*T_p3p2243827859299[[#This Row],[$stack]])
+'3w KsJs Ден v2 '!p2win*T_p2223625839097[[#This Row],[$stack]]
+'3w KsJs Ден v2 '!p1win*T_p1213519828996[[#This Row],[$stack]]</f>
        <v>13.404347973631999</v>
      </c>
      <c r="AT17" s="23">
        <f>'3w KsJs Ден v2 '!p3win* ('3w KsJs Ден v2 '!p1sp1win*T_p3p1233726849198[[#This Row],[stack]] + '3w KsJs Ден v2 '!p2sp1win*T_p3p2243827859299[[#This Row],[stack]])
+'3w KsJs Ден v2 '!p2win*T_p2223625839097[[#This Row],[stack]]
+'3w KsJs Ден v2 '!p1win*T_p1213519828996[[#This Row],[stack]]</f>
        <v>910.62146559999996</v>
      </c>
      <c r="AU17" s="18">
        <f>T_EV3340308794101[[#This Row],[chipEV]]-T_fact2939288693100[[#This Row],[stack]]</f>
        <v>260.62146559999996</v>
      </c>
      <c r="AV17" s="18">
        <f>T_EV3340308794101[[#This Row],[EV]]-(T_fact2939288693100[[#This Row],[ICM]]+bounty*T_fact2939288693100[[#This Row],[KO]])</f>
        <v>3.8363479736319981</v>
      </c>
    </row>
    <row r="18" spans="1:48" x14ac:dyDescent="0.25">
      <c r="B18">
        <v>90</v>
      </c>
      <c r="D18">
        <v>20</v>
      </c>
      <c r="F18" s="5">
        <f>COUNTIF(T_p1213519828996[stack],"&gt;0")</f>
        <v>2</v>
      </c>
      <c r="G18">
        <f>IF(T_init20344818895[[#This Row],[p]]=1,mainpot+sidepot1+sidepot2+uncalled,IF(T_init20344818895[[#This Row],[p]]&gt;1,0,T_init20344818895[[#This Row],[stack]]-T_init20344818895[[#This Row],[anteblinds]]))</f>
        <v>70</v>
      </c>
      <c r="H18">
        <v>3.5000000000000003E-2</v>
      </c>
      <c r="I18" s="2">
        <f>T_p1213519828996[[#This Row],[EQ]]*prize</f>
        <v>1.0304000000000002</v>
      </c>
      <c r="J18" s="66">
        <f>IF(T_init20344818895[[#This Row],[p]]=1,T_p1213519828996[[#This Row],[players]]*T_p1213519828996[[#This Row],[stack]]/chips+COUNTIF(T_p1213519828996[stack],0),T_p1213519828996[[#This Row],[players]]*T_p1213519828996[[#This Row],[stack]]/chips)</f>
        <v>7.0000000000000007E-2</v>
      </c>
      <c r="K18" s="66">
        <f>T_p1213519828996[[#This Row],[ICM]]+bounty*T_p1213519828996[[#This Row],[KO]]</f>
        <v>1.0304000000000002</v>
      </c>
      <c r="M18" s="10">
        <f>COUNTIF(T_p2223625839097[stack],"&gt;0")</f>
        <v>3</v>
      </c>
      <c r="N18" s="26">
        <f>IF(T_init20344818895[[#This Row],[p]]=1,uncalled,IF(T_init20344818895[[#This Row],[p]]=2,mainpot+sidepot1+sidepot2,IF(T_init20344818895[[#This Row],[p]]&gt;2,0,T_init20344818895[[#This Row],[stack]]-T_init20344818895[[#This Row],[anteblinds]])))</f>
        <v>70</v>
      </c>
      <c r="O18">
        <v>3.5000000000000003E-2</v>
      </c>
      <c r="P18" s="2">
        <f>T_p2223625839097[[#This Row],[EQ]]*prize</f>
        <v>1.0304000000000002</v>
      </c>
      <c r="Q18" s="66">
        <f>IF(T_init20344818895[[#This Row],[p]]=2,T_p2223625839097[[#This Row],[players]]*T_p2223625839097[[#This Row],[stack]]/chips+COUNTIF(T_p2223625839097[stack],0),T_p2223625839097[[#This Row],[players]]*T_p2223625839097[[#This Row],[stack]]/chips)</f>
        <v>0.105</v>
      </c>
      <c r="R18" s="66">
        <f>T_p2223625839097[[#This Row],[ICM]]+bounty*T_p2223625839097[[#This Row],[KO]]</f>
        <v>1.0304000000000002</v>
      </c>
      <c r="T18" s="5">
        <f>COUNTIF(T_p3p1233726849198[stack],"&gt;0")</f>
        <v>3</v>
      </c>
      <c r="U18" s="26">
        <f>IF(T_init20344818895[[#This Row],[p]]=1,sidepot1+uncalled,IF(T_init20344818895[[#This Row],[p]]=3,mainpot,IF(ISBLANK(T_init20344818895[[#This Row],[p]]),T_init20344818895[[#This Row],[stack]]-T_init20344818895[[#This Row],[anteblinds]],0)))</f>
        <v>70</v>
      </c>
      <c r="V18">
        <v>3.5000000000000003E-2</v>
      </c>
      <c r="W18" s="2">
        <f>T_p3p1233726849198[[#This Row],[EQ]]*prize</f>
        <v>1.0304000000000002</v>
      </c>
      <c r="X18" s="66">
        <f>IF(T_init20344818895[[#This Row],[p]]=1,T_p3p1233726849198[[#This Row],[players]]*T_p3p1233726849198[[#This Row],[stack]]/chips+COUNTIF(T_p3p1233726849198[stack],0),T_p3p1233726849198[[#This Row],[players]]*T_p3p1233726849198[[#This Row],[stack]]/chips)</f>
        <v>0.105</v>
      </c>
      <c r="Y18" s="66">
        <f>T_p3p1233726849198[[#This Row],[ICM]]+bounty*T_p3p1233726849198[[#This Row],[KO]]</f>
        <v>1.0304000000000002</v>
      </c>
      <c r="AA18" s="5">
        <f>COUNTIF(T_p3p2243827859299[stack],"&gt;0")</f>
        <v>4</v>
      </c>
      <c r="AB18">
        <f>IF(T_init20344818895[[#This Row],[p]]=1,uncalled,IF(T_init20344818895[[#This Row],[p]]=2,sidepot1,IF(T_init20344818895[[#This Row],[p]]=3,mainpot,IF(ISBLANK(T_init20344818895[[#This Row],[p]]),T_init20344818895[[#This Row],[stack]]-T_init20344818895[[#This Row],[anteblinds]],0))))</f>
        <v>70</v>
      </c>
      <c r="AC18">
        <v>3.5000000000000003E-2</v>
      </c>
      <c r="AD18" s="2">
        <f>T_p3p2243827859299[[#This Row],[EQ]]*prize</f>
        <v>1.0304000000000002</v>
      </c>
      <c r="AE18" s="66">
        <f>IF(T_init20344818895[[#This Row],[p]]=2,T_p3p2243827859299[[#This Row],[players]]*T_p3p2243827859299[[#This Row],[stack]]/chips+COUNTIF(T_p3p2243827859299[stack],0),T_p3p2243827859299[[#This Row],[players]]*T_p3p2243827859299[[#This Row],[stack]]/chips)</f>
        <v>0.14000000000000001</v>
      </c>
      <c r="AF18" s="16">
        <f>T_p3p2243827859299[[#This Row],[ICM]]+bounty*T_p3p2243827859299[[#This Row],[KO]]</f>
        <v>1.0304000000000002</v>
      </c>
      <c r="AI18" s="73">
        <v>3</v>
      </c>
      <c r="AJ18" s="26">
        <v>70</v>
      </c>
      <c r="AK18">
        <v>3.5000000000000003E-2</v>
      </c>
      <c r="AL18" s="2">
        <f>T_fact2939288693100[[#This Row],[EQ]]*prize</f>
        <v>1.0304000000000002</v>
      </c>
      <c r="AM18" s="66">
        <f>IF(T_init20344818895[[#This Row],[p]]=1,T_fact2939288693100[[#This Row],[players]]*T_fact2939288693100[[#This Row],[stack]]/chips+COUNTIF(T_fact2939288693100[stack],0),T_fact2939288693100[[#This Row],[players]]*T_fact2939288693100[[#This Row],[stack]]/chips)</f>
        <v>0.105</v>
      </c>
      <c r="AN18" s="16">
        <f>T_fact2939288693100[[#This Row],[ICM]]+bounty*T_fact2939288693100[[#This Row],[KO]]</f>
        <v>1.0304000000000002</v>
      </c>
      <c r="AQ18" s="68">
        <f>'3w KsJs Ден v2 '!p3win* ('3w KsJs Ден v2 '!p1sp1win*T_p3p1233726849198[[#This Row],[ICM]] + '3w KsJs Ден v2 '!p2sp1win*T_p3p2243827859299[[#This Row],[ICM]])
+'3w KsJs Ден v2 '!p2win*T_p2223625839097[[#This Row],[ICM]]
+'3w KsJs Ден v2 '!p1win*T_p1213519828996[[#This Row],[ICM]]</f>
        <v>1.0304000000000002</v>
      </c>
      <c r="AR18" s="68">
        <f>('3w KsJs Ден v2 '!p3win* ('3w KsJs Ден v2 '!p1sp1win*T_p3p1233726849198[[#This Row],[KO]] + '3w KsJs Ден v2 '!p2sp1win*T_p3p2243827859299[[#This Row],[KO]])
+'3w KsJs Ден v2 '!p2win*T_p2223625839097[[#This Row],[KO]]
+'3w KsJs Ден v2 '!p1win*T_p1213519828996[[#This Row],[KO]])*bounty</f>
        <v>0</v>
      </c>
      <c r="AS18" s="68">
        <f>'3w KsJs Ден v2 '!p3win* ('3w KsJs Ден v2 '!p1sp1win*T_p3p1233726849198[[#This Row],[$stack]] + '3w KsJs Ден v2 '!p2sp1win*T_p3p2243827859299[[#This Row],[$stack]])
+'3w KsJs Ден v2 '!p2win*T_p2223625839097[[#This Row],[$stack]]
+'3w KsJs Ден v2 '!p1win*T_p1213519828996[[#This Row],[$stack]]</f>
        <v>1.0304000000000002</v>
      </c>
      <c r="AT18" s="68">
        <f>'3w KsJs Ден v2 '!p3win* ('3w KsJs Ден v2 '!p1sp1win*T_p3p1233726849198[[#This Row],[stack]] + '3w KsJs Ден v2 '!p2sp1win*T_p3p2243827859299[[#This Row],[stack]])
+'3w KsJs Ден v2 '!p2win*T_p2223625839097[[#This Row],[stack]]
+'3w KsJs Ден v2 '!p1win*T_p1213519828996[[#This Row],[stack]]</f>
        <v>70</v>
      </c>
      <c r="AU18" s="2">
        <f>T_EV3340308794101[[#This Row],[chipEV]]-T_fact2939288693100[[#This Row],[stack]]</f>
        <v>0</v>
      </c>
      <c r="AV18" s="2">
        <f>T_EV3340308794101[[#This Row],[EV]]-(T_fact2939288693100[[#This Row],[ICM]]+bounty*T_fact2939288693100[[#This Row],[KO]])</f>
        <v>0</v>
      </c>
    </row>
    <row r="19" spans="1:48" x14ac:dyDescent="0.25">
      <c r="A19">
        <v>3</v>
      </c>
      <c r="B19">
        <v>420</v>
      </c>
      <c r="C19" s="26" t="s">
        <v>345</v>
      </c>
      <c r="D19">
        <v>20</v>
      </c>
      <c r="F19" s="5">
        <f>COUNTIF(T_p1213519828996[stack],"&gt;0")</f>
        <v>2</v>
      </c>
      <c r="G19">
        <f>IF(T_init20344818895[[#This Row],[p]]=1,mainpot+sidepot1+sidepot2+uncalled,IF(T_init20344818895[[#This Row],[p]]&gt;1,0,T_init20344818895[[#This Row],[stack]]-T_init20344818895[[#This Row],[anteblinds]]))</f>
        <v>0</v>
      </c>
      <c r="I19" s="2">
        <f>T_p1213519828996[[#This Row],[EQ]]*prize</f>
        <v>0</v>
      </c>
      <c r="J19" s="66">
        <f>IF(T_init20344818895[[#This Row],[p]]=1,T_p1213519828996[[#This Row],[players]]*T_p1213519828996[[#This Row],[stack]]/chips+COUNTIF(T_p1213519828996[stack],0),T_p1213519828996[[#This Row],[players]]*T_p1213519828996[[#This Row],[stack]]/chips)</f>
        <v>0</v>
      </c>
      <c r="K19" s="66">
        <f>T_p1213519828996[[#This Row],[ICM]]+bounty*T_p1213519828996[[#This Row],[KO]]</f>
        <v>0</v>
      </c>
      <c r="M19" s="10">
        <f>COUNTIF(T_p2223625839097[stack],"&gt;0")</f>
        <v>3</v>
      </c>
      <c r="N19" s="26">
        <f>IF(T_init20344818895[[#This Row],[p]]=1,uncalled,IF(T_init20344818895[[#This Row],[p]]=2,mainpot+sidepot1+sidepot2,IF(T_init20344818895[[#This Row],[p]]&gt;2,0,T_init20344818895[[#This Row],[stack]]-T_init20344818895[[#This Row],[anteblinds]])))</f>
        <v>0</v>
      </c>
      <c r="P19" s="2">
        <f>T_p2223625839097[[#This Row],[EQ]]*prize</f>
        <v>0</v>
      </c>
      <c r="Q19" s="66">
        <f>IF(T_init20344818895[[#This Row],[p]]=2,T_p2223625839097[[#This Row],[players]]*T_p2223625839097[[#This Row],[stack]]/chips+COUNTIF(T_p2223625839097[stack],0),T_p2223625839097[[#This Row],[players]]*T_p2223625839097[[#This Row],[stack]]/chips)</f>
        <v>0</v>
      </c>
      <c r="R19" s="66">
        <f>T_p2223625839097[[#This Row],[ICM]]+bounty*T_p2223625839097[[#This Row],[KO]]</f>
        <v>0</v>
      </c>
      <c r="T19" s="5">
        <f>COUNTIF(T_p3p1233726849198[stack],"&gt;0")</f>
        <v>3</v>
      </c>
      <c r="U19" s="26">
        <f>IF(T_init20344818895[[#This Row],[p]]=1,sidepot1+uncalled,IF(T_init20344818895[[#This Row],[p]]=3,mainpot,IF(ISBLANK(T_init20344818895[[#This Row],[p]]),T_init20344818895[[#This Row],[stack]]-T_init20344818895[[#This Row],[anteblinds]],0)))</f>
        <v>1280</v>
      </c>
      <c r="V19">
        <v>0.64</v>
      </c>
      <c r="W19" s="2">
        <f>T_p3p1233726849198[[#This Row],[EQ]]*prize</f>
        <v>18.8416</v>
      </c>
      <c r="X19" s="66">
        <f>IF(T_init20344818895[[#This Row],[p]]=1,T_p3p1233726849198[[#This Row],[players]]*T_p3p1233726849198[[#This Row],[stack]]/chips+COUNTIF(T_p3p1233726849198[stack],0),T_p3p1233726849198[[#This Row],[players]]*T_p3p1233726849198[[#This Row],[stack]]/chips)</f>
        <v>1.92</v>
      </c>
      <c r="Y19" s="66">
        <f>T_p3p1233726849198[[#This Row],[ICM]]+bounty*T_p3p1233726849198[[#This Row],[KO]]</f>
        <v>18.8416</v>
      </c>
      <c r="AA19" s="5">
        <f>COUNTIF(T_p3p2243827859299[stack],"&gt;0")</f>
        <v>4</v>
      </c>
      <c r="AB19">
        <f>IF(T_init20344818895[[#This Row],[p]]=1,uncalled,IF(T_init20344818895[[#This Row],[p]]=2,sidepot1,IF(T_init20344818895[[#This Row],[p]]=3,mainpot,IF(ISBLANK(T_init20344818895[[#This Row],[p]]),T_init20344818895[[#This Row],[stack]]-T_init20344818895[[#This Row],[anteblinds]],0))))</f>
        <v>1280</v>
      </c>
      <c r="AC19">
        <v>0.64</v>
      </c>
      <c r="AD19" s="2">
        <f>T_p3p2243827859299[[#This Row],[EQ]]*prize</f>
        <v>18.8416</v>
      </c>
      <c r="AE19" s="66">
        <f>IF(T_init20344818895[[#This Row],[p]]=2,T_p3p2243827859299[[#This Row],[players]]*T_p3p2243827859299[[#This Row],[stack]]/chips+COUNTIF(T_p3p2243827859299[stack],0),T_p3p2243827859299[[#This Row],[players]]*T_p3p2243827859299[[#This Row],[stack]]/chips)</f>
        <v>2.56</v>
      </c>
      <c r="AF19" s="16">
        <f>T_p3p2243827859299[[#This Row],[ICM]]+bounty*T_p3p2243827859299[[#This Row],[KO]]</f>
        <v>18.8416</v>
      </c>
      <c r="AI19" s="73">
        <v>3</v>
      </c>
      <c r="AJ19" s="26">
        <v>1280</v>
      </c>
      <c r="AK19">
        <v>0.64</v>
      </c>
      <c r="AL19" s="2">
        <f>T_fact2939288693100[[#This Row],[EQ]]*prize</f>
        <v>18.8416</v>
      </c>
      <c r="AM19" s="66">
        <f>IF(T_init20344818895[[#This Row],[p]]=1,T_fact2939288693100[[#This Row],[players]]*T_fact2939288693100[[#This Row],[stack]]/chips+COUNTIF(T_fact2939288693100[stack],0),T_fact2939288693100[[#This Row],[players]]*T_fact2939288693100[[#This Row],[stack]]/chips)</f>
        <v>1.92</v>
      </c>
      <c r="AN19" s="16">
        <f>T_fact2939288693100[[#This Row],[ICM]]+bounty*T_fact2939288693100[[#This Row],[KO]]</f>
        <v>18.8416</v>
      </c>
      <c r="AQ19" s="68">
        <f>'3w KsJs Ден v2 '!p3win* ('3w KsJs Ден v2 '!p1sp1win*T_p3p1233726849198[[#This Row],[ICM]] + '3w KsJs Ден v2 '!p2sp1win*T_p3p2243827859299[[#This Row],[ICM]])
+'3w KsJs Ден v2 '!p2win*T_p2223625839097[[#This Row],[ICM]]
+'3w KsJs Ден v2 '!p1win*T_p1213519828996[[#This Row],[ICM]]</f>
        <v>7.73259264</v>
      </c>
      <c r="AR19" s="68">
        <f>('3w KsJs Ден v2 '!p3win* ('3w KsJs Ден v2 '!p1sp1win*T_p3p1233726849198[[#This Row],[KO]] + '3w KsJs Ден v2 '!p2sp1win*T_p3p2243827859299[[#This Row],[KO]])
+'3w KsJs Ден v2 '!p2win*T_p2223625839097[[#This Row],[KO]]
+'3w KsJs Ден v2 '!p1win*T_p1213519828996[[#This Row],[KO]])*bounty</f>
        <v>0</v>
      </c>
      <c r="AS19" s="68">
        <f>'3w KsJs Ден v2 '!p3win* ('3w KsJs Ден v2 '!p1sp1win*T_p3p1233726849198[[#This Row],[$stack]] + '3w KsJs Ден v2 '!p2sp1win*T_p3p2243827859299[[#This Row],[$stack]])
+'3w KsJs Ден v2 '!p2win*T_p2223625839097[[#This Row],[$stack]]
+'3w KsJs Ден v2 '!p1win*T_p1213519828996[[#This Row],[$stack]]</f>
        <v>7.73259264</v>
      </c>
      <c r="AT19" s="68">
        <f>'3w KsJs Ден v2 '!p3win* ('3w KsJs Ден v2 '!p1sp1win*T_p3p1233726849198[[#This Row],[stack]] + '3w KsJs Ден v2 '!p2sp1win*T_p3p2243827859299[[#This Row],[stack]])
+'3w KsJs Ден v2 '!p2win*T_p2223625839097[[#This Row],[stack]]
+'3w KsJs Ден v2 '!p1win*T_p1213519828996[[#This Row],[stack]]</f>
        <v>525.31200000000001</v>
      </c>
      <c r="AU19" s="2">
        <f>T_EV3340308794101[[#This Row],[chipEV]]-T_fact2939288693100[[#This Row],[stack]]</f>
        <v>-754.68799999999999</v>
      </c>
      <c r="AV19" s="2">
        <f>T_EV3340308794101[[#This Row],[EV]]-(T_fact2939288693100[[#This Row],[ICM]]+bounty*T_fact2939288693100[[#This Row],[KO]])</f>
        <v>-11.10900736</v>
      </c>
    </row>
    <row r="20" spans="1:48" x14ac:dyDescent="0.25">
      <c r="A20" s="26">
        <v>2</v>
      </c>
      <c r="B20" s="26">
        <v>680</v>
      </c>
      <c r="C20" t="s">
        <v>346</v>
      </c>
      <c r="D20" s="26">
        <v>70</v>
      </c>
      <c r="F20" s="73">
        <f>COUNTIF(T_p1213519828996[stack],"&gt;0")</f>
        <v>2</v>
      </c>
      <c r="G20" s="26">
        <f>IF(T_init20344818895[[#This Row],[p]]=1,mainpot+sidepot1+sidepot2+uncalled,IF(T_init20344818895[[#This Row],[p]]&gt;1,0,T_init20344818895[[#This Row],[stack]]-T_init20344818895[[#This Row],[anteblinds]]))</f>
        <v>0</v>
      </c>
      <c r="H20" s="26"/>
      <c r="I20" s="27">
        <f>T_p1213519828996[[#This Row],[EQ]]*prize</f>
        <v>0</v>
      </c>
      <c r="J20" s="71">
        <f>IF(T_init20344818895[[#This Row],[p]]=1,T_p1213519828996[[#This Row],[players]]*T_p1213519828996[[#This Row],[stack]]/chips+COUNTIF(T_p1213519828996[stack],0),T_p1213519828996[[#This Row],[players]]*T_p1213519828996[[#This Row],[stack]]/chips)</f>
        <v>0</v>
      </c>
      <c r="K20" s="71">
        <f>T_p1213519828996[[#This Row],[ICM]]+bounty*T_p1213519828996[[#This Row],[KO]]</f>
        <v>0</v>
      </c>
      <c r="M20" s="29">
        <f>COUNTIF(T_p2223625839097[stack],"&gt;0")</f>
        <v>3</v>
      </c>
      <c r="N20" s="26">
        <f>IF(T_init20344818895[[#This Row],[p]]=1,uncalled,IF(T_init20344818895[[#This Row],[p]]=2,mainpot+sidepot1+sidepot2,IF(T_init20344818895[[#This Row],[p]]&gt;2,0,T_init20344818895[[#This Row],[stack]]-T_init20344818895[[#This Row],[anteblinds]])))</f>
        <v>1800</v>
      </c>
      <c r="O20" s="26">
        <v>0.9</v>
      </c>
      <c r="P20" s="27">
        <f>T_p2223625839097[[#This Row],[EQ]]*prize</f>
        <v>26.496000000000002</v>
      </c>
      <c r="Q20" s="71">
        <f>IF(T_init20344818895[[#This Row],[p]]=2,T_p2223625839097[[#This Row],[players]]*T_p2223625839097[[#This Row],[stack]]/chips+COUNTIF(T_p2223625839097[stack],0),T_p2223625839097[[#This Row],[players]]*T_p2223625839097[[#This Row],[stack]]/chips)</f>
        <v>5.7</v>
      </c>
      <c r="R20" s="71">
        <f>T_p2223625839097[[#This Row],[ICM]]+bounty*T_p2223625839097[[#This Row],[KO]]</f>
        <v>26.496000000000002</v>
      </c>
      <c r="T20" s="73">
        <f>COUNTIF(T_p3p1233726849198[stack],"&gt;0")</f>
        <v>3</v>
      </c>
      <c r="U20" s="26">
        <f>IF(T_init20344818895[[#This Row],[p]]=1,sidepot1+uncalled,IF(T_init20344818895[[#This Row],[p]]=3,mainpot,IF(ISBLANK(T_init20344818895[[#This Row],[p]]),T_init20344818895[[#This Row],[stack]]-T_init20344818895[[#This Row],[anteblinds]],0)))</f>
        <v>0</v>
      </c>
      <c r="V20" s="26">
        <v>0</v>
      </c>
      <c r="W20" s="27">
        <f>T_p3p1233726849198[[#This Row],[EQ]]*prize</f>
        <v>0</v>
      </c>
      <c r="X20" s="71">
        <f>IF(T_init20344818895[[#This Row],[p]]=1,T_p3p1233726849198[[#This Row],[players]]*T_p3p1233726849198[[#This Row],[stack]]/chips+COUNTIF(T_p3p1233726849198[stack],0),T_p3p1233726849198[[#This Row],[players]]*T_p3p1233726849198[[#This Row],[stack]]/chips)</f>
        <v>0</v>
      </c>
      <c r="Y20" s="71">
        <f>T_p3p1233726849198[[#This Row],[ICM]]+bounty*T_p3p1233726849198[[#This Row],[KO]]</f>
        <v>0</v>
      </c>
      <c r="AA20" s="73">
        <f>COUNTIF(T_p3p2243827859299[stack],"&gt;0")</f>
        <v>4</v>
      </c>
      <c r="AB20" s="26">
        <f>IF(T_init20344818895[[#This Row],[p]]=1,uncalled,IF(T_init20344818895[[#This Row],[p]]=2,sidepot1,IF(T_init20344818895[[#This Row],[p]]=3,mainpot,IF(ISBLANK(T_init20344818895[[#This Row],[p]]),T_init20344818895[[#This Row],[stack]]-T_init20344818895[[#This Row],[anteblinds]],0))))</f>
        <v>520</v>
      </c>
      <c r="AC20" s="26">
        <v>0.26</v>
      </c>
      <c r="AD20" s="27">
        <f>T_p3p2243827859299[[#This Row],[EQ]]*prize</f>
        <v>7.6544000000000008</v>
      </c>
      <c r="AE20" s="71">
        <f>IF(T_init20344818895[[#This Row],[p]]=2,T_p3p2243827859299[[#This Row],[players]]*T_p3p2243827859299[[#This Row],[stack]]/chips+COUNTIF(T_p3p2243827859299[stack],0),T_p3p2243827859299[[#This Row],[players]]*T_p3p2243827859299[[#This Row],[stack]]/chips)</f>
        <v>3.04</v>
      </c>
      <c r="AF20" s="16">
        <f>T_p3p2243827859299[[#This Row],[ICM]]+bounty*T_p3p2243827859299[[#This Row],[KO]]</f>
        <v>7.6544000000000008</v>
      </c>
      <c r="AI20" s="73">
        <v>3</v>
      </c>
      <c r="AJ20" s="26">
        <v>0</v>
      </c>
      <c r="AK20" s="26">
        <v>0</v>
      </c>
      <c r="AL20" s="27">
        <f>T_fact2939288693100[[#This Row],[EQ]]*prize</f>
        <v>0</v>
      </c>
      <c r="AM20" s="71">
        <f>IF(T_init20344818895[[#This Row],[p]]=1,T_fact2939288693100[[#This Row],[players]]*T_fact2939288693100[[#This Row],[stack]]/chips+COUNTIF(T_fact2939288693100[stack],0),T_fact2939288693100[[#This Row],[players]]*T_fact2939288693100[[#This Row],[stack]]/chips)</f>
        <v>0</v>
      </c>
      <c r="AN20" s="16">
        <f>T_fact2939288693100[[#This Row],[ICM]]+bounty*T_fact2939288693100[[#This Row],[KO]]</f>
        <v>0</v>
      </c>
      <c r="AQ20" s="68">
        <f>'3w KsJs Ден v2 '!p3win* ('3w KsJs Ден v2 '!p1sp1win*T_p3p1233726849198[[#This Row],[ICM]] + '3w KsJs Ден v2 '!p2sp1win*T_p3p2243827859299[[#This Row],[ICM]])
+'3w KsJs Ден v2 '!p2win*T_p2223625839097[[#This Row],[ICM]]
+'3w KsJs Ден v2 '!p1win*T_p1213519828996[[#This Row],[ICM]]</f>
        <v>7.2726593863679998</v>
      </c>
      <c r="AR20" s="72">
        <f>('3w KsJs Ден v2 '!p3win* ('3w KsJs Ден v2 '!p1sp1win*T_p3p1233726849198[[#This Row],[KO]] + '3w KsJs Ден v2 '!p2sp1win*T_p3p2243827859299[[#This Row],[KO]])
+'3w KsJs Ден v2 '!p2win*T_p2223625839097[[#This Row],[KO]]
+'3w KsJs Ден v2 '!p1win*T_p1213519828996[[#This Row],[KO]])*bounty</f>
        <v>0</v>
      </c>
      <c r="AS20" s="72">
        <f>'3w KsJs Ден v2 '!p3win* ('3w KsJs Ден v2 '!p1sp1win*T_p3p1233726849198[[#This Row],[$stack]] + '3w KsJs Ден v2 '!p2sp1win*T_p3p2243827859299[[#This Row],[$stack]])
+'3w KsJs Ден v2 '!p2win*T_p2223625839097[[#This Row],[$stack]]
+'3w KsJs Ден v2 '!p1win*T_p1213519828996[[#This Row],[$stack]]</f>
        <v>7.2726593863679998</v>
      </c>
      <c r="AT20" s="72">
        <f>'3w KsJs Ден v2 '!p3win* ('3w KsJs Ден v2 '!p1sp1win*T_p3p1233726849198[[#This Row],[stack]] + '3w KsJs Ден v2 '!p2sp1win*T_p3p2243827859299[[#This Row],[stack]])
+'3w KsJs Ден v2 '!p2win*T_p2223625839097[[#This Row],[stack]]
+'3w KsJs Ден v2 '!p1win*T_p1213519828996[[#This Row],[stack]]</f>
        <v>494.06653439999997</v>
      </c>
      <c r="AU20" s="2">
        <f>T_EV3340308794101[[#This Row],[chipEV]]-T_fact2939288693100[[#This Row],[stack]]</f>
        <v>494.06653439999997</v>
      </c>
      <c r="AV20" s="2">
        <f>T_EV3340308794101[[#This Row],[EV]]-(T_fact2939288693100[[#This Row],[ICM]]+bounty*T_fact2939288693100[[#This Row],[KO]])</f>
        <v>7.2726593863679998</v>
      </c>
    </row>
    <row r="21" spans="1:48" x14ac:dyDescent="0.25">
      <c r="B21">
        <v>0</v>
      </c>
      <c r="F21" s="5">
        <f>COUNTIF(T_p1213519828996[stack],"&gt;0")</f>
        <v>2</v>
      </c>
      <c r="G21">
        <f>IF(T_init20344818895[[#This Row],[p]]=1,mainpot+sidepot1+sidepot2+uncalled,IF(T_init20344818895[[#This Row],[p]]&gt;1,0,T_init20344818895[[#This Row],[stack]]-T_init20344818895[[#This Row],[anteblinds]]))</f>
        <v>0</v>
      </c>
      <c r="I21" s="2">
        <f>T_p1213519828996[[#This Row],[EQ]]*prize</f>
        <v>0</v>
      </c>
      <c r="J21" s="66">
        <f>IF(T_init20344818895[[#This Row],[p]]=1,T_p1213519828996[[#This Row],[players]]*T_p1213519828996[[#This Row],[stack]]/chips+COUNTIF(T_p1213519828996[stack],0),T_p1213519828996[[#This Row],[players]]*T_p1213519828996[[#This Row],[stack]]/chips)</f>
        <v>0</v>
      </c>
      <c r="K21" s="66">
        <f>T_p1213519828996[[#This Row],[ICM]]+bounty*T_p1213519828996[[#This Row],[KO]]</f>
        <v>0</v>
      </c>
      <c r="M21" s="10">
        <f>COUNTIF(T_p2223625839097[stack],"&gt;0")</f>
        <v>3</v>
      </c>
      <c r="N21" s="26">
        <f>IF(T_init20344818895[[#This Row],[p]]=1,uncalled,IF(T_init20344818895[[#This Row],[p]]=2,mainpot+sidepot1+sidepot2,IF(T_init20344818895[[#This Row],[p]]&gt;2,0,T_init20344818895[[#This Row],[stack]]-T_init20344818895[[#This Row],[anteblinds]])))</f>
        <v>0</v>
      </c>
      <c r="O21">
        <v>0</v>
      </c>
      <c r="P21" s="2">
        <f>T_p2223625839097[[#This Row],[EQ]]*prize</f>
        <v>0</v>
      </c>
      <c r="Q21" s="66">
        <f>IF(T_init20344818895[[#This Row],[p]]=2,T_p2223625839097[[#This Row],[players]]*T_p2223625839097[[#This Row],[stack]]/chips+COUNTIF(T_p2223625839097[stack],0),T_p2223625839097[[#This Row],[players]]*T_p2223625839097[[#This Row],[stack]]/chips)</f>
        <v>0</v>
      </c>
      <c r="R21" s="66">
        <f>T_p2223625839097[[#This Row],[ICM]]+bounty*T_p2223625839097[[#This Row],[KO]]</f>
        <v>0</v>
      </c>
      <c r="T21" s="5">
        <f>COUNTIF(T_p3p1233726849198[stack],"&gt;0")</f>
        <v>3</v>
      </c>
      <c r="U21" s="26">
        <f>IF(T_init20344818895[[#This Row],[p]]=1,sidepot1+uncalled,IF(T_init20344818895[[#This Row],[p]]=3,mainpot,IF(ISBLANK(T_init20344818895[[#This Row],[p]]),T_init20344818895[[#This Row],[stack]]-T_init20344818895[[#This Row],[anteblinds]],0)))</f>
        <v>0</v>
      </c>
      <c r="V21">
        <v>0</v>
      </c>
      <c r="W21" s="2">
        <f>T_p3p1233726849198[[#This Row],[EQ]]*prize</f>
        <v>0</v>
      </c>
      <c r="X21" s="66">
        <f>IF(T_init20344818895[[#This Row],[p]]=1,T_p3p1233726849198[[#This Row],[players]]*T_p3p1233726849198[[#This Row],[stack]]/chips+COUNTIF(T_p3p1233726849198[stack],0),T_p3p1233726849198[[#This Row],[players]]*T_p3p1233726849198[[#This Row],[stack]]/chips)</f>
        <v>0</v>
      </c>
      <c r="Y21" s="66">
        <f>T_p3p1233726849198[[#This Row],[ICM]]+bounty*T_p3p1233726849198[[#This Row],[KO]]</f>
        <v>0</v>
      </c>
      <c r="AA21" s="5">
        <f>COUNTIF(T_p3p2243827859299[stack],"&gt;0")</f>
        <v>4</v>
      </c>
      <c r="AB21">
        <f>IF(T_init20344818895[[#This Row],[p]]=1,uncalled,IF(T_init20344818895[[#This Row],[p]]=2,sidepot1,IF(T_init20344818895[[#This Row],[p]]=3,mainpot,IF(ISBLANK(T_init20344818895[[#This Row],[p]]),T_init20344818895[[#This Row],[stack]]-T_init20344818895[[#This Row],[anteblinds]],0))))</f>
        <v>0</v>
      </c>
      <c r="AC21">
        <v>0</v>
      </c>
      <c r="AD21" s="2">
        <f>T_p3p2243827859299[[#This Row],[EQ]]*prize</f>
        <v>0</v>
      </c>
      <c r="AE21" s="66">
        <f>IF(T_init20344818895[[#This Row],[p]]=2,T_p3p2243827859299[[#This Row],[players]]*T_p3p2243827859299[[#This Row],[stack]]/chips+COUNTIF(T_p3p2243827859299[stack],0),T_p3p2243827859299[[#This Row],[players]]*T_p3p2243827859299[[#This Row],[stack]]/chips)</f>
        <v>0</v>
      </c>
      <c r="AF21" s="16">
        <f>T_p3p2243827859299[[#This Row],[ICM]]+bounty*T_p3p2243827859299[[#This Row],[KO]]</f>
        <v>0</v>
      </c>
      <c r="AI21" s="73">
        <v>3</v>
      </c>
      <c r="AJ21" s="26">
        <v>0</v>
      </c>
      <c r="AL21" s="2">
        <f>T_fact2939288693100[[#This Row],[EQ]]*prize</f>
        <v>0</v>
      </c>
      <c r="AM21" s="66">
        <f>IF(T_init20344818895[[#This Row],[p]]=1,T_fact2939288693100[[#This Row],[players]]*T_fact2939288693100[[#This Row],[stack]]/chips+COUNTIF(T_fact2939288693100[stack],0),T_fact2939288693100[[#This Row],[players]]*T_fact2939288693100[[#This Row],[stack]]/chips)</f>
        <v>0</v>
      </c>
      <c r="AN21" s="16">
        <f>T_fact2939288693100[[#This Row],[ICM]]+bounty*T_fact2939288693100[[#This Row],[KO]]</f>
        <v>0</v>
      </c>
      <c r="AQ21" s="68">
        <f>'3w KsJs Ден v2 '!p3win* ('3w KsJs Ден v2 '!p1sp1win*T_p3p1233726849198[[#This Row],[ICM]] + '3w KsJs Ден v2 '!p2sp1win*T_p3p2243827859299[[#This Row],[ICM]])
+'3w KsJs Ден v2 '!p2win*T_p2223625839097[[#This Row],[ICM]]
+'3w KsJs Ден v2 '!p1win*T_p1213519828996[[#This Row],[ICM]]</f>
        <v>0</v>
      </c>
      <c r="AR21" s="68">
        <f>('3w KsJs Ден v2 '!p3win* ('3w KsJs Ден v2 '!p1sp1win*T_p3p1233726849198[[#This Row],[KO]] + '3w KsJs Ден v2 '!p2sp1win*T_p3p2243827859299[[#This Row],[KO]])
+'3w KsJs Ден v2 '!p2win*T_p2223625839097[[#This Row],[KO]]
+'3w KsJs Ден v2 '!p1win*T_p1213519828996[[#This Row],[KO]])*bounty</f>
        <v>0</v>
      </c>
      <c r="AS21" s="68">
        <f>'3w KsJs Ден v2 '!p3win* ('3w KsJs Ден v2 '!p1sp1win*T_p3p1233726849198[[#This Row],[$stack]] + '3w KsJs Ден v2 '!p2sp1win*T_p3p2243827859299[[#This Row],[$stack]])
+'3w KsJs Ден v2 '!p2win*T_p2223625839097[[#This Row],[$stack]]
+'3w KsJs Ден v2 '!p1win*T_p1213519828996[[#This Row],[$stack]]</f>
        <v>0</v>
      </c>
      <c r="AT21" s="68">
        <f>'3w KsJs Ден v2 '!p3win* ('3w KsJs Ден v2 '!p1sp1win*T_p3p1233726849198[[#This Row],[stack]] + '3w KsJs Ден v2 '!p2sp1win*T_p3p2243827859299[[#This Row],[stack]])
+'3w KsJs Ден v2 '!p2win*T_p2223625839097[[#This Row],[stack]]
+'3w KsJs Ден v2 '!p1win*T_p1213519828996[[#This Row],[stack]]</f>
        <v>0</v>
      </c>
      <c r="AU21" s="2">
        <f>T_EV3340308794101[[#This Row],[chipEV]]-T_fact2939288693100[[#This Row],[stack]]</f>
        <v>0</v>
      </c>
      <c r="AV21" s="2">
        <f>T_EV3340308794101[[#This Row],[EV]]-(T_fact2939288693100[[#This Row],[ICM]]+bounty*T_fact2939288693100[[#This Row],[KO]])</f>
        <v>0</v>
      </c>
    </row>
    <row r="22" spans="1:48" x14ac:dyDescent="0.25">
      <c r="B22">
        <v>0</v>
      </c>
      <c r="F22" s="5">
        <f>COUNTIF(T_p1213519828996[stack],"&gt;0")</f>
        <v>2</v>
      </c>
      <c r="G22">
        <f>IF(T_init20344818895[[#This Row],[p]]=1,mainpot+sidepot1+sidepot2+uncalled,IF(T_init20344818895[[#This Row],[p]]&gt;1,0,T_init20344818895[[#This Row],[stack]]-T_init20344818895[[#This Row],[anteblinds]]))</f>
        <v>0</v>
      </c>
      <c r="I22" s="2">
        <f>T_p1213519828996[[#This Row],[EQ]]*prize</f>
        <v>0</v>
      </c>
      <c r="J22" s="66">
        <f>IF(T_init20344818895[[#This Row],[p]]=1,T_p1213519828996[[#This Row],[players]]*T_p1213519828996[[#This Row],[stack]]/chips+COUNTIF(T_p1213519828996[stack],0),T_p1213519828996[[#This Row],[players]]*T_p1213519828996[[#This Row],[stack]]/chips)</f>
        <v>0</v>
      </c>
      <c r="K22" s="66">
        <f>T_p1213519828996[[#This Row],[ICM]]+bounty*T_p1213519828996[[#This Row],[KO]]</f>
        <v>0</v>
      </c>
      <c r="M22" s="10">
        <f>COUNTIF(T_p2223625839097[stack],"&gt;0")</f>
        <v>3</v>
      </c>
      <c r="N22" s="26">
        <f>IF(T_init20344818895[[#This Row],[p]]=1,uncalled,IF(T_init20344818895[[#This Row],[p]]=2,mainpot+sidepot1+sidepot2,IF(T_init20344818895[[#This Row],[p]]&gt;2,0,T_init20344818895[[#This Row],[stack]]-T_init20344818895[[#This Row],[anteblinds]])))</f>
        <v>0</v>
      </c>
      <c r="P22" s="2">
        <f>T_p2223625839097[[#This Row],[EQ]]*prize</f>
        <v>0</v>
      </c>
      <c r="Q22" s="66">
        <f>IF(T_init20344818895[[#This Row],[p]]=2,T_p2223625839097[[#This Row],[players]]*T_p2223625839097[[#This Row],[stack]]/chips+COUNTIF(T_p2223625839097[stack],0),T_p2223625839097[[#This Row],[players]]*T_p2223625839097[[#This Row],[stack]]/chips)</f>
        <v>0</v>
      </c>
      <c r="R22" s="66">
        <f>T_p2223625839097[[#This Row],[ICM]]+bounty*T_p2223625839097[[#This Row],[KO]]</f>
        <v>0</v>
      </c>
      <c r="T22" s="5">
        <f>COUNTIF(T_p3p1233726849198[stack],"&gt;0")</f>
        <v>3</v>
      </c>
      <c r="U22" s="26">
        <f>IF(T_init20344818895[[#This Row],[p]]=1,sidepot1+uncalled,IF(T_init20344818895[[#This Row],[p]]=3,mainpot,IF(ISBLANK(T_init20344818895[[#This Row],[p]]),T_init20344818895[[#This Row],[stack]]-T_init20344818895[[#This Row],[anteblinds]],0)))</f>
        <v>0</v>
      </c>
      <c r="V22">
        <v>0</v>
      </c>
      <c r="W22" s="2">
        <f>T_p3p1233726849198[[#This Row],[EQ]]*prize</f>
        <v>0</v>
      </c>
      <c r="X22" s="66">
        <f>IF(T_init20344818895[[#This Row],[p]]=1,T_p3p1233726849198[[#This Row],[players]]*T_p3p1233726849198[[#This Row],[stack]]/chips+COUNTIF(T_p3p1233726849198[stack],0),T_p3p1233726849198[[#This Row],[players]]*T_p3p1233726849198[[#This Row],[stack]]/chips)</f>
        <v>0</v>
      </c>
      <c r="Y22" s="66">
        <f>T_p3p1233726849198[[#This Row],[ICM]]+bounty*T_p3p1233726849198[[#This Row],[KO]]</f>
        <v>0</v>
      </c>
      <c r="AA22" s="5">
        <f>COUNTIF(T_p3p2243827859299[stack],"&gt;0")</f>
        <v>4</v>
      </c>
      <c r="AB22">
        <f>IF(T_init20344818895[[#This Row],[p]]=1,uncalled,IF(T_init20344818895[[#This Row],[p]]=2,sidepot1,IF(T_init20344818895[[#This Row],[p]]=3,mainpot,IF(ISBLANK(T_init20344818895[[#This Row],[p]]),T_init20344818895[[#This Row],[stack]]-T_init20344818895[[#This Row],[anteblinds]],0))))</f>
        <v>0</v>
      </c>
      <c r="AC22">
        <v>0</v>
      </c>
      <c r="AD22" s="2">
        <f>T_p3p2243827859299[[#This Row],[EQ]]*prize</f>
        <v>0</v>
      </c>
      <c r="AE22" s="66">
        <f>IF(T_init20344818895[[#This Row],[p]]=2,T_p3p2243827859299[[#This Row],[players]]*T_p3p2243827859299[[#This Row],[stack]]/chips+COUNTIF(T_p3p2243827859299[stack],0),T_p3p2243827859299[[#This Row],[players]]*T_p3p2243827859299[[#This Row],[stack]]/chips)</f>
        <v>0</v>
      </c>
      <c r="AF22" s="16">
        <f>T_p3p2243827859299[[#This Row],[ICM]]+bounty*T_p3p2243827859299[[#This Row],[KO]]</f>
        <v>0</v>
      </c>
      <c r="AI22" s="73">
        <v>3</v>
      </c>
      <c r="AJ22" s="26">
        <v>0</v>
      </c>
      <c r="AL22" s="2">
        <f>T_fact2939288693100[[#This Row],[EQ]]*prize</f>
        <v>0</v>
      </c>
      <c r="AM22" s="66">
        <f>IF(T_init20344818895[[#This Row],[p]]=1,T_fact2939288693100[[#This Row],[players]]*T_fact2939288693100[[#This Row],[stack]]/chips+COUNTIF(T_fact2939288693100[stack],0),T_fact2939288693100[[#This Row],[players]]*T_fact2939288693100[[#This Row],[stack]]/chips)</f>
        <v>0</v>
      </c>
      <c r="AN22" s="16">
        <f>T_fact2939288693100[[#This Row],[ICM]]+bounty*T_fact2939288693100[[#This Row],[KO]]</f>
        <v>0</v>
      </c>
      <c r="AQ22" s="68">
        <f>'3w KsJs Ден v2 '!p3win* ('3w KsJs Ден v2 '!p1sp1win*T_p3p1233726849198[[#This Row],[ICM]] + '3w KsJs Ден v2 '!p2sp1win*T_p3p2243827859299[[#This Row],[ICM]])
+'3w KsJs Ден v2 '!p2win*T_p2223625839097[[#This Row],[ICM]]
+'3w KsJs Ден v2 '!p1win*T_p1213519828996[[#This Row],[ICM]]</f>
        <v>0</v>
      </c>
      <c r="AR22" s="68">
        <f>('3w KsJs Ден v2 '!p3win* ('3w KsJs Ден v2 '!p1sp1win*T_p3p1233726849198[[#This Row],[KO]] + '3w KsJs Ден v2 '!p2sp1win*T_p3p2243827859299[[#This Row],[KO]])
+'3w KsJs Ден v2 '!p2win*T_p2223625839097[[#This Row],[KO]]
+'3w KsJs Ден v2 '!p1win*T_p1213519828996[[#This Row],[KO]])*bounty</f>
        <v>0</v>
      </c>
      <c r="AS22" s="68">
        <f>'3w KsJs Ден v2 '!p3win* ('3w KsJs Ден v2 '!p1sp1win*T_p3p1233726849198[[#This Row],[$stack]] + '3w KsJs Ден v2 '!p2sp1win*T_p3p2243827859299[[#This Row],[$stack]])
+'3w KsJs Ден v2 '!p2win*T_p2223625839097[[#This Row],[$stack]]
+'3w KsJs Ден v2 '!p1win*T_p1213519828996[[#This Row],[$stack]]</f>
        <v>0</v>
      </c>
      <c r="AT22" s="68">
        <f>'3w KsJs Ден v2 '!p3win* ('3w KsJs Ден v2 '!p1sp1win*T_p3p1233726849198[[#This Row],[stack]] + '3w KsJs Ден v2 '!p2sp1win*T_p3p2243827859299[[#This Row],[stack]])
+'3w KsJs Ден v2 '!p2win*T_p2223625839097[[#This Row],[stack]]
+'3w KsJs Ден v2 '!p1win*T_p1213519828996[[#This Row],[stack]]</f>
        <v>0</v>
      </c>
      <c r="AU22" s="2">
        <f>T_EV3340308794101[[#This Row],[chipEV]]-T_fact2939288693100[[#This Row],[stack]]</f>
        <v>0</v>
      </c>
      <c r="AV22" s="2">
        <f>T_EV3340308794101[[#This Row],[EV]]-(T_fact2939288693100[[#This Row],[ICM]]+bounty*T_fact2939288693100[[#This Row],[KO]])</f>
        <v>0</v>
      </c>
    </row>
    <row r="23" spans="1:48" x14ac:dyDescent="0.25">
      <c r="A23" t="s">
        <v>95</v>
      </c>
      <c r="D23">
        <f>SUBTOTAL(109,T_init20344818895[anteblinds])</f>
        <v>230</v>
      </c>
      <c r="F23" s="53"/>
      <c r="G23" s="50">
        <f>SUM(T_p1213519828996[stack])</f>
        <v>2000</v>
      </c>
      <c r="H23" s="50">
        <f>SUM(T_p1213519828996[EQ])</f>
        <v>1</v>
      </c>
      <c r="I23" s="50">
        <f>SUM(T_p1213519828996[ICM])</f>
        <v>29.44</v>
      </c>
      <c r="J23" s="50">
        <f>SUM(T_p1213519828996[KO])</f>
        <v>6</v>
      </c>
      <c r="K23" s="50">
        <f>SUM(T_p1213519828996[$stack])</f>
        <v>29.44</v>
      </c>
      <c r="M23" s="53"/>
      <c r="N23" s="55">
        <f>SUM(T_p2223625839097[stack])</f>
        <v>2000</v>
      </c>
      <c r="O23" s="50">
        <f>SUM(T_p2223625839097[EQ])</f>
        <v>1</v>
      </c>
      <c r="P23" s="51">
        <f>SUM(T_p2223625839097[ICM])</f>
        <v>29.44</v>
      </c>
      <c r="Q23" s="52">
        <f>SUM(T_p2223625839097[KO])</f>
        <v>6</v>
      </c>
      <c r="R23" s="50">
        <f>SUM(T_p2223625839097[$stack])</f>
        <v>29.44</v>
      </c>
      <c r="T23" s="53"/>
      <c r="U23" s="55">
        <f>SUM(T_p3p1233726849198[stack])</f>
        <v>2000</v>
      </c>
      <c r="V23" s="50">
        <f>SUM(T_p3p1233726849198[EQ])</f>
        <v>1</v>
      </c>
      <c r="W23" s="51">
        <f>SUM(T_p3p1233726849198[ICM])</f>
        <v>29.44</v>
      </c>
      <c r="X23" s="52">
        <f>SUM(T_p3p1233726849198[KO])</f>
        <v>6</v>
      </c>
      <c r="Y23" s="50">
        <f>SUM(T_p3p1233726849198[$stack])</f>
        <v>29.44</v>
      </c>
      <c r="AA23" s="53"/>
      <c r="AB23" s="55">
        <f>SUM(T_p3p2243827859299[stack])</f>
        <v>2000</v>
      </c>
      <c r="AC23" s="50">
        <f>SUM(T_p3p2243827859299[EQ])</f>
        <v>1</v>
      </c>
      <c r="AD23" s="51">
        <f>SUM(T_p3p2243827859299[ICM])</f>
        <v>29.439999999999998</v>
      </c>
      <c r="AE23" s="52">
        <f>SUM(T_p3p2243827859299[KO])</f>
        <v>6</v>
      </c>
      <c r="AF23" s="50">
        <f>SUM(T_p3p1233726849198[$stack])</f>
        <v>29.44</v>
      </c>
      <c r="AI23" s="53"/>
      <c r="AJ23" s="55">
        <f>SUM(T_fact2939288693100[stack])</f>
        <v>2000</v>
      </c>
      <c r="AK23" s="50">
        <f>SUM(T_fact2939288693100[EQ])</f>
        <v>1</v>
      </c>
      <c r="AL23" s="51">
        <f>SUM(T_fact2939288693100[ICM])</f>
        <v>29.44</v>
      </c>
      <c r="AM23" s="52">
        <f>SUM(T_fact2939288693100[KO])</f>
        <v>6</v>
      </c>
      <c r="AN23" s="51">
        <f>SUM(T_fact2939288693100[$stack])</f>
        <v>29.44</v>
      </c>
      <c r="AQ23" s="52">
        <f>SUM(T_EV3340308794101[ICM])</f>
        <v>29.439999999999998</v>
      </c>
      <c r="AR23" s="52">
        <f>SUM(T_EV3340308794101[KO])</f>
        <v>0</v>
      </c>
      <c r="AS23" s="52">
        <f>SUM(T_EV3340308794101[EV])</f>
        <v>29.439999999999998</v>
      </c>
      <c r="AT23" s="50">
        <f>SUM(T_EV3340308794101[chipEV])</f>
        <v>2000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347</v>
      </c>
    </row>
    <row r="27" spans="1:48" x14ac:dyDescent="0.25">
      <c r="C27" t="s">
        <v>120</v>
      </c>
      <c r="M27" t="s">
        <v>348</v>
      </c>
    </row>
    <row r="28" spans="1:48" x14ac:dyDescent="0.25">
      <c r="C28" t="s">
        <v>122</v>
      </c>
      <c r="M28" t="s">
        <v>349</v>
      </c>
    </row>
    <row r="29" spans="1:48" x14ac:dyDescent="0.25">
      <c r="M29" t="s">
        <v>350</v>
      </c>
    </row>
    <row r="30" spans="1:48" x14ac:dyDescent="0.25">
      <c r="M30" t="s">
        <v>351</v>
      </c>
    </row>
    <row r="31" spans="1:48" x14ac:dyDescent="0.25">
      <c r="C31" t="s">
        <v>126</v>
      </c>
      <c r="M31" t="s">
        <v>352</v>
      </c>
    </row>
    <row r="32" spans="1:48" x14ac:dyDescent="0.25">
      <c r="M32" t="s">
        <v>353</v>
      </c>
    </row>
    <row r="33" spans="2:13" x14ac:dyDescent="0.25">
      <c r="B33" t="s">
        <v>129</v>
      </c>
      <c r="M33" t="s">
        <v>354</v>
      </c>
    </row>
    <row r="34" spans="2:13" x14ac:dyDescent="0.25">
      <c r="B34" t="s">
        <v>131</v>
      </c>
      <c r="M34" t="s">
        <v>355</v>
      </c>
    </row>
    <row r="35" spans="2:13" x14ac:dyDescent="0.25">
      <c r="C35" t="s">
        <v>133</v>
      </c>
      <c r="M35" t="s">
        <v>356</v>
      </c>
    </row>
    <row r="36" spans="2:13" x14ac:dyDescent="0.25">
      <c r="D36" t="s">
        <v>135</v>
      </c>
      <c r="M36" t="s">
        <v>357</v>
      </c>
    </row>
    <row r="37" spans="2:13" x14ac:dyDescent="0.25">
      <c r="C37" t="s">
        <v>137</v>
      </c>
      <c r="M37" t="s">
        <v>358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359</v>
      </c>
    </row>
    <row r="40" spans="2:13" x14ac:dyDescent="0.25">
      <c r="D40" t="s">
        <v>142</v>
      </c>
      <c r="M40" t="s">
        <v>360</v>
      </c>
    </row>
    <row r="41" spans="2:13" x14ac:dyDescent="0.25">
      <c r="D41" t="s">
        <v>144</v>
      </c>
      <c r="E41" t="s">
        <v>145</v>
      </c>
      <c r="M41" t="s">
        <v>361</v>
      </c>
    </row>
    <row r="42" spans="2:13" x14ac:dyDescent="0.25">
      <c r="F42" t="s">
        <v>147</v>
      </c>
      <c r="M42" t="s">
        <v>362</v>
      </c>
    </row>
    <row r="43" spans="2:13" x14ac:dyDescent="0.25">
      <c r="E43" t="s">
        <v>149</v>
      </c>
      <c r="M43" t="s">
        <v>363</v>
      </c>
    </row>
    <row r="44" spans="2:13" x14ac:dyDescent="0.25">
      <c r="F44" t="s">
        <v>151</v>
      </c>
      <c r="M44" t="s">
        <v>364</v>
      </c>
    </row>
    <row r="45" spans="2:13" x14ac:dyDescent="0.25">
      <c r="M45" t="s">
        <v>365</v>
      </c>
    </row>
    <row r="46" spans="2:13" x14ac:dyDescent="0.25">
      <c r="C46" t="s">
        <v>154</v>
      </c>
      <c r="M46" t="s">
        <v>366</v>
      </c>
    </row>
    <row r="47" spans="2:13" x14ac:dyDescent="0.25">
      <c r="D47" t="s">
        <v>156</v>
      </c>
      <c r="M47" t="s">
        <v>166</v>
      </c>
    </row>
    <row r="48" spans="2:13" x14ac:dyDescent="0.25">
      <c r="D48" t="s">
        <v>158</v>
      </c>
      <c r="E48" t="s">
        <v>145</v>
      </c>
      <c r="M48" t="s">
        <v>367</v>
      </c>
    </row>
    <row r="49" spans="5:13" x14ac:dyDescent="0.25">
      <c r="F49" t="s">
        <v>160</v>
      </c>
      <c r="M49" t="s">
        <v>368</v>
      </c>
    </row>
    <row r="50" spans="5:13" x14ac:dyDescent="0.25">
      <c r="E50" t="s">
        <v>149</v>
      </c>
      <c r="M50" t="s">
        <v>369</v>
      </c>
    </row>
    <row r="51" spans="5:13" x14ac:dyDescent="0.25">
      <c r="F51" t="s">
        <v>163</v>
      </c>
      <c r="M51" t="s">
        <v>370</v>
      </c>
    </row>
    <row r="52" spans="5:13" x14ac:dyDescent="0.25">
      <c r="E52" t="s">
        <v>165</v>
      </c>
      <c r="M52" t="s">
        <v>371</v>
      </c>
    </row>
    <row r="53" spans="5:13" x14ac:dyDescent="0.25">
      <c r="F53" t="s">
        <v>167</v>
      </c>
      <c r="M53" t="s">
        <v>372</v>
      </c>
    </row>
    <row r="54" spans="5:13" x14ac:dyDescent="0.25">
      <c r="F54" t="s">
        <v>144</v>
      </c>
      <c r="M54" t="s">
        <v>173</v>
      </c>
    </row>
    <row r="55" spans="5:13" x14ac:dyDescent="0.25">
      <c r="G55" t="s">
        <v>145</v>
      </c>
      <c r="M55" t="s">
        <v>373</v>
      </c>
    </row>
    <row r="56" spans="5:13" x14ac:dyDescent="0.25">
      <c r="H56" t="s">
        <v>147</v>
      </c>
      <c r="M56" t="s">
        <v>374</v>
      </c>
    </row>
    <row r="57" spans="5:13" x14ac:dyDescent="0.25">
      <c r="G57" t="s">
        <v>149</v>
      </c>
      <c r="M57" t="s">
        <v>375</v>
      </c>
    </row>
    <row r="58" spans="5:13" x14ac:dyDescent="0.25">
      <c r="H58" t="s">
        <v>151</v>
      </c>
      <c r="M58" t="s">
        <v>376</v>
      </c>
    </row>
    <row r="59" spans="5:13" x14ac:dyDescent="0.25">
      <c r="M59" t="s">
        <v>377</v>
      </c>
    </row>
    <row r="60" spans="5:13" x14ac:dyDescent="0.25">
      <c r="M60" t="s">
        <v>378</v>
      </c>
    </row>
    <row r="62" spans="5:13" x14ac:dyDescent="0.25">
      <c r="M62" s="95" t="s">
        <v>532</v>
      </c>
    </row>
    <row r="63" spans="5:13" x14ac:dyDescent="0.25">
      <c r="M63" s="95" t="s">
        <v>513</v>
      </c>
    </row>
    <row r="64" spans="5:13" x14ac:dyDescent="0.25">
      <c r="M64" s="95" t="s">
        <v>533</v>
      </c>
    </row>
    <row r="65" spans="13:13" x14ac:dyDescent="0.25">
      <c r="M65" s="95" t="s">
        <v>534</v>
      </c>
    </row>
    <row r="66" spans="13:13" x14ac:dyDescent="0.25">
      <c r="M66" s="95" t="s">
        <v>535</v>
      </c>
    </row>
    <row r="67" spans="13:13" x14ac:dyDescent="0.25">
      <c r="M67" s="95" t="s">
        <v>536</v>
      </c>
    </row>
    <row r="68" spans="13:13" x14ac:dyDescent="0.25">
      <c r="M68" s="95" t="s">
        <v>537</v>
      </c>
    </row>
    <row r="69" spans="13:13" x14ac:dyDescent="0.25">
      <c r="M69" s="95" t="s">
        <v>519</v>
      </c>
    </row>
    <row r="70" spans="13:13" x14ac:dyDescent="0.25">
      <c r="M70" s="95" t="s">
        <v>520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6BD8-BC2F-4C9F-A93C-1074E5E336B3}">
  <dimension ref="A1:AV70"/>
  <sheetViews>
    <sheetView workbookViewId="0">
      <selection activeCell="Q69" sqref="Q69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7.36*4</f>
        <v>29.44</v>
      </c>
      <c r="F1" s="80" t="s">
        <v>71</v>
      </c>
      <c r="G1">
        <v>0.24399999999999999</v>
      </c>
      <c r="I1" s="80" t="s">
        <v>72</v>
      </c>
      <c r="J1">
        <v>0.5</v>
      </c>
      <c r="M1" s="80" t="s">
        <v>73</v>
      </c>
      <c r="N1">
        <v>1510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0.1913</v>
      </c>
      <c r="I2" s="80" t="s">
        <v>75</v>
      </c>
      <c r="J2">
        <v>0.5</v>
      </c>
      <c r="M2" s="80" t="s">
        <v>76</v>
      </c>
      <c r="N2">
        <v>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0.56469999999999998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0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4"/>
      <c r="K11" s="84"/>
    </row>
    <row r="12" spans="1:48" ht="19.5" thickBot="1" x14ac:dyDescent="0.35">
      <c r="F12" s="84"/>
      <c r="G12" s="84"/>
      <c r="H12" s="84"/>
      <c r="I12" s="84"/>
      <c r="J12" s="84"/>
      <c r="K12" s="84"/>
      <c r="V12" t="s">
        <v>92</v>
      </c>
      <c r="AC12" t="s">
        <v>93</v>
      </c>
    </row>
    <row r="13" spans="1:48" ht="20.25" thickTop="1" thickBot="1" x14ac:dyDescent="0.35">
      <c r="F13" s="84"/>
      <c r="G13" s="84"/>
      <c r="H13" s="84"/>
      <c r="I13" s="84"/>
      <c r="J13" s="84"/>
      <c r="K13" s="84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4"/>
      <c r="G14" s="84"/>
      <c r="H14" s="84" t="s">
        <v>96</v>
      </c>
      <c r="I14" s="84"/>
      <c r="J14" s="84"/>
      <c r="K14" s="84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4"/>
      <c r="M15" s="134" t="s">
        <v>101</v>
      </c>
      <c r="N15" s="135"/>
      <c r="O15" s="135"/>
      <c r="P15" s="135"/>
      <c r="Q15" s="136"/>
      <c r="R15" s="84"/>
      <c r="T15" s="118" t="s">
        <v>102</v>
      </c>
      <c r="U15" s="119"/>
      <c r="V15" s="119"/>
      <c r="W15" s="119"/>
      <c r="X15" s="120"/>
      <c r="Y15" s="84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s="26" customFormat="1" x14ac:dyDescent="0.25">
      <c r="B17" s="26">
        <v>500</v>
      </c>
      <c r="D17" s="26">
        <v>10</v>
      </c>
      <c r="F17" s="73">
        <f>COUNTIF(T_p1213519828996117[stack],"&gt;0")</f>
        <v>2</v>
      </c>
      <c r="G17" s="26">
        <f>IF(T_init20344818895116[[#This Row],[p]]=1,mainpot+sidepot1+sidepot2+uncalled,IF(T_init20344818895116[[#This Row],[p]]&gt;1,0,T_init20344818895116[[#This Row],[stack]]-T_init20344818895116[[#This Row],[anteblinds]]))</f>
        <v>490</v>
      </c>
      <c r="H17" s="26">
        <v>0.245</v>
      </c>
      <c r="I17" s="27">
        <f>T_p1213519828996117[[#This Row],[EQ]]*prize</f>
        <v>7.2128000000000005</v>
      </c>
      <c r="J17" s="71">
        <f>IF(T_init20344818895116[[#This Row],[p]]=1,T_p1213519828996117[[#This Row],[players]]*T_p1213519828996117[[#This Row],[stack]]/chips+COUNTIF(T_p1213519828996117[stack],0),T_p1213519828996117[[#This Row],[players]]*T_p1213519828996117[[#This Row],[stack]]/chips)</f>
        <v>0.49</v>
      </c>
      <c r="K17" s="71">
        <f>T_p1213519828996117[[#This Row],[ICM]]+bounty*T_p1213519828996117[[#This Row],[KO]]</f>
        <v>7.2128000000000005</v>
      </c>
      <c r="M17" s="29">
        <f>COUNTIF(T_p2223625839097118[stack],"&gt;0")</f>
        <v>2</v>
      </c>
      <c r="N17" s="26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490</v>
      </c>
      <c r="O17" s="26">
        <v>0.245</v>
      </c>
      <c r="P17" s="27">
        <f>T_p2223625839097118[[#This Row],[EQ]]*prize</f>
        <v>7.2128000000000005</v>
      </c>
      <c r="Q17" s="71">
        <f>IF(T_init20344818895116[[#This Row],[p]]=2,T_p2223625839097118[[#This Row],[players]]*T_p2223625839097118[[#This Row],[stack]]/chips+COUNTIF(T_p2223625839097118[stack],0),T_p2223625839097118[[#This Row],[players]]*T_p2223625839097118[[#This Row],[stack]]/chips)</f>
        <v>0.49</v>
      </c>
      <c r="R17" s="71">
        <f>T_p2223625839097118[[#This Row],[ICM]]+bounty*T_p2223625839097118[[#This Row],[KO]]</f>
        <v>7.2128000000000005</v>
      </c>
      <c r="T17" s="73">
        <f>COUNTIF(T_p3p1233726849198119[stack],"&gt;0")</f>
        <v>2</v>
      </c>
      <c r="U17" s="26">
        <f>IF(T_init20344818895116[[#This Row],[p]]=1,sidepot1+uncalled,IF(T_init20344818895116[[#This Row],[p]]=3,mainpot,IF(ISBLANK(T_init20344818895116[[#This Row],[p]]),T_init20344818895116[[#This Row],[stack]]-T_init20344818895116[[#This Row],[anteblinds]],0)))</f>
        <v>490</v>
      </c>
      <c r="V17" s="26">
        <v>0.245</v>
      </c>
      <c r="W17" s="27">
        <f>T_p3p1233726849198119[[#This Row],[EQ]]*prize</f>
        <v>7.2128000000000005</v>
      </c>
      <c r="X17" s="71">
        <f>IF(T_init20344818895116[[#This Row],[p]]=1,T_p3p1233726849198119[[#This Row],[players]]*T_p3p1233726849198119[[#This Row],[stack]]/chips+COUNTIF(T_p3p1233726849198119[stack],0),T_p3p1233726849198119[[#This Row],[players]]*T_p3p1233726849198119[[#This Row],[stack]]/chips)</f>
        <v>0.49</v>
      </c>
      <c r="Y17" s="71">
        <f>T_p3p1233726849198119[[#This Row],[ICM]]+bounty*T_p3p1233726849198119[[#This Row],[KO]]</f>
        <v>7.2128000000000005</v>
      </c>
      <c r="AA17" s="73">
        <f>COUNTIF(T_p3p2243827859299120[stack],"&gt;0")</f>
        <v>2</v>
      </c>
      <c r="AB17" s="26">
        <f>IF(T_init20344818895116[[#This Row],[p]]=1,uncalled,IF(T_init20344818895116[[#This Row],[p]]=2,sidepot1,IF(T_init20344818895116[[#This Row],[p]]=3,mainpot,IF(ISBLANK(T_init20344818895116[[#This Row],[p]]),T_init20344818895116[[#This Row],[stack]]-T_init20344818895116[[#This Row],[anteblinds]],0))))</f>
        <v>490</v>
      </c>
      <c r="AC17" s="26">
        <v>0.245</v>
      </c>
      <c r="AD17" s="27">
        <f>T_p3p2243827859299120[[#This Row],[EQ]]*prize</f>
        <v>7.2128000000000005</v>
      </c>
      <c r="AE17" s="71">
        <f>IF(T_init20344818895116[[#This Row],[p]]=2,T_p3p2243827859299120[[#This Row],[players]]*T_p3p2243827859299120[[#This Row],[stack]]/chips+COUNTIF(T_p3p2243827859299120[stack],0),T_p3p2243827859299120[[#This Row],[players]]*T_p3p2243827859299120[[#This Row],[stack]]/chips)</f>
        <v>0.49</v>
      </c>
      <c r="AF17" s="71">
        <f>T_p3p2243827859299120[[#This Row],[ICM]]+bounty*T_p3p2243827859299120[[#This Row],[KO]]</f>
        <v>7.2128000000000005</v>
      </c>
      <c r="AI17" s="73">
        <v>2</v>
      </c>
      <c r="AJ17" s="26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490</v>
      </c>
      <c r="AK17" s="26">
        <v>0.245</v>
      </c>
      <c r="AL17" s="27">
        <f>T_fact2939288693100121[[#This Row],[EQ]]*prize</f>
        <v>7.2128000000000005</v>
      </c>
      <c r="AM17" s="71">
        <f>IF(T_init20344818895116[[#This Row],[p]]=1,T_fact2939288693100121[[#This Row],[players]]*T_fact2939288693100121[[#This Row],[stack]]/chips+COUNTIF(T_fact2939288693100121[stack],0),T_fact2939288693100121[[#This Row],[players]]*T_fact2939288693100121[[#This Row],[stack]]/chips)</f>
        <v>0.49</v>
      </c>
      <c r="AN17" s="71">
        <f>T_fact2939288693100121[[#This Row],[ICM]]+bounty*T_fact2939288693100121[[#This Row],[KO]]</f>
        <v>7.2128000000000005</v>
      </c>
      <c r="AQ17" s="72">
        <f>'3w 8h8c Ден'!p3win* ('3w 8h8c Ден'!p1sp1win*T_p3p1233726849198119[[#This Row],[ICM]] + '3w 8h8c Ден'!p2sp1win*T_p3p2243827859299120[[#This Row],[ICM]])
+'3w 8h8c Ден'!p2win*T_p2223625839097118[[#This Row],[ICM]]
+'3w 8h8c Ден'!p1win*T_p1213519828996117[[#This Row],[ICM]]</f>
        <v>7.2128000000000005</v>
      </c>
      <c r="AR17" s="33">
        <f>('3w 8h8c Ден'!p3win* ('3w 8h8c Ден'!p1sp1win*T_p3p1233726849198119[[#This Row],[KO]] + '3w 8h8c Ден'!p2sp1win*T_p3p2243827859299120[[#This Row],[KO]])
+'3w 8h8c Ден'!p2win*T_p2223625839097118[[#This Row],[KO]]
+'3w 8h8c Ден'!p1win*T_p1213519828996117[[#This Row],[KO]])*bounty</f>
        <v>0</v>
      </c>
      <c r="AS17" s="72">
        <f>'3w 8h8c Ден'!p3win* ('3w 8h8c Ден'!p1sp1win*T_p3p1233726849198119[[#This Row],[$stack]] + '3w 8h8c Ден'!p2sp1win*T_p3p2243827859299120[[#This Row],[$stack]])
+'3w 8h8c Ден'!p2win*T_p2223625839097118[[#This Row],[$stack]]
+'3w 8h8c Ден'!p1win*T_p1213519828996117[[#This Row],[$stack]]</f>
        <v>7.2128000000000005</v>
      </c>
      <c r="AT17" s="33">
        <f>'3w 8h8c Ден'!p3win* ('3w 8h8c Ден'!p1sp1win*T_p3p1233726849198119[[#This Row],[stack]] + '3w 8h8c Ден'!p2sp1win*T_p3p2243827859299120[[#This Row],[stack]])
+'3w 8h8c Ден'!p2win*T_p2223625839097118[[#This Row],[stack]]
+'3w 8h8c Ден'!p1win*T_p1213519828996117[[#This Row],[stack]]</f>
        <v>489.99999999999994</v>
      </c>
      <c r="AU17" s="27">
        <f>T_EV3340308794101122[[#This Row],[chipEV]]-T_fact2939288693100121[[#This Row],[stack]]</f>
        <v>0</v>
      </c>
      <c r="AV17" s="27">
        <f>T_EV3340308794101122[[#This Row],[EV]]-(T_fact2939288693100121[[#This Row],[ICM]]+bounty*T_fact2939288693100121[[#This Row],[KO]])</f>
        <v>0</v>
      </c>
    </row>
    <row r="18" spans="1:48" x14ac:dyDescent="0.25">
      <c r="A18">
        <v>1</v>
      </c>
      <c r="B18">
        <v>500</v>
      </c>
      <c r="C18" t="s">
        <v>280</v>
      </c>
      <c r="D18">
        <v>10</v>
      </c>
      <c r="F18" s="5">
        <f>COUNTIF(T_p1213519828996117[stack],"&gt;0")</f>
        <v>2</v>
      </c>
      <c r="G18">
        <f>IF(T_init20344818895116[[#This Row],[p]]=1,mainpot+sidepot1+sidepot2+uncalled,IF(T_init20344818895116[[#This Row],[p]]&gt;1,0,T_init20344818895116[[#This Row],[stack]]-T_init20344818895116[[#This Row],[anteblinds]]))</f>
        <v>1510</v>
      </c>
      <c r="H18">
        <v>0.755</v>
      </c>
      <c r="I18" s="2">
        <f>T_p1213519828996117[[#This Row],[EQ]]*prize</f>
        <v>22.2272</v>
      </c>
      <c r="J18" s="66">
        <f>IF(T_init20344818895116[[#This Row],[p]]=1,T_p1213519828996117[[#This Row],[players]]*T_p1213519828996117[[#This Row],[stack]]/chips+COUNTIF(T_p1213519828996117[stack],0),T_p1213519828996117[[#This Row],[players]]*T_p1213519828996117[[#This Row],[stack]]/chips)</f>
        <v>5.51</v>
      </c>
      <c r="K18" s="66">
        <f>T_p1213519828996117[[#This Row],[ICM]]+bounty*T_p1213519828996117[[#This Row],[KO]]</f>
        <v>22.2272</v>
      </c>
      <c r="M18" s="10">
        <f>COUNTIF(T_p2223625839097118[stack],"&gt;0")</f>
        <v>2</v>
      </c>
      <c r="N18" s="26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0</v>
      </c>
      <c r="O18">
        <v>0</v>
      </c>
      <c r="P18" s="2">
        <f>T_p2223625839097118[[#This Row],[EQ]]*prize</f>
        <v>0</v>
      </c>
      <c r="Q18" s="66">
        <f>IF(T_init20344818895116[[#This Row],[p]]=2,T_p2223625839097118[[#This Row],[players]]*T_p2223625839097118[[#This Row],[stack]]/chips+COUNTIF(T_p2223625839097118[stack],0),T_p2223625839097118[[#This Row],[players]]*T_p2223625839097118[[#This Row],[stack]]/chips)</f>
        <v>0</v>
      </c>
      <c r="R18" s="66">
        <f>T_p2223625839097118[[#This Row],[ICM]]+bounty*T_p2223625839097118[[#This Row],[KO]]</f>
        <v>0</v>
      </c>
      <c r="T18" s="5">
        <f>COUNTIF(T_p3p1233726849198119[stack],"&gt;0")</f>
        <v>2</v>
      </c>
      <c r="U18" s="26">
        <f>IF(T_init20344818895116[[#This Row],[p]]=1,sidepot1+uncalled,IF(T_init20344818895116[[#This Row],[p]]=3,mainpot,IF(ISBLANK(T_init20344818895116[[#This Row],[p]]),T_init20344818895116[[#This Row],[stack]]-T_init20344818895116[[#This Row],[anteblinds]],0)))</f>
        <v>0</v>
      </c>
      <c r="V18">
        <v>0</v>
      </c>
      <c r="W18" s="2">
        <f>T_p3p1233726849198119[[#This Row],[EQ]]*prize</f>
        <v>0</v>
      </c>
      <c r="X18" s="66">
        <f>IF(T_init20344818895116[[#This Row],[p]]=1,T_p3p1233726849198119[[#This Row],[players]]*T_p3p1233726849198119[[#This Row],[stack]]/chips+COUNTIF(T_p3p1233726849198119[stack],0),T_p3p1233726849198119[[#This Row],[players]]*T_p3p1233726849198119[[#This Row],[stack]]/chips)</f>
        <v>4</v>
      </c>
      <c r="Y18" s="66">
        <f>T_p3p1233726849198119[[#This Row],[ICM]]+bounty*T_p3p1233726849198119[[#This Row],[KO]]</f>
        <v>0</v>
      </c>
      <c r="AA18" s="5">
        <f>COUNTIF(T_p3p2243827859299120[stack],"&gt;0")</f>
        <v>2</v>
      </c>
      <c r="AB18">
        <f>IF(T_init20344818895116[[#This Row],[p]]=1,uncalled,IF(T_init20344818895116[[#This Row],[p]]=2,sidepot1,IF(T_init20344818895116[[#This Row],[p]]=3,mainpot,IF(ISBLANK(T_init20344818895116[[#This Row],[p]]),T_init20344818895116[[#This Row],[stack]]-T_init20344818895116[[#This Row],[anteblinds]],0))))</f>
        <v>0</v>
      </c>
      <c r="AC18">
        <v>0</v>
      </c>
      <c r="AD18" s="2">
        <f>T_p3p2243827859299120[[#This Row],[EQ]]*prize</f>
        <v>0</v>
      </c>
      <c r="AE18" s="66">
        <f>IF(T_init20344818895116[[#This Row],[p]]=2,T_p3p2243827859299120[[#This Row],[players]]*T_p3p2243827859299120[[#This Row],[stack]]/chips+COUNTIF(T_p3p2243827859299120[stack],0),T_p3p2243827859299120[[#This Row],[players]]*T_p3p2243827859299120[[#This Row],[stack]]/chips)</f>
        <v>0</v>
      </c>
      <c r="AF18" s="16">
        <f>T_p3p2243827859299120[[#This Row],[ICM]]+bounty*T_p3p2243827859299120[[#This Row],[KO]]</f>
        <v>0</v>
      </c>
      <c r="AI18" s="73">
        <v>2</v>
      </c>
      <c r="AJ18" s="26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0</v>
      </c>
      <c r="AK18">
        <v>0</v>
      </c>
      <c r="AL18" s="2">
        <f>T_fact2939288693100121[[#This Row],[EQ]]*prize</f>
        <v>0</v>
      </c>
      <c r="AM18" s="66">
        <f>IF(T_init20344818895116[[#This Row],[p]]=1,T_fact2939288693100121[[#This Row],[players]]*T_fact2939288693100121[[#This Row],[stack]]/chips+COUNTIF(T_fact2939288693100121[stack],0),T_fact2939288693100121[[#This Row],[players]]*T_fact2939288693100121[[#This Row],[stack]]/chips)</f>
        <v>4</v>
      </c>
      <c r="AN18" s="16">
        <f>T_fact2939288693100121[[#This Row],[ICM]]+bounty*T_fact2939288693100121[[#This Row],[KO]]</f>
        <v>0</v>
      </c>
      <c r="AQ18" s="68">
        <f>'3w 8h8c Ден'!p3win* ('3w 8h8c Ден'!p1sp1win*T_p3p1233726849198119[[#This Row],[ICM]] + '3w 8h8c Ден'!p2sp1win*T_p3p2243827859299120[[#This Row],[ICM]])
+'3w 8h8c Ден'!p2win*T_p2223625839097118[[#This Row],[ICM]]
+'3w 8h8c Ден'!p1win*T_p1213519828996117[[#This Row],[ICM]]</f>
        <v>5.4234368000000002</v>
      </c>
      <c r="AR18" s="68">
        <f>('3w 8h8c Ден'!p3win* ('3w 8h8c Ден'!p1sp1win*T_p3p1233726849198119[[#This Row],[KO]] + '3w 8h8c Ден'!p2sp1win*T_p3p2243827859299120[[#This Row],[KO]])
+'3w 8h8c Ден'!p2win*T_p2223625839097118[[#This Row],[KO]]
+'3w 8h8c Ден'!p1win*T_p1213519828996117[[#This Row],[KO]])*bounty</f>
        <v>0</v>
      </c>
      <c r="AS18" s="68">
        <f>'3w 8h8c Ден'!p3win* ('3w 8h8c Ден'!p1sp1win*T_p3p1233726849198119[[#This Row],[$stack]] + '3w 8h8c Ден'!p2sp1win*T_p3p2243827859299120[[#This Row],[$stack]])
+'3w 8h8c Ден'!p2win*T_p2223625839097118[[#This Row],[$stack]]
+'3w 8h8c Ден'!p1win*T_p1213519828996117[[#This Row],[$stack]]</f>
        <v>5.4234368000000002</v>
      </c>
      <c r="AT18" s="68">
        <f>'3w 8h8c Ден'!p3win* ('3w 8h8c Ден'!p1sp1win*T_p3p1233726849198119[[#This Row],[stack]] + '3w 8h8c Ден'!p2sp1win*T_p3p2243827859299120[[#This Row],[stack]])
+'3w 8h8c Ден'!p2win*T_p2223625839097118[[#This Row],[stack]]
+'3w 8h8c Ден'!p1win*T_p1213519828996117[[#This Row],[stack]]</f>
        <v>368.44</v>
      </c>
      <c r="AU18" s="2">
        <f>T_EV3340308794101122[[#This Row],[chipEV]]-T_fact2939288693100121[[#This Row],[stack]]</f>
        <v>368.44</v>
      </c>
      <c r="AV18" s="2">
        <f>T_EV3340308794101122[[#This Row],[EV]]-(T_fact2939288693100121[[#This Row],[ICM]]+bounty*T_fact2939288693100121[[#This Row],[KO]])</f>
        <v>5.4234368000000002</v>
      </c>
    </row>
    <row r="19" spans="1:48" x14ac:dyDescent="0.25">
      <c r="A19">
        <v>3</v>
      </c>
      <c r="B19">
        <v>500</v>
      </c>
      <c r="C19" s="26" t="s">
        <v>281</v>
      </c>
      <c r="D19">
        <v>35</v>
      </c>
      <c r="F19" s="5">
        <f>COUNTIF(T_p1213519828996117[stack],"&gt;0")</f>
        <v>2</v>
      </c>
      <c r="G19">
        <f>IF(T_init20344818895116[[#This Row],[p]]=1,mainpot+sidepot1+sidepot2+uncalled,IF(T_init20344818895116[[#This Row],[p]]&gt;1,0,T_init20344818895116[[#This Row],[stack]]-T_init20344818895116[[#This Row],[anteblinds]]))</f>
        <v>0</v>
      </c>
      <c r="I19" s="2">
        <f>T_p1213519828996117[[#This Row],[EQ]]*prize</f>
        <v>0</v>
      </c>
      <c r="J19" s="66">
        <f>IF(T_init20344818895116[[#This Row],[p]]=1,T_p1213519828996117[[#This Row],[players]]*T_p1213519828996117[[#This Row],[stack]]/chips+COUNTIF(T_p1213519828996117[stack],0),T_p1213519828996117[[#This Row],[players]]*T_p1213519828996117[[#This Row],[stack]]/chips)</f>
        <v>0</v>
      </c>
      <c r="K19" s="66">
        <f>T_p1213519828996117[[#This Row],[ICM]]+bounty*T_p1213519828996117[[#This Row],[KO]]</f>
        <v>0</v>
      </c>
      <c r="M19" s="10">
        <f>COUNTIF(T_p2223625839097118[stack],"&gt;0")</f>
        <v>2</v>
      </c>
      <c r="N19" s="26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0</v>
      </c>
      <c r="O19">
        <v>0</v>
      </c>
      <c r="P19" s="2">
        <f>T_p2223625839097118[[#This Row],[EQ]]*prize</f>
        <v>0</v>
      </c>
      <c r="Q19" s="66">
        <f>IF(T_init20344818895116[[#This Row],[p]]=2,T_p2223625839097118[[#This Row],[players]]*T_p2223625839097118[[#This Row],[stack]]/chips+COUNTIF(T_p2223625839097118[stack],0),T_p2223625839097118[[#This Row],[players]]*T_p2223625839097118[[#This Row],[stack]]/chips)</f>
        <v>0</v>
      </c>
      <c r="R19" s="66">
        <f>T_p2223625839097118[[#This Row],[ICM]]+bounty*T_p2223625839097118[[#This Row],[KO]]</f>
        <v>0</v>
      </c>
      <c r="T19" s="5">
        <f>COUNTIF(T_p3p1233726849198119[stack],"&gt;0")</f>
        <v>2</v>
      </c>
      <c r="U19" s="26">
        <f>IF(T_init20344818895116[[#This Row],[p]]=1,sidepot1+uncalled,IF(T_init20344818895116[[#This Row],[p]]=3,mainpot,IF(ISBLANK(T_init20344818895116[[#This Row],[p]]),T_init20344818895116[[#This Row],[stack]]-T_init20344818895116[[#This Row],[anteblinds]],0)))</f>
        <v>1510</v>
      </c>
      <c r="V19">
        <v>0.755</v>
      </c>
      <c r="W19" s="2">
        <f>T_p3p1233726849198119[[#This Row],[EQ]]*prize</f>
        <v>22.2272</v>
      </c>
      <c r="X19" s="66">
        <f>IF(T_init20344818895116[[#This Row],[p]]=1,T_p3p1233726849198119[[#This Row],[players]]*T_p3p1233726849198119[[#This Row],[stack]]/chips+COUNTIF(T_p3p1233726849198119[stack],0),T_p3p1233726849198119[[#This Row],[players]]*T_p3p1233726849198119[[#This Row],[stack]]/chips)</f>
        <v>1.51</v>
      </c>
      <c r="Y19" s="66">
        <f>T_p3p1233726849198119[[#This Row],[ICM]]+bounty*T_p3p1233726849198119[[#This Row],[KO]]</f>
        <v>22.2272</v>
      </c>
      <c r="AA19" s="5">
        <f>COUNTIF(T_p3p2243827859299120[stack],"&gt;0")</f>
        <v>2</v>
      </c>
      <c r="AB19">
        <f>IF(T_init20344818895116[[#This Row],[p]]=1,uncalled,IF(T_init20344818895116[[#This Row],[p]]=2,sidepot1,IF(T_init20344818895116[[#This Row],[p]]=3,mainpot,IF(ISBLANK(T_init20344818895116[[#This Row],[p]]),T_init20344818895116[[#This Row],[stack]]-T_init20344818895116[[#This Row],[anteblinds]],0))))</f>
        <v>1510</v>
      </c>
      <c r="AC19">
        <v>0.755</v>
      </c>
      <c r="AD19" s="2">
        <f>T_p3p2243827859299120[[#This Row],[EQ]]*prize</f>
        <v>22.2272</v>
      </c>
      <c r="AE19" s="66">
        <f>IF(T_init20344818895116[[#This Row],[p]]=2,T_p3p2243827859299120[[#This Row],[players]]*T_p3p2243827859299120[[#This Row],[stack]]/chips+COUNTIF(T_p3p2243827859299120[stack],0),T_p3p2243827859299120[[#This Row],[players]]*T_p3p2243827859299120[[#This Row],[stack]]/chips)</f>
        <v>1.51</v>
      </c>
      <c r="AF19" s="16">
        <f>T_p3p2243827859299120[[#This Row],[ICM]]+bounty*T_p3p2243827859299120[[#This Row],[KO]]</f>
        <v>22.2272</v>
      </c>
      <c r="AI19" s="73">
        <v>2</v>
      </c>
      <c r="AJ19" s="26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0</v>
      </c>
      <c r="AK19">
        <v>0</v>
      </c>
      <c r="AL19" s="2">
        <f>T_fact2939288693100121[[#This Row],[EQ]]*prize</f>
        <v>0</v>
      </c>
      <c r="AM19" s="66">
        <f>IF(T_init20344818895116[[#This Row],[p]]=1,T_fact2939288693100121[[#This Row],[players]]*T_fact2939288693100121[[#This Row],[stack]]/chips+COUNTIF(T_fact2939288693100121[stack],0),T_fact2939288693100121[[#This Row],[players]]*T_fact2939288693100121[[#This Row],[stack]]/chips)</f>
        <v>0</v>
      </c>
      <c r="AN19" s="16">
        <f>T_fact2939288693100121[[#This Row],[ICM]]+bounty*T_fact2939288693100121[[#This Row],[KO]]</f>
        <v>0</v>
      </c>
      <c r="AQ19" s="68">
        <f>'3w 8h8c Ден'!p3win* ('3w 8h8c Ден'!p1sp1win*T_p3p1233726849198119[[#This Row],[ICM]] + '3w 8h8c Ден'!p2sp1win*T_p3p2243827859299120[[#This Row],[ICM]])
+'3w 8h8c Ден'!p2win*T_p2223625839097118[[#This Row],[ICM]]
+'3w 8h8c Ден'!p1win*T_p1213519828996117[[#This Row],[ICM]]</f>
        <v>12.551699839999999</v>
      </c>
      <c r="AR19" s="68">
        <f>('3w 8h8c Ден'!p3win* ('3w 8h8c Ден'!p1sp1win*T_p3p1233726849198119[[#This Row],[KO]] + '3w 8h8c Ден'!p2sp1win*T_p3p2243827859299120[[#This Row],[KO]])
+'3w 8h8c Ден'!p2win*T_p2223625839097118[[#This Row],[KO]]
+'3w 8h8c Ден'!p1win*T_p1213519828996117[[#This Row],[KO]])*bounty</f>
        <v>0</v>
      </c>
      <c r="AS19" s="68">
        <f>'3w 8h8c Ден'!p3win* ('3w 8h8c Ден'!p1sp1win*T_p3p1233726849198119[[#This Row],[$stack]] + '3w 8h8c Ден'!p2sp1win*T_p3p2243827859299120[[#This Row],[$stack]])
+'3w 8h8c Ден'!p2win*T_p2223625839097118[[#This Row],[$stack]]
+'3w 8h8c Ден'!p1win*T_p1213519828996117[[#This Row],[$stack]]</f>
        <v>12.551699839999999</v>
      </c>
      <c r="AT19" s="68">
        <f>'3w 8h8c Ден'!p3win* ('3w 8h8c Ден'!p1sp1win*T_p3p1233726849198119[[#This Row],[stack]] + '3w 8h8c Ден'!p2sp1win*T_p3p2243827859299120[[#This Row],[stack]])
+'3w 8h8c Ден'!p2win*T_p2223625839097118[[#This Row],[stack]]
+'3w 8h8c Ден'!p1win*T_p1213519828996117[[#This Row],[stack]]</f>
        <v>852.697</v>
      </c>
      <c r="AU19" s="2">
        <f>T_EV3340308794101122[[#This Row],[chipEV]]-T_fact2939288693100121[[#This Row],[stack]]</f>
        <v>852.697</v>
      </c>
      <c r="AV19" s="2">
        <f>T_EV3340308794101122[[#This Row],[EV]]-(T_fact2939288693100121[[#This Row],[ICM]]+bounty*T_fact2939288693100121[[#This Row],[KO]])</f>
        <v>12.551699839999999</v>
      </c>
    </row>
    <row r="20" spans="1:48" s="17" customFormat="1" x14ac:dyDescent="0.25">
      <c r="A20" s="17">
        <v>2</v>
      </c>
      <c r="B20" s="17">
        <v>500</v>
      </c>
      <c r="C20" s="17" t="s">
        <v>282</v>
      </c>
      <c r="D20" s="17">
        <v>60</v>
      </c>
      <c r="F20" s="83">
        <f>COUNTIF(T_p1213519828996117[stack],"&gt;0")</f>
        <v>2</v>
      </c>
      <c r="G20" s="17">
        <f>IF(T_init20344818895116[[#This Row],[p]]=1,mainpot+sidepot1+sidepot2+uncalled,IF(T_init20344818895116[[#This Row],[p]]&gt;1,0,T_init20344818895116[[#This Row],[stack]]-T_init20344818895116[[#This Row],[anteblinds]]))</f>
        <v>0</v>
      </c>
      <c r="I20" s="18">
        <f>T_p1213519828996117[[#This Row],[EQ]]*prize</f>
        <v>0</v>
      </c>
      <c r="J20" s="67">
        <f>IF(T_init20344818895116[[#This Row],[p]]=1,T_p1213519828996117[[#This Row],[players]]*T_p1213519828996117[[#This Row],[stack]]/chips+COUNTIF(T_p1213519828996117[stack],0),T_p1213519828996117[[#This Row],[players]]*T_p1213519828996117[[#This Row],[stack]]/chips)</f>
        <v>0</v>
      </c>
      <c r="K20" s="67">
        <f>T_p1213519828996117[[#This Row],[ICM]]+bounty*T_p1213519828996117[[#This Row],[KO]]</f>
        <v>0</v>
      </c>
      <c r="M20" s="19">
        <f>COUNTIF(T_p2223625839097118[stack],"&gt;0")</f>
        <v>2</v>
      </c>
      <c r="N20" s="17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1510</v>
      </c>
      <c r="O20" s="17">
        <v>0.755</v>
      </c>
      <c r="P20" s="18">
        <f>T_p2223625839097118[[#This Row],[EQ]]*prize</f>
        <v>22.2272</v>
      </c>
      <c r="Q20" s="67">
        <f>IF(T_init20344818895116[[#This Row],[p]]=2,T_p2223625839097118[[#This Row],[players]]*T_p2223625839097118[[#This Row],[stack]]/chips+COUNTIF(T_p2223625839097118[stack],0),T_p2223625839097118[[#This Row],[players]]*T_p2223625839097118[[#This Row],[stack]]/chips)</f>
        <v>5.51</v>
      </c>
      <c r="R20" s="67">
        <f>T_p2223625839097118[[#This Row],[ICM]]+bounty*T_p2223625839097118[[#This Row],[KO]]</f>
        <v>22.2272</v>
      </c>
      <c r="T20" s="83">
        <f>COUNTIF(T_p3p1233726849198119[stack],"&gt;0")</f>
        <v>2</v>
      </c>
      <c r="U20" s="17">
        <f>IF(T_init20344818895116[[#This Row],[p]]=1,sidepot1+uncalled,IF(T_init20344818895116[[#This Row],[p]]=3,mainpot,IF(ISBLANK(T_init20344818895116[[#This Row],[p]]),T_init20344818895116[[#This Row],[stack]]-T_init20344818895116[[#This Row],[anteblinds]],0)))</f>
        <v>0</v>
      </c>
      <c r="V20" s="17">
        <v>0</v>
      </c>
      <c r="W20" s="18">
        <f>T_p3p1233726849198119[[#This Row],[EQ]]*prize</f>
        <v>0</v>
      </c>
      <c r="X20" s="67">
        <f>IF(T_init20344818895116[[#This Row],[p]]=1,T_p3p1233726849198119[[#This Row],[players]]*T_p3p1233726849198119[[#This Row],[stack]]/chips+COUNTIF(T_p3p1233726849198119[stack],0),T_p3p1233726849198119[[#This Row],[players]]*T_p3p1233726849198119[[#This Row],[stack]]/chips)</f>
        <v>0</v>
      </c>
      <c r="Y20" s="67">
        <f>T_p3p1233726849198119[[#This Row],[ICM]]+bounty*T_p3p1233726849198119[[#This Row],[KO]]</f>
        <v>0</v>
      </c>
      <c r="AA20" s="83">
        <f>COUNTIF(T_p3p2243827859299120[stack],"&gt;0")</f>
        <v>2</v>
      </c>
      <c r="AB20" s="17">
        <f>IF(T_init20344818895116[[#This Row],[p]]=1,uncalled,IF(T_init20344818895116[[#This Row],[p]]=2,sidepot1,IF(T_init20344818895116[[#This Row],[p]]=3,mainpot,IF(ISBLANK(T_init20344818895116[[#This Row],[p]]),T_init20344818895116[[#This Row],[stack]]-T_init20344818895116[[#This Row],[anteblinds]],0))))</f>
        <v>0</v>
      </c>
      <c r="AC20" s="17">
        <v>0</v>
      </c>
      <c r="AD20" s="18">
        <f>T_p3p2243827859299120[[#This Row],[EQ]]*prize</f>
        <v>0</v>
      </c>
      <c r="AE20" s="67">
        <f>IF(T_init20344818895116[[#This Row],[p]]=2,T_p3p2243827859299120[[#This Row],[players]]*T_p3p2243827859299120[[#This Row],[stack]]/chips+COUNTIF(T_p3p2243827859299120[stack],0),T_p3p2243827859299120[[#This Row],[players]]*T_p3p2243827859299120[[#This Row],[stack]]/chips)</f>
        <v>4</v>
      </c>
      <c r="AF20" s="24">
        <f>T_p3p2243827859299120[[#This Row],[ICM]]+bounty*T_p3p2243827859299120[[#This Row],[KO]]</f>
        <v>0</v>
      </c>
      <c r="AI20" s="83">
        <v>2</v>
      </c>
      <c r="AJ20" s="17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1510</v>
      </c>
      <c r="AK20" s="17">
        <v>0.755</v>
      </c>
      <c r="AL20" s="18">
        <f>T_fact2939288693100121[[#This Row],[EQ]]*prize</f>
        <v>22.2272</v>
      </c>
      <c r="AM20" s="67">
        <f>IF(T_init20344818895116[[#This Row],[p]]=1,T_fact2939288693100121[[#This Row],[players]]*T_fact2939288693100121[[#This Row],[stack]]/chips+COUNTIF(T_fact2939288693100121[stack],0),T_fact2939288693100121[[#This Row],[players]]*T_fact2939288693100121[[#This Row],[stack]]/chips)</f>
        <v>1.51</v>
      </c>
      <c r="AN20" s="24">
        <f>T_fact2939288693100121[[#This Row],[ICM]]+bounty*T_fact2939288693100121[[#This Row],[KO]]</f>
        <v>22.2272</v>
      </c>
      <c r="AQ20" s="69">
        <f>'3w 8h8c Ден'!p3win* ('3w 8h8c Ден'!p1sp1win*T_p3p1233726849198119[[#This Row],[ICM]] + '3w 8h8c Ден'!p2sp1win*T_p3p2243827859299120[[#This Row],[ICM]])
+'3w 8h8c Ден'!p2win*T_p2223625839097118[[#This Row],[ICM]]
+'3w 8h8c Ден'!p1win*T_p1213519828996117[[#This Row],[ICM]]</f>
        <v>4.2520633600000002</v>
      </c>
      <c r="AR20" s="69">
        <f>('3w 8h8c Ден'!p3win* ('3w 8h8c Ден'!p1sp1win*T_p3p1233726849198119[[#This Row],[KO]] + '3w 8h8c Ден'!p2sp1win*T_p3p2243827859299120[[#This Row],[KO]])
+'3w 8h8c Ден'!p2win*T_p2223625839097118[[#This Row],[KO]]
+'3w 8h8c Ден'!p1win*T_p1213519828996117[[#This Row],[KO]])*bounty</f>
        <v>0</v>
      </c>
      <c r="AS20" s="69">
        <f>'3w 8h8c Ден'!p3win* ('3w 8h8c Ден'!p1sp1win*T_p3p1233726849198119[[#This Row],[$stack]] + '3w 8h8c Ден'!p2sp1win*T_p3p2243827859299120[[#This Row],[$stack]])
+'3w 8h8c Ден'!p2win*T_p2223625839097118[[#This Row],[$stack]]
+'3w 8h8c Ден'!p1win*T_p1213519828996117[[#This Row],[$stack]]</f>
        <v>4.2520633600000002</v>
      </c>
      <c r="AT20" s="69">
        <f>'3w 8h8c Ден'!p3win* ('3w 8h8c Ден'!p1sp1win*T_p3p1233726849198119[[#This Row],[stack]] + '3w 8h8c Ден'!p2sp1win*T_p3p2243827859299120[[#This Row],[stack]])
+'3w 8h8c Ден'!p2win*T_p2223625839097118[[#This Row],[stack]]
+'3w 8h8c Ден'!p1win*T_p1213519828996117[[#This Row],[stack]]</f>
        <v>288.863</v>
      </c>
      <c r="AU20" s="18">
        <f>T_EV3340308794101122[[#This Row],[chipEV]]-T_fact2939288693100121[[#This Row],[stack]]</f>
        <v>-1221.1369999999999</v>
      </c>
      <c r="AV20" s="18">
        <f>T_EV3340308794101122[[#This Row],[EV]]-(T_fact2939288693100121[[#This Row],[ICM]]+bounty*T_fact2939288693100121[[#This Row],[KO]])</f>
        <v>-17.975136639999999</v>
      </c>
    </row>
    <row r="21" spans="1:48" x14ac:dyDescent="0.25">
      <c r="B21">
        <v>0</v>
      </c>
      <c r="F21" s="5">
        <f>COUNTIF(T_p1213519828996117[stack],"&gt;0")</f>
        <v>2</v>
      </c>
      <c r="G21">
        <f>IF(T_init20344818895116[[#This Row],[p]]=1,mainpot+sidepot1+sidepot2+uncalled,IF(T_init20344818895116[[#This Row],[p]]&gt;1,0,T_init20344818895116[[#This Row],[stack]]-T_init20344818895116[[#This Row],[anteblinds]]))</f>
        <v>0</v>
      </c>
      <c r="I21" s="2">
        <f>T_p1213519828996117[[#This Row],[EQ]]*prize</f>
        <v>0</v>
      </c>
      <c r="J21" s="66">
        <f>IF(T_init20344818895116[[#This Row],[p]]=1,T_p1213519828996117[[#This Row],[players]]*T_p1213519828996117[[#This Row],[stack]]/chips+COUNTIF(T_p1213519828996117[stack],0),T_p1213519828996117[[#This Row],[players]]*T_p1213519828996117[[#This Row],[stack]]/chips)</f>
        <v>0</v>
      </c>
      <c r="K21" s="66">
        <f>T_p1213519828996117[[#This Row],[ICM]]+bounty*T_p1213519828996117[[#This Row],[KO]]</f>
        <v>0</v>
      </c>
      <c r="M21" s="10">
        <f>COUNTIF(T_p2223625839097118[stack],"&gt;0")</f>
        <v>2</v>
      </c>
      <c r="N21" s="26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0</v>
      </c>
      <c r="O21">
        <v>0</v>
      </c>
      <c r="P21" s="2">
        <f>T_p2223625839097118[[#This Row],[EQ]]*prize</f>
        <v>0</v>
      </c>
      <c r="Q21" s="66">
        <f>IF(T_init20344818895116[[#This Row],[p]]=2,T_p2223625839097118[[#This Row],[players]]*T_p2223625839097118[[#This Row],[stack]]/chips+COUNTIF(T_p2223625839097118[stack],0),T_p2223625839097118[[#This Row],[players]]*T_p2223625839097118[[#This Row],[stack]]/chips)</f>
        <v>0</v>
      </c>
      <c r="R21" s="66">
        <f>T_p2223625839097118[[#This Row],[ICM]]+bounty*T_p2223625839097118[[#This Row],[KO]]</f>
        <v>0</v>
      </c>
      <c r="T21" s="5">
        <f>COUNTIF(T_p3p1233726849198119[stack],"&gt;0")</f>
        <v>2</v>
      </c>
      <c r="U21" s="26">
        <f>IF(T_init20344818895116[[#This Row],[p]]=1,sidepot1+uncalled,IF(T_init20344818895116[[#This Row],[p]]=3,mainpot,IF(ISBLANK(T_init20344818895116[[#This Row],[p]]),T_init20344818895116[[#This Row],[stack]]-T_init20344818895116[[#This Row],[anteblinds]],0)))</f>
        <v>0</v>
      </c>
      <c r="V21">
        <v>0</v>
      </c>
      <c r="W21" s="2">
        <f>T_p3p1233726849198119[[#This Row],[EQ]]*prize</f>
        <v>0</v>
      </c>
      <c r="X21" s="66">
        <f>IF(T_init20344818895116[[#This Row],[p]]=1,T_p3p1233726849198119[[#This Row],[players]]*T_p3p1233726849198119[[#This Row],[stack]]/chips+COUNTIF(T_p3p1233726849198119[stack],0),T_p3p1233726849198119[[#This Row],[players]]*T_p3p1233726849198119[[#This Row],[stack]]/chips)</f>
        <v>0</v>
      </c>
      <c r="Y21" s="66">
        <f>T_p3p1233726849198119[[#This Row],[ICM]]+bounty*T_p3p1233726849198119[[#This Row],[KO]]</f>
        <v>0</v>
      </c>
      <c r="AA21" s="5">
        <f>COUNTIF(T_p3p2243827859299120[stack],"&gt;0")</f>
        <v>2</v>
      </c>
      <c r="AB21">
        <f>IF(T_init20344818895116[[#This Row],[p]]=1,uncalled,IF(T_init20344818895116[[#This Row],[p]]=2,sidepot1,IF(T_init20344818895116[[#This Row],[p]]=3,mainpot,IF(ISBLANK(T_init20344818895116[[#This Row],[p]]),T_init20344818895116[[#This Row],[stack]]-T_init20344818895116[[#This Row],[anteblinds]],0))))</f>
        <v>0</v>
      </c>
      <c r="AC21">
        <v>0</v>
      </c>
      <c r="AD21" s="2">
        <f>T_p3p2243827859299120[[#This Row],[EQ]]*prize</f>
        <v>0</v>
      </c>
      <c r="AE21" s="66">
        <f>IF(T_init20344818895116[[#This Row],[p]]=2,T_p3p2243827859299120[[#This Row],[players]]*T_p3p2243827859299120[[#This Row],[stack]]/chips+COUNTIF(T_p3p2243827859299120[stack],0),T_p3p2243827859299120[[#This Row],[players]]*T_p3p2243827859299120[[#This Row],[stack]]/chips)</f>
        <v>0</v>
      </c>
      <c r="AF21" s="16">
        <f>T_p3p2243827859299120[[#This Row],[ICM]]+bounty*T_p3p2243827859299120[[#This Row],[KO]]</f>
        <v>0</v>
      </c>
      <c r="AI21" s="73">
        <v>2</v>
      </c>
      <c r="AJ21" s="26">
        <v>0</v>
      </c>
      <c r="AL21" s="2">
        <f>T_fact2939288693100121[[#This Row],[EQ]]*prize</f>
        <v>0</v>
      </c>
      <c r="AM21" s="66">
        <f>IF(T_init20344818895116[[#This Row],[p]]=1,T_fact2939288693100121[[#This Row],[players]]*T_fact2939288693100121[[#This Row],[stack]]/chips+COUNTIF(T_fact2939288693100121[stack],0),T_fact2939288693100121[[#This Row],[players]]*T_fact2939288693100121[[#This Row],[stack]]/chips)</f>
        <v>0</v>
      </c>
      <c r="AN21" s="16">
        <f>T_fact2939288693100121[[#This Row],[ICM]]+bounty*T_fact2939288693100121[[#This Row],[KO]]</f>
        <v>0</v>
      </c>
      <c r="AQ21" s="68">
        <f>'3w 8h8c Ден'!p3win* ('3w 8h8c Ден'!p1sp1win*T_p3p1233726849198119[[#This Row],[ICM]] + '3w 8h8c Ден'!p2sp1win*T_p3p2243827859299120[[#This Row],[ICM]])
+'3w 8h8c Ден'!p2win*T_p2223625839097118[[#This Row],[ICM]]
+'3w 8h8c Ден'!p1win*T_p1213519828996117[[#This Row],[ICM]]</f>
        <v>0</v>
      </c>
      <c r="AR21" s="68">
        <f>('3w 8h8c Ден'!p3win* ('3w 8h8c Ден'!p1sp1win*T_p3p1233726849198119[[#This Row],[KO]] + '3w 8h8c Ден'!p2sp1win*T_p3p2243827859299120[[#This Row],[KO]])
+'3w 8h8c Ден'!p2win*T_p2223625839097118[[#This Row],[KO]]
+'3w 8h8c Ден'!p1win*T_p1213519828996117[[#This Row],[KO]])*bounty</f>
        <v>0</v>
      </c>
      <c r="AS21" s="68">
        <f>'3w 8h8c Ден'!p3win* ('3w 8h8c Ден'!p1sp1win*T_p3p1233726849198119[[#This Row],[$stack]] + '3w 8h8c Ден'!p2sp1win*T_p3p2243827859299120[[#This Row],[$stack]])
+'3w 8h8c Ден'!p2win*T_p2223625839097118[[#This Row],[$stack]]
+'3w 8h8c Ден'!p1win*T_p1213519828996117[[#This Row],[$stack]]</f>
        <v>0</v>
      </c>
      <c r="AT21" s="68">
        <f>'3w 8h8c Ден'!p3win* ('3w 8h8c Ден'!p1sp1win*T_p3p1233726849198119[[#This Row],[stack]] + '3w 8h8c Ден'!p2sp1win*T_p3p2243827859299120[[#This Row],[stack]])
+'3w 8h8c Ден'!p2win*T_p2223625839097118[[#This Row],[stack]]
+'3w 8h8c Ден'!p1win*T_p1213519828996117[[#This Row],[stack]]</f>
        <v>0</v>
      </c>
      <c r="AU21" s="2">
        <f>T_EV3340308794101122[[#This Row],[chipEV]]-T_fact2939288693100121[[#This Row],[stack]]</f>
        <v>0</v>
      </c>
      <c r="AV21" s="2">
        <f>T_EV3340308794101122[[#This Row],[EV]]-(T_fact2939288693100121[[#This Row],[ICM]]+bounty*T_fact2939288693100121[[#This Row],[KO]])</f>
        <v>0</v>
      </c>
    </row>
    <row r="22" spans="1:48" x14ac:dyDescent="0.25">
      <c r="B22">
        <v>0</v>
      </c>
      <c r="F22" s="5">
        <f>COUNTIF(T_p1213519828996117[stack],"&gt;0")</f>
        <v>2</v>
      </c>
      <c r="G22">
        <f>IF(T_init20344818895116[[#This Row],[p]]=1,mainpot+sidepot1+sidepot2+uncalled,IF(T_init20344818895116[[#This Row],[p]]&gt;1,0,T_init20344818895116[[#This Row],[stack]]-T_init20344818895116[[#This Row],[anteblinds]]))</f>
        <v>0</v>
      </c>
      <c r="I22" s="2">
        <f>T_p1213519828996117[[#This Row],[EQ]]*prize</f>
        <v>0</v>
      </c>
      <c r="J22" s="66">
        <f>IF(T_init20344818895116[[#This Row],[p]]=1,T_p1213519828996117[[#This Row],[players]]*T_p1213519828996117[[#This Row],[stack]]/chips+COUNTIF(T_p1213519828996117[stack],0),T_p1213519828996117[[#This Row],[players]]*T_p1213519828996117[[#This Row],[stack]]/chips)</f>
        <v>0</v>
      </c>
      <c r="K22" s="66">
        <f>T_p1213519828996117[[#This Row],[ICM]]+bounty*T_p1213519828996117[[#This Row],[KO]]</f>
        <v>0</v>
      </c>
      <c r="M22" s="10">
        <f>COUNTIF(T_p2223625839097118[stack],"&gt;0")</f>
        <v>2</v>
      </c>
      <c r="N22" s="26">
        <f>IF(T_init20344818895116[[#This Row],[p]]=1,uncalled,IF(T_init20344818895116[[#This Row],[p]]=2,mainpot+sidepot1+sidepot2,IF(T_init20344818895116[[#This Row],[p]]&gt;2,0,T_init20344818895116[[#This Row],[stack]]-T_init20344818895116[[#This Row],[anteblinds]])))</f>
        <v>0</v>
      </c>
      <c r="P22" s="2">
        <f>T_p2223625839097118[[#This Row],[EQ]]*prize</f>
        <v>0</v>
      </c>
      <c r="Q22" s="66">
        <f>IF(T_init20344818895116[[#This Row],[p]]=2,T_p2223625839097118[[#This Row],[players]]*T_p2223625839097118[[#This Row],[stack]]/chips+COUNTIF(T_p2223625839097118[stack],0),T_p2223625839097118[[#This Row],[players]]*T_p2223625839097118[[#This Row],[stack]]/chips)</f>
        <v>0</v>
      </c>
      <c r="R22" s="66">
        <f>T_p2223625839097118[[#This Row],[ICM]]+bounty*T_p2223625839097118[[#This Row],[KO]]</f>
        <v>0</v>
      </c>
      <c r="T22" s="5">
        <f>COUNTIF(T_p3p1233726849198119[stack],"&gt;0")</f>
        <v>2</v>
      </c>
      <c r="U22" s="26">
        <f>IF(T_init20344818895116[[#This Row],[p]]=1,sidepot1+uncalled,IF(T_init20344818895116[[#This Row],[p]]=3,mainpot,IF(ISBLANK(T_init20344818895116[[#This Row],[p]]),T_init20344818895116[[#This Row],[stack]]-T_init20344818895116[[#This Row],[anteblinds]],0)))</f>
        <v>0</v>
      </c>
      <c r="V22">
        <v>0</v>
      </c>
      <c r="W22" s="2">
        <f>T_p3p1233726849198119[[#This Row],[EQ]]*prize</f>
        <v>0</v>
      </c>
      <c r="X22" s="66">
        <f>IF(T_init20344818895116[[#This Row],[p]]=1,T_p3p1233726849198119[[#This Row],[players]]*T_p3p1233726849198119[[#This Row],[stack]]/chips+COUNTIF(T_p3p1233726849198119[stack],0),T_p3p1233726849198119[[#This Row],[players]]*T_p3p1233726849198119[[#This Row],[stack]]/chips)</f>
        <v>0</v>
      </c>
      <c r="Y22" s="66">
        <f>T_p3p1233726849198119[[#This Row],[ICM]]+bounty*T_p3p1233726849198119[[#This Row],[KO]]</f>
        <v>0</v>
      </c>
      <c r="AA22" s="5">
        <f>COUNTIF(T_p3p2243827859299120[stack],"&gt;0")</f>
        <v>2</v>
      </c>
      <c r="AB22">
        <f>IF(T_init20344818895116[[#This Row],[p]]=1,uncalled,IF(T_init20344818895116[[#This Row],[p]]=2,sidepot1,IF(T_init20344818895116[[#This Row],[p]]=3,mainpot,IF(ISBLANK(T_init20344818895116[[#This Row],[p]]),T_init20344818895116[[#This Row],[stack]]-T_init20344818895116[[#This Row],[anteblinds]],0))))</f>
        <v>0</v>
      </c>
      <c r="AC22">
        <v>0</v>
      </c>
      <c r="AD22" s="2">
        <f>T_p3p2243827859299120[[#This Row],[EQ]]*prize</f>
        <v>0</v>
      </c>
      <c r="AE22" s="66">
        <f>IF(T_init20344818895116[[#This Row],[p]]=2,T_p3p2243827859299120[[#This Row],[players]]*T_p3p2243827859299120[[#This Row],[stack]]/chips+COUNTIF(T_p3p2243827859299120[stack],0),T_p3p2243827859299120[[#This Row],[players]]*T_p3p2243827859299120[[#This Row],[stack]]/chips)</f>
        <v>0</v>
      </c>
      <c r="AF22" s="16">
        <f>T_p3p2243827859299120[[#This Row],[ICM]]+bounty*T_p3p2243827859299120[[#This Row],[KO]]</f>
        <v>0</v>
      </c>
      <c r="AI22" s="73">
        <v>2</v>
      </c>
      <c r="AJ22" s="26">
        <v>0</v>
      </c>
      <c r="AL22" s="2">
        <f>T_fact2939288693100121[[#This Row],[EQ]]*prize</f>
        <v>0</v>
      </c>
      <c r="AM22" s="66">
        <f>IF(T_init20344818895116[[#This Row],[p]]=1,T_fact2939288693100121[[#This Row],[players]]*T_fact2939288693100121[[#This Row],[stack]]/chips+COUNTIF(T_fact2939288693100121[stack],0),T_fact2939288693100121[[#This Row],[players]]*T_fact2939288693100121[[#This Row],[stack]]/chips)</f>
        <v>0</v>
      </c>
      <c r="AN22" s="16">
        <f>T_fact2939288693100121[[#This Row],[ICM]]+bounty*T_fact2939288693100121[[#This Row],[KO]]</f>
        <v>0</v>
      </c>
      <c r="AQ22" s="68">
        <f>'3w 8h8c Ден'!p3win* ('3w 8h8c Ден'!p1sp1win*T_p3p1233726849198119[[#This Row],[ICM]] + '3w 8h8c Ден'!p2sp1win*T_p3p2243827859299120[[#This Row],[ICM]])
+'3w 8h8c Ден'!p2win*T_p2223625839097118[[#This Row],[ICM]]
+'3w 8h8c Ден'!p1win*T_p1213519828996117[[#This Row],[ICM]]</f>
        <v>0</v>
      </c>
      <c r="AR22" s="68">
        <f>('3w 8h8c Ден'!p3win* ('3w 8h8c Ден'!p1sp1win*T_p3p1233726849198119[[#This Row],[KO]] + '3w 8h8c Ден'!p2sp1win*T_p3p2243827859299120[[#This Row],[KO]])
+'3w 8h8c Ден'!p2win*T_p2223625839097118[[#This Row],[KO]]
+'3w 8h8c Ден'!p1win*T_p1213519828996117[[#This Row],[KO]])*bounty</f>
        <v>0</v>
      </c>
      <c r="AS22" s="68">
        <f>'3w 8h8c Ден'!p3win* ('3w 8h8c Ден'!p1sp1win*T_p3p1233726849198119[[#This Row],[$stack]] + '3w 8h8c Ден'!p2sp1win*T_p3p2243827859299120[[#This Row],[$stack]])
+'3w 8h8c Ден'!p2win*T_p2223625839097118[[#This Row],[$stack]]
+'3w 8h8c Ден'!p1win*T_p1213519828996117[[#This Row],[$stack]]</f>
        <v>0</v>
      </c>
      <c r="AT22" s="68">
        <f>'3w 8h8c Ден'!p3win* ('3w 8h8c Ден'!p1sp1win*T_p3p1233726849198119[[#This Row],[stack]] + '3w 8h8c Ден'!p2sp1win*T_p3p2243827859299120[[#This Row],[stack]])
+'3w 8h8c Ден'!p2win*T_p2223625839097118[[#This Row],[stack]]
+'3w 8h8c Ден'!p1win*T_p1213519828996117[[#This Row],[stack]]</f>
        <v>0</v>
      </c>
      <c r="AU22" s="2">
        <f>T_EV3340308794101122[[#This Row],[chipEV]]-T_fact2939288693100121[[#This Row],[stack]]</f>
        <v>0</v>
      </c>
      <c r="AV22" s="2">
        <f>T_EV3340308794101122[[#This Row],[EV]]-(T_fact2939288693100121[[#This Row],[ICM]]+bounty*T_fact2939288693100121[[#This Row],[KO]])</f>
        <v>0</v>
      </c>
    </row>
    <row r="23" spans="1:48" x14ac:dyDescent="0.25">
      <c r="A23" t="s">
        <v>95</v>
      </c>
      <c r="D23">
        <f>SUBTOTAL(109,T_init20344818895116[anteblinds])</f>
        <v>115</v>
      </c>
      <c r="F23" s="53"/>
      <c r="G23" s="50">
        <f>SUM(T_p1213519828996117[stack])</f>
        <v>2000</v>
      </c>
      <c r="H23" s="50">
        <f>SUM(T_p1213519828996117[EQ])</f>
        <v>1</v>
      </c>
      <c r="I23" s="50">
        <f>SUM(T_p1213519828996117[ICM])</f>
        <v>29.44</v>
      </c>
      <c r="J23" s="50">
        <f>SUM(T_p1213519828996117[KO])</f>
        <v>6</v>
      </c>
      <c r="K23" s="50">
        <f>SUM(T_p1213519828996117[$stack])</f>
        <v>29.44</v>
      </c>
      <c r="M23" s="53"/>
      <c r="N23" s="55">
        <f>SUM(T_p2223625839097118[stack])</f>
        <v>2000</v>
      </c>
      <c r="O23" s="50">
        <f>SUM(T_p2223625839097118[EQ])</f>
        <v>1</v>
      </c>
      <c r="P23" s="51">
        <f>SUM(T_p2223625839097118[ICM])</f>
        <v>29.44</v>
      </c>
      <c r="Q23" s="52">
        <f>SUM(T_p2223625839097118[KO])</f>
        <v>6</v>
      </c>
      <c r="R23" s="50">
        <f>SUM(T_p2223625839097118[$stack])</f>
        <v>29.44</v>
      </c>
      <c r="T23" s="53"/>
      <c r="U23" s="55">
        <f>SUM(T_p3p1233726849198119[stack])</f>
        <v>2000</v>
      </c>
      <c r="V23" s="50">
        <f>SUM(T_p3p1233726849198119[EQ])</f>
        <v>1</v>
      </c>
      <c r="W23" s="51">
        <f>SUM(T_p3p1233726849198119[ICM])</f>
        <v>29.44</v>
      </c>
      <c r="X23" s="52">
        <f>SUM(T_p3p1233726849198119[KO])</f>
        <v>6</v>
      </c>
      <c r="Y23" s="50">
        <f>SUM(T_p3p1233726849198119[$stack])</f>
        <v>29.44</v>
      </c>
      <c r="AA23" s="53"/>
      <c r="AB23" s="55">
        <f>SUM(T_p3p2243827859299120[stack])</f>
        <v>2000</v>
      </c>
      <c r="AC23" s="50">
        <f>SUM(T_p3p2243827859299120[EQ])</f>
        <v>1</v>
      </c>
      <c r="AD23" s="51">
        <f>SUM(T_p3p2243827859299120[ICM])</f>
        <v>29.44</v>
      </c>
      <c r="AE23" s="52">
        <f>SUM(T_p3p2243827859299120[KO])</f>
        <v>6</v>
      </c>
      <c r="AF23" s="50">
        <f>SUM(T_p3p1233726849198119[$stack])</f>
        <v>29.44</v>
      </c>
      <c r="AI23" s="53"/>
      <c r="AJ23" s="55">
        <f>SUM(T_fact2939288693100121[stack])</f>
        <v>2000</v>
      </c>
      <c r="AK23" s="50">
        <f>SUM(T_fact2939288693100121[EQ])</f>
        <v>1</v>
      </c>
      <c r="AL23" s="51">
        <f>SUM(T_fact2939288693100121[ICM])</f>
        <v>29.44</v>
      </c>
      <c r="AM23" s="52">
        <f>SUM(T_fact2939288693100121[KO])</f>
        <v>6</v>
      </c>
      <c r="AN23" s="51">
        <f>SUM(T_fact2939288693100121[$stack])</f>
        <v>29.44</v>
      </c>
      <c r="AQ23" s="52">
        <f>SUM(T_EV3340308794101122[ICM])</f>
        <v>29.44</v>
      </c>
      <c r="AR23" s="52">
        <f>SUM(T_EV3340308794101122[KO])</f>
        <v>0</v>
      </c>
      <c r="AS23" s="52">
        <f>SUM(T_EV3340308794101122[EV])</f>
        <v>29.44</v>
      </c>
      <c r="AT23" s="50">
        <f>SUM(T_EV3340308794101122[chipEV])</f>
        <v>2000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283</v>
      </c>
    </row>
    <row r="27" spans="1:48" x14ac:dyDescent="0.25">
      <c r="C27" t="s">
        <v>120</v>
      </c>
      <c r="M27" t="s">
        <v>284</v>
      </c>
    </row>
    <row r="28" spans="1:48" x14ac:dyDescent="0.25">
      <c r="C28" t="s">
        <v>122</v>
      </c>
      <c r="M28" t="s">
        <v>285</v>
      </c>
    </row>
    <row r="29" spans="1:48" x14ac:dyDescent="0.25">
      <c r="M29" t="s">
        <v>286</v>
      </c>
    </row>
    <row r="30" spans="1:48" x14ac:dyDescent="0.25">
      <c r="M30" t="s">
        <v>287</v>
      </c>
    </row>
    <row r="31" spans="1:48" x14ac:dyDescent="0.25">
      <c r="C31" t="s">
        <v>126</v>
      </c>
      <c r="M31" t="s">
        <v>288</v>
      </c>
    </row>
    <row r="32" spans="1:48" x14ac:dyDescent="0.25">
      <c r="M32" t="s">
        <v>289</v>
      </c>
    </row>
    <row r="33" spans="2:13" x14ac:dyDescent="0.25">
      <c r="B33" t="s">
        <v>129</v>
      </c>
      <c r="M33" t="s">
        <v>290</v>
      </c>
    </row>
    <row r="34" spans="2:13" x14ac:dyDescent="0.25">
      <c r="B34" t="s">
        <v>131</v>
      </c>
      <c r="M34" t="s">
        <v>132</v>
      </c>
    </row>
    <row r="35" spans="2:13" x14ac:dyDescent="0.25">
      <c r="C35" t="s">
        <v>133</v>
      </c>
      <c r="M35" t="s">
        <v>291</v>
      </c>
    </row>
    <row r="36" spans="2:13" x14ac:dyDescent="0.25">
      <c r="D36" t="s">
        <v>135</v>
      </c>
      <c r="M36" t="s">
        <v>292</v>
      </c>
    </row>
    <row r="37" spans="2:13" x14ac:dyDescent="0.25">
      <c r="C37" t="s">
        <v>137</v>
      </c>
      <c r="M37" t="s">
        <v>138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293</v>
      </c>
    </row>
    <row r="40" spans="2:13" x14ac:dyDescent="0.25">
      <c r="D40" t="s">
        <v>142</v>
      </c>
      <c r="M40" t="s">
        <v>294</v>
      </c>
    </row>
    <row r="41" spans="2:13" x14ac:dyDescent="0.25">
      <c r="D41" t="s">
        <v>144</v>
      </c>
      <c r="E41" t="s">
        <v>145</v>
      </c>
      <c r="M41" t="s">
        <v>295</v>
      </c>
    </row>
    <row r="42" spans="2:13" x14ac:dyDescent="0.25">
      <c r="F42" t="s">
        <v>147</v>
      </c>
      <c r="M42" t="s">
        <v>296</v>
      </c>
    </row>
    <row r="43" spans="2:13" x14ac:dyDescent="0.25">
      <c r="E43" t="s">
        <v>149</v>
      </c>
      <c r="M43" t="s">
        <v>297</v>
      </c>
    </row>
    <row r="44" spans="2:13" x14ac:dyDescent="0.25">
      <c r="F44" t="s">
        <v>151</v>
      </c>
      <c r="M44" t="s">
        <v>298</v>
      </c>
    </row>
    <row r="45" spans="2:13" x14ac:dyDescent="0.25">
      <c r="M45" t="s">
        <v>299</v>
      </c>
    </row>
    <row r="46" spans="2:13" x14ac:dyDescent="0.25">
      <c r="C46" t="s">
        <v>154</v>
      </c>
      <c r="M46" t="s">
        <v>300</v>
      </c>
    </row>
    <row r="47" spans="2:13" x14ac:dyDescent="0.25">
      <c r="D47" t="s">
        <v>156</v>
      </c>
      <c r="M47" t="s">
        <v>166</v>
      </c>
    </row>
    <row r="48" spans="2:13" x14ac:dyDescent="0.25">
      <c r="D48" t="s">
        <v>158</v>
      </c>
      <c r="E48" t="s">
        <v>145</v>
      </c>
      <c r="M48" t="s">
        <v>301</v>
      </c>
    </row>
    <row r="49" spans="5:13" x14ac:dyDescent="0.25">
      <c r="F49" t="s">
        <v>160</v>
      </c>
      <c r="M49" t="s">
        <v>302</v>
      </c>
    </row>
    <row r="50" spans="5:13" x14ac:dyDescent="0.25">
      <c r="E50" t="s">
        <v>149</v>
      </c>
      <c r="M50" t="s">
        <v>303</v>
      </c>
    </row>
    <row r="51" spans="5:13" x14ac:dyDescent="0.25">
      <c r="F51" t="s">
        <v>163</v>
      </c>
      <c r="M51" t="s">
        <v>304</v>
      </c>
    </row>
    <row r="52" spans="5:13" x14ac:dyDescent="0.25">
      <c r="E52" t="s">
        <v>165</v>
      </c>
      <c r="M52" t="s">
        <v>305</v>
      </c>
    </row>
    <row r="53" spans="5:13" x14ac:dyDescent="0.25">
      <c r="F53" t="s">
        <v>167</v>
      </c>
      <c r="M53" t="s">
        <v>306</v>
      </c>
    </row>
    <row r="54" spans="5:13" x14ac:dyDescent="0.25">
      <c r="F54" t="s">
        <v>144</v>
      </c>
      <c r="M54" t="s">
        <v>173</v>
      </c>
    </row>
    <row r="55" spans="5:13" x14ac:dyDescent="0.25">
      <c r="G55" t="s">
        <v>145</v>
      </c>
      <c r="M55" t="s">
        <v>307</v>
      </c>
    </row>
    <row r="56" spans="5:13" x14ac:dyDescent="0.25">
      <c r="H56" t="s">
        <v>147</v>
      </c>
      <c r="M56" t="s">
        <v>308</v>
      </c>
    </row>
    <row r="57" spans="5:13" x14ac:dyDescent="0.25">
      <c r="G57" t="s">
        <v>149</v>
      </c>
      <c r="M57" t="s">
        <v>309</v>
      </c>
    </row>
    <row r="58" spans="5:13" x14ac:dyDescent="0.25">
      <c r="H58" t="s">
        <v>151</v>
      </c>
      <c r="M58" t="s">
        <v>310</v>
      </c>
    </row>
    <row r="59" spans="5:13" x14ac:dyDescent="0.25">
      <c r="M59" t="s">
        <v>311</v>
      </c>
    </row>
    <row r="60" spans="5:13" x14ac:dyDescent="0.25">
      <c r="M60" t="s">
        <v>312</v>
      </c>
    </row>
    <row r="62" spans="5:13" x14ac:dyDescent="0.25">
      <c r="M62" s="94" t="s">
        <v>543</v>
      </c>
    </row>
    <row r="63" spans="5:13" x14ac:dyDescent="0.25">
      <c r="M63" s="94" t="s">
        <v>513</v>
      </c>
    </row>
    <row r="64" spans="5:13" x14ac:dyDescent="0.25">
      <c r="M64" s="94" t="s">
        <v>544</v>
      </c>
    </row>
    <row r="65" spans="13:13" x14ac:dyDescent="0.25">
      <c r="M65" s="94" t="s">
        <v>545</v>
      </c>
    </row>
    <row r="66" spans="13:13" x14ac:dyDescent="0.25">
      <c r="M66" s="94" t="s">
        <v>546</v>
      </c>
    </row>
    <row r="67" spans="13:13" x14ac:dyDescent="0.25">
      <c r="M67" s="94" t="s">
        <v>547</v>
      </c>
    </row>
    <row r="68" spans="13:13" x14ac:dyDescent="0.25">
      <c r="M68" s="94" t="s">
        <v>537</v>
      </c>
    </row>
    <row r="69" spans="13:13" x14ac:dyDescent="0.25">
      <c r="M69" s="94" t="s">
        <v>519</v>
      </c>
    </row>
    <row r="70" spans="13:13" x14ac:dyDescent="0.25">
      <c r="M70" s="94" t="s">
        <v>520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7AFA-2EBB-483B-9A63-149E85038F0A}">
  <dimension ref="A1:AV70"/>
  <sheetViews>
    <sheetView workbookViewId="0">
      <selection activeCell="M62" sqref="M62:M70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7.36*4</f>
        <v>29.44</v>
      </c>
      <c r="F1" s="80" t="s">
        <v>71</v>
      </c>
      <c r="G1">
        <v>0.36659999999999998</v>
      </c>
      <c r="I1" s="80" t="s">
        <v>72</v>
      </c>
      <c r="J1">
        <v>0.5</v>
      </c>
      <c r="M1" s="80" t="s">
        <v>73</v>
      </c>
      <c r="N1">
        <v>1535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7.8799999999999995E-2</v>
      </c>
      <c r="I2" s="80" t="s">
        <v>75</v>
      </c>
      <c r="J2">
        <v>0.5</v>
      </c>
      <c r="M2" s="80" t="s">
        <v>76</v>
      </c>
      <c r="N2">
        <v>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0.55459999999999998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115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4"/>
      <c r="K11" s="84"/>
    </row>
    <row r="12" spans="1:48" ht="19.5" thickBot="1" x14ac:dyDescent="0.35">
      <c r="F12" s="84"/>
      <c r="G12" s="84"/>
      <c r="H12" s="84"/>
      <c r="I12" s="84"/>
      <c r="J12" s="84"/>
      <c r="K12" s="84"/>
      <c r="V12" t="s">
        <v>92</v>
      </c>
      <c r="AC12" t="s">
        <v>93</v>
      </c>
    </row>
    <row r="13" spans="1:48" ht="20.25" thickTop="1" thickBot="1" x14ac:dyDescent="0.35">
      <c r="F13" s="84"/>
      <c r="G13" s="84"/>
      <c r="H13" s="84"/>
      <c r="I13" s="84"/>
      <c r="J13" s="84"/>
      <c r="K13" s="84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4"/>
      <c r="G14" s="84"/>
      <c r="H14" s="84" t="s">
        <v>96</v>
      </c>
      <c r="I14" s="84"/>
      <c r="J14" s="84"/>
      <c r="K14" s="84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4"/>
      <c r="M15" s="134" t="s">
        <v>101</v>
      </c>
      <c r="N15" s="135"/>
      <c r="O15" s="135"/>
      <c r="P15" s="135"/>
      <c r="Q15" s="136"/>
      <c r="R15" s="84"/>
      <c r="T15" s="118" t="s">
        <v>102</v>
      </c>
      <c r="U15" s="119"/>
      <c r="V15" s="119"/>
      <c r="W15" s="119"/>
      <c r="X15" s="120"/>
      <c r="Y15" s="84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s="86" customFormat="1" x14ac:dyDescent="0.25">
      <c r="A17" s="86">
        <v>2</v>
      </c>
      <c r="B17" s="86">
        <v>500</v>
      </c>
      <c r="C17" s="86" t="s">
        <v>313</v>
      </c>
      <c r="D17" s="86">
        <v>10</v>
      </c>
      <c r="F17" s="87">
        <f>COUNTIF(T_p1213519828996117124[stack],"&gt;0")</f>
        <v>2</v>
      </c>
      <c r="G17" s="86">
        <f>IF(T_init20344818895116123[[#This Row],[p]]=1,mainpot+sidepot1+sidepot2+uncalled,IF(T_init20344818895116123[[#This Row],[p]]&gt;1,0,T_init20344818895116123[[#This Row],[stack]]-T_init20344818895116123[[#This Row],[anteblinds]]))</f>
        <v>0</v>
      </c>
      <c r="I17" s="88">
        <f>T_p1213519828996117124[[#This Row],[EQ]]*prize</f>
        <v>0</v>
      </c>
      <c r="J17" s="89">
        <f>IF(T_init20344818895116123[[#This Row],[p]]=1,T_p1213519828996117124[[#This Row],[players]]*T_p1213519828996117124[[#This Row],[stack]]/chips+COUNTIF(T_p1213519828996117124[stack],0),T_p1213519828996117124[[#This Row],[players]]*T_p1213519828996117124[[#This Row],[stack]]/chips)</f>
        <v>0</v>
      </c>
      <c r="K17" s="89">
        <f>T_p1213519828996117124[[#This Row],[ICM]]+bounty*T_p1213519828996117124[[#This Row],[KO]]</f>
        <v>0</v>
      </c>
      <c r="M17" s="90">
        <f>COUNTIF(T_p2223625839097118125[stack],"&gt;0")</f>
        <v>3</v>
      </c>
      <c r="N17" s="86">
        <f>IF(T_init20344818895116123[[#This Row],[p]]=1,uncalled,IF(T_init20344818895116123[[#This Row],[p]]=2,mainpot+sidepot1+sidepot2,IF(T_init20344818895116123[[#This Row],[p]]&gt;2,0,T_init20344818895116123[[#This Row],[stack]]-T_init20344818895116123[[#This Row],[anteblinds]])))</f>
        <v>1535</v>
      </c>
      <c r="O17" s="86">
        <v>0.76749999999999996</v>
      </c>
      <c r="P17" s="88">
        <f>T_p2223625839097118125[[#This Row],[EQ]]*prize</f>
        <v>22.595199999999998</v>
      </c>
      <c r="Q17" s="89">
        <f>IF(T_init20344818895116123[[#This Row],[p]]=2,T_p2223625839097118125[[#This Row],[players]]*T_p2223625839097118125[[#This Row],[stack]]/chips+COUNTIF(T_p2223625839097118125[stack],0),T_p2223625839097118125[[#This Row],[players]]*T_p2223625839097118125[[#This Row],[stack]]/chips)</f>
        <v>5.3025000000000002</v>
      </c>
      <c r="R17" s="89">
        <f>T_p2223625839097118125[[#This Row],[ICM]]+bounty*T_p2223625839097118125[[#This Row],[KO]]</f>
        <v>22.595199999999998</v>
      </c>
      <c r="T17" s="87">
        <f>COUNTIF(T_p3p1233726849198119126[stack],"&gt;0")</f>
        <v>3</v>
      </c>
      <c r="U17" s="86">
        <f>IF(T_init20344818895116123[[#This Row],[p]]=1,sidepot1+uncalled,IF(T_init20344818895116123[[#This Row],[p]]=3,mainpot,IF(ISBLANK(T_init20344818895116123[[#This Row],[p]]),T_init20344818895116123[[#This Row],[stack]]-T_init20344818895116123[[#This Row],[anteblinds]],0)))</f>
        <v>0</v>
      </c>
      <c r="V17" s="86">
        <v>0</v>
      </c>
      <c r="W17" s="88">
        <f>T_p3p1233726849198119126[[#This Row],[EQ]]*prize</f>
        <v>0</v>
      </c>
      <c r="X17" s="89">
        <f>IF(T_init20344818895116123[[#This Row],[p]]=1,T_p3p1233726849198119126[[#This Row],[players]]*T_p3p1233726849198119126[[#This Row],[stack]]/chips+COUNTIF(T_p3p1233726849198119126[stack],0),T_p3p1233726849198119126[[#This Row],[players]]*T_p3p1233726849198119126[[#This Row],[stack]]/chips)</f>
        <v>0</v>
      </c>
      <c r="Y17" s="89">
        <f>T_p3p1233726849198119126[[#This Row],[ICM]]+bounty*T_p3p1233726849198119126[[#This Row],[KO]]</f>
        <v>0</v>
      </c>
      <c r="AA17" s="87">
        <f>COUNTIF(T_p3p2243827859299120127[stack],"&gt;0")</f>
        <v>3</v>
      </c>
      <c r="AB17" s="86">
        <f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f>
        <v>0</v>
      </c>
      <c r="AC17" s="86">
        <v>0</v>
      </c>
      <c r="AD17" s="88">
        <f>T_p3p2243827859299120127[[#This Row],[EQ]]*prize</f>
        <v>0</v>
      </c>
      <c r="AE17" s="89">
        <f>IF(T_init20344818895116123[[#This Row],[p]]=2,T_p3p2243827859299120127[[#This Row],[players]]*T_p3p2243827859299120127[[#This Row],[stack]]/chips+COUNTIF(T_p3p2243827859299120127[stack],0),T_p3p2243827859299120127[[#This Row],[players]]*T_p3p2243827859299120127[[#This Row],[stack]]/chips)</f>
        <v>3</v>
      </c>
      <c r="AF17" s="89">
        <f>T_p3p2243827859299120127[[#This Row],[ICM]]+bounty*T_p3p2243827859299120127[[#This Row],[KO]]</f>
        <v>0</v>
      </c>
      <c r="AI17" s="87">
        <v>3</v>
      </c>
      <c r="AJ17" s="86">
        <v>0</v>
      </c>
      <c r="AK17" s="86">
        <v>0</v>
      </c>
      <c r="AL17" s="88">
        <f>T_fact2939288693100121128[[#This Row],[EQ]]*prize</f>
        <v>0</v>
      </c>
      <c r="AM17" s="89">
        <f>IF(T_init20344818895116123[[#This Row],[p]]=1,T_fact2939288693100121128[[#This Row],[players]]*T_fact2939288693100121128[[#This Row],[stack]]/chips+COUNTIF(T_fact2939288693100121128[stack],0),T_fact2939288693100121128[[#This Row],[players]]*T_fact2939288693100121128[[#This Row],[stack]]/chips)</f>
        <v>0</v>
      </c>
      <c r="AN17" s="89">
        <f>T_fact2939288693100121128[[#This Row],[ICM]]+bounty*T_fact2939288693100121128[[#This Row],[KO]]</f>
        <v>0</v>
      </c>
      <c r="AQ17" s="91">
        <f>'3w 5h5c Ден'!p3win* ('3w 5h5c Ден'!p1sp1win*T_p3p1233726849198119126[[#This Row],[ICM]] + '3w 5h5c Ден'!p2sp1win*T_p3p2243827859299120127[[#This Row],[ICM]])
+'3w 5h5c Ден'!p2win*T_p2223625839097118125[[#This Row],[ICM]]
+'3w 5h5c Ден'!p1win*T_p1213519828996117124[[#This Row],[ICM]]</f>
        <v>1.7805017599999997</v>
      </c>
      <c r="AR17" s="92">
        <f>('3w 5h5c Ден'!p3win* ('3w 5h5c Ден'!p1sp1win*T_p3p1233726849198119126[[#This Row],[KO]] + '3w 5h5c Ден'!p2sp1win*T_p3p2243827859299120127[[#This Row],[KO]])
+'3w 5h5c Ден'!p2win*T_p2223625839097118125[[#This Row],[KO]]
+'3w 5h5c Ден'!p1win*T_p1213519828996117124[[#This Row],[KO]])*bounty</f>
        <v>0</v>
      </c>
      <c r="AS17" s="91">
        <f>'3w 5h5c Ден'!p3win* ('3w 5h5c Ден'!p1sp1win*T_p3p1233726849198119126[[#This Row],[$stack]] + '3w 5h5c Ден'!p2sp1win*T_p3p2243827859299120127[[#This Row],[$stack]])
+'3w 5h5c Ден'!p2win*T_p2223625839097118125[[#This Row],[$stack]]
+'3w 5h5c Ден'!p1win*T_p1213519828996117124[[#This Row],[$stack]]</f>
        <v>1.7805017599999997</v>
      </c>
      <c r="AT17" s="92">
        <f>'3w 5h5c Ден'!p3win* ('3w 5h5c Ден'!p1sp1win*T_p3p1233726849198119126[[#This Row],[stack]] + '3w 5h5c Ден'!p2sp1win*T_p3p2243827859299120127[[#This Row],[stack]])
+'3w 5h5c Ден'!p2win*T_p2223625839097118125[[#This Row],[stack]]
+'3w 5h5c Ден'!p1win*T_p1213519828996117124[[#This Row],[stack]]</f>
        <v>120.958</v>
      </c>
      <c r="AU17" s="88">
        <f>T_EV3340308794101122129[[#This Row],[chipEV]]-T_fact2939288693100121128[[#This Row],[stack]]</f>
        <v>120.958</v>
      </c>
      <c r="AV17" s="88">
        <f>T_EV3340308794101122129[[#This Row],[EV]]-(T_fact2939288693100121128[[#This Row],[ICM]]+bounty*T_fact2939288693100121128[[#This Row],[KO]])</f>
        <v>1.7805017599999997</v>
      </c>
    </row>
    <row r="18" spans="1:48" x14ac:dyDescent="0.25">
      <c r="A18">
        <v>1</v>
      </c>
      <c r="B18">
        <v>615</v>
      </c>
      <c r="C18" t="s">
        <v>314</v>
      </c>
      <c r="D18">
        <v>10</v>
      </c>
      <c r="F18" s="5">
        <f>COUNTIF(T_p1213519828996117124[stack],"&gt;0")</f>
        <v>2</v>
      </c>
      <c r="G18">
        <f>IF(T_init20344818895116123[[#This Row],[p]]=1,mainpot+sidepot1+sidepot2+uncalled,IF(T_init20344818895116123[[#This Row],[p]]&gt;1,0,T_init20344818895116123[[#This Row],[stack]]-T_init20344818895116123[[#This Row],[anteblinds]]))</f>
        <v>1650</v>
      </c>
      <c r="H18">
        <v>0.82499999999999996</v>
      </c>
      <c r="I18" s="2">
        <f>T_p1213519828996117124[[#This Row],[EQ]]*prize</f>
        <v>24.288</v>
      </c>
      <c r="J18" s="66">
        <f>IF(T_init20344818895116123[[#This Row],[p]]=1,T_p1213519828996117124[[#This Row],[players]]*T_p1213519828996117124[[#This Row],[stack]]/chips+COUNTIF(T_p1213519828996117124[stack],0),T_p1213519828996117124[[#This Row],[players]]*T_p1213519828996117124[[#This Row],[stack]]/chips)</f>
        <v>5.65</v>
      </c>
      <c r="K18" s="66">
        <f>T_p1213519828996117124[[#This Row],[ICM]]+bounty*T_p1213519828996117124[[#This Row],[KO]]</f>
        <v>24.288</v>
      </c>
      <c r="M18" s="10">
        <f>COUNTIF(T_p2223625839097118125[stack],"&gt;0")</f>
        <v>3</v>
      </c>
      <c r="N18" s="26">
        <f>IF(T_init20344818895116123[[#This Row],[p]]=1,uncalled,IF(T_init20344818895116123[[#This Row],[p]]=2,mainpot+sidepot1+sidepot2,IF(T_init20344818895116123[[#This Row],[p]]&gt;2,0,T_init20344818895116123[[#This Row],[stack]]-T_init20344818895116123[[#This Row],[anteblinds]])))</f>
        <v>115</v>
      </c>
      <c r="O18">
        <v>5.7500000000000002E-2</v>
      </c>
      <c r="P18" s="2">
        <f>T_p2223625839097118125[[#This Row],[EQ]]*prize</f>
        <v>1.6928000000000001</v>
      </c>
      <c r="Q18" s="66">
        <f>IF(T_init20344818895116123[[#This Row],[p]]=2,T_p2223625839097118125[[#This Row],[players]]*T_p2223625839097118125[[#This Row],[stack]]/chips+COUNTIF(T_p2223625839097118125[stack],0),T_p2223625839097118125[[#This Row],[players]]*T_p2223625839097118125[[#This Row],[stack]]/chips)</f>
        <v>0.17249999999999999</v>
      </c>
      <c r="R18" s="66">
        <f>T_p2223625839097118125[[#This Row],[ICM]]+bounty*T_p2223625839097118125[[#This Row],[KO]]</f>
        <v>1.6928000000000001</v>
      </c>
      <c r="T18" s="5">
        <f>COUNTIF(T_p3p1233726849198119126[stack],"&gt;0")</f>
        <v>3</v>
      </c>
      <c r="U18" s="26">
        <f>IF(T_init20344818895116123[[#This Row],[p]]=1,sidepot1+uncalled,IF(T_init20344818895116123[[#This Row],[p]]=3,mainpot,IF(ISBLANK(T_init20344818895116123[[#This Row],[p]]),T_init20344818895116123[[#This Row],[stack]]-T_init20344818895116123[[#This Row],[anteblinds]],0)))</f>
        <v>115</v>
      </c>
      <c r="V18">
        <v>5.7500000000000002E-2</v>
      </c>
      <c r="W18" s="2">
        <f>T_p3p1233726849198119126[[#This Row],[EQ]]*prize</f>
        <v>1.6928000000000001</v>
      </c>
      <c r="X18" s="66">
        <f>IF(T_init20344818895116123[[#This Row],[p]]=1,T_p3p1233726849198119126[[#This Row],[players]]*T_p3p1233726849198119126[[#This Row],[stack]]/chips+COUNTIF(T_p3p1233726849198119126[stack],0),T_p3p1233726849198119126[[#This Row],[players]]*T_p3p1233726849198119126[[#This Row],[stack]]/chips)</f>
        <v>3.1724999999999999</v>
      </c>
      <c r="Y18" s="66">
        <f>T_p3p1233726849198119126[[#This Row],[ICM]]+bounty*T_p3p1233726849198119126[[#This Row],[KO]]</f>
        <v>1.6928000000000001</v>
      </c>
      <c r="AA18" s="5">
        <f>COUNTIF(T_p3p2243827859299120127[stack],"&gt;0")</f>
        <v>3</v>
      </c>
      <c r="AB18">
        <f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f>
        <v>115</v>
      </c>
      <c r="AC18">
        <v>5.7500000000000002E-2</v>
      </c>
      <c r="AD18" s="2">
        <f>T_p3p2243827859299120127[[#This Row],[EQ]]*prize</f>
        <v>1.6928000000000001</v>
      </c>
      <c r="AE18" s="66">
        <f>IF(T_init20344818895116123[[#This Row],[p]]=2,T_p3p2243827859299120127[[#This Row],[players]]*T_p3p2243827859299120127[[#This Row],[stack]]/chips+COUNTIF(T_p3p2243827859299120127[stack],0),T_p3p2243827859299120127[[#This Row],[players]]*T_p3p2243827859299120127[[#This Row],[stack]]/chips)</f>
        <v>0.17249999999999999</v>
      </c>
      <c r="AF18" s="16">
        <f>T_p3p2243827859299120127[[#This Row],[ICM]]+bounty*T_p3p2243827859299120127[[#This Row],[KO]]</f>
        <v>1.6928000000000001</v>
      </c>
      <c r="AI18" s="73">
        <v>3</v>
      </c>
      <c r="AJ18">
        <f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f>
        <v>115</v>
      </c>
      <c r="AK18">
        <v>5.7500000000000002E-2</v>
      </c>
      <c r="AL18" s="2">
        <f>T_fact2939288693100121128[[#This Row],[EQ]]*prize</f>
        <v>1.6928000000000001</v>
      </c>
      <c r="AM18" s="66">
        <f>IF(T_init20344818895116123[[#This Row],[p]]=1,T_fact2939288693100121128[[#This Row],[players]]*T_fact2939288693100121128[[#This Row],[stack]]/chips+COUNTIF(T_fact2939288693100121128[stack],0),T_fact2939288693100121128[[#This Row],[players]]*T_fact2939288693100121128[[#This Row],[stack]]/chips)</f>
        <v>3.1724999999999999</v>
      </c>
      <c r="AN18" s="16">
        <f>T_fact2939288693100121128[[#This Row],[ICM]]+bounty*T_fact2939288693100121128[[#This Row],[KO]]</f>
        <v>1.6928000000000001</v>
      </c>
      <c r="AQ18" s="68">
        <f>'3w 5h5c Ден'!p3win* ('3w 5h5c Ден'!p1sp1win*T_p3p1233726849198119126[[#This Row],[ICM]] + '3w 5h5c Ден'!p2sp1win*T_p3p2243827859299120127[[#This Row],[ICM]])
+'3w 5h5c Ден'!p2win*T_p2223625839097118125[[#This Row],[ICM]]
+'3w 5h5c Ден'!p1win*T_p1213519828996117124[[#This Row],[ICM]]</f>
        <v>9.9762003200000002</v>
      </c>
      <c r="AR18" s="68">
        <f>('3w 5h5c Ден'!p3win* ('3w 5h5c Ден'!p1sp1win*T_p3p1233726849198119126[[#This Row],[KO]] + '3w 5h5c Ден'!p2sp1win*T_p3p2243827859299120127[[#This Row],[KO]])
+'3w 5h5c Ден'!p2win*T_p2223625839097118125[[#This Row],[KO]]
+'3w 5h5c Ден'!p1win*T_p1213519828996117124[[#This Row],[KO]])*bounty</f>
        <v>0</v>
      </c>
      <c r="AS18" s="68">
        <f>'3w 5h5c Ден'!p3win* ('3w 5h5c Ден'!p1sp1win*T_p3p1233726849198119126[[#This Row],[$stack]] + '3w 5h5c Ден'!p2sp1win*T_p3p2243827859299120127[[#This Row],[$stack]])
+'3w 5h5c Ден'!p2win*T_p2223625839097118125[[#This Row],[$stack]]
+'3w 5h5c Ден'!p1win*T_p1213519828996117124[[#This Row],[$stack]]</f>
        <v>9.9762003200000002</v>
      </c>
      <c r="AT18" s="68">
        <f>'3w 5h5c Ден'!p3win* ('3w 5h5c Ден'!p1sp1win*T_p3p1233726849198119126[[#This Row],[stack]] + '3w 5h5c Ден'!p2sp1win*T_p3p2243827859299120127[[#This Row],[stack]])
+'3w 5h5c Ден'!p2win*T_p2223625839097118125[[#This Row],[stack]]
+'3w 5h5c Ден'!p1win*T_p1213519828996117124[[#This Row],[stack]]</f>
        <v>677.73099999999999</v>
      </c>
      <c r="AU18" s="2">
        <f>T_EV3340308794101122129[[#This Row],[chipEV]]-T_fact2939288693100121128[[#This Row],[stack]]</f>
        <v>562.73099999999999</v>
      </c>
      <c r="AV18" s="2">
        <f>T_EV3340308794101122129[[#This Row],[EV]]-(T_fact2939288693100121128[[#This Row],[ICM]]+bounty*T_fact2939288693100121128[[#This Row],[KO]])</f>
        <v>8.2834003200000001</v>
      </c>
    </row>
    <row r="19" spans="1:48" x14ac:dyDescent="0.25">
      <c r="B19">
        <v>385</v>
      </c>
      <c r="C19" s="26"/>
      <c r="D19">
        <v>35</v>
      </c>
      <c r="F19" s="5">
        <f>COUNTIF(T_p1213519828996117124[stack],"&gt;0")</f>
        <v>2</v>
      </c>
      <c r="G19">
        <f>IF(T_init20344818895116123[[#This Row],[p]]=1,mainpot+sidepot1+sidepot2+uncalled,IF(T_init20344818895116123[[#This Row],[p]]&gt;1,0,T_init20344818895116123[[#This Row],[stack]]-T_init20344818895116123[[#This Row],[anteblinds]]))</f>
        <v>350</v>
      </c>
      <c r="H19">
        <v>0.17499999999999999</v>
      </c>
      <c r="I19" s="2">
        <f>T_p1213519828996117124[[#This Row],[EQ]]*prize</f>
        <v>5.1520000000000001</v>
      </c>
      <c r="J19" s="66">
        <f>IF(T_init20344818895116123[[#This Row],[p]]=1,T_p1213519828996117124[[#This Row],[players]]*T_p1213519828996117124[[#This Row],[stack]]/chips+COUNTIF(T_p1213519828996117124[stack],0),T_p1213519828996117124[[#This Row],[players]]*T_p1213519828996117124[[#This Row],[stack]]/chips)</f>
        <v>0.35</v>
      </c>
      <c r="K19" s="66">
        <f>T_p1213519828996117124[[#This Row],[ICM]]+bounty*T_p1213519828996117124[[#This Row],[KO]]</f>
        <v>5.1520000000000001</v>
      </c>
      <c r="M19" s="10">
        <f>COUNTIF(T_p2223625839097118125[stack],"&gt;0")</f>
        <v>3</v>
      </c>
      <c r="N19" s="26">
        <f>IF(T_init20344818895116123[[#This Row],[p]]=1,uncalled,IF(T_init20344818895116123[[#This Row],[p]]=2,mainpot+sidepot1+sidepot2,IF(T_init20344818895116123[[#This Row],[p]]&gt;2,0,T_init20344818895116123[[#This Row],[stack]]-T_init20344818895116123[[#This Row],[anteblinds]])))</f>
        <v>350</v>
      </c>
      <c r="O19">
        <v>0.17499999999999999</v>
      </c>
      <c r="P19" s="2">
        <f>T_p2223625839097118125[[#This Row],[EQ]]*prize</f>
        <v>5.1520000000000001</v>
      </c>
      <c r="Q19" s="66">
        <f>IF(T_init20344818895116123[[#This Row],[p]]=2,T_p2223625839097118125[[#This Row],[players]]*T_p2223625839097118125[[#This Row],[stack]]/chips+COUNTIF(T_p2223625839097118125[stack],0),T_p2223625839097118125[[#This Row],[players]]*T_p2223625839097118125[[#This Row],[stack]]/chips)</f>
        <v>0.52500000000000002</v>
      </c>
      <c r="R19" s="66">
        <f>T_p2223625839097118125[[#This Row],[ICM]]+bounty*T_p2223625839097118125[[#This Row],[KO]]</f>
        <v>5.1520000000000001</v>
      </c>
      <c r="T19" s="5">
        <f>COUNTIF(T_p3p1233726849198119126[stack],"&gt;0")</f>
        <v>3</v>
      </c>
      <c r="U19" s="26">
        <f>IF(T_init20344818895116123[[#This Row],[p]]=1,sidepot1+uncalled,IF(T_init20344818895116123[[#This Row],[p]]=3,mainpot,IF(ISBLANK(T_init20344818895116123[[#This Row],[p]]),T_init20344818895116123[[#This Row],[stack]]-T_init20344818895116123[[#This Row],[anteblinds]],0)))</f>
        <v>350</v>
      </c>
      <c r="V19">
        <v>0.17499999999999999</v>
      </c>
      <c r="W19" s="2">
        <f>T_p3p1233726849198119126[[#This Row],[EQ]]*prize</f>
        <v>5.1520000000000001</v>
      </c>
      <c r="X19" s="66">
        <f>IF(T_init20344818895116123[[#This Row],[p]]=1,T_p3p1233726849198119126[[#This Row],[players]]*T_p3p1233726849198119126[[#This Row],[stack]]/chips+COUNTIF(T_p3p1233726849198119126[stack],0),T_p3p1233726849198119126[[#This Row],[players]]*T_p3p1233726849198119126[[#This Row],[stack]]/chips)</f>
        <v>0.52500000000000002</v>
      </c>
      <c r="Y19" s="66">
        <f>T_p3p1233726849198119126[[#This Row],[ICM]]+bounty*T_p3p1233726849198119126[[#This Row],[KO]]</f>
        <v>5.1520000000000001</v>
      </c>
      <c r="AA19" s="5">
        <f>COUNTIF(T_p3p2243827859299120127[stack],"&gt;0")</f>
        <v>3</v>
      </c>
      <c r="AB19">
        <f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f>
        <v>350</v>
      </c>
      <c r="AC19">
        <v>0.17499999999999999</v>
      </c>
      <c r="AD19" s="2">
        <f>T_p3p2243827859299120127[[#This Row],[EQ]]*prize</f>
        <v>5.1520000000000001</v>
      </c>
      <c r="AE19" s="66">
        <f>IF(T_init20344818895116123[[#This Row],[p]]=2,T_p3p2243827859299120127[[#This Row],[players]]*T_p3p2243827859299120127[[#This Row],[stack]]/chips+COUNTIF(T_p3p2243827859299120127[stack],0),T_p3p2243827859299120127[[#This Row],[players]]*T_p3p2243827859299120127[[#This Row],[stack]]/chips)</f>
        <v>0.52500000000000002</v>
      </c>
      <c r="AF19" s="16">
        <f>T_p3p2243827859299120127[[#This Row],[ICM]]+bounty*T_p3p2243827859299120127[[#This Row],[KO]]</f>
        <v>5.1520000000000001</v>
      </c>
      <c r="AI19" s="73">
        <v>3</v>
      </c>
      <c r="AJ19">
        <f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f>
        <v>350</v>
      </c>
      <c r="AK19">
        <v>0.17499999999999999</v>
      </c>
      <c r="AL19" s="2">
        <f>T_fact2939288693100121128[[#This Row],[EQ]]*prize</f>
        <v>5.1520000000000001</v>
      </c>
      <c r="AM19" s="66">
        <f>IF(T_init20344818895116123[[#This Row],[p]]=1,T_fact2939288693100121128[[#This Row],[players]]*T_fact2939288693100121128[[#This Row],[stack]]/chips+COUNTIF(T_fact2939288693100121128[stack],0),T_fact2939288693100121128[[#This Row],[players]]*T_fact2939288693100121128[[#This Row],[stack]]/chips)</f>
        <v>0.52500000000000002</v>
      </c>
      <c r="AN19" s="16">
        <f>T_fact2939288693100121128[[#This Row],[ICM]]+bounty*T_fact2939288693100121128[[#This Row],[KO]]</f>
        <v>5.1520000000000001</v>
      </c>
      <c r="AQ19" s="68">
        <f>'3w 5h5c Ден'!p3win* ('3w 5h5c Ден'!p1sp1win*T_p3p1233726849198119126[[#This Row],[ICM]] + '3w 5h5c Ден'!p2sp1win*T_p3p2243827859299120127[[#This Row],[ICM]])
+'3w 5h5c Ден'!p2win*T_p2223625839097118125[[#This Row],[ICM]]
+'3w 5h5c Ден'!p1win*T_p1213519828996117124[[#This Row],[ICM]]</f>
        <v>5.1520000000000001</v>
      </c>
      <c r="AR19" s="68">
        <f>('3w 5h5c Ден'!p3win* ('3w 5h5c Ден'!p1sp1win*T_p3p1233726849198119126[[#This Row],[KO]] + '3w 5h5c Ден'!p2sp1win*T_p3p2243827859299120127[[#This Row],[KO]])
+'3w 5h5c Ден'!p2win*T_p2223625839097118125[[#This Row],[KO]]
+'3w 5h5c Ден'!p1win*T_p1213519828996117124[[#This Row],[KO]])*bounty</f>
        <v>0</v>
      </c>
      <c r="AS19" s="68">
        <f>'3w 5h5c Ден'!p3win* ('3w 5h5c Ден'!p1sp1win*T_p3p1233726849198119126[[#This Row],[$stack]] + '3w 5h5c Ден'!p2sp1win*T_p3p2243827859299120127[[#This Row],[$stack]])
+'3w 5h5c Ден'!p2win*T_p2223625839097118125[[#This Row],[$stack]]
+'3w 5h5c Ден'!p1win*T_p1213519828996117124[[#This Row],[$stack]]</f>
        <v>5.1520000000000001</v>
      </c>
      <c r="AT19" s="68">
        <f>'3w 5h5c Ден'!p3win* ('3w 5h5c Ден'!p1sp1win*T_p3p1233726849198119126[[#This Row],[stack]] + '3w 5h5c Ден'!p2sp1win*T_p3p2243827859299120127[[#This Row],[stack]])
+'3w 5h5c Ден'!p2win*T_p2223625839097118125[[#This Row],[stack]]
+'3w 5h5c Ден'!p1win*T_p1213519828996117124[[#This Row],[stack]]</f>
        <v>350</v>
      </c>
      <c r="AU19" s="2">
        <f>T_EV3340308794101122129[[#This Row],[chipEV]]-T_fact2939288693100121128[[#This Row],[stack]]</f>
        <v>0</v>
      </c>
      <c r="AV19" s="2">
        <f>T_EV3340308794101122129[[#This Row],[EV]]-(T_fact2939288693100121128[[#This Row],[ICM]]+bounty*T_fact2939288693100121128[[#This Row],[KO]])</f>
        <v>0</v>
      </c>
    </row>
    <row r="20" spans="1:48" s="17" customFormat="1" x14ac:dyDescent="0.25">
      <c r="A20" s="17">
        <v>3</v>
      </c>
      <c r="B20" s="17">
        <v>500</v>
      </c>
      <c r="C20" s="17" t="s">
        <v>315</v>
      </c>
      <c r="D20" s="17">
        <v>60</v>
      </c>
      <c r="F20" s="83">
        <f>COUNTIF(T_p1213519828996117124[stack],"&gt;0")</f>
        <v>2</v>
      </c>
      <c r="G20" s="17">
        <f>IF(T_init20344818895116123[[#This Row],[p]]=1,mainpot+sidepot1+sidepot2+uncalled,IF(T_init20344818895116123[[#This Row],[p]]&gt;1,0,T_init20344818895116123[[#This Row],[stack]]-T_init20344818895116123[[#This Row],[anteblinds]]))</f>
        <v>0</v>
      </c>
      <c r="I20" s="18">
        <f>T_p1213519828996117124[[#This Row],[EQ]]*prize</f>
        <v>0</v>
      </c>
      <c r="J20" s="67">
        <f>IF(T_init20344818895116123[[#This Row],[p]]=1,T_p1213519828996117124[[#This Row],[players]]*T_p1213519828996117124[[#This Row],[stack]]/chips+COUNTIF(T_p1213519828996117124[stack],0),T_p1213519828996117124[[#This Row],[players]]*T_p1213519828996117124[[#This Row],[stack]]/chips)</f>
        <v>0</v>
      </c>
      <c r="K20" s="67">
        <f>T_p1213519828996117124[[#This Row],[ICM]]+bounty*T_p1213519828996117124[[#This Row],[KO]]</f>
        <v>0</v>
      </c>
      <c r="M20" s="19">
        <f>COUNTIF(T_p2223625839097118125[stack],"&gt;0")</f>
        <v>3</v>
      </c>
      <c r="N20" s="17">
        <f>IF(T_init20344818895116123[[#This Row],[p]]=1,uncalled,IF(T_init20344818895116123[[#This Row],[p]]=2,mainpot+sidepot1+sidepot2,IF(T_init20344818895116123[[#This Row],[p]]&gt;2,0,T_init20344818895116123[[#This Row],[stack]]-T_init20344818895116123[[#This Row],[anteblinds]])))</f>
        <v>0</v>
      </c>
      <c r="O20" s="17">
        <v>0</v>
      </c>
      <c r="P20" s="18">
        <f>T_p2223625839097118125[[#This Row],[EQ]]*prize</f>
        <v>0</v>
      </c>
      <c r="Q20" s="67">
        <f>IF(T_init20344818895116123[[#This Row],[p]]=2,T_p2223625839097118125[[#This Row],[players]]*T_p2223625839097118125[[#This Row],[stack]]/chips+COUNTIF(T_p2223625839097118125[stack],0),T_p2223625839097118125[[#This Row],[players]]*T_p2223625839097118125[[#This Row],[stack]]/chips)</f>
        <v>0</v>
      </c>
      <c r="R20" s="67">
        <f>T_p2223625839097118125[[#This Row],[ICM]]+bounty*T_p2223625839097118125[[#This Row],[KO]]</f>
        <v>0</v>
      </c>
      <c r="T20" s="83">
        <f>COUNTIF(T_p3p1233726849198119126[stack],"&gt;0")</f>
        <v>3</v>
      </c>
      <c r="U20" s="17">
        <f>IF(T_init20344818895116123[[#This Row],[p]]=1,sidepot1+uncalled,IF(T_init20344818895116123[[#This Row],[p]]=3,mainpot,IF(ISBLANK(T_init20344818895116123[[#This Row],[p]]),T_init20344818895116123[[#This Row],[stack]]-T_init20344818895116123[[#This Row],[anteblinds]],0)))</f>
        <v>1535</v>
      </c>
      <c r="V20" s="17">
        <v>0.76749999999999996</v>
      </c>
      <c r="W20" s="18">
        <f>T_p3p1233726849198119126[[#This Row],[EQ]]*prize</f>
        <v>22.595199999999998</v>
      </c>
      <c r="X20" s="67">
        <f>IF(T_init20344818895116123[[#This Row],[p]]=1,T_p3p1233726849198119126[[#This Row],[players]]*T_p3p1233726849198119126[[#This Row],[stack]]/chips+COUNTIF(T_p3p1233726849198119126[stack],0),T_p3p1233726849198119126[[#This Row],[players]]*T_p3p1233726849198119126[[#This Row],[stack]]/chips)</f>
        <v>2.3025000000000002</v>
      </c>
      <c r="Y20" s="67">
        <f>T_p3p1233726849198119126[[#This Row],[ICM]]+bounty*T_p3p1233726849198119126[[#This Row],[KO]]</f>
        <v>22.595199999999998</v>
      </c>
      <c r="AA20" s="83">
        <f>COUNTIF(T_p3p2243827859299120127[stack],"&gt;0")</f>
        <v>3</v>
      </c>
      <c r="AB20" s="17">
        <f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f>
        <v>1535</v>
      </c>
      <c r="AC20" s="17">
        <v>0.76749999999999996</v>
      </c>
      <c r="AD20" s="18">
        <f>T_p3p2243827859299120127[[#This Row],[EQ]]*prize</f>
        <v>22.595199999999998</v>
      </c>
      <c r="AE20" s="67">
        <f>IF(T_init20344818895116123[[#This Row],[p]]=2,T_p3p2243827859299120127[[#This Row],[players]]*T_p3p2243827859299120127[[#This Row],[stack]]/chips+COUNTIF(T_p3p2243827859299120127[stack],0),T_p3p2243827859299120127[[#This Row],[players]]*T_p3p2243827859299120127[[#This Row],[stack]]/chips)</f>
        <v>2.3025000000000002</v>
      </c>
      <c r="AF20" s="24">
        <f>T_p3p2243827859299120127[[#This Row],[ICM]]+bounty*T_p3p2243827859299120127[[#This Row],[KO]]</f>
        <v>22.595199999999998</v>
      </c>
      <c r="AI20" s="83">
        <v>3</v>
      </c>
      <c r="AJ20" s="17">
        <f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f>
        <v>1535</v>
      </c>
      <c r="AK20" s="17">
        <v>0.76749999999999996</v>
      </c>
      <c r="AL20" s="18">
        <f>T_fact2939288693100121128[[#This Row],[EQ]]*prize</f>
        <v>22.595199999999998</v>
      </c>
      <c r="AM20" s="67">
        <f>IF(T_init20344818895116123[[#This Row],[p]]=1,T_fact2939288693100121128[[#This Row],[players]]*T_fact2939288693100121128[[#This Row],[stack]]/chips+COUNTIF(T_fact2939288693100121128[stack],0),T_fact2939288693100121128[[#This Row],[players]]*T_fact2939288693100121128[[#This Row],[stack]]/chips)</f>
        <v>2.3025000000000002</v>
      </c>
      <c r="AN20" s="24">
        <f>T_fact2939288693100121128[[#This Row],[ICM]]+bounty*T_fact2939288693100121128[[#This Row],[KO]]</f>
        <v>22.595199999999998</v>
      </c>
      <c r="AQ20" s="69">
        <f>'3w 5h5c Ден'!p3win* ('3w 5h5c Ден'!p1sp1win*T_p3p1233726849198119126[[#This Row],[ICM]] + '3w 5h5c Ден'!p2sp1win*T_p3p2243827859299120127[[#This Row],[ICM]])
+'3w 5h5c Ден'!p2win*T_p2223625839097118125[[#This Row],[ICM]]
+'3w 5h5c Ден'!p1win*T_p1213519828996117124[[#This Row],[ICM]]</f>
        <v>12.531297919999998</v>
      </c>
      <c r="AR20" s="69">
        <f>('3w 5h5c Ден'!p3win* ('3w 5h5c Ден'!p1sp1win*T_p3p1233726849198119126[[#This Row],[KO]] + '3w 5h5c Ден'!p2sp1win*T_p3p2243827859299120127[[#This Row],[KO]])
+'3w 5h5c Ден'!p2win*T_p2223625839097118125[[#This Row],[KO]]
+'3w 5h5c Ден'!p1win*T_p1213519828996117124[[#This Row],[KO]])*bounty</f>
        <v>0</v>
      </c>
      <c r="AS20" s="69">
        <f>'3w 5h5c Ден'!p3win* ('3w 5h5c Ден'!p1sp1win*T_p3p1233726849198119126[[#This Row],[$stack]] + '3w 5h5c Ден'!p2sp1win*T_p3p2243827859299120127[[#This Row],[$stack]])
+'3w 5h5c Ден'!p2win*T_p2223625839097118125[[#This Row],[$stack]]
+'3w 5h5c Ден'!p1win*T_p1213519828996117124[[#This Row],[$stack]]</f>
        <v>12.531297919999998</v>
      </c>
      <c r="AT20" s="69">
        <f>'3w 5h5c Ден'!p3win* ('3w 5h5c Ден'!p1sp1win*T_p3p1233726849198119126[[#This Row],[stack]] + '3w 5h5c Ден'!p2sp1win*T_p3p2243827859299120127[[#This Row],[stack]])
+'3w 5h5c Ден'!p2win*T_p2223625839097118125[[#This Row],[stack]]
+'3w 5h5c Ден'!p1win*T_p1213519828996117124[[#This Row],[stack]]</f>
        <v>851.31099999999992</v>
      </c>
      <c r="AU20" s="18">
        <f>T_EV3340308794101122129[[#This Row],[chipEV]]-T_fact2939288693100121128[[#This Row],[stack]]</f>
        <v>-683.68900000000008</v>
      </c>
      <c r="AV20" s="18">
        <f>T_EV3340308794101122129[[#This Row],[EV]]-(T_fact2939288693100121128[[#This Row],[ICM]]+bounty*T_fact2939288693100121128[[#This Row],[KO]])</f>
        <v>-10.06390208</v>
      </c>
    </row>
    <row r="21" spans="1:48" x14ac:dyDescent="0.25">
      <c r="B21">
        <v>0</v>
      </c>
      <c r="F21" s="5">
        <f>COUNTIF(T_p1213519828996117124[stack],"&gt;0")</f>
        <v>2</v>
      </c>
      <c r="G21">
        <f>IF(T_init20344818895116123[[#This Row],[p]]=1,mainpot+sidepot1+sidepot2+uncalled,IF(T_init20344818895116123[[#This Row],[p]]&gt;1,0,T_init20344818895116123[[#This Row],[stack]]-T_init20344818895116123[[#This Row],[anteblinds]]))</f>
        <v>0</v>
      </c>
      <c r="I21" s="2">
        <f>T_p1213519828996117124[[#This Row],[EQ]]*prize</f>
        <v>0</v>
      </c>
      <c r="J21" s="66">
        <f>IF(T_init20344818895116123[[#This Row],[p]]=1,T_p1213519828996117124[[#This Row],[players]]*T_p1213519828996117124[[#This Row],[stack]]/chips+COUNTIF(T_p1213519828996117124[stack],0),T_p1213519828996117124[[#This Row],[players]]*T_p1213519828996117124[[#This Row],[stack]]/chips)</f>
        <v>0</v>
      </c>
      <c r="K21" s="66">
        <f>T_p1213519828996117124[[#This Row],[ICM]]+bounty*T_p1213519828996117124[[#This Row],[KO]]</f>
        <v>0</v>
      </c>
      <c r="M21" s="10">
        <f>COUNTIF(T_p2223625839097118125[stack],"&gt;0")</f>
        <v>3</v>
      </c>
      <c r="N21" s="26">
        <f>IF(T_init20344818895116123[[#This Row],[p]]=1,uncalled,IF(T_init20344818895116123[[#This Row],[p]]=2,mainpot+sidepot1+sidepot2,IF(T_init20344818895116123[[#This Row],[p]]&gt;2,0,T_init20344818895116123[[#This Row],[stack]]-T_init20344818895116123[[#This Row],[anteblinds]])))</f>
        <v>0</v>
      </c>
      <c r="O21">
        <v>0</v>
      </c>
      <c r="P21" s="2">
        <f>T_p2223625839097118125[[#This Row],[EQ]]*prize</f>
        <v>0</v>
      </c>
      <c r="Q21" s="66">
        <f>IF(T_init20344818895116123[[#This Row],[p]]=2,T_p2223625839097118125[[#This Row],[players]]*T_p2223625839097118125[[#This Row],[stack]]/chips+COUNTIF(T_p2223625839097118125[stack],0),T_p2223625839097118125[[#This Row],[players]]*T_p2223625839097118125[[#This Row],[stack]]/chips)</f>
        <v>0</v>
      </c>
      <c r="R21" s="66">
        <f>T_p2223625839097118125[[#This Row],[ICM]]+bounty*T_p2223625839097118125[[#This Row],[KO]]</f>
        <v>0</v>
      </c>
      <c r="T21" s="5">
        <f>COUNTIF(T_p3p1233726849198119126[stack],"&gt;0")</f>
        <v>3</v>
      </c>
      <c r="U21" s="26">
        <f>IF(T_init20344818895116123[[#This Row],[p]]=1,sidepot1+uncalled,IF(T_init20344818895116123[[#This Row],[p]]=3,mainpot,IF(ISBLANK(T_init20344818895116123[[#This Row],[p]]),T_init20344818895116123[[#This Row],[stack]]-T_init20344818895116123[[#This Row],[anteblinds]],0)))</f>
        <v>0</v>
      </c>
      <c r="V21">
        <v>0</v>
      </c>
      <c r="W21" s="2">
        <f>T_p3p1233726849198119126[[#This Row],[EQ]]*prize</f>
        <v>0</v>
      </c>
      <c r="X21" s="66">
        <f>IF(T_init20344818895116123[[#This Row],[p]]=1,T_p3p1233726849198119126[[#This Row],[players]]*T_p3p1233726849198119126[[#This Row],[stack]]/chips+COUNTIF(T_p3p1233726849198119126[stack],0),T_p3p1233726849198119126[[#This Row],[players]]*T_p3p1233726849198119126[[#This Row],[stack]]/chips)</f>
        <v>0</v>
      </c>
      <c r="Y21" s="66">
        <f>T_p3p1233726849198119126[[#This Row],[ICM]]+bounty*T_p3p1233726849198119126[[#This Row],[KO]]</f>
        <v>0</v>
      </c>
      <c r="AA21" s="5">
        <f>COUNTIF(T_p3p2243827859299120127[stack],"&gt;0")</f>
        <v>3</v>
      </c>
      <c r="AB21">
        <f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f>
        <v>0</v>
      </c>
      <c r="AC21">
        <v>0</v>
      </c>
      <c r="AD21" s="2">
        <f>T_p3p2243827859299120127[[#This Row],[EQ]]*prize</f>
        <v>0</v>
      </c>
      <c r="AE21" s="66">
        <f>IF(T_init20344818895116123[[#This Row],[p]]=2,T_p3p2243827859299120127[[#This Row],[players]]*T_p3p2243827859299120127[[#This Row],[stack]]/chips+COUNTIF(T_p3p2243827859299120127[stack],0),T_p3p2243827859299120127[[#This Row],[players]]*T_p3p2243827859299120127[[#This Row],[stack]]/chips)</f>
        <v>0</v>
      </c>
      <c r="AF21" s="16">
        <f>T_p3p2243827859299120127[[#This Row],[ICM]]+bounty*T_p3p2243827859299120127[[#This Row],[KO]]</f>
        <v>0</v>
      </c>
      <c r="AI21" s="73">
        <v>2</v>
      </c>
      <c r="AJ21" s="26">
        <v>0</v>
      </c>
      <c r="AL21" s="2">
        <f>T_fact2939288693100121128[[#This Row],[EQ]]*prize</f>
        <v>0</v>
      </c>
      <c r="AM21" s="66">
        <f>IF(T_init20344818895116123[[#This Row],[p]]=1,T_fact2939288693100121128[[#This Row],[players]]*T_fact2939288693100121128[[#This Row],[stack]]/chips+COUNTIF(T_fact2939288693100121128[stack],0),T_fact2939288693100121128[[#This Row],[players]]*T_fact2939288693100121128[[#This Row],[stack]]/chips)</f>
        <v>0</v>
      </c>
      <c r="AN21" s="16">
        <f>T_fact2939288693100121128[[#This Row],[ICM]]+bounty*T_fact2939288693100121128[[#This Row],[KO]]</f>
        <v>0</v>
      </c>
      <c r="AQ21" s="68">
        <f>'3w 5h5c Ден'!p3win* ('3w 5h5c Ден'!p1sp1win*T_p3p1233726849198119126[[#This Row],[ICM]] + '3w 5h5c Ден'!p2sp1win*T_p3p2243827859299120127[[#This Row],[ICM]])
+'3w 5h5c Ден'!p2win*T_p2223625839097118125[[#This Row],[ICM]]
+'3w 5h5c Ден'!p1win*T_p1213519828996117124[[#This Row],[ICM]]</f>
        <v>0</v>
      </c>
      <c r="AR21" s="68">
        <f>('3w 5h5c Ден'!p3win* ('3w 5h5c Ден'!p1sp1win*T_p3p1233726849198119126[[#This Row],[KO]] + '3w 5h5c Ден'!p2sp1win*T_p3p2243827859299120127[[#This Row],[KO]])
+'3w 5h5c Ден'!p2win*T_p2223625839097118125[[#This Row],[KO]]
+'3w 5h5c Ден'!p1win*T_p1213519828996117124[[#This Row],[KO]])*bounty</f>
        <v>0</v>
      </c>
      <c r="AS21" s="68">
        <f>'3w 5h5c Ден'!p3win* ('3w 5h5c Ден'!p1sp1win*T_p3p1233726849198119126[[#This Row],[$stack]] + '3w 5h5c Ден'!p2sp1win*T_p3p2243827859299120127[[#This Row],[$stack]])
+'3w 5h5c Ден'!p2win*T_p2223625839097118125[[#This Row],[$stack]]
+'3w 5h5c Ден'!p1win*T_p1213519828996117124[[#This Row],[$stack]]</f>
        <v>0</v>
      </c>
      <c r="AT21" s="68">
        <f>'3w 5h5c Ден'!p3win* ('3w 5h5c Ден'!p1sp1win*T_p3p1233726849198119126[[#This Row],[stack]] + '3w 5h5c Ден'!p2sp1win*T_p3p2243827859299120127[[#This Row],[stack]])
+'3w 5h5c Ден'!p2win*T_p2223625839097118125[[#This Row],[stack]]
+'3w 5h5c Ден'!p1win*T_p1213519828996117124[[#This Row],[stack]]</f>
        <v>0</v>
      </c>
      <c r="AU21" s="2">
        <f>T_EV3340308794101122129[[#This Row],[chipEV]]-T_fact2939288693100121128[[#This Row],[stack]]</f>
        <v>0</v>
      </c>
      <c r="AV21" s="2">
        <f>T_EV3340308794101122129[[#This Row],[EV]]-(T_fact2939288693100121128[[#This Row],[ICM]]+bounty*T_fact2939288693100121128[[#This Row],[KO]])</f>
        <v>0</v>
      </c>
    </row>
    <row r="22" spans="1:48" x14ac:dyDescent="0.25">
      <c r="B22">
        <v>0</v>
      </c>
      <c r="F22" s="5">
        <f>COUNTIF(T_p1213519828996117124[stack],"&gt;0")</f>
        <v>2</v>
      </c>
      <c r="G22">
        <f>IF(T_init20344818895116123[[#This Row],[p]]=1,mainpot+sidepot1+sidepot2+uncalled,IF(T_init20344818895116123[[#This Row],[p]]&gt;1,0,T_init20344818895116123[[#This Row],[stack]]-T_init20344818895116123[[#This Row],[anteblinds]]))</f>
        <v>0</v>
      </c>
      <c r="I22" s="2">
        <f>T_p1213519828996117124[[#This Row],[EQ]]*prize</f>
        <v>0</v>
      </c>
      <c r="J22" s="66">
        <f>IF(T_init20344818895116123[[#This Row],[p]]=1,T_p1213519828996117124[[#This Row],[players]]*T_p1213519828996117124[[#This Row],[stack]]/chips+COUNTIF(T_p1213519828996117124[stack],0),T_p1213519828996117124[[#This Row],[players]]*T_p1213519828996117124[[#This Row],[stack]]/chips)</f>
        <v>0</v>
      </c>
      <c r="K22" s="66">
        <f>T_p1213519828996117124[[#This Row],[ICM]]+bounty*T_p1213519828996117124[[#This Row],[KO]]</f>
        <v>0</v>
      </c>
      <c r="M22" s="10">
        <f>COUNTIF(T_p2223625839097118125[stack],"&gt;0")</f>
        <v>3</v>
      </c>
      <c r="N22" s="26">
        <f>IF(T_init20344818895116123[[#This Row],[p]]=1,uncalled,IF(T_init20344818895116123[[#This Row],[p]]=2,mainpot+sidepot1+sidepot2,IF(T_init20344818895116123[[#This Row],[p]]&gt;2,0,T_init20344818895116123[[#This Row],[stack]]-T_init20344818895116123[[#This Row],[anteblinds]])))</f>
        <v>0</v>
      </c>
      <c r="P22" s="2">
        <f>T_p2223625839097118125[[#This Row],[EQ]]*prize</f>
        <v>0</v>
      </c>
      <c r="Q22" s="66">
        <f>IF(T_init20344818895116123[[#This Row],[p]]=2,T_p2223625839097118125[[#This Row],[players]]*T_p2223625839097118125[[#This Row],[stack]]/chips+COUNTIF(T_p2223625839097118125[stack],0),T_p2223625839097118125[[#This Row],[players]]*T_p2223625839097118125[[#This Row],[stack]]/chips)</f>
        <v>0</v>
      </c>
      <c r="R22" s="66">
        <f>T_p2223625839097118125[[#This Row],[ICM]]+bounty*T_p2223625839097118125[[#This Row],[KO]]</f>
        <v>0</v>
      </c>
      <c r="T22" s="5">
        <f>COUNTIF(T_p3p1233726849198119126[stack],"&gt;0")</f>
        <v>3</v>
      </c>
      <c r="U22" s="26">
        <f>IF(T_init20344818895116123[[#This Row],[p]]=1,sidepot1+uncalled,IF(T_init20344818895116123[[#This Row],[p]]=3,mainpot,IF(ISBLANK(T_init20344818895116123[[#This Row],[p]]),T_init20344818895116123[[#This Row],[stack]]-T_init20344818895116123[[#This Row],[anteblinds]],0)))</f>
        <v>0</v>
      </c>
      <c r="V22">
        <v>0</v>
      </c>
      <c r="W22" s="2">
        <f>T_p3p1233726849198119126[[#This Row],[EQ]]*prize</f>
        <v>0</v>
      </c>
      <c r="X22" s="66">
        <f>IF(T_init20344818895116123[[#This Row],[p]]=1,T_p3p1233726849198119126[[#This Row],[players]]*T_p3p1233726849198119126[[#This Row],[stack]]/chips+COUNTIF(T_p3p1233726849198119126[stack],0),T_p3p1233726849198119126[[#This Row],[players]]*T_p3p1233726849198119126[[#This Row],[stack]]/chips)</f>
        <v>0</v>
      </c>
      <c r="Y22" s="66">
        <f>T_p3p1233726849198119126[[#This Row],[ICM]]+bounty*T_p3p1233726849198119126[[#This Row],[KO]]</f>
        <v>0</v>
      </c>
      <c r="AA22" s="5">
        <f>COUNTIF(T_p3p2243827859299120127[stack],"&gt;0")</f>
        <v>3</v>
      </c>
      <c r="AB22">
        <f>IF(T_init20344818895116123[[#This Row],[p]]=1,uncalled,IF(T_init20344818895116123[[#This Row],[p]]=2,sidepot1,IF(T_init20344818895116123[[#This Row],[p]]=3,mainpot,IF(ISBLANK(T_init20344818895116123[[#This Row],[p]]),T_init20344818895116123[[#This Row],[stack]]-T_init20344818895116123[[#This Row],[anteblinds]],0))))</f>
        <v>0</v>
      </c>
      <c r="AC22">
        <v>0</v>
      </c>
      <c r="AD22" s="2">
        <f>T_p3p2243827859299120127[[#This Row],[EQ]]*prize</f>
        <v>0</v>
      </c>
      <c r="AE22" s="66">
        <f>IF(T_init20344818895116123[[#This Row],[p]]=2,T_p3p2243827859299120127[[#This Row],[players]]*T_p3p2243827859299120127[[#This Row],[stack]]/chips+COUNTIF(T_p3p2243827859299120127[stack],0),T_p3p2243827859299120127[[#This Row],[players]]*T_p3p2243827859299120127[[#This Row],[stack]]/chips)</f>
        <v>0</v>
      </c>
      <c r="AF22" s="16">
        <f>T_p3p2243827859299120127[[#This Row],[ICM]]+bounty*T_p3p2243827859299120127[[#This Row],[KO]]</f>
        <v>0</v>
      </c>
      <c r="AI22" s="73">
        <v>2</v>
      </c>
      <c r="AJ22" s="26">
        <v>0</v>
      </c>
      <c r="AL22" s="2">
        <f>T_fact2939288693100121128[[#This Row],[EQ]]*prize</f>
        <v>0</v>
      </c>
      <c r="AM22" s="66">
        <f>IF(T_init20344818895116123[[#This Row],[p]]=1,T_fact2939288693100121128[[#This Row],[players]]*T_fact2939288693100121128[[#This Row],[stack]]/chips+COUNTIF(T_fact2939288693100121128[stack],0),T_fact2939288693100121128[[#This Row],[players]]*T_fact2939288693100121128[[#This Row],[stack]]/chips)</f>
        <v>0</v>
      </c>
      <c r="AN22" s="16">
        <f>T_fact2939288693100121128[[#This Row],[ICM]]+bounty*T_fact2939288693100121128[[#This Row],[KO]]</f>
        <v>0</v>
      </c>
      <c r="AQ22" s="68">
        <f>'3w 5h5c Ден'!p3win* ('3w 5h5c Ден'!p1sp1win*T_p3p1233726849198119126[[#This Row],[ICM]] + '3w 5h5c Ден'!p2sp1win*T_p3p2243827859299120127[[#This Row],[ICM]])
+'3w 5h5c Ден'!p2win*T_p2223625839097118125[[#This Row],[ICM]]
+'3w 5h5c Ден'!p1win*T_p1213519828996117124[[#This Row],[ICM]]</f>
        <v>0</v>
      </c>
      <c r="AR22" s="68">
        <f>('3w 5h5c Ден'!p3win* ('3w 5h5c Ден'!p1sp1win*T_p3p1233726849198119126[[#This Row],[KO]] + '3w 5h5c Ден'!p2sp1win*T_p3p2243827859299120127[[#This Row],[KO]])
+'3w 5h5c Ден'!p2win*T_p2223625839097118125[[#This Row],[KO]]
+'3w 5h5c Ден'!p1win*T_p1213519828996117124[[#This Row],[KO]])*bounty</f>
        <v>0</v>
      </c>
      <c r="AS22" s="68">
        <f>'3w 5h5c Ден'!p3win* ('3w 5h5c Ден'!p1sp1win*T_p3p1233726849198119126[[#This Row],[$stack]] + '3w 5h5c Ден'!p2sp1win*T_p3p2243827859299120127[[#This Row],[$stack]])
+'3w 5h5c Ден'!p2win*T_p2223625839097118125[[#This Row],[$stack]]
+'3w 5h5c Ден'!p1win*T_p1213519828996117124[[#This Row],[$stack]]</f>
        <v>0</v>
      </c>
      <c r="AT22" s="68">
        <f>'3w 5h5c Ден'!p3win* ('3w 5h5c Ден'!p1sp1win*T_p3p1233726849198119126[[#This Row],[stack]] + '3w 5h5c Ден'!p2sp1win*T_p3p2243827859299120127[[#This Row],[stack]])
+'3w 5h5c Ден'!p2win*T_p2223625839097118125[[#This Row],[stack]]
+'3w 5h5c Ден'!p1win*T_p1213519828996117124[[#This Row],[stack]]</f>
        <v>0</v>
      </c>
      <c r="AU22" s="2">
        <f>T_EV3340308794101122129[[#This Row],[chipEV]]-T_fact2939288693100121128[[#This Row],[stack]]</f>
        <v>0</v>
      </c>
      <c r="AV22" s="2">
        <f>T_EV3340308794101122129[[#This Row],[EV]]-(T_fact2939288693100121128[[#This Row],[ICM]]+bounty*T_fact2939288693100121128[[#This Row],[KO]])</f>
        <v>0</v>
      </c>
    </row>
    <row r="23" spans="1:48" x14ac:dyDescent="0.25">
      <c r="A23" t="s">
        <v>95</v>
      </c>
      <c r="D23">
        <f>SUBTOTAL(109,T_init20344818895116123[anteblinds])</f>
        <v>115</v>
      </c>
      <c r="F23" s="53"/>
      <c r="G23" s="50">
        <f>SUM(T_p1213519828996117124[stack])</f>
        <v>2000</v>
      </c>
      <c r="H23" s="50">
        <f>SUM(T_p1213519828996117124[EQ])</f>
        <v>1</v>
      </c>
      <c r="I23" s="50">
        <f>SUM(T_p1213519828996117124[ICM])</f>
        <v>29.44</v>
      </c>
      <c r="J23" s="50">
        <f>SUM(T_p1213519828996117124[KO])</f>
        <v>6</v>
      </c>
      <c r="K23" s="50">
        <f>SUM(T_p1213519828996117124[$stack])</f>
        <v>29.44</v>
      </c>
      <c r="M23" s="53"/>
      <c r="N23" s="55">
        <f>SUM(T_p2223625839097118125[stack])</f>
        <v>2000</v>
      </c>
      <c r="O23" s="50">
        <f>SUM(T_p2223625839097118125[EQ])</f>
        <v>1</v>
      </c>
      <c r="P23" s="51">
        <f>SUM(T_p2223625839097118125[ICM])</f>
        <v>29.439999999999998</v>
      </c>
      <c r="Q23" s="52">
        <f>SUM(T_p2223625839097118125[KO])</f>
        <v>6.0000000000000009</v>
      </c>
      <c r="R23" s="50">
        <f>SUM(T_p2223625839097118125[$stack])</f>
        <v>29.439999999999998</v>
      </c>
      <c r="T23" s="53"/>
      <c r="U23" s="55">
        <f>SUM(T_p3p1233726849198119126[stack])</f>
        <v>2000</v>
      </c>
      <c r="V23" s="50">
        <f>SUM(T_p3p1233726849198119126[EQ])</f>
        <v>1</v>
      </c>
      <c r="W23" s="51">
        <f>SUM(T_p3p1233726849198119126[ICM])</f>
        <v>29.439999999999998</v>
      </c>
      <c r="X23" s="52">
        <f>SUM(T_p3p1233726849198119126[KO])</f>
        <v>6</v>
      </c>
      <c r="Y23" s="50">
        <f>SUM(T_p3p1233726849198119126[$stack])</f>
        <v>29.439999999999998</v>
      </c>
      <c r="AA23" s="53"/>
      <c r="AB23" s="55">
        <f>SUM(T_p3p2243827859299120127[stack])</f>
        <v>2000</v>
      </c>
      <c r="AC23" s="50">
        <f>SUM(T_p3p2243827859299120127[EQ])</f>
        <v>1</v>
      </c>
      <c r="AD23" s="51">
        <f>SUM(T_p3p2243827859299120127[ICM])</f>
        <v>29.439999999999998</v>
      </c>
      <c r="AE23" s="52">
        <f>SUM(T_p3p2243827859299120127[KO])</f>
        <v>6</v>
      </c>
      <c r="AF23" s="50">
        <f>SUM(T_p3p1233726849198119126[$stack])</f>
        <v>29.439999999999998</v>
      </c>
      <c r="AI23" s="53"/>
      <c r="AJ23" s="55">
        <f>SUM(T_fact2939288693100121128[stack])</f>
        <v>2000</v>
      </c>
      <c r="AK23" s="50">
        <f>SUM(T_fact2939288693100121128[EQ])</f>
        <v>1</v>
      </c>
      <c r="AL23" s="51">
        <f>SUM(T_fact2939288693100121128[ICM])</f>
        <v>29.439999999999998</v>
      </c>
      <c r="AM23" s="52">
        <f>SUM(T_fact2939288693100121128[KO])</f>
        <v>6</v>
      </c>
      <c r="AN23" s="51">
        <f>SUM(T_fact2939288693100121128[$stack])</f>
        <v>29.439999999999998</v>
      </c>
      <c r="AQ23" s="52">
        <f>SUM(T_EV3340308794101122129[ICM])</f>
        <v>29.439999999999998</v>
      </c>
      <c r="AR23" s="52">
        <f>SUM(T_EV3340308794101122129[KO])</f>
        <v>0</v>
      </c>
      <c r="AS23" s="52">
        <f>SUM(T_EV3340308794101122129[EV])</f>
        <v>29.439999999999998</v>
      </c>
      <c r="AT23" s="50">
        <f>SUM(T_EV3340308794101122129[chipEV])</f>
        <v>1999.9999999999998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316</v>
      </c>
    </row>
    <row r="27" spans="1:48" x14ac:dyDescent="0.25">
      <c r="C27" t="s">
        <v>120</v>
      </c>
      <c r="M27" t="s">
        <v>317</v>
      </c>
    </row>
    <row r="28" spans="1:48" x14ac:dyDescent="0.25">
      <c r="C28" t="s">
        <v>122</v>
      </c>
      <c r="M28" t="s">
        <v>318</v>
      </c>
    </row>
    <row r="29" spans="1:48" x14ac:dyDescent="0.25">
      <c r="M29" t="s">
        <v>319</v>
      </c>
    </row>
    <row r="30" spans="1:48" x14ac:dyDescent="0.25">
      <c r="M30" t="s">
        <v>287</v>
      </c>
    </row>
    <row r="31" spans="1:48" x14ac:dyDescent="0.25">
      <c r="C31" t="s">
        <v>126</v>
      </c>
      <c r="M31" t="s">
        <v>320</v>
      </c>
    </row>
    <row r="32" spans="1:48" x14ac:dyDescent="0.25">
      <c r="M32" t="s">
        <v>321</v>
      </c>
    </row>
    <row r="33" spans="2:13" x14ac:dyDescent="0.25">
      <c r="B33" t="s">
        <v>129</v>
      </c>
      <c r="M33" t="s">
        <v>322</v>
      </c>
    </row>
    <row r="34" spans="2:13" x14ac:dyDescent="0.25">
      <c r="B34" t="s">
        <v>131</v>
      </c>
      <c r="M34" t="s">
        <v>132</v>
      </c>
    </row>
    <row r="35" spans="2:13" x14ac:dyDescent="0.25">
      <c r="C35" t="s">
        <v>133</v>
      </c>
      <c r="M35" t="s">
        <v>323</v>
      </c>
    </row>
    <row r="36" spans="2:13" x14ac:dyDescent="0.25">
      <c r="D36" t="s">
        <v>135</v>
      </c>
      <c r="M36" t="s">
        <v>324</v>
      </c>
    </row>
    <row r="37" spans="2:13" x14ac:dyDescent="0.25">
      <c r="C37" t="s">
        <v>137</v>
      </c>
      <c r="M37" t="s">
        <v>138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325</v>
      </c>
    </row>
    <row r="40" spans="2:13" x14ac:dyDescent="0.25">
      <c r="D40" t="s">
        <v>142</v>
      </c>
      <c r="M40" t="s">
        <v>326</v>
      </c>
    </row>
    <row r="41" spans="2:13" x14ac:dyDescent="0.25">
      <c r="D41" t="s">
        <v>144</v>
      </c>
      <c r="E41" t="s">
        <v>145</v>
      </c>
      <c r="M41" t="s">
        <v>327</v>
      </c>
    </row>
    <row r="42" spans="2:13" x14ac:dyDescent="0.25">
      <c r="F42" t="s">
        <v>147</v>
      </c>
      <c r="M42" t="s">
        <v>328</v>
      </c>
    </row>
    <row r="43" spans="2:13" x14ac:dyDescent="0.25">
      <c r="E43" t="s">
        <v>149</v>
      </c>
      <c r="M43" t="s">
        <v>297</v>
      </c>
    </row>
    <row r="44" spans="2:13" x14ac:dyDescent="0.25">
      <c r="F44" t="s">
        <v>151</v>
      </c>
      <c r="M44" t="s">
        <v>329</v>
      </c>
    </row>
    <row r="45" spans="2:13" x14ac:dyDescent="0.25">
      <c r="M45" t="s">
        <v>330</v>
      </c>
    </row>
    <row r="46" spans="2:13" x14ac:dyDescent="0.25">
      <c r="C46" t="s">
        <v>154</v>
      </c>
      <c r="M46" t="s">
        <v>331</v>
      </c>
    </row>
    <row r="47" spans="2:13" x14ac:dyDescent="0.25">
      <c r="D47" t="s">
        <v>156</v>
      </c>
      <c r="M47" t="s">
        <v>332</v>
      </c>
    </row>
    <row r="48" spans="2:13" x14ac:dyDescent="0.25">
      <c r="D48" t="s">
        <v>158</v>
      </c>
      <c r="E48" t="s">
        <v>145</v>
      </c>
      <c r="M48" t="s">
        <v>166</v>
      </c>
    </row>
    <row r="49" spans="5:13" x14ac:dyDescent="0.25">
      <c r="F49" t="s">
        <v>160</v>
      </c>
      <c r="M49" t="s">
        <v>333</v>
      </c>
    </row>
    <row r="50" spans="5:13" x14ac:dyDescent="0.25">
      <c r="E50" t="s">
        <v>149</v>
      </c>
      <c r="M50" t="s">
        <v>334</v>
      </c>
    </row>
    <row r="51" spans="5:13" x14ac:dyDescent="0.25">
      <c r="F51" t="s">
        <v>163</v>
      </c>
      <c r="M51" t="s">
        <v>335</v>
      </c>
    </row>
    <row r="52" spans="5:13" x14ac:dyDescent="0.25">
      <c r="E52" t="s">
        <v>165</v>
      </c>
      <c r="M52" t="s">
        <v>336</v>
      </c>
    </row>
    <row r="53" spans="5:13" x14ac:dyDescent="0.25">
      <c r="F53" t="s">
        <v>167</v>
      </c>
      <c r="M53" t="s">
        <v>337</v>
      </c>
    </row>
    <row r="54" spans="5:13" x14ac:dyDescent="0.25">
      <c r="F54" t="s">
        <v>144</v>
      </c>
      <c r="M54" t="s">
        <v>173</v>
      </c>
    </row>
    <row r="55" spans="5:13" x14ac:dyDescent="0.25">
      <c r="G55" t="s">
        <v>145</v>
      </c>
      <c r="M55" t="s">
        <v>338</v>
      </c>
    </row>
    <row r="56" spans="5:13" x14ac:dyDescent="0.25">
      <c r="H56" t="s">
        <v>147</v>
      </c>
      <c r="M56" t="s">
        <v>339</v>
      </c>
    </row>
    <row r="57" spans="5:13" x14ac:dyDescent="0.25">
      <c r="G57" t="s">
        <v>149</v>
      </c>
      <c r="M57" t="s">
        <v>340</v>
      </c>
    </row>
    <row r="58" spans="5:13" x14ac:dyDescent="0.25">
      <c r="H58" t="s">
        <v>151</v>
      </c>
      <c r="M58" t="s">
        <v>341</v>
      </c>
    </row>
    <row r="59" spans="5:13" x14ac:dyDescent="0.25">
      <c r="M59" t="s">
        <v>342</v>
      </c>
    </row>
    <row r="60" spans="5:13" x14ac:dyDescent="0.25">
      <c r="M60" t="s">
        <v>343</v>
      </c>
    </row>
    <row r="62" spans="5:13" x14ac:dyDescent="0.25">
      <c r="M62" s="94" t="s">
        <v>538</v>
      </c>
    </row>
    <row r="63" spans="5:13" x14ac:dyDescent="0.25">
      <c r="M63" s="94" t="s">
        <v>513</v>
      </c>
    </row>
    <row r="64" spans="5:13" x14ac:dyDescent="0.25">
      <c r="M64" s="94" t="s">
        <v>539</v>
      </c>
    </row>
    <row r="65" spans="13:13" x14ac:dyDescent="0.25">
      <c r="M65" s="94" t="s">
        <v>540</v>
      </c>
    </row>
    <row r="66" spans="13:13" x14ac:dyDescent="0.25">
      <c r="M66" s="94" t="s">
        <v>541</v>
      </c>
    </row>
    <row r="67" spans="13:13" x14ac:dyDescent="0.25">
      <c r="M67" s="94" t="s">
        <v>542</v>
      </c>
    </row>
    <row r="68" spans="13:13" x14ac:dyDescent="0.25">
      <c r="M68" s="94" t="s">
        <v>537</v>
      </c>
    </row>
    <row r="69" spans="13:13" x14ac:dyDescent="0.25">
      <c r="M69" s="94" t="s">
        <v>519</v>
      </c>
    </row>
    <row r="70" spans="13:13" x14ac:dyDescent="0.25">
      <c r="M70" s="94" t="s">
        <v>520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8537-C8ED-4D0E-9212-D36B5C75B54F}">
  <dimension ref="A1:CG66"/>
  <sheetViews>
    <sheetView workbookViewId="0">
      <pane xSplit="6" ySplit="11" topLeftCell="G12" activePane="bottomRight" state="frozen"/>
      <selection pane="topRight" activeCell="F1" sqref="F1"/>
      <selection pane="bottomLeft" activeCell="A12" sqref="A12"/>
      <selection pane="bottomRight" activeCell="R2" sqref="R2"/>
    </sheetView>
  </sheetViews>
  <sheetFormatPr defaultRowHeight="15" x14ac:dyDescent="0.25"/>
  <cols>
    <col min="1" max="1" width="10" customWidth="1"/>
    <col min="2" max="2" width="9.28515625" customWidth="1"/>
    <col min="6" max="6" width="2.7109375" customWidth="1"/>
    <col min="7" max="7" width="10.28515625" customWidth="1"/>
    <col min="13" max="13" width="2.140625" customWidth="1"/>
    <col min="14" max="14" width="10.28515625" customWidth="1"/>
    <col min="20" max="20" width="3.7109375" customWidth="1"/>
    <col min="21" max="21" width="6.7109375" customWidth="1"/>
    <col min="22" max="22" width="9.5703125" bestFit="1" customWidth="1"/>
    <col min="23" max="23" width="10.28515625" customWidth="1"/>
    <col min="27" max="27" width="6.42578125" customWidth="1"/>
    <col min="28" max="28" width="6.7109375" customWidth="1"/>
    <col min="29" max="29" width="9.5703125" bestFit="1" customWidth="1"/>
    <col min="30" max="30" width="10.28515625" customWidth="1"/>
    <col min="35" max="35" width="6.7109375" customWidth="1"/>
    <col min="36" max="36" width="9.5703125" bestFit="1" customWidth="1"/>
    <col min="37" max="37" width="10.28515625" customWidth="1"/>
    <col min="41" max="41" width="4.7109375" customWidth="1"/>
    <col min="42" max="42" width="6.7109375" customWidth="1"/>
    <col min="43" max="43" width="9.5703125" bestFit="1" customWidth="1"/>
    <col min="44" max="44" width="10.28515625" customWidth="1"/>
    <col min="48" max="48" width="4.7109375" customWidth="1"/>
    <col min="49" max="49" width="5.5703125" customWidth="1"/>
    <col min="50" max="50" width="7.7109375" customWidth="1"/>
    <col min="51" max="52" width="8.5703125" customWidth="1"/>
    <col min="53" max="53" width="9.85546875" customWidth="1"/>
    <col min="54" max="54" width="8.42578125" customWidth="1"/>
    <col min="56" max="56" width="7.28515625" customWidth="1"/>
    <col min="57" max="57" width="8.5703125" customWidth="1"/>
    <col min="58" max="58" width="10" customWidth="1"/>
    <col min="62" max="62" width="4.7109375" customWidth="1"/>
    <col min="63" max="63" width="7.28515625" customWidth="1"/>
    <col min="64" max="64" width="8.5703125" customWidth="1"/>
    <col min="65" max="65" width="10" customWidth="1"/>
    <col min="69" max="69" width="2.85546875" customWidth="1"/>
    <col min="70" max="70" width="5.85546875" customWidth="1"/>
    <col min="71" max="71" width="6.7109375" customWidth="1"/>
    <col min="75" max="75" width="10.7109375" customWidth="1"/>
    <col min="76" max="76" width="2.42578125" customWidth="1"/>
    <col min="77" max="77" width="1" customWidth="1"/>
    <col min="78" max="78" width="9.140625" customWidth="1"/>
    <col min="79" max="79" width="7.42578125" customWidth="1"/>
    <col min="80" max="80" width="10.28515625" customWidth="1"/>
  </cols>
  <sheetData>
    <row r="1" spans="2:85" ht="15.75" x14ac:dyDescent="0.25">
      <c r="B1" t="s">
        <v>644</v>
      </c>
      <c r="C1">
        <v>26.96</v>
      </c>
      <c r="D1" s="80" t="s">
        <v>0</v>
      </c>
      <c r="E1">
        <f>C1*4</f>
        <v>107.84</v>
      </c>
      <c r="G1" s="80" t="s">
        <v>71</v>
      </c>
      <c r="H1">
        <v>0.1759</v>
      </c>
      <c r="J1" s="80" t="s">
        <v>72</v>
      </c>
      <c r="K1">
        <v>0.2248</v>
      </c>
      <c r="L1">
        <v>0.2248</v>
      </c>
      <c r="N1" s="80" t="s">
        <v>73</v>
      </c>
      <c r="O1">
        <v>285</v>
      </c>
      <c r="R1" s="93" t="s">
        <v>800</v>
      </c>
    </row>
    <row r="2" spans="2:85" ht="15.75" x14ac:dyDescent="0.25">
      <c r="D2" s="80" t="s">
        <v>1</v>
      </c>
      <c r="E2">
        <f>bounty</f>
        <v>0</v>
      </c>
      <c r="G2" s="80" t="s">
        <v>74</v>
      </c>
      <c r="H2">
        <v>0.214</v>
      </c>
      <c r="J2" s="80" t="s">
        <v>75</v>
      </c>
      <c r="K2">
        <v>0.56179999999999997</v>
      </c>
      <c r="L2">
        <v>0.56179999999999997</v>
      </c>
      <c r="N2" s="80" t="s">
        <v>76</v>
      </c>
      <c r="O2">
        <v>50</v>
      </c>
    </row>
    <row r="3" spans="2:85" ht="15.75" x14ac:dyDescent="0.25">
      <c r="D3" s="80" t="s">
        <v>77</v>
      </c>
      <c r="E3">
        <v>2000</v>
      </c>
      <c r="G3" s="80" t="s">
        <v>78</v>
      </c>
      <c r="H3">
        <v>0.54830000000000001</v>
      </c>
      <c r="N3" s="80" t="s">
        <v>79</v>
      </c>
      <c r="O3">
        <v>0</v>
      </c>
    </row>
    <row r="4" spans="2:85" ht="15.75" x14ac:dyDescent="0.25">
      <c r="G4" s="80" t="s">
        <v>80</v>
      </c>
      <c r="H4">
        <v>0</v>
      </c>
      <c r="J4" s="80" t="s">
        <v>639</v>
      </c>
      <c r="K4">
        <v>0.1067</v>
      </c>
      <c r="L4">
        <f>0.1067*2</f>
        <v>0.21340000000000001</v>
      </c>
      <c r="N4" s="80" t="s">
        <v>81</v>
      </c>
      <c r="O4">
        <f>1175-120</f>
        <v>1055</v>
      </c>
    </row>
    <row r="5" spans="2:85" ht="17.25" customHeight="1" x14ac:dyDescent="0.25">
      <c r="G5" s="80" t="s">
        <v>640</v>
      </c>
      <c r="H5">
        <f>0.0206*3</f>
        <v>6.1800000000000001E-2</v>
      </c>
    </row>
    <row r="6" spans="2:85" ht="21" customHeight="1" x14ac:dyDescent="0.25">
      <c r="D6" t="s">
        <v>82</v>
      </c>
      <c r="E6" s="104" t="s">
        <v>645</v>
      </c>
    </row>
    <row r="7" spans="2:85" ht="22.5" customHeight="1" x14ac:dyDescent="0.25">
      <c r="D7" t="s">
        <v>84</v>
      </c>
      <c r="E7" s="105" t="s">
        <v>717</v>
      </c>
    </row>
    <row r="8" spans="2:85" ht="18.75" customHeight="1" x14ac:dyDescent="0.25">
      <c r="D8" t="s">
        <v>86</v>
      </c>
      <c r="E8" s="104" t="s">
        <v>87</v>
      </c>
    </row>
    <row r="9" spans="2:85" ht="6" customHeight="1" x14ac:dyDescent="0.25"/>
    <row r="10" spans="2:85" x14ac:dyDescent="0.25">
      <c r="G10" s="127" t="s">
        <v>88</v>
      </c>
      <c r="H10" s="81" t="s">
        <v>89</v>
      </c>
      <c r="I10" s="81" t="s">
        <v>90</v>
      </c>
      <c r="J10" s="81" t="s">
        <v>91</v>
      </c>
    </row>
    <row r="11" spans="2:85" ht="18.75" x14ac:dyDescent="0.3">
      <c r="G11" s="128"/>
      <c r="H11" s="81">
        <v>1</v>
      </c>
      <c r="I11" s="81">
        <v>0</v>
      </c>
      <c r="J11" s="82">
        <v>0</v>
      </c>
      <c r="K11" s="115"/>
      <c r="L11" s="115"/>
    </row>
    <row r="12" spans="2:85" ht="19.5" thickBot="1" x14ac:dyDescent="0.35">
      <c r="G12" s="115"/>
      <c r="H12" s="115"/>
      <c r="I12" s="115"/>
      <c r="J12" s="115"/>
      <c r="K12" s="115"/>
      <c r="L12" s="115"/>
      <c r="AW12" t="s">
        <v>92</v>
      </c>
      <c r="BD12" t="s">
        <v>93</v>
      </c>
    </row>
    <row r="13" spans="2:85" ht="19.5" thickBot="1" x14ac:dyDescent="0.35">
      <c r="G13" s="115"/>
      <c r="H13" s="115"/>
      <c r="I13" s="115"/>
      <c r="J13" s="115"/>
      <c r="K13" s="115"/>
      <c r="L13" s="115"/>
      <c r="AW13" s="129" t="s">
        <v>723</v>
      </c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1"/>
      <c r="BX13" s="99"/>
      <c r="BY13" s="99"/>
    </row>
    <row r="14" spans="2:85" ht="22.5" thickTop="1" thickBot="1" x14ac:dyDescent="0.4">
      <c r="G14" s="115"/>
      <c r="H14" s="115"/>
      <c r="I14" s="109" t="s">
        <v>725</v>
      </c>
      <c r="J14" s="115"/>
      <c r="K14" s="115"/>
      <c r="L14" s="115"/>
      <c r="P14" s="79" t="s">
        <v>724</v>
      </c>
      <c r="W14" s="110">
        <v>111</v>
      </c>
      <c r="AD14" s="110">
        <v>113</v>
      </c>
      <c r="AK14" s="110">
        <v>131</v>
      </c>
      <c r="AR14" s="110">
        <v>311</v>
      </c>
      <c r="AW14" s="111"/>
      <c r="AX14" s="112"/>
      <c r="AY14" s="112">
        <v>231</v>
      </c>
      <c r="AZ14" s="112"/>
      <c r="BA14" s="112"/>
      <c r="BB14" s="112"/>
      <c r="BC14" s="112"/>
      <c r="BD14" s="112"/>
      <c r="BE14" s="112"/>
      <c r="BF14" s="112">
        <v>321</v>
      </c>
      <c r="BG14" s="112"/>
      <c r="BH14" s="112"/>
      <c r="BI14" s="112"/>
      <c r="BJ14" s="112"/>
      <c r="BK14" s="112"/>
      <c r="BL14" s="112"/>
      <c r="BM14" s="112">
        <v>221</v>
      </c>
      <c r="BN14" s="112"/>
      <c r="BO14" s="112"/>
      <c r="BP14" s="113"/>
      <c r="BT14" t="s">
        <v>99</v>
      </c>
      <c r="BZ14" s="132" t="s">
        <v>95</v>
      </c>
      <c r="CA14" s="133"/>
      <c r="CB14" s="133"/>
      <c r="CC14" s="133"/>
      <c r="CD14" s="99"/>
      <c r="CE14" s="99"/>
    </row>
    <row r="15" spans="2:85" ht="19.5" thickTop="1" x14ac:dyDescent="0.3">
      <c r="G15" s="134" t="s">
        <v>100</v>
      </c>
      <c r="H15" s="135"/>
      <c r="I15" s="135"/>
      <c r="J15" s="135"/>
      <c r="K15" s="136"/>
      <c r="L15" s="115"/>
      <c r="N15" s="134" t="s">
        <v>101</v>
      </c>
      <c r="O15" s="135"/>
      <c r="P15" s="135"/>
      <c r="Q15" s="135"/>
      <c r="R15" s="136"/>
      <c r="S15" s="115"/>
      <c r="T15" s="115"/>
      <c r="U15" s="134" t="s">
        <v>642</v>
      </c>
      <c r="V15" s="135"/>
      <c r="W15" s="135"/>
      <c r="X15" s="135"/>
      <c r="Y15" s="136"/>
      <c r="Z15" s="115"/>
      <c r="AA15" s="115"/>
      <c r="AB15" s="134" t="s">
        <v>642</v>
      </c>
      <c r="AC15" s="135"/>
      <c r="AD15" s="135"/>
      <c r="AE15" s="135"/>
      <c r="AF15" s="136"/>
      <c r="AG15" s="115"/>
      <c r="AH15" s="115"/>
      <c r="AI15" s="134" t="s">
        <v>642</v>
      </c>
      <c r="AJ15" s="135"/>
      <c r="AK15" s="135"/>
      <c r="AL15" s="135"/>
      <c r="AM15" s="136"/>
      <c r="AN15" s="115"/>
      <c r="AP15" s="134" t="s">
        <v>642</v>
      </c>
      <c r="AQ15" s="135"/>
      <c r="AR15" s="135"/>
      <c r="AS15" s="135"/>
      <c r="AT15" s="136"/>
      <c r="AU15" s="115"/>
      <c r="AW15" s="118" t="s">
        <v>102</v>
      </c>
      <c r="AX15" s="119"/>
      <c r="AY15" s="119"/>
      <c r="AZ15" s="119"/>
      <c r="BA15" s="120"/>
      <c r="BB15" s="115"/>
      <c r="BD15" s="118" t="s">
        <v>103</v>
      </c>
      <c r="BE15" s="119"/>
      <c r="BF15" s="119"/>
      <c r="BG15" s="119"/>
      <c r="BH15" s="120"/>
      <c r="BK15" s="118" t="s">
        <v>643</v>
      </c>
      <c r="BL15" s="119"/>
      <c r="BM15" s="119"/>
      <c r="BN15" s="119"/>
      <c r="BO15" s="120"/>
      <c r="BR15" s="121" t="s">
        <v>10</v>
      </c>
      <c r="BS15" s="122"/>
      <c r="BT15" s="122"/>
      <c r="BU15" s="122"/>
      <c r="BV15" s="123"/>
      <c r="BZ15" s="124" t="s">
        <v>104</v>
      </c>
      <c r="CA15" s="125"/>
      <c r="CB15" s="125"/>
      <c r="CC15" s="126"/>
      <c r="CD15" s="115"/>
      <c r="CE15" s="115"/>
    </row>
    <row r="16" spans="2:85" x14ac:dyDescent="0.25">
      <c r="B16" t="s">
        <v>105</v>
      </c>
      <c r="C16" t="s">
        <v>12</v>
      </c>
      <c r="D16" t="s">
        <v>13</v>
      </c>
      <c r="E16" t="s">
        <v>106</v>
      </c>
      <c r="G16" s="5" t="s">
        <v>107</v>
      </c>
      <c r="H16" t="s">
        <v>12</v>
      </c>
      <c r="I16" t="s">
        <v>108</v>
      </c>
      <c r="J16" t="s">
        <v>109</v>
      </c>
      <c r="K16" s="5" t="s">
        <v>1</v>
      </c>
      <c r="L16" s="5" t="s">
        <v>110</v>
      </c>
      <c r="N16" s="5" t="s">
        <v>107</v>
      </c>
      <c r="O16" s="5" t="s">
        <v>12</v>
      </c>
      <c r="P16" s="5" t="s">
        <v>108</v>
      </c>
      <c r="Q16" s="5" t="s">
        <v>109</v>
      </c>
      <c r="R16" s="5" t="s">
        <v>1</v>
      </c>
      <c r="S16" s="5" t="s">
        <v>110</v>
      </c>
      <c r="T16" s="5"/>
      <c r="U16" s="5" t="s">
        <v>107</v>
      </c>
      <c r="V16" s="5" t="s">
        <v>12</v>
      </c>
      <c r="W16" s="5" t="s">
        <v>108</v>
      </c>
      <c r="X16" s="5" t="s">
        <v>109</v>
      </c>
      <c r="Y16" s="5" t="s">
        <v>1</v>
      </c>
      <c r="Z16" s="5" t="s">
        <v>110</v>
      </c>
      <c r="AA16" s="5"/>
      <c r="AB16" s="5" t="s">
        <v>107</v>
      </c>
      <c r="AC16" s="5" t="s">
        <v>12</v>
      </c>
      <c r="AD16" s="5" t="s">
        <v>108</v>
      </c>
      <c r="AE16" s="5" t="s">
        <v>109</v>
      </c>
      <c r="AF16" s="5" t="s">
        <v>1</v>
      </c>
      <c r="AG16" s="5" t="s">
        <v>110</v>
      </c>
      <c r="AH16" s="5"/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s="5" t="s">
        <v>110</v>
      </c>
      <c r="AP16" s="5" t="s">
        <v>107</v>
      </c>
      <c r="AQ16" s="5" t="s">
        <v>12</v>
      </c>
      <c r="AR16" s="5" t="s">
        <v>108</v>
      </c>
      <c r="AS16" s="5" t="s">
        <v>109</v>
      </c>
      <c r="AT16" s="5" t="s">
        <v>1</v>
      </c>
      <c r="AU16" s="5" t="s">
        <v>110</v>
      </c>
      <c r="AW16" s="5" t="s">
        <v>107</v>
      </c>
      <c r="AX16" s="5" t="s">
        <v>12</v>
      </c>
      <c r="AY16" s="5" t="s">
        <v>108</v>
      </c>
      <c r="AZ16" s="5" t="s">
        <v>109</v>
      </c>
      <c r="BA16" s="5" t="s">
        <v>1</v>
      </c>
      <c r="BB16" s="5" t="s">
        <v>110</v>
      </c>
      <c r="BD16" s="5" t="s">
        <v>107</v>
      </c>
      <c r="BE16" s="5" t="s">
        <v>12</v>
      </c>
      <c r="BF16" s="5" t="s">
        <v>108</v>
      </c>
      <c r="BG16" s="5" t="s">
        <v>109</v>
      </c>
      <c r="BH16" s="5" t="s">
        <v>1</v>
      </c>
      <c r="BI16" t="s">
        <v>110</v>
      </c>
      <c r="BK16" s="5" t="s">
        <v>107</v>
      </c>
      <c r="BL16" s="5" t="s">
        <v>12</v>
      </c>
      <c r="BM16" s="5" t="s">
        <v>108</v>
      </c>
      <c r="BN16" s="5" t="s">
        <v>109</v>
      </c>
      <c r="BO16" s="5" t="s">
        <v>1</v>
      </c>
      <c r="BP16" t="s">
        <v>110</v>
      </c>
      <c r="BR16" s="5" t="s">
        <v>107</v>
      </c>
      <c r="BS16" s="5" t="s">
        <v>12</v>
      </c>
      <c r="BT16" s="5" t="s">
        <v>108</v>
      </c>
      <c r="BU16" s="5" t="s">
        <v>109</v>
      </c>
      <c r="BV16" s="5" t="s">
        <v>1</v>
      </c>
      <c r="BW16" t="s">
        <v>110</v>
      </c>
      <c r="BZ16" s="5" t="s">
        <v>109</v>
      </c>
      <c r="CA16" s="5" t="s">
        <v>1</v>
      </c>
      <c r="CB16" s="5" t="s">
        <v>104</v>
      </c>
      <c r="CC16" s="5" t="s">
        <v>111</v>
      </c>
      <c r="CD16" s="5" t="s">
        <v>634</v>
      </c>
      <c r="CE16" s="5" t="s">
        <v>635</v>
      </c>
      <c r="CF16" t="s">
        <v>112</v>
      </c>
      <c r="CG16" t="s">
        <v>113</v>
      </c>
    </row>
    <row r="17" spans="1:85" x14ac:dyDescent="0.25">
      <c r="A17" t="s">
        <v>794</v>
      </c>
      <c r="B17" s="26">
        <v>2</v>
      </c>
      <c r="C17" s="26">
        <v>730</v>
      </c>
      <c r="D17" s="26" t="s">
        <v>797</v>
      </c>
      <c r="E17" s="26">
        <v>70</v>
      </c>
      <c r="G17" s="73">
        <f>COUNTIF(T_p121351975546168151175[stack],"&gt;0")</f>
        <v>1</v>
      </c>
      <c r="H17" s="26">
        <f>IF(T_init2034474536067150174[[#This Row],[p]]=1,mainpot+sidepot1+sidepot2+uncalled,IF(T_init2034474536067150174[[#This Row],[p]]&gt;1,0,T_init2034474536067150174[[#This Row],[stack]]-T_init2034474536067150174[[#This Row],[anteblinds]]))</f>
        <v>0</v>
      </c>
      <c r="I17" s="26"/>
      <c r="J17" s="27">
        <f>T_p121351975546168151175[[#This Row],[EQ]]*prize</f>
        <v>0</v>
      </c>
      <c r="K17" s="71">
        <f>IF(T_init2034474536067150174[[#This Row],[p]]=1,T_p121351975546168151175[[#This Row],[players]]*T_p121351975546168151175[[#This Row],[stack]]/chips+COUNTIF(T_p121351975546168151175[stack],0),T_p121351975546168151175[[#This Row],[players]]*T_p121351975546168151175[[#This Row],[stack]]/chips)</f>
        <v>0</v>
      </c>
      <c r="L17" s="71">
        <f>T_p121351975546168151175[[#This Row],[ICM]]+bounty*T_p121351975546168151175[[#This Row],[KO]]</f>
        <v>0</v>
      </c>
      <c r="N17" s="29">
        <f>COUNTIF(T_p222362576556269152176[stack],"&gt;0")</f>
        <v>2</v>
      </c>
      <c r="O17" s="2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335</v>
      </c>
      <c r="P17" s="26"/>
      <c r="Q17" s="27">
        <f>T_p222362576556269152176[[#This Row],[EQ]]*prize</f>
        <v>0</v>
      </c>
      <c r="R17" s="71">
        <f>IF(T_init2034474536067150174[[#This Row],[p]]=2,T_p222362576556269152176[[#This Row],[players]]*T_p222362576556269152176[[#This Row],[stack]]/chips+COUNTIF(T_p222362576556269152176[stack],0),T_p222362576556269152176[[#This Row],[players]]*T_p222362576556269152176[[#This Row],[stack]]/chips)</f>
        <v>4.335</v>
      </c>
      <c r="S17" s="71">
        <f>T_p222362576556269152176[[#This Row],[ICM]]+bounty*T_p222362576556269152176[[#This Row],[KO]]</f>
        <v>0</v>
      </c>
      <c r="T17" s="71"/>
      <c r="U17" s="29">
        <f>COUNTIF(T_p22236257655626974157181[stack],"&gt;0")</f>
        <v>3</v>
      </c>
      <c r="V17" s="26">
        <f>IF(T_init2034474536067150174[[#This Row],[p]]=1,ROUND(uncalled + mainpot/3, 0) + ROUND(sidepot1/2,0),IF(T_init2034474536067150174[[#This Row],[p]]=2,ROUND(mainpot/3,0) + ROUND(sidepot1/2,0),IF(T_init2034474536067150174[[#This Row],[p]]=3, ROUNDUP(mainpot/3,0),T_init2034474536067150174[[#This Row],[stack]]-T_init2034474536067150174[[#This Row],[anteblinds]])))</f>
        <v>120</v>
      </c>
      <c r="W17" s="26">
        <v>5.9499999999999997E-2</v>
      </c>
      <c r="X17" s="27">
        <f>T_p22236257655626974157181[[#This Row],[EQ]]*prize</f>
        <v>6.41648</v>
      </c>
      <c r="Y17" s="71">
        <f>IF(T_init2034474536067150174[[#This Row],[p]]=2,T_p22236257655626974157181[[#This Row],[players]]*T_p22236257655626974157181[[#This Row],[stack]]/chips+COUNTIF(T_p22236257655626974157181[stack],0),T_p22236257655626974157181[[#This Row],[players]]*T_p22236257655626974157181[[#This Row],[stack]]/chips)</f>
        <v>3.18</v>
      </c>
      <c r="Z17" s="71">
        <f>T_p22236257655626974157181[[#This Row],[ICM]]+bounty*T_p22236257655626974157181[[#This Row],[KO]]</f>
        <v>6.41648</v>
      </c>
      <c r="AA17" s="71"/>
      <c r="AB17" s="29">
        <f>COUNTIF(T_p22236257655626974157159183[stack],"&gt;0")</f>
        <v>2</v>
      </c>
      <c r="AC17" s="26">
        <f>IF(T_init2034474536067150174[[#This Row],[p]]=1,ROUNDDOWN(uncalled + mainpot/2, 0) + ROUNDDOWN(sidepot1/2,0),IF(T_init2034474536067150174[[#This Row],[p]]=2,ROUND(mainpot/2,0) + ROUND(sidepot1/2,0),IF(T_init2034474536067150174[[#This Row],[p]]=3, 0,T_init2034474536067150174[[#This Row],[stack]]-T_init2034474536067150174[[#This Row],[anteblinds]])))</f>
        <v>168</v>
      </c>
      <c r="AD17" s="26">
        <v>5.9499999999999997E-2</v>
      </c>
      <c r="AE17" s="27">
        <f>T_p22236257655626974157159183[[#This Row],[EQ]]*prize</f>
        <v>6.41648</v>
      </c>
      <c r="AF17" s="71">
        <f>IF(T_init2034474536067150174[[#This Row],[p]]=2,T_p22236257655626974157159183[[#This Row],[players]]*T_p22236257655626974157159183[[#This Row],[stack]]/chips+COUNTIF(T_p22236257655626974157159183[stack],0),T_p22236257655626974157159183[[#This Row],[players]]*T_p22236257655626974157159183[[#This Row],[stack]]/chips)</f>
        <v>4.1680000000000001</v>
      </c>
      <c r="AG17" s="71">
        <f>T_p22236257655626974157159183[[#This Row],[ICM]]+bounty*T_p22236257655626974157159183[[#This Row],[KO]]</f>
        <v>6.41648</v>
      </c>
      <c r="AH17" s="71"/>
      <c r="AI17" s="29">
        <f>COUNTIF(T_p22236257655626974157159160184[stack],"&gt;0")</f>
        <v>2</v>
      </c>
      <c r="AJ17" s="26">
        <f>IF(T_init2034474536067150174[[#This Row],[p]]=1,ROUNDDOWN(uncalled + mainpot/2, 0) + ROUNDDOWN(sidepot1,0),IF(T_init2034474536067150174[[#This Row],[p]]=2,0,IF(T_init2034474536067150174[[#This Row],[p]]=3, ROUNDUP(mainpot/2,0),T_init2034474536067150174[[#This Row],[stack]]-T_init2034474536067150174[[#This Row],[anteblinds]])))</f>
        <v>0</v>
      </c>
      <c r="AK17" s="26">
        <v>5.9499999999999997E-2</v>
      </c>
      <c r="AL17" s="27">
        <f>T_p22236257655626974157159160184[[#This Row],[EQ]]*prize</f>
        <v>6.41648</v>
      </c>
      <c r="AM17" s="71">
        <f>IF(T_init2034474536067150174[[#This Row],[p]]=2,T_p22236257655626974157159160184[[#This Row],[players]]*T_p22236257655626974157159160184[[#This Row],[stack]]/chips+COUNTIF(T_p22236257655626974157159160184[stack],0),T_p22236257655626974157159160184[[#This Row],[players]]*T_p22236257655626974157159160184[[#This Row],[stack]]/chips)</f>
        <v>4</v>
      </c>
      <c r="AN17" s="71">
        <f>T_p22236257655626974157159160184[[#This Row],[ICM]]+bounty*T_p22236257655626974157159160184[[#This Row],[KO]]</f>
        <v>6.41648</v>
      </c>
      <c r="AP17" s="29">
        <f>COUNTIF(T_p22236257655626974157159160161185[stack],"&gt;0")</f>
        <v>3</v>
      </c>
      <c r="AQ17" s="26">
        <f>IF(T_init2034474536067150174[[#This Row],[p]]=1,uncalled,IF(T_init2034474536067150174[[#This Row],[p]]=2,ROUNDDOWN(mainpot/2,0) + ROUNDDOWN(sidepot1,0),IF(T_init2034474536067150174[[#This Row],[p]]=3, ROUNDUP(mainpot/2,0),T_init2034474536067150174[[#This Row],[stack]]-T_init2034474536067150174[[#This Row],[anteblinds]])))</f>
        <v>192</v>
      </c>
      <c r="AR17" s="26">
        <v>5.9499999999999997E-2</v>
      </c>
      <c r="AS17" s="27">
        <f>T_p22236257655626974157159160161185[[#This Row],[EQ]]*prize</f>
        <v>6.41648</v>
      </c>
      <c r="AT17" s="71">
        <f>IF(T_init2034474536067150174[[#This Row],[p]]=2,T_p22236257655626974157159160161185[[#This Row],[players]]*T_p22236257655626974157159160161185[[#This Row],[stack]]/chips+COUNTIF(T_p22236257655626974157159160161185[stack],0),T_p22236257655626974157159160161185[[#This Row],[players]]*T_p22236257655626974157159160161185[[#This Row],[stack]]/chips)</f>
        <v>3.2879999999999998</v>
      </c>
      <c r="AU17" s="71">
        <f>T_p22236257655626974157159160161185[[#This Row],[ICM]]+bounty*T_p22236257655626974157159160161185[[#This Row],[KO]]</f>
        <v>6.41648</v>
      </c>
      <c r="AW17" s="73">
        <f>COUNTIF(T_p3p123372677566370153177[stack],"&gt;0")</f>
        <v>2</v>
      </c>
      <c r="AX17" s="26">
        <f>IF(T_init2034474536067150174[[#This Row],[p]]=1,sidepot1+uncalled,IF(T_init2034474536067150174[[#This Row],[p]]=3,mainpot,IF(ISBLANK(T_init2034474536067150174[[#This Row],[p]]),T_init2034474536067150174[[#This Row],[stack]]-T_init2034474536067150174[[#This Row],[anteblinds]],0)))</f>
        <v>0</v>
      </c>
      <c r="AY17" s="26">
        <v>0.17749999999999999</v>
      </c>
      <c r="AZ17" s="27">
        <f>T_p3p123372677566370153177[[#This Row],[EQ]]*prize</f>
        <v>19.1416</v>
      </c>
      <c r="BA17" s="71">
        <f>IF(T_init2034474536067150174[[#This Row],[p]]=1,T_p3p123372677566370153177[[#This Row],[players]]*T_p3p123372677566370153177[[#This Row],[stack]]/chips+COUNTIF(T_p3p123372677566370153177[stack],0),T_p3p123372677566370153177[[#This Row],[players]]*T_p3p123372677566370153177[[#This Row],[stack]]/chips)</f>
        <v>0</v>
      </c>
      <c r="BB17" s="71">
        <f>T_p3p123372677566370153177[[#This Row],[ICM]]+bounty*T_p3p123372677566370153177[[#This Row],[KO]]</f>
        <v>19.1416</v>
      </c>
      <c r="BD17" s="73">
        <f>COUNTIF(T_p3p224382778576471154178[stack],"&gt;0")</f>
        <v>3</v>
      </c>
      <c r="BE17" s="26">
        <f>IF(T_init2034474536067150174[[#This Row],[p]]=1,uncalled,IF(T_init2034474536067150174[[#This Row],[p]]=2,sidepot1,IF(T_init2034474536067150174[[#This Row],[p]]=3,mainpot,IF(ISBLANK(T_init2034474536067150174[[#This Row],[p]]),T_init2034474536067150174[[#This Row],[stack]]-T_init2034474536067150174[[#This Row],[anteblinds]],0))))</f>
        <v>50</v>
      </c>
      <c r="BF17" s="26">
        <v>0.17749999999999999</v>
      </c>
      <c r="BG17" s="27">
        <f>T_p3p224382778576471154178[[#This Row],[EQ]]*prize</f>
        <v>19.1416</v>
      </c>
      <c r="BH17" s="71">
        <f>IF(T_init2034474536067150174[[#This Row],[p]]=2,T_p3p224382778576471154178[[#This Row],[players]]*T_p3p224382778576471154178[[#This Row],[stack]]/chips+COUNTIF(T_p3p224382778576471154178[stack],0),T_p3p224382778576471154178[[#This Row],[players]]*T_p3p224382778576471154178[[#This Row],[stack]]/chips)</f>
        <v>3.0750000000000002</v>
      </c>
      <c r="BI17" s="71">
        <f>T_p3p224382778576471154178[[#This Row],[ICM]]+bounty*T_p3p224382778576471154178[[#This Row],[KO]]</f>
        <v>19.1416</v>
      </c>
      <c r="BK17" s="73">
        <f>COUNTIF(T_p3p22438277857647175158182[stack],"&gt;0")</f>
        <v>3</v>
      </c>
      <c r="BL17" s="26">
        <f>IF(T_init2034474536067150174[[#This Row],[p]]=1,uncalled + ROUND(sidepot1/2,0),IF(T_init2034474536067150174[[#This Row],[p]]=2,ROUND(sidepot1/2,0),IF(T_init2034474536067150174[[#This Row],[p]]=3,mainpot,IF(ISBLANK(T_init2034474536067150174[[#This Row],[p]]),T_init2034474536067150174[[#This Row],[stack]]-T_init2034474536067150174[[#This Row],[anteblinds]],0))))</f>
        <v>25</v>
      </c>
      <c r="BM17" s="26">
        <v>0.17749999999999999</v>
      </c>
      <c r="BN17" s="27">
        <f>T_p3p22438277857647175158182[[#This Row],[EQ]]*prize</f>
        <v>19.1416</v>
      </c>
      <c r="BO17" s="71">
        <f>IF(T_init2034474536067150174[[#This Row],[p]]=2,T_p3p22438277857647175158182[[#This Row],[players]]*T_p3p22438277857647175158182[[#This Row],[stack]]/chips+COUNTIF(T_p3p22438277857647175158182[stack],0),T_p3p22438277857647175158182[[#This Row],[players]]*T_p3p22438277857647175158182[[#This Row],[stack]]/chips)</f>
        <v>3.0375000000000001</v>
      </c>
      <c r="BP17" s="71">
        <f>T_p3p22438277857647175158182[[#This Row],[ICM]]+bounty*T_p3p22438277857647175158182[[#This Row],[KO]]</f>
        <v>19.1416</v>
      </c>
      <c r="BR17" s="73">
        <v>3</v>
      </c>
      <c r="BS17" s="2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335</v>
      </c>
      <c r="BT17" s="26"/>
      <c r="BU17" s="27">
        <f>T_fact29392879586572155179[[#This Row],[EQ]]*prize</f>
        <v>0</v>
      </c>
      <c r="BV17" s="71">
        <f>IF(T_init2034474536067150174[[#This Row],[p]]=1,T_fact29392879586572155179[[#This Row],[players]]*T_fact29392879586572155179[[#This Row],[stack]]/chips+COUNTIF(T_fact29392879586572155179[stack],0),T_fact29392879586572155179[[#This Row],[players]]*T_fact29392879586572155179[[#This Row],[stack]]/chips)</f>
        <v>0.50249999999999995</v>
      </c>
      <c r="BW17" s="71">
        <f>T_fact29392879586572155179[[#This Row],[ICM]]+bounty*T_fact29392879586572155179[[#This Row],[KO]]</f>
        <v>0</v>
      </c>
      <c r="BZ17" s="72">
        <f>'3way-bu-call-sb-call разбивка'!p3win* ('3way-bu-call-sb-call разбивка'!p1sp1win*T_p3p123372677566370153177[[#This Row],[ICM]] + '3way-bu-call-sb-call разбивка'!p2sp1win*T_p3p224382778576471154178[[#This Row],[ICM]] + tiesp1*T_p3p22438277857647175158182[[#This Row],[ICM]])
+'3way-bu-call-sb-call разбивка'!p2win*T_p222362576556269152176[[#This Row],[ICM]]
+'3way-bu-call-sb-call разбивка'!p1win*T_p121351975546168151175[[#This Row],[ICM]]
+'3way-bu-call-sb-call разбивка'!tie*T_p22236257655626974157181[[#This Row],[ICM]]</f>
        <v>9.7720250428240014</v>
      </c>
      <c r="CA17" s="33">
        <f>('3way-bu-call-sb-call разбивка'!p3win* ('3way-bu-call-sb-call разбивка'!p1sp1win*T_p3p123372677566370153177[[#This Row],[KO]] + '3way-bu-call-sb-call разбивка'!p2sp1win*T_p3p224382778576471154178[[#This Row],[KO]])
+'3way-bu-call-sb-call разбивка'!p2win*T_p222362576556269152176[[#This Row],[KO]]
+'3way-bu-call-sb-call разбивка'!p1win*T_p121351975546168151175[[#This Row],[KO]])*bounty</f>
        <v>0</v>
      </c>
      <c r="CB17" s="72">
        <f>'3way-bu-call-sb-call разбивка'!p3win* ('3way-bu-call-sb-call разбивка'!p1sp1win*T_p3p123372677566370153177[[#This Row],[$stack]] + '3way-bu-call-sb-call разбивка'!p2sp1win*T_p3p224382778576471154178[[#This Row],[$stack]])
+'3way-bu-call-sb-call разбивка'!p2win*T_p222362576556269152176[[#This Row],[$stack]]
+'3way-bu-call-sb-call разбивка'!p1win*T_p121351975546168151175[[#This Row],[$stack]]</f>
        <v>8.2556338776480001</v>
      </c>
      <c r="CC17" s="33">
        <f>'3way-bu-call-sb-call разбивка'!p3win* ('3way-bu-call-sb-call разбивка'!p1sp1win*T_p3p123372677566370153177[[#This Row],[stack]] + '3way-bu-call-sb-call разбивка'!p2sp1win*T_p3p224382778576471154178[[#This Row],[stack]] + tiesp1*T_p3p22438277857647175158182[[#This Row],[stack]])
+'3way-bu-call-sb-call разбивка'!p2win*T_p222362576556269152176[[#This Row],[stack]]
+'3way-bu-call-sb-call разбивка'!p1win*T_p121351975546168151175[[#This Row],[stack]]
+tie*T_p22236257655626974157181[[#This Row],[stack]]</f>
        <v>95.97033725</v>
      </c>
      <c r="CD17" s="72">
        <f>T_fact29392879586572155179[[#This Row],[stack]]- T_init2034474536067150174[[#This Row],[stack]]</f>
        <v>-395</v>
      </c>
      <c r="CE17" s="72">
        <f>T_EV33403080596673156180[[#This Row],[netwon]]+T_EV33403080596673156180[[#This Row],[cEVdiff]]</f>
        <v>-634.02966274999994</v>
      </c>
      <c r="CF17" s="2">
        <f>T_EV33403080596673156180[[#This Row],[chipEV]]-T_fact29392879586572155179[[#This Row],[stack]]</f>
        <v>-239.02966275</v>
      </c>
      <c r="CG17" s="2">
        <f>T_EV33403080596673156180[[#This Row],[EV]]-(T_fact29392879586572155179[[#This Row],[ICM]])</f>
        <v>8.2556338776480001</v>
      </c>
    </row>
    <row r="18" spans="1:85" s="17" customFormat="1" x14ac:dyDescent="0.25">
      <c r="A18" s="17" t="s">
        <v>795</v>
      </c>
      <c r="B18" s="17">
        <v>1</v>
      </c>
      <c r="C18" s="17">
        <v>1175</v>
      </c>
      <c r="D18" s="17" t="s">
        <v>798</v>
      </c>
      <c r="E18" s="17">
        <v>120</v>
      </c>
      <c r="G18" s="83">
        <f>COUNTIF(T_p121351975546168151175[stack],"&gt;0")</f>
        <v>1</v>
      </c>
      <c r="H18" s="17">
        <f>IF(T_init2034474536067150174[[#This Row],[p]]=1,mainpot+sidepot1+sidepot2+uncalled,IF(T_init2034474536067150174[[#This Row],[p]]&gt;1,0,T_init2034474536067150174[[#This Row],[stack]]-T_init2034474536067150174[[#This Row],[anteblinds]]))</f>
        <v>1390</v>
      </c>
      <c r="I18" s="17">
        <v>0.28499999999999998</v>
      </c>
      <c r="J18" s="18">
        <f>T_p121351975546168151175[[#This Row],[EQ]]*prize</f>
        <v>30.734399999999997</v>
      </c>
      <c r="K18" s="67">
        <f>IF(T_init2034474536067150174[[#This Row],[p]]=1,T_p121351975546168151175[[#This Row],[players]]*T_p121351975546168151175[[#This Row],[stack]]/chips+COUNTIF(T_p121351975546168151175[stack],0),T_p121351975546168151175[[#This Row],[players]]*T_p121351975546168151175[[#This Row],[stack]]/chips)</f>
        <v>5.6950000000000003</v>
      </c>
      <c r="L18" s="67">
        <f>T_p121351975546168151175[[#This Row],[ICM]]+bounty*T_p121351975546168151175[[#This Row],[KO]]</f>
        <v>30.734399999999997</v>
      </c>
      <c r="N18" s="19">
        <f>COUNTIF(T_p222362576556269152176[stack],"&gt;0")</f>
        <v>2</v>
      </c>
      <c r="O18" s="17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1055</v>
      </c>
      <c r="P18" s="17">
        <v>0.28499999999999998</v>
      </c>
      <c r="Q18" s="18">
        <f>T_p222362576556269152176[[#This Row],[EQ]]*prize</f>
        <v>30.734399999999997</v>
      </c>
      <c r="R18" s="67">
        <f>IF(T_init2034474536067150174[[#This Row],[p]]=2,T_p222362576556269152176[[#This Row],[players]]*T_p222362576556269152176[[#This Row],[stack]]/chips+COUNTIF(T_p222362576556269152176[stack],0),T_p222362576556269152176[[#This Row],[players]]*T_p222362576556269152176[[#This Row],[stack]]/chips)</f>
        <v>1.0549999999999999</v>
      </c>
      <c r="S18" s="67">
        <f>T_p222362576556269152176[[#This Row],[ICM]]+bounty*T_p222362576556269152176[[#This Row],[KO]]</f>
        <v>30.734399999999997</v>
      </c>
      <c r="T18" s="67"/>
      <c r="U18" s="19">
        <f>COUNTIF(T_p22236257655626974157181[stack],"&gt;0")</f>
        <v>3</v>
      </c>
      <c r="V18" s="17">
        <f>IF(T_init2034474536067150174[[#This Row],[p]]=1,ROUND(uncalled + mainpot/3, 0) + ROUND(sidepot1/2,0),IF(T_init2034474536067150174[[#This Row],[p]]=2,ROUND(mainpot/3,0) + ROUND(sidepot1/2,0),IF(T_init2034474536067150174[[#This Row],[p]]=3, ROUNDUP(mainpot/3,0),T_init2034474536067150174[[#This Row],[stack]]-T_init2034474536067150174[[#This Row],[anteblinds]])))</f>
        <v>1175</v>
      </c>
      <c r="W18" s="17">
        <v>0.28499999999999998</v>
      </c>
      <c r="X18" s="18">
        <f>T_p22236257655626974157181[[#This Row],[EQ]]*prize</f>
        <v>30.734399999999997</v>
      </c>
      <c r="Y18" s="67">
        <f>IF(T_init2034474536067150174[[#This Row],[p]]=2,T_p22236257655626974157181[[#This Row],[players]]*T_p22236257655626974157181[[#This Row],[stack]]/chips+COUNTIF(T_p22236257655626974157181[stack],0),T_p22236257655626974157181[[#This Row],[players]]*T_p22236257655626974157181[[#This Row],[stack]]/chips)</f>
        <v>1.7625</v>
      </c>
      <c r="Z18" s="67">
        <f>T_p22236257655626974157181[[#This Row],[ICM]]+bounty*T_p22236257655626974157181[[#This Row],[KO]]</f>
        <v>30.734399999999997</v>
      </c>
      <c r="AA18" s="67"/>
      <c r="AB18" s="19">
        <f>COUNTIF(T_p22236257655626974157159183[stack],"&gt;0")</f>
        <v>2</v>
      </c>
      <c r="AC18" s="17">
        <f>IF(T_init2034474536067150174[[#This Row],[p]]=1,ROUNDDOWN(uncalled + mainpot/2, 0) + ROUNDDOWN(sidepot1/2,0),IF(T_init2034474536067150174[[#This Row],[p]]=2,ROUND(mainpot/2,0) + ROUND(sidepot1/2,0),IF(T_init2034474536067150174[[#This Row],[p]]=3, 0,T_init2034474536067150174[[#This Row],[stack]]-T_init2034474536067150174[[#This Row],[anteblinds]])))</f>
        <v>1222</v>
      </c>
      <c r="AD18" s="17">
        <v>0.28499999999999998</v>
      </c>
      <c r="AE18" s="18">
        <f>T_p22236257655626974157159183[[#This Row],[EQ]]*prize</f>
        <v>30.734399999999997</v>
      </c>
      <c r="AF18" s="67">
        <f>IF(T_init2034474536067150174[[#This Row],[p]]=2,T_p22236257655626974157159183[[#This Row],[players]]*T_p22236257655626974157159183[[#This Row],[stack]]/chips+COUNTIF(T_p22236257655626974157159183[stack],0),T_p22236257655626974157159183[[#This Row],[players]]*T_p22236257655626974157159183[[#This Row],[stack]]/chips)</f>
        <v>1.222</v>
      </c>
      <c r="AG18" s="67">
        <f>T_p22236257655626974157159183[[#This Row],[ICM]]+bounty*T_p22236257655626974157159183[[#This Row],[KO]]</f>
        <v>30.734399999999997</v>
      </c>
      <c r="AH18" s="67"/>
      <c r="AI18" s="19">
        <f>COUNTIF(T_p22236257655626974157159160184[stack],"&gt;0")</f>
        <v>2</v>
      </c>
      <c r="AJ18" s="17">
        <f>IF(T_init2034474536067150174[[#This Row],[p]]=1,ROUNDDOWN(uncalled + mainpot/2, 0) + ROUNDDOWN(sidepot1,0),IF(T_init2034474536067150174[[#This Row],[p]]=2,0,IF(T_init2034474536067150174[[#This Row],[p]]=3, ROUNDUP(mainpot/2,0),T_init2034474536067150174[[#This Row],[stack]]-T_init2034474536067150174[[#This Row],[anteblinds]])))</f>
        <v>1247</v>
      </c>
      <c r="AK18" s="17">
        <v>0.28499999999999998</v>
      </c>
      <c r="AL18" s="18">
        <f>T_p22236257655626974157159160184[[#This Row],[EQ]]*prize</f>
        <v>30.734399999999997</v>
      </c>
      <c r="AM18" s="67">
        <f>IF(T_init2034474536067150174[[#This Row],[p]]=2,T_p22236257655626974157159160184[[#This Row],[players]]*T_p22236257655626974157159160184[[#This Row],[stack]]/chips+COUNTIF(T_p22236257655626974157159160184[stack],0),T_p22236257655626974157159160184[[#This Row],[players]]*T_p22236257655626974157159160184[[#This Row],[stack]]/chips)</f>
        <v>1.2470000000000001</v>
      </c>
      <c r="AN18" s="67">
        <f>T_p22236257655626974157159160184[[#This Row],[ICM]]+bounty*T_p22236257655626974157159160184[[#This Row],[KO]]</f>
        <v>30.734399999999997</v>
      </c>
      <c r="AP18" s="19">
        <f>COUNTIF(T_p22236257655626974157159160161185[stack],"&gt;0")</f>
        <v>3</v>
      </c>
      <c r="AQ18" s="17">
        <f>IF(T_init2034474536067150174[[#This Row],[p]]=1,uncalled,IF(T_init2034474536067150174[[#This Row],[p]]=2,ROUNDDOWN(mainpot/2,0) + ROUNDDOWN(sidepot1,0),IF(T_init2034474536067150174[[#This Row],[p]]=3, ROUNDUP(mainpot/2,0),T_init2034474536067150174[[#This Row],[stack]]-T_init2034474536067150174[[#This Row],[anteblinds]])))</f>
        <v>1055</v>
      </c>
      <c r="AR18" s="17">
        <v>0.28499999999999998</v>
      </c>
      <c r="AS18" s="18">
        <f>T_p22236257655626974157159160161185[[#This Row],[EQ]]*prize</f>
        <v>30.734399999999997</v>
      </c>
      <c r="AT18" s="67">
        <f>IF(T_init2034474536067150174[[#This Row],[p]]=2,T_p22236257655626974157159160161185[[#This Row],[players]]*T_p22236257655626974157159160161185[[#This Row],[stack]]/chips+COUNTIF(T_p22236257655626974157159160161185[stack],0),T_p22236257655626974157159160161185[[#This Row],[players]]*T_p22236257655626974157159160161185[[#This Row],[stack]]/chips)</f>
        <v>1.5825</v>
      </c>
      <c r="AU18" s="67">
        <f>T_p22236257655626974157159160161185[[#This Row],[ICM]]+bounty*T_p22236257655626974157159160161185[[#This Row],[KO]]</f>
        <v>30.734399999999997</v>
      </c>
      <c r="AW18" s="83">
        <f>COUNTIF(T_p3p123372677566370153177[stack],"&gt;0")</f>
        <v>2</v>
      </c>
      <c r="AX18" s="17">
        <f>IF(T_init2034474536067150174[[#This Row],[p]]=1,sidepot1+uncalled,IF(T_init2034474536067150174[[#This Row],[p]]=3,mainpot,IF(ISBLANK(T_init2034474536067150174[[#This Row],[p]]),T_init2034474536067150174[[#This Row],[stack]]-T_init2034474536067150174[[#This Row],[anteblinds]],0)))</f>
        <v>1105</v>
      </c>
      <c r="AY18" s="17">
        <v>0.28499999999999998</v>
      </c>
      <c r="AZ18" s="18">
        <f>T_p3p123372677566370153177[[#This Row],[EQ]]*prize</f>
        <v>30.734399999999997</v>
      </c>
      <c r="BA18" s="67">
        <f>IF(T_init2034474536067150174[[#This Row],[p]]=1,T_p3p123372677566370153177[[#This Row],[players]]*T_p3p123372677566370153177[[#This Row],[stack]]/chips+COUNTIF(T_p3p123372677566370153177[stack],0),T_p3p123372677566370153177[[#This Row],[players]]*T_p3p123372677566370153177[[#This Row],[stack]]/chips)</f>
        <v>5.1050000000000004</v>
      </c>
      <c r="BB18" s="67">
        <f>T_p3p123372677566370153177[[#This Row],[ICM]]+bounty*T_p3p123372677566370153177[[#This Row],[KO]]</f>
        <v>30.734399999999997</v>
      </c>
      <c r="BD18" s="83">
        <f>COUNTIF(T_p3p224382778576471154178[stack],"&gt;0")</f>
        <v>3</v>
      </c>
      <c r="BE18" s="17">
        <f>IF(T_init2034474536067150174[[#This Row],[p]]=1,uncalled,IF(T_init2034474536067150174[[#This Row],[p]]=2,sidepot1,IF(T_init2034474536067150174[[#This Row],[p]]=3,mainpot,IF(ISBLANK(T_init2034474536067150174[[#This Row],[p]]),T_init2034474536067150174[[#This Row],[stack]]-T_init2034474536067150174[[#This Row],[anteblinds]],0))))</f>
        <v>1055</v>
      </c>
      <c r="BF18" s="17">
        <v>0.28499999999999998</v>
      </c>
      <c r="BG18" s="18">
        <f>T_p3p224382778576471154178[[#This Row],[EQ]]*prize</f>
        <v>30.734399999999997</v>
      </c>
      <c r="BH18" s="67">
        <f>IF(T_init2034474536067150174[[#This Row],[p]]=2,T_p3p224382778576471154178[[#This Row],[players]]*T_p3p224382778576471154178[[#This Row],[stack]]/chips+COUNTIF(T_p3p224382778576471154178[stack],0),T_p3p224382778576471154178[[#This Row],[players]]*T_p3p224382778576471154178[[#This Row],[stack]]/chips)</f>
        <v>1.5825</v>
      </c>
      <c r="BI18" s="24">
        <f>T_p3p224382778576471154178[[#This Row],[ICM]]+bounty*T_p3p224382778576471154178[[#This Row],[KO]]</f>
        <v>30.734399999999997</v>
      </c>
      <c r="BK18" s="83">
        <f>COUNTIF(T_p3p22438277857647175158182[stack],"&gt;0")</f>
        <v>3</v>
      </c>
      <c r="BL18" s="17">
        <f>IF(T_init2034474536067150174[[#This Row],[p]]=1,uncalled + ROUND(sidepot1/2,0),IF(T_init2034474536067150174[[#This Row],[p]]=2,ROUND(sidepot1/2,0),IF(T_init2034474536067150174[[#This Row],[p]]=3,mainpot,IF(ISBLANK(T_init2034474536067150174[[#This Row],[p]]),T_init2034474536067150174[[#This Row],[stack]]-T_init2034474536067150174[[#This Row],[anteblinds]],0))))</f>
        <v>1080</v>
      </c>
      <c r="BM18" s="17">
        <v>0.28499999999999998</v>
      </c>
      <c r="BN18" s="18">
        <f>T_p3p22438277857647175158182[[#This Row],[EQ]]*prize</f>
        <v>30.734399999999997</v>
      </c>
      <c r="BO18" s="67">
        <f>IF(T_init2034474536067150174[[#This Row],[p]]=2,T_p3p22438277857647175158182[[#This Row],[players]]*T_p3p22438277857647175158182[[#This Row],[stack]]/chips+COUNTIF(T_p3p22438277857647175158182[stack],0),T_p3p22438277857647175158182[[#This Row],[players]]*T_p3p22438277857647175158182[[#This Row],[stack]]/chips)</f>
        <v>1.62</v>
      </c>
      <c r="BP18" s="24">
        <f>T_p3p22438277857647175158182[[#This Row],[ICM]]+bounty*T_p3p22438277857647175158182[[#This Row],[KO]]</f>
        <v>30.734399999999997</v>
      </c>
      <c r="BR18" s="83">
        <v>3</v>
      </c>
      <c r="BS18" s="17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1055</v>
      </c>
      <c r="BT18" s="17">
        <v>0.28499999999999998</v>
      </c>
      <c r="BU18" s="18">
        <f>T_fact29392879586572155179[[#This Row],[EQ]]*prize</f>
        <v>30.734399999999997</v>
      </c>
      <c r="BV18" s="67">
        <f>IF(T_init2034474536067150174[[#This Row],[p]]=1,T_fact29392879586572155179[[#This Row],[players]]*T_fact29392879586572155179[[#This Row],[stack]]/chips+COUNTIF(T_fact29392879586572155179[stack],0),T_fact29392879586572155179[[#This Row],[players]]*T_fact29392879586572155179[[#This Row],[stack]]/chips)</f>
        <v>5.5824999999999996</v>
      </c>
      <c r="BW18" s="24">
        <f>T_fact29392879586572155179[[#This Row],[ICM]]+bounty*T_fact29392879586572155179[[#This Row],[KO]]</f>
        <v>30.734399999999997</v>
      </c>
      <c r="BZ18" s="69">
        <f>'3way-bu-call-sb-call разбивка'!p3win* ('3way-bu-call-sb-call разбивка'!p1sp1win*T_p3p123372677566370153177[[#This Row],[ICM]] + '3way-bu-call-sb-call разбивка'!p2sp1win*T_p3p224382778576471154178[[#This Row],[ICM]] + tiesp1*T_p3p22438277857647175158182[[#This Row],[ICM]])
+'3way-bu-call-sb-call разбивка'!p2win*T_p222362576556269152176[[#This Row],[ICM]]
+'3way-bu-call-sb-call разбивка'!p1win*T_p121351975546168151175[[#This Row],[ICM]]
+'3way-bu-call-sb-call разбивка'!tie*T_p22236257655626974157181[[#This Row],[ICM]]</f>
        <v>28.936326648815999</v>
      </c>
      <c r="CA18" s="69">
        <f>('3way-bu-call-sb-call разбивка'!p3win* ('3way-bu-call-sb-call разбивка'!p1sp1win*T_p3p123372677566370153177[[#This Row],[KO]] + '3way-bu-call-sb-call разбивка'!p2sp1win*T_p3p224382778576471154178[[#This Row],[KO]])
+'3way-bu-call-sb-call разбивка'!p2win*T_p222362576556269152176[[#This Row],[KO]]
+'3way-bu-call-sb-call разбивка'!p1win*T_p121351975546168151175[[#This Row],[KO]])*bounty</f>
        <v>0</v>
      </c>
      <c r="CB18" s="69">
        <f>'3way-bu-call-sb-call разбивка'!p3win* ('3way-bu-call-sb-call разбивка'!p1sp1win*T_p3p123372677566370153177[[#This Row],[$stack]] + '3way-bu-call-sb-call разбивка'!p2sp1win*T_p3p224382778576471154178[[#This Row],[$stack]])
+'3way-bu-call-sb-call разбивка'!p2win*T_p222362576556269152176[[#This Row],[$stack]]
+'3way-bu-call-sb-call разбивка'!p1win*T_p121351975546168151175[[#This Row],[$stack]]</f>
        <v>25.238867377631998</v>
      </c>
      <c r="CC18" s="69">
        <f>'3way-bu-call-sb-call разбивка'!p3win* ('3way-bu-call-sb-call разбивка'!p1sp1win*T_p3p123372677566370153177[[#This Row],[stack]] + '3way-bu-call-sb-call разбивка'!p2sp1win*T_p3p224382778576471154178[[#This Row],[stack]] + tiesp1*T_p3p22438277857647175158182[[#This Row],[stack]])
+'3way-bu-call-sb-call разбивка'!p2win*T_p222362576556269152176[[#This Row],[stack]]
+'3way-bu-call-sb-call разбивка'!p1win*T_p121351975546168151175[[#This Row],[stack]]
+tie*T_p22236257655626974157181[[#This Row],[stack]]</f>
        <v>1067.2466737</v>
      </c>
      <c r="CD18" s="69">
        <f>T_fact29392879586572155179[[#This Row],[stack]]- T_init2034474536067150174[[#This Row],[stack]]</f>
        <v>-120</v>
      </c>
      <c r="CE18" s="69">
        <f>T_EV33403080596673156180[[#This Row],[netwon]]+T_EV33403080596673156180[[#This Row],[cEVdiff]]</f>
        <v>-107.75332630000003</v>
      </c>
      <c r="CF18" s="18">
        <f>T_EV33403080596673156180[[#This Row],[chipEV]]-T_fact29392879586572155179[[#This Row],[stack]]</f>
        <v>12.246673699999974</v>
      </c>
      <c r="CG18" s="18">
        <f>T_EV33403080596673156180[[#This Row],[EV]]-(T_fact29392879586572155179[[#This Row],[ICM]])</f>
        <v>-5.4955326223679997</v>
      </c>
    </row>
    <row r="19" spans="1:85" s="86" customFormat="1" x14ac:dyDescent="0.25">
      <c r="A19" s="86" t="s">
        <v>796</v>
      </c>
      <c r="B19" s="86">
        <v>3</v>
      </c>
      <c r="C19" s="86">
        <v>95</v>
      </c>
      <c r="D19" s="86" t="s">
        <v>799</v>
      </c>
      <c r="E19" s="86">
        <v>20</v>
      </c>
      <c r="G19" s="87">
        <f>COUNTIF(T_p121351975546168151175[stack],"&gt;0")</f>
        <v>1</v>
      </c>
      <c r="H19" s="86">
        <f>IF(T_init2034474536067150174[[#This Row],[p]]=1,mainpot+sidepot1+sidepot2+uncalled,IF(T_init2034474536067150174[[#This Row],[p]]&gt;1,0,T_init2034474536067150174[[#This Row],[stack]]-T_init2034474536067150174[[#This Row],[anteblinds]]))</f>
        <v>0</v>
      </c>
      <c r="I19" s="86">
        <v>0.71499999999999997</v>
      </c>
      <c r="J19" s="88">
        <f>T_p121351975546168151175[[#This Row],[EQ]]*prize</f>
        <v>77.105599999999995</v>
      </c>
      <c r="K19" s="89">
        <f>IF(T_init2034474536067150174[[#This Row],[p]]=1,T_p121351975546168151175[[#This Row],[players]]*T_p121351975546168151175[[#This Row],[stack]]/chips+COUNTIF(T_p121351975546168151175[stack],0),T_p121351975546168151175[[#This Row],[players]]*T_p121351975546168151175[[#This Row],[stack]]/chips)</f>
        <v>0</v>
      </c>
      <c r="L19" s="89">
        <f>T_p121351975546168151175[[#This Row],[ICM]]+bounty*T_p121351975546168151175[[#This Row],[KO]]</f>
        <v>77.105599999999995</v>
      </c>
      <c r="N19" s="90">
        <f>COUNTIF(T_p222362576556269152176[stack],"&gt;0")</f>
        <v>2</v>
      </c>
      <c r="O19" s="8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0</v>
      </c>
      <c r="P19" s="86">
        <v>0.16250000000000001</v>
      </c>
      <c r="Q19" s="88">
        <f>T_p222362576556269152176[[#This Row],[EQ]]*prize</f>
        <v>17.524000000000001</v>
      </c>
      <c r="R19" s="89">
        <f>IF(T_init2034474536067150174[[#This Row],[p]]=2,T_p222362576556269152176[[#This Row],[players]]*T_p222362576556269152176[[#This Row],[stack]]/chips+COUNTIF(T_p222362576556269152176[stack],0),T_p222362576556269152176[[#This Row],[players]]*T_p222362576556269152176[[#This Row],[stack]]/chips)</f>
        <v>0</v>
      </c>
      <c r="S19" s="89">
        <f>T_p222362576556269152176[[#This Row],[ICM]]+bounty*T_p222362576556269152176[[#This Row],[KO]]</f>
        <v>17.524000000000001</v>
      </c>
      <c r="T19" s="89"/>
      <c r="U19" s="90">
        <f>COUNTIF(T_p22236257655626974157181[stack],"&gt;0")</f>
        <v>3</v>
      </c>
      <c r="V19" s="86">
        <f>IF(T_init2034474536067150174[[#This Row],[p]]=1,ROUND(uncalled + mainpot/3, 0) + ROUND(sidepot1/2,0),IF(T_init2034474536067150174[[#This Row],[p]]=2,ROUND(mainpot/3,0) + ROUND(sidepot1/2,0),IF(T_init2034474536067150174[[#This Row],[p]]=3, ROUNDUP(mainpot/3,0),T_init2034474536067150174[[#This Row],[stack]]-T_init2034474536067150174[[#This Row],[anteblinds]])))</f>
        <v>95</v>
      </c>
      <c r="W19" s="86">
        <v>0.40899999999999997</v>
      </c>
      <c r="X19" s="88">
        <f>T_p22236257655626974157181[[#This Row],[EQ]]*prize</f>
        <v>44.106560000000002</v>
      </c>
      <c r="Y19" s="89">
        <f>IF(T_init2034474536067150174[[#This Row],[p]]=2,T_p22236257655626974157181[[#This Row],[players]]*T_p22236257655626974157181[[#This Row],[stack]]/chips+COUNTIF(T_p22236257655626974157181[stack],0),T_p22236257655626974157181[[#This Row],[players]]*T_p22236257655626974157181[[#This Row],[stack]]/chips)</f>
        <v>0.14249999999999999</v>
      </c>
      <c r="Z19" s="89">
        <f>T_p22236257655626974157181[[#This Row],[ICM]]+bounty*T_p22236257655626974157181[[#This Row],[KO]]</f>
        <v>44.106560000000002</v>
      </c>
      <c r="AA19" s="89"/>
      <c r="AB19" s="90">
        <f>COUNTIF(T_p22236257655626974157159183[stack],"&gt;0")</f>
        <v>2</v>
      </c>
      <c r="AC19" s="86">
        <f>IF(T_init2034474536067150174[[#This Row],[p]]=1,ROUNDDOWN(uncalled + mainpot/2, 0) + ROUNDDOWN(sidepot1/2,0),IF(T_init2034474536067150174[[#This Row],[p]]=2,ROUND(mainpot/2,0) + ROUND(sidepot1/2,0),IF(T_init2034474536067150174[[#This Row],[p]]=3, 0,T_init2034474536067150174[[#This Row],[stack]]-T_init2034474536067150174[[#This Row],[anteblinds]])))</f>
        <v>0</v>
      </c>
      <c r="AD19" s="86">
        <v>0.40899999999999997</v>
      </c>
      <c r="AE19" s="88">
        <f>T_p22236257655626974157159183[[#This Row],[EQ]]*prize</f>
        <v>44.106560000000002</v>
      </c>
      <c r="AF19" s="89">
        <f>IF(T_init2034474536067150174[[#This Row],[p]]=2,T_p22236257655626974157159183[[#This Row],[players]]*T_p22236257655626974157159183[[#This Row],[stack]]/chips+COUNTIF(T_p22236257655626974157159183[stack],0),T_p22236257655626974157159183[[#This Row],[players]]*T_p22236257655626974157159183[[#This Row],[stack]]/chips)</f>
        <v>0</v>
      </c>
      <c r="AG19" s="89">
        <f>T_p22236257655626974157159183[[#This Row],[ICM]]+bounty*T_p22236257655626974157159183[[#This Row],[KO]]</f>
        <v>44.106560000000002</v>
      </c>
      <c r="AH19" s="89"/>
      <c r="AI19" s="90">
        <f>COUNTIF(T_p22236257655626974157159160184[stack],"&gt;0")</f>
        <v>2</v>
      </c>
      <c r="AJ19" s="86">
        <f>IF(T_init2034474536067150174[[#This Row],[p]]=1,ROUNDDOWN(uncalled + mainpot/2, 0) + ROUNDDOWN(sidepot1,0),IF(T_init2034474536067150174[[#This Row],[p]]=2,0,IF(T_init2034474536067150174[[#This Row],[p]]=3, ROUNDUP(mainpot/2,0),T_init2034474536067150174[[#This Row],[stack]]-T_init2034474536067150174[[#This Row],[anteblinds]])))</f>
        <v>143</v>
      </c>
      <c r="AK19" s="86">
        <v>0.40899999999999997</v>
      </c>
      <c r="AL19" s="88">
        <f>T_p22236257655626974157159160184[[#This Row],[EQ]]*prize</f>
        <v>44.106560000000002</v>
      </c>
      <c r="AM19" s="89">
        <f>IF(T_init2034474536067150174[[#This Row],[p]]=2,T_p22236257655626974157159160184[[#This Row],[players]]*T_p22236257655626974157159160184[[#This Row],[stack]]/chips+COUNTIF(T_p22236257655626974157159160184[stack],0),T_p22236257655626974157159160184[[#This Row],[players]]*T_p22236257655626974157159160184[[#This Row],[stack]]/chips)</f>
        <v>0.14299999999999999</v>
      </c>
      <c r="AN19" s="89">
        <f>T_p22236257655626974157159160184[[#This Row],[ICM]]+bounty*T_p22236257655626974157159160184[[#This Row],[KO]]</f>
        <v>44.106560000000002</v>
      </c>
      <c r="AP19" s="90">
        <f>COUNTIF(T_p22236257655626974157159160161185[stack],"&gt;0")</f>
        <v>3</v>
      </c>
      <c r="AQ19" s="86">
        <f>IF(T_init2034474536067150174[[#This Row],[p]]=1,uncalled,IF(T_init2034474536067150174[[#This Row],[p]]=2,ROUNDDOWN(mainpot/2,0) + ROUNDDOWN(sidepot1,0),IF(T_init2034474536067150174[[#This Row],[p]]=3, ROUNDUP(mainpot/2,0),T_init2034474536067150174[[#This Row],[stack]]-T_init2034474536067150174[[#This Row],[anteblinds]])))</f>
        <v>143</v>
      </c>
      <c r="AR19" s="86">
        <v>0.40899999999999997</v>
      </c>
      <c r="AS19" s="88">
        <f>T_p22236257655626974157159160161185[[#This Row],[EQ]]*prize</f>
        <v>44.106560000000002</v>
      </c>
      <c r="AT19" s="89">
        <f>IF(T_init2034474536067150174[[#This Row],[p]]=2,T_p22236257655626974157159160161185[[#This Row],[players]]*T_p22236257655626974157159160161185[[#This Row],[stack]]/chips+COUNTIF(T_p22236257655626974157159160161185[stack],0),T_p22236257655626974157159160161185[[#This Row],[players]]*T_p22236257655626974157159160161185[[#This Row],[stack]]/chips)</f>
        <v>0.2145</v>
      </c>
      <c r="AU19" s="89">
        <f>T_p22236257655626974157159160161185[[#This Row],[ICM]]+bounty*T_p22236257655626974157159160161185[[#This Row],[KO]]</f>
        <v>44.106560000000002</v>
      </c>
      <c r="AW19" s="87">
        <f>COUNTIF(T_p3p123372677566370153177[stack],"&gt;0")</f>
        <v>2</v>
      </c>
      <c r="AX19" s="86">
        <f>IF(T_init2034474536067150174[[#This Row],[p]]=1,sidepot1+uncalled,IF(T_init2034474536067150174[[#This Row],[p]]=3,mainpot,IF(ISBLANK(T_init2034474536067150174[[#This Row],[p]]),T_init2034474536067150174[[#This Row],[stack]]-T_init2034474536067150174[[#This Row],[anteblinds]],0)))</f>
        <v>285</v>
      </c>
      <c r="AY19" s="86">
        <v>0.53749999999999998</v>
      </c>
      <c r="AZ19" s="88">
        <f>T_p3p123372677566370153177[[#This Row],[EQ]]*prize</f>
        <v>57.963999999999999</v>
      </c>
      <c r="BA19" s="89">
        <f>IF(T_init2034474536067150174[[#This Row],[p]]=1,T_p3p123372677566370153177[[#This Row],[players]]*T_p3p123372677566370153177[[#This Row],[stack]]/chips+COUNTIF(T_p3p123372677566370153177[stack],0),T_p3p123372677566370153177[[#This Row],[players]]*T_p3p123372677566370153177[[#This Row],[stack]]/chips)</f>
        <v>0.28499999999999998</v>
      </c>
      <c r="BB19" s="89">
        <f>T_p3p123372677566370153177[[#This Row],[ICM]]+bounty*T_p3p123372677566370153177[[#This Row],[KO]]</f>
        <v>57.963999999999999</v>
      </c>
      <c r="BD19" s="87">
        <f>COUNTIF(T_p3p224382778576471154178[stack],"&gt;0")</f>
        <v>3</v>
      </c>
      <c r="BE19" s="86">
        <f>IF(T_init2034474536067150174[[#This Row],[p]]=1,uncalled,IF(T_init2034474536067150174[[#This Row],[p]]=2,sidepot1,IF(T_init2034474536067150174[[#This Row],[p]]=3,mainpot,IF(ISBLANK(T_init2034474536067150174[[#This Row],[p]]),T_init2034474536067150174[[#This Row],[stack]]-T_init2034474536067150174[[#This Row],[anteblinds]],0))))</f>
        <v>285</v>
      </c>
      <c r="BF19" s="86">
        <v>0.16250000000000001</v>
      </c>
      <c r="BG19" s="88">
        <f>T_p3p224382778576471154178[[#This Row],[EQ]]*prize</f>
        <v>17.524000000000001</v>
      </c>
      <c r="BH19" s="89">
        <f>IF(T_init2034474536067150174[[#This Row],[p]]=2,T_p3p224382778576471154178[[#This Row],[players]]*T_p3p224382778576471154178[[#This Row],[stack]]/chips+COUNTIF(T_p3p224382778576471154178[stack],0),T_p3p224382778576471154178[[#This Row],[players]]*T_p3p224382778576471154178[[#This Row],[stack]]/chips)</f>
        <v>0.42749999999999999</v>
      </c>
      <c r="BI19" s="103">
        <f>T_p3p224382778576471154178[[#This Row],[ICM]]+bounty*T_p3p224382778576471154178[[#This Row],[KO]]</f>
        <v>17.524000000000001</v>
      </c>
      <c r="BK19" s="87">
        <f>COUNTIF(T_p3p22438277857647175158182[stack],"&gt;0")</f>
        <v>3</v>
      </c>
      <c r="BL19" s="86">
        <f>IF(T_init2034474536067150174[[#This Row],[p]]=1,uncalled + ROUND(sidepot1/2,0),IF(T_init2034474536067150174[[#This Row],[p]]=2,ROUND(sidepot1/2,0),IF(T_init2034474536067150174[[#This Row],[p]]=3,mainpot,IF(ISBLANK(T_init2034474536067150174[[#This Row],[p]]),T_init2034474536067150174[[#This Row],[stack]]-T_init2034474536067150174[[#This Row],[anteblinds]],0))))</f>
        <v>285</v>
      </c>
      <c r="BM19" s="86">
        <v>0.35</v>
      </c>
      <c r="BN19" s="88">
        <f>T_p3p22438277857647175158182[[#This Row],[EQ]]*prize</f>
        <v>37.744</v>
      </c>
      <c r="BO19" s="89">
        <f>IF(T_init2034474536067150174[[#This Row],[p]]=2,T_p3p22438277857647175158182[[#This Row],[players]]*T_p3p22438277857647175158182[[#This Row],[stack]]/chips+COUNTIF(T_p3p22438277857647175158182[stack],0),T_p3p22438277857647175158182[[#This Row],[players]]*T_p3p22438277857647175158182[[#This Row],[stack]]/chips)</f>
        <v>0.42749999999999999</v>
      </c>
      <c r="BP19" s="103">
        <f>T_p3p22438277857647175158182[[#This Row],[ICM]]+bounty*T_p3p22438277857647175158182[[#This Row],[KO]]</f>
        <v>37.744</v>
      </c>
      <c r="BR19" s="87">
        <v>3</v>
      </c>
      <c r="BS19" s="8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0</v>
      </c>
      <c r="BT19" s="86">
        <v>0.16250000000000001</v>
      </c>
      <c r="BU19" s="88">
        <f>T_fact29392879586572155179[[#This Row],[EQ]]*prize</f>
        <v>17.524000000000001</v>
      </c>
      <c r="BV19" s="89">
        <f>IF(T_init2034474536067150174[[#This Row],[p]]=1,T_fact29392879586572155179[[#This Row],[players]]*T_fact29392879586572155179[[#This Row],[stack]]/chips+COUNTIF(T_fact29392879586572155179[stack],0),T_fact29392879586572155179[[#This Row],[players]]*T_fact29392879586572155179[[#This Row],[stack]]/chips)</f>
        <v>0</v>
      </c>
      <c r="BW19" s="103">
        <f>T_fact29392879586572155179[[#This Row],[ICM]]+bounty*T_fact29392879586572155179[[#This Row],[KO]]</f>
        <v>17.524000000000001</v>
      </c>
      <c r="BZ19" s="91">
        <f>'3way-bu-call-sb-call разбивка'!p3win* ('3way-bu-call-sb-call разбивка'!p1sp1win*T_p3p123372677566370153177[[#This Row],[ICM]] + '3way-bu-call-sb-call разбивка'!p2sp1win*T_p3p224382778576471154178[[#This Row],[ICM]] + tiesp1*T_p3p22438277857647175158182[[#This Row],[ICM]])
+'3way-bu-call-sb-call разбивка'!p2win*T_p222362576556269152176[[#This Row],[ICM]]
+'3way-bu-call-sb-call разбивка'!p1win*T_p121351975546168151175[[#This Row],[ICM]]
+'3way-bu-call-sb-call разбивка'!tie*T_p22236257655626974157181[[#This Row],[ICM]]</f>
        <v>34.789478430160003</v>
      </c>
      <c r="CA19" s="91">
        <f>('3way-bu-call-sb-call разбивка'!p3win* ('3way-bu-call-sb-call разбивка'!p1sp1win*T_p3p123372677566370153177[[#This Row],[KO]] + '3way-bu-call-sb-call разбивка'!p2sp1win*T_p3p224382778576471154178[[#This Row],[KO]])
+'3way-bu-call-sb-call разбивка'!p2win*T_p222362576556269152176[[#This Row],[KO]]
+'3way-bu-call-sb-call разбивка'!p1win*T_p121351975546168151175[[#This Row],[KO]])*bounty</f>
        <v>0</v>
      </c>
      <c r="CB19" s="91">
        <f>'3way-bu-call-sb-call разбивка'!p3win* ('3way-bu-call-sb-call разбивка'!p1sp1win*T_p3p123372677566370153177[[#This Row],[$stack]] + '3way-bu-call-sb-call разбивка'!p2sp1win*T_p3p224382778576471154178[[#This Row],[$stack]])
+'3way-bu-call-sb-call разбивка'!p2win*T_p222362576556269152176[[#This Row],[$stack]]
+'3way-bu-call-sb-call разбивка'!p1win*T_p121351975546168151175[[#This Row],[$stack]]</f>
        <v>29.855532766319996</v>
      </c>
      <c r="CC19" s="91">
        <f>'3way-bu-call-sb-call разбивка'!p3win* ('3way-bu-call-sb-call разбивка'!p1sp1win*T_p3p123372677566370153177[[#This Row],[stack]] + '3way-bu-call-sb-call разбивка'!p2sp1win*T_p3p224382778576471154178[[#This Row],[stack]] + tiesp1*T_p3p22438277857647175158182[[#This Row],[stack]])
+'3way-bu-call-sb-call разбивка'!p2win*T_p222362576556269152176[[#This Row],[stack]]
+'3way-bu-call-sb-call разбивка'!p1win*T_p121351975546168151175[[#This Row],[stack]]
+tie*T_p22236257655626974157181[[#This Row],[stack]]</f>
        <v>145.46297115000002</v>
      </c>
      <c r="CD19" s="91">
        <f>T_fact29392879586572155179[[#This Row],[stack]]- T_init2034474536067150174[[#This Row],[stack]]</f>
        <v>-95</v>
      </c>
      <c r="CE19" s="91">
        <f>T_EV33403080596673156180[[#This Row],[netwon]]+T_EV33403080596673156180[[#This Row],[cEVdiff]]</f>
        <v>50.462971150000016</v>
      </c>
      <c r="CF19" s="88">
        <f>T_EV33403080596673156180[[#This Row],[chipEV]]-T_fact29392879586572155179[[#This Row],[stack]]</f>
        <v>145.46297115000002</v>
      </c>
      <c r="CG19" s="88">
        <f>T_EV33403080596673156180[[#This Row],[EV]]-(T_fact29392879586572155179[[#This Row],[ICM]])</f>
        <v>12.331532766319995</v>
      </c>
    </row>
    <row r="20" spans="1:85" x14ac:dyDescent="0.25">
      <c r="B20" s="26"/>
      <c r="C20" s="26"/>
      <c r="E20" s="26"/>
      <c r="G20" s="73">
        <f>COUNTIF(T_p121351975546168151175[stack],"&gt;0")</f>
        <v>1</v>
      </c>
      <c r="H20" s="26">
        <f>IF(T_init2034474536067150174[[#This Row],[p]]=1,mainpot+sidepot1+sidepot2+uncalled,IF(T_init2034474536067150174[[#This Row],[p]]&gt;1,0,T_init2034474536067150174[[#This Row],[stack]]-T_init2034474536067150174[[#This Row],[anteblinds]]))</f>
        <v>0</v>
      </c>
      <c r="I20" s="26"/>
      <c r="J20" s="27">
        <f>T_p121351975546168151175[[#This Row],[EQ]]*prize</f>
        <v>0</v>
      </c>
      <c r="K20" s="71">
        <f>IF(T_init2034474536067150174[[#This Row],[p]]=1,T_p121351975546168151175[[#This Row],[players]]*T_p121351975546168151175[[#This Row],[stack]]/chips+COUNTIF(T_p121351975546168151175[stack],0),T_p121351975546168151175[[#This Row],[players]]*T_p121351975546168151175[[#This Row],[stack]]/chips)</f>
        <v>0</v>
      </c>
      <c r="L20" s="71">
        <f>T_p121351975546168151175[[#This Row],[ICM]]+bounty*T_p121351975546168151175[[#This Row],[KO]]</f>
        <v>0</v>
      </c>
      <c r="N20" s="29">
        <f>COUNTIF(T_p222362576556269152176[stack],"&gt;0")</f>
        <v>2</v>
      </c>
      <c r="O20" s="2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0</v>
      </c>
      <c r="P20" s="26">
        <v>0.55249999999999999</v>
      </c>
      <c r="Q20" s="27">
        <f>T_p222362576556269152176[[#This Row],[EQ]]*prize</f>
        <v>59.581600000000002</v>
      </c>
      <c r="R20" s="71">
        <f>IF(T_init2034474536067150174[[#This Row],[p]]=2,T_p222362576556269152176[[#This Row],[players]]*T_p222362576556269152176[[#This Row],[stack]]/chips+COUNTIF(T_p222362576556269152176[stack],0),T_p222362576556269152176[[#This Row],[players]]*T_p222362576556269152176[[#This Row],[stack]]/chips)</f>
        <v>0</v>
      </c>
      <c r="S20" s="71">
        <f>T_p222362576556269152176[[#This Row],[ICM]]+bounty*T_p222362576556269152176[[#This Row],[KO]]</f>
        <v>59.581600000000002</v>
      </c>
      <c r="T20" s="71"/>
      <c r="U20" s="29">
        <f>COUNTIF(T_p22236257655626974157181[stack],"&gt;0")</f>
        <v>3</v>
      </c>
      <c r="V20" s="26">
        <f>IF(T_init2034474536067150174[[#This Row],[p]]=1,ROUND(uncalled + mainpot/3, 0) + ROUND(sidepot1/2,0),IF(T_init2034474536067150174[[#This Row],[p]]=2,ROUND(mainpot/3,0) + ROUND(sidepot1/2,0),IF(T_init2034474536067150174[[#This Row],[p]]=3, ROUNDUP(mainpot/3,0),T_init2034474536067150174[[#This Row],[stack]]-T_init2034474536067150174[[#This Row],[anteblinds]])))</f>
        <v>0</v>
      </c>
      <c r="W20" s="26">
        <v>0.2465</v>
      </c>
      <c r="X20" s="27">
        <f>T_p22236257655626974157181[[#This Row],[EQ]]*prize</f>
        <v>26.582560000000001</v>
      </c>
      <c r="Y20" s="71">
        <f>IF(T_init2034474536067150174[[#This Row],[p]]=2,T_p22236257655626974157181[[#This Row],[players]]*T_p22236257655626974157181[[#This Row],[stack]]/chips+COUNTIF(T_p22236257655626974157181[stack],0),T_p22236257655626974157181[[#This Row],[players]]*T_p22236257655626974157181[[#This Row],[stack]]/chips)</f>
        <v>0</v>
      </c>
      <c r="Z20" s="71">
        <f>T_p22236257655626974157181[[#This Row],[ICM]]+bounty*T_p22236257655626974157181[[#This Row],[KO]]</f>
        <v>26.582560000000001</v>
      </c>
      <c r="AA20" s="71"/>
      <c r="AB20" s="29">
        <f>COUNTIF(T_p22236257655626974157159183[stack],"&gt;0")</f>
        <v>2</v>
      </c>
      <c r="AC20" s="26">
        <f>IF(T_init2034474536067150174[[#This Row],[p]]=1,ROUNDDOWN(uncalled + mainpot/2, 0) + ROUNDDOWN(sidepot1/2,0),IF(T_init2034474536067150174[[#This Row],[p]]=2,ROUND(mainpot/2,0) + ROUND(sidepot1/2,0),IF(T_init2034474536067150174[[#This Row],[p]]=3, 0,T_init2034474536067150174[[#This Row],[stack]]-T_init2034474536067150174[[#This Row],[anteblinds]])))</f>
        <v>0</v>
      </c>
      <c r="AD20" s="26">
        <v>0.2465</v>
      </c>
      <c r="AE20" s="27">
        <f>T_p22236257655626974157159183[[#This Row],[EQ]]*prize</f>
        <v>26.582560000000001</v>
      </c>
      <c r="AF20" s="71">
        <f>IF(T_init2034474536067150174[[#This Row],[p]]=2,T_p22236257655626974157159183[[#This Row],[players]]*T_p22236257655626974157159183[[#This Row],[stack]]/chips+COUNTIF(T_p22236257655626974157159183[stack],0),T_p22236257655626974157159183[[#This Row],[players]]*T_p22236257655626974157159183[[#This Row],[stack]]/chips)</f>
        <v>0</v>
      </c>
      <c r="AG20" s="71">
        <f>T_p22236257655626974157159183[[#This Row],[ICM]]+bounty*T_p22236257655626974157159183[[#This Row],[KO]]</f>
        <v>26.582560000000001</v>
      </c>
      <c r="AH20" s="71"/>
      <c r="AI20" s="29">
        <f>COUNTIF(T_p22236257655626974157159160184[stack],"&gt;0")</f>
        <v>2</v>
      </c>
      <c r="AJ20" s="26">
        <f>IF(T_init2034474536067150174[[#This Row],[p]]=1,ROUNDDOWN(uncalled + mainpot/2, 0) + ROUNDDOWN(sidepot1,0),IF(T_init2034474536067150174[[#This Row],[p]]=2,0,IF(T_init2034474536067150174[[#This Row],[p]]=3, ROUNDUP(mainpot/2,0),T_init2034474536067150174[[#This Row],[stack]]-T_init2034474536067150174[[#This Row],[anteblinds]])))</f>
        <v>0</v>
      </c>
      <c r="AK20" s="26">
        <v>0.2465</v>
      </c>
      <c r="AL20" s="27">
        <f>T_p22236257655626974157159160184[[#This Row],[EQ]]*prize</f>
        <v>26.582560000000001</v>
      </c>
      <c r="AM20" s="71">
        <f>IF(T_init2034474536067150174[[#This Row],[p]]=2,T_p22236257655626974157159160184[[#This Row],[players]]*T_p22236257655626974157159160184[[#This Row],[stack]]/chips+COUNTIF(T_p22236257655626974157159160184[stack],0),T_p22236257655626974157159160184[[#This Row],[players]]*T_p22236257655626974157159160184[[#This Row],[stack]]/chips)</f>
        <v>0</v>
      </c>
      <c r="AN20" s="71">
        <f>T_p22236257655626974157159160184[[#This Row],[ICM]]+bounty*T_p22236257655626974157159160184[[#This Row],[KO]]</f>
        <v>26.582560000000001</v>
      </c>
      <c r="AP20" s="29">
        <f>COUNTIF(T_p22236257655626974157159160161185[stack],"&gt;0")</f>
        <v>3</v>
      </c>
      <c r="AQ20" s="26">
        <f>IF(T_init2034474536067150174[[#This Row],[p]]=1,uncalled,IF(T_init2034474536067150174[[#This Row],[p]]=2,ROUNDDOWN(mainpot/2,0) + ROUNDDOWN(sidepot1,0),IF(T_init2034474536067150174[[#This Row],[p]]=3, ROUNDUP(mainpot/2,0),T_init2034474536067150174[[#This Row],[stack]]-T_init2034474536067150174[[#This Row],[anteblinds]])))</f>
        <v>0</v>
      </c>
      <c r="AR20" s="26">
        <v>0.2465</v>
      </c>
      <c r="AS20" s="27">
        <f>T_p22236257655626974157159160161185[[#This Row],[EQ]]*prize</f>
        <v>26.582560000000001</v>
      </c>
      <c r="AT20" s="71">
        <f>IF(T_init2034474536067150174[[#This Row],[p]]=2,T_p22236257655626974157159160161185[[#This Row],[players]]*T_p22236257655626974157159160161185[[#This Row],[stack]]/chips+COUNTIF(T_p22236257655626974157159160161185[stack],0),T_p22236257655626974157159160161185[[#This Row],[players]]*T_p22236257655626974157159160161185[[#This Row],[stack]]/chips)</f>
        <v>0</v>
      </c>
      <c r="AU20" s="71">
        <f>T_p22236257655626974157159160161185[[#This Row],[ICM]]+bounty*T_p22236257655626974157159160161185[[#This Row],[KO]]</f>
        <v>26.582560000000001</v>
      </c>
      <c r="AW20" s="73">
        <f>COUNTIF(T_p3p123372677566370153177[stack],"&gt;0")</f>
        <v>2</v>
      </c>
      <c r="AX20" s="26">
        <f>IF(T_init2034474536067150174[[#This Row],[p]]=1,sidepot1+uncalled,IF(T_init2034474536067150174[[#This Row],[p]]=3,mainpot,IF(ISBLANK(T_init2034474536067150174[[#This Row],[p]]),T_init2034474536067150174[[#This Row],[stack]]-T_init2034474536067150174[[#This Row],[anteblinds]],0)))</f>
        <v>0</v>
      </c>
      <c r="AY20" s="26">
        <v>0</v>
      </c>
      <c r="AZ20" s="27">
        <f>T_p3p123372677566370153177[[#This Row],[EQ]]*prize</f>
        <v>0</v>
      </c>
      <c r="BA20" s="71">
        <f>IF(T_init2034474536067150174[[#This Row],[p]]=1,T_p3p123372677566370153177[[#This Row],[players]]*T_p3p123372677566370153177[[#This Row],[stack]]/chips+COUNTIF(T_p3p123372677566370153177[stack],0),T_p3p123372677566370153177[[#This Row],[players]]*T_p3p123372677566370153177[[#This Row],[stack]]/chips)</f>
        <v>0</v>
      </c>
      <c r="BB20" s="71">
        <f>T_p3p123372677566370153177[[#This Row],[ICM]]+bounty*T_p3p123372677566370153177[[#This Row],[KO]]</f>
        <v>0</v>
      </c>
      <c r="BD20" s="73">
        <f>COUNTIF(T_p3p224382778576471154178[stack],"&gt;0")</f>
        <v>3</v>
      </c>
      <c r="BE20" s="26">
        <f>IF(T_init2034474536067150174[[#This Row],[p]]=1,uncalled,IF(T_init2034474536067150174[[#This Row],[p]]=2,sidepot1,IF(T_init2034474536067150174[[#This Row],[p]]=3,mainpot,IF(ISBLANK(T_init2034474536067150174[[#This Row],[p]]),T_init2034474536067150174[[#This Row],[stack]]-T_init2034474536067150174[[#This Row],[anteblinds]],0))))</f>
        <v>0</v>
      </c>
      <c r="BF20" s="26">
        <v>0.375</v>
      </c>
      <c r="BG20" s="27">
        <f>T_p3p224382778576471154178[[#This Row],[EQ]]*prize</f>
        <v>40.44</v>
      </c>
      <c r="BH20" s="71">
        <f>IF(T_init2034474536067150174[[#This Row],[p]]=2,T_p3p224382778576471154178[[#This Row],[players]]*T_p3p224382778576471154178[[#This Row],[stack]]/chips+COUNTIF(T_p3p224382778576471154178[stack],0),T_p3p224382778576471154178[[#This Row],[players]]*T_p3p224382778576471154178[[#This Row],[stack]]/chips)</f>
        <v>0</v>
      </c>
      <c r="BI20" s="16">
        <f>T_p3p224382778576471154178[[#This Row],[ICM]]+bounty*T_p3p224382778576471154178[[#This Row],[KO]]</f>
        <v>40.44</v>
      </c>
      <c r="BK20" s="73">
        <f>COUNTIF(T_p3p22438277857647175158182[stack],"&gt;0")</f>
        <v>3</v>
      </c>
      <c r="BL20" s="26">
        <f>IF(T_init2034474536067150174[[#This Row],[p]]=1,uncalled + ROUND(sidepot1/2,0),IF(T_init2034474536067150174[[#This Row],[p]]=2,ROUND(sidepot1/2,0),IF(T_init2034474536067150174[[#This Row],[p]]=3,mainpot,IF(ISBLANK(T_init2034474536067150174[[#This Row],[p]]),T_init2034474536067150174[[#This Row],[stack]]-T_init2034474536067150174[[#This Row],[anteblinds]],0))))</f>
        <v>0</v>
      </c>
      <c r="BM20" s="26">
        <v>0.1875</v>
      </c>
      <c r="BN20" s="27">
        <f>T_p3p22438277857647175158182[[#This Row],[EQ]]*prize</f>
        <v>20.22</v>
      </c>
      <c r="BO20" s="71">
        <f>IF(T_init2034474536067150174[[#This Row],[p]]=2,T_p3p22438277857647175158182[[#This Row],[players]]*T_p3p22438277857647175158182[[#This Row],[stack]]/chips+COUNTIF(T_p3p22438277857647175158182[stack],0),T_p3p22438277857647175158182[[#This Row],[players]]*T_p3p22438277857647175158182[[#This Row],[stack]]/chips)</f>
        <v>0</v>
      </c>
      <c r="BP20" s="16">
        <f>T_p3p22438277857647175158182[[#This Row],[ICM]]+bounty*T_p3p22438277857647175158182[[#This Row],[KO]]</f>
        <v>20.22</v>
      </c>
      <c r="BR20" s="73">
        <v>3</v>
      </c>
      <c r="BS20" s="2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0</v>
      </c>
      <c r="BT20" s="26">
        <v>0.55249999999999999</v>
      </c>
      <c r="BU20" s="27">
        <f>T_fact29392879586572155179[[#This Row],[EQ]]*prize</f>
        <v>59.581600000000002</v>
      </c>
      <c r="BV20" s="71">
        <f>IF(T_init2034474536067150174[[#This Row],[p]]=1,T_fact29392879586572155179[[#This Row],[players]]*T_fact29392879586572155179[[#This Row],[stack]]/chips+COUNTIF(T_fact29392879586572155179[stack],0),T_fact29392879586572155179[[#This Row],[players]]*T_fact29392879586572155179[[#This Row],[stack]]/chips)</f>
        <v>0</v>
      </c>
      <c r="BW20" s="16">
        <f>T_fact29392879586572155179[[#This Row],[ICM]]+bounty*T_fact29392879586572155179[[#This Row],[KO]]</f>
        <v>59.581600000000002</v>
      </c>
      <c r="BZ20" s="68">
        <f>'3way-bu-call-sb-call разбивка'!p3win* ('3way-bu-call-sb-call разбивка'!p1sp1win*T_p3p123372677566370153177[[#This Row],[ICM]] + '3way-bu-call-sb-call разбивка'!p2sp1win*T_p3p224382778576471154178[[#This Row],[ICM]] + tiesp1*T_p3p22438277857647175158182[[#This Row],[ICM]])
+'3way-bu-call-sb-call разбивка'!p2win*T_p222362576556269152176[[#This Row],[ICM]]
+'3way-bu-call-sb-call разбивка'!p1win*T_p121351975546168151175[[#This Row],[ICM]]
+'3way-bu-call-sb-call разбивка'!tie*T_p22236257655626974157181[[#This Row],[ICM]]</f>
        <v>28.033140575799997</v>
      </c>
      <c r="CA20" s="72">
        <f>('3way-bu-call-sb-call разбивка'!p3win* ('3way-bu-call-sb-call разбивка'!p1sp1win*T_p3p123372677566370153177[[#This Row],[KO]] + '3way-bu-call-sb-call разбивка'!p2sp1win*T_p3p224382778576471154178[[#This Row],[KO]])
+'3way-bu-call-sb-call разбивка'!p2win*T_p222362576556269152176[[#This Row],[KO]]
+'3way-bu-call-sb-call разбивка'!p1win*T_p121351975546168151175[[#This Row],[KO]])*bounty</f>
        <v>0</v>
      </c>
      <c r="CB20" s="72">
        <f>'3way-bu-call-sb-call разбивка'!p3win* ('3way-bu-call-sb-call разбивка'!p1sp1win*T_p3p123372677566370153177[[#This Row],[$stack]] + '3way-bu-call-sb-call разбивка'!p2sp1win*T_p3p224382778576471154178[[#This Row],[$stack]])
+'3way-bu-call-sb-call разбивка'!p2win*T_p222362576556269152176[[#This Row],[$stack]]
+'3way-bu-call-sb-call разбивка'!p1win*T_p121351975546168151175[[#This Row],[$stack]]</f>
        <v>25.207395373599997</v>
      </c>
      <c r="CC20" s="72">
        <f>'3way-bu-call-sb-call разбивка'!p3win* ('3way-bu-call-sb-call разбивка'!p1sp1win*T_p3p123372677566370153177[[#This Row],[stack]] + '3way-bu-call-sb-call разбивка'!p2sp1win*T_p3p224382778576471154178[[#This Row],[stack]] + tiesp1*T_p3p22438277857647175158182[[#This Row],[stack]])
+'3way-bu-call-sb-call разбивка'!p2win*T_p222362576556269152176[[#This Row],[stack]]
+'3way-bu-call-sb-call разбивка'!p1win*T_p121351975546168151175[[#This Row],[stack]]
+tie*T_p22236257655626974157181[[#This Row],[stack]]</f>
        <v>0</v>
      </c>
      <c r="CD20" s="72">
        <f>T_fact29392879586572155179[[#This Row],[stack]]- T_init2034474536067150174[[#This Row],[stack]]</f>
        <v>0</v>
      </c>
      <c r="CE20" s="72">
        <f>T_EV33403080596673156180[[#This Row],[netwon]]+T_EV33403080596673156180[[#This Row],[cEVdiff]]</f>
        <v>0</v>
      </c>
      <c r="CF20" s="2">
        <f>T_EV33403080596673156180[[#This Row],[chipEV]]-T_fact29392879586572155179[[#This Row],[stack]]</f>
        <v>0</v>
      </c>
      <c r="CG20" s="2">
        <f>T_EV33403080596673156180[[#This Row],[EV]]-(T_fact29392879586572155179[[#This Row],[ICM]])</f>
        <v>-34.374204626400001</v>
      </c>
    </row>
    <row r="21" spans="1:85" x14ac:dyDescent="0.25">
      <c r="G21" s="5">
        <f>COUNTIF(T_p121351975546168151175[stack],"&gt;0")</f>
        <v>1</v>
      </c>
      <c r="H21">
        <f>IF(T_init2034474536067150174[[#This Row],[p]]=1,mainpot+sidepot1+sidepot2+uncalled,IF(T_init2034474536067150174[[#This Row],[p]]&gt;1,0,T_init2034474536067150174[[#This Row],[stack]]-T_init2034474536067150174[[#This Row],[anteblinds]]))</f>
        <v>0</v>
      </c>
      <c r="J21" s="2">
        <f>T_p121351975546168151175[[#This Row],[EQ]]*prize</f>
        <v>0</v>
      </c>
      <c r="K21" s="66">
        <f>IF(T_init2034474536067150174[[#This Row],[p]]=1,T_p121351975546168151175[[#This Row],[players]]*T_p121351975546168151175[[#This Row],[stack]]/chips+COUNTIF(T_p121351975546168151175[stack],0),T_p121351975546168151175[[#This Row],[players]]*T_p121351975546168151175[[#This Row],[stack]]/chips)</f>
        <v>0</v>
      </c>
      <c r="L21" s="66">
        <f>T_p121351975546168151175[[#This Row],[ICM]]+bounty*T_p121351975546168151175[[#This Row],[KO]]</f>
        <v>0</v>
      </c>
      <c r="N21" s="10">
        <f>COUNTIF(T_p222362576556269152176[stack],"&gt;0")</f>
        <v>2</v>
      </c>
      <c r="O21" s="2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0</v>
      </c>
      <c r="P21">
        <v>0</v>
      </c>
      <c r="Q21" s="2">
        <f>T_p222362576556269152176[[#This Row],[EQ]]*prize</f>
        <v>0</v>
      </c>
      <c r="R21" s="66">
        <f>IF(T_init2034474536067150174[[#This Row],[p]]=2,T_p222362576556269152176[[#This Row],[players]]*T_p222362576556269152176[[#This Row],[stack]]/chips+COUNTIF(T_p222362576556269152176[stack],0),T_p222362576556269152176[[#This Row],[players]]*T_p222362576556269152176[[#This Row],[stack]]/chips)</f>
        <v>0</v>
      </c>
      <c r="S21" s="66">
        <f>T_p222362576556269152176[[#This Row],[ICM]]+bounty*T_p222362576556269152176[[#This Row],[KO]]</f>
        <v>0</v>
      </c>
      <c r="T21" s="66"/>
      <c r="U21" s="10">
        <f>COUNTIF(T_p22236257655626974157181[stack],"&gt;0")</f>
        <v>3</v>
      </c>
      <c r="V21" s="26">
        <f>IF(T_init2034474536067150174[[#This Row],[p]]=1,ROUND(uncalled + mainpot/3, 0) + ROUND(sidepot1/2,0),IF(T_init2034474536067150174[[#This Row],[p]]=2,ROUND(mainpot/3,0) + ROUND(sidepot1/2,0),IF(T_init2034474536067150174[[#This Row],[p]]=3, ROUNDUP(mainpot/3,0),T_init2034474536067150174[[#This Row],[stack]]-T_init2034474536067150174[[#This Row],[anteblinds]])))</f>
        <v>0</v>
      </c>
      <c r="W21">
        <v>0</v>
      </c>
      <c r="X21" s="2">
        <f>T_p22236257655626974157181[[#This Row],[EQ]]*prize</f>
        <v>0</v>
      </c>
      <c r="Y21" s="66">
        <f>IF(T_init2034474536067150174[[#This Row],[p]]=2,T_p22236257655626974157181[[#This Row],[players]]*T_p22236257655626974157181[[#This Row],[stack]]/chips+COUNTIF(T_p22236257655626974157181[stack],0),T_p22236257655626974157181[[#This Row],[players]]*T_p22236257655626974157181[[#This Row],[stack]]/chips)</f>
        <v>0</v>
      </c>
      <c r="Z21" s="66">
        <f>T_p22236257655626974157181[[#This Row],[ICM]]+bounty*T_p22236257655626974157181[[#This Row],[KO]]</f>
        <v>0</v>
      </c>
      <c r="AA21" s="66"/>
      <c r="AB21" s="10">
        <f>COUNTIF(T_p22236257655626974157159183[stack],"&gt;0")</f>
        <v>2</v>
      </c>
      <c r="AC21" s="26">
        <f>IF(T_init2034474536067150174[[#This Row],[p]]=1,ROUNDDOWN(uncalled + mainpot/2, 0) + ROUNDDOWN(sidepot1/2,0),IF(T_init2034474536067150174[[#This Row],[p]]=2,ROUND(mainpot/2,0) + ROUND(sidepot1/2,0),IF(T_init2034474536067150174[[#This Row],[p]]=3, 0,T_init2034474536067150174[[#This Row],[stack]]-T_init2034474536067150174[[#This Row],[anteblinds]])))</f>
        <v>0</v>
      </c>
      <c r="AD21">
        <v>0</v>
      </c>
      <c r="AE21" s="2">
        <f>T_p22236257655626974157159183[[#This Row],[EQ]]*prize</f>
        <v>0</v>
      </c>
      <c r="AF21" s="66">
        <f>IF(T_init2034474536067150174[[#This Row],[p]]=2,T_p22236257655626974157159183[[#This Row],[players]]*T_p22236257655626974157159183[[#This Row],[stack]]/chips+COUNTIF(T_p22236257655626974157159183[stack],0),T_p22236257655626974157159183[[#This Row],[players]]*T_p22236257655626974157159183[[#This Row],[stack]]/chips)</f>
        <v>0</v>
      </c>
      <c r="AG21" s="66">
        <f>T_p22236257655626974157159183[[#This Row],[ICM]]+bounty*T_p22236257655626974157159183[[#This Row],[KO]]</f>
        <v>0</v>
      </c>
      <c r="AH21" s="66"/>
      <c r="AI21" s="10">
        <f>COUNTIF(T_p22236257655626974157159160184[stack],"&gt;0")</f>
        <v>2</v>
      </c>
      <c r="AJ21" s="26">
        <f>IF(T_init2034474536067150174[[#This Row],[p]]=1,ROUNDDOWN(uncalled + mainpot/2, 0) + ROUNDDOWN(sidepot1,0),IF(T_init2034474536067150174[[#This Row],[p]]=2,0,IF(T_init2034474536067150174[[#This Row],[p]]=3, ROUNDUP(mainpot/2,0),T_init2034474536067150174[[#This Row],[stack]]-T_init2034474536067150174[[#This Row],[anteblinds]])))</f>
        <v>0</v>
      </c>
      <c r="AK21">
        <v>0</v>
      </c>
      <c r="AL21" s="2">
        <f>T_p22236257655626974157159160184[[#This Row],[EQ]]*prize</f>
        <v>0</v>
      </c>
      <c r="AM21" s="66">
        <f>IF(T_init2034474536067150174[[#This Row],[p]]=2,T_p22236257655626974157159160184[[#This Row],[players]]*T_p22236257655626974157159160184[[#This Row],[stack]]/chips+COUNTIF(T_p22236257655626974157159160184[stack],0),T_p22236257655626974157159160184[[#This Row],[players]]*T_p22236257655626974157159160184[[#This Row],[stack]]/chips)</f>
        <v>0</v>
      </c>
      <c r="AN21" s="66">
        <f>T_p22236257655626974157159160184[[#This Row],[ICM]]+bounty*T_p22236257655626974157159160184[[#This Row],[KO]]</f>
        <v>0</v>
      </c>
      <c r="AP21" s="10">
        <f>COUNTIF(T_p22236257655626974157159160161185[stack],"&gt;0")</f>
        <v>3</v>
      </c>
      <c r="AQ21" s="26">
        <f>IF(T_init2034474536067150174[[#This Row],[p]]=1,uncalled,IF(T_init2034474536067150174[[#This Row],[p]]=2,ROUNDDOWN(mainpot/2,0) + ROUNDDOWN(sidepot1,0),IF(T_init2034474536067150174[[#This Row],[p]]=3, ROUNDUP(mainpot/2,0),T_init2034474536067150174[[#This Row],[stack]]-T_init2034474536067150174[[#This Row],[anteblinds]])))</f>
        <v>0</v>
      </c>
      <c r="AR21">
        <v>0</v>
      </c>
      <c r="AS21" s="2">
        <f>T_p22236257655626974157159160161185[[#This Row],[EQ]]*prize</f>
        <v>0</v>
      </c>
      <c r="AT21" s="66">
        <f>IF(T_init2034474536067150174[[#This Row],[p]]=2,T_p22236257655626974157159160161185[[#This Row],[players]]*T_p22236257655626974157159160161185[[#This Row],[stack]]/chips+COUNTIF(T_p22236257655626974157159160161185[stack],0),T_p22236257655626974157159160161185[[#This Row],[players]]*T_p22236257655626974157159160161185[[#This Row],[stack]]/chips)</f>
        <v>0</v>
      </c>
      <c r="AU21" s="66">
        <f>T_p22236257655626974157159160161185[[#This Row],[ICM]]+bounty*T_p22236257655626974157159160161185[[#This Row],[KO]]</f>
        <v>0</v>
      </c>
      <c r="AW21" s="5">
        <f>COUNTIF(T_p3p123372677566370153177[stack],"&gt;0")</f>
        <v>2</v>
      </c>
      <c r="AX21" s="26">
        <f>IF(T_init2034474536067150174[[#This Row],[p]]=1,sidepot1+uncalled,IF(T_init2034474536067150174[[#This Row],[p]]=3,mainpot,IF(ISBLANK(T_init2034474536067150174[[#This Row],[p]]),T_init2034474536067150174[[#This Row],[stack]]-T_init2034474536067150174[[#This Row],[anteblinds]],0)))</f>
        <v>0</v>
      </c>
      <c r="AY21">
        <v>0</v>
      </c>
      <c r="AZ21" s="2">
        <f>T_p3p123372677566370153177[[#This Row],[EQ]]*prize</f>
        <v>0</v>
      </c>
      <c r="BA21" s="66">
        <f>IF(T_init2034474536067150174[[#This Row],[p]]=1,T_p3p123372677566370153177[[#This Row],[players]]*T_p3p123372677566370153177[[#This Row],[stack]]/chips+COUNTIF(T_p3p123372677566370153177[stack],0),T_p3p123372677566370153177[[#This Row],[players]]*T_p3p123372677566370153177[[#This Row],[stack]]/chips)</f>
        <v>0</v>
      </c>
      <c r="BB21" s="66">
        <f>T_p3p123372677566370153177[[#This Row],[ICM]]+bounty*T_p3p123372677566370153177[[#This Row],[KO]]</f>
        <v>0</v>
      </c>
      <c r="BD21" s="5">
        <f>COUNTIF(T_p3p224382778576471154178[stack],"&gt;0")</f>
        <v>3</v>
      </c>
      <c r="BE21">
        <f>IF(T_init2034474536067150174[[#This Row],[p]]=1,uncalled,IF(T_init2034474536067150174[[#This Row],[p]]=2,sidepot1,IF(T_init2034474536067150174[[#This Row],[p]]=3,mainpot,IF(ISBLANK(T_init2034474536067150174[[#This Row],[p]]),T_init2034474536067150174[[#This Row],[stack]]-T_init2034474536067150174[[#This Row],[anteblinds]],0))))</f>
        <v>0</v>
      </c>
      <c r="BF21">
        <v>0</v>
      </c>
      <c r="BG21" s="2">
        <f>T_p3p224382778576471154178[[#This Row],[EQ]]*prize</f>
        <v>0</v>
      </c>
      <c r="BH21" s="66">
        <f>IF(T_init2034474536067150174[[#This Row],[p]]=2,T_p3p224382778576471154178[[#This Row],[players]]*T_p3p224382778576471154178[[#This Row],[stack]]/chips+COUNTIF(T_p3p224382778576471154178[stack],0),T_p3p224382778576471154178[[#This Row],[players]]*T_p3p224382778576471154178[[#This Row],[stack]]/chips)</f>
        <v>0</v>
      </c>
      <c r="BI21" s="16">
        <f>T_p3p224382778576471154178[[#This Row],[ICM]]+bounty*T_p3p224382778576471154178[[#This Row],[KO]]</f>
        <v>0</v>
      </c>
      <c r="BK21" s="5">
        <f>COUNTIF(T_p3p22438277857647175158182[stack],"&gt;0")</f>
        <v>3</v>
      </c>
      <c r="BL21">
        <f>IF(T_init2034474536067150174[[#This Row],[p]]=1,uncalled + ROUND(sidepot1/2,0),IF(T_init2034474536067150174[[#This Row],[p]]=2,ROUND(sidepot1/2,0),IF(T_init2034474536067150174[[#This Row],[p]]=3,mainpot,IF(ISBLANK(T_init2034474536067150174[[#This Row],[p]]),T_init2034474536067150174[[#This Row],[stack]]-T_init2034474536067150174[[#This Row],[anteblinds]],0))))</f>
        <v>0</v>
      </c>
      <c r="BM21">
        <v>0</v>
      </c>
      <c r="BN21" s="2">
        <f>T_p3p22438277857647175158182[[#This Row],[EQ]]*prize</f>
        <v>0</v>
      </c>
      <c r="BO21" s="66">
        <f>IF(T_init2034474536067150174[[#This Row],[p]]=2,T_p3p22438277857647175158182[[#This Row],[players]]*T_p3p22438277857647175158182[[#This Row],[stack]]/chips+COUNTIF(T_p3p22438277857647175158182[stack],0),T_p3p22438277857647175158182[[#This Row],[players]]*T_p3p22438277857647175158182[[#This Row],[stack]]/chips)</f>
        <v>0</v>
      </c>
      <c r="BP21" s="16">
        <f>T_p3p22438277857647175158182[[#This Row],[ICM]]+bounty*T_p3p22438277857647175158182[[#This Row],[KO]]</f>
        <v>0</v>
      </c>
      <c r="BR21" s="73">
        <v>3</v>
      </c>
      <c r="BS21" s="2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0</v>
      </c>
      <c r="BT21">
        <v>0</v>
      </c>
      <c r="BU21" s="2">
        <f>T_fact29392879586572155179[[#This Row],[EQ]]*prize</f>
        <v>0</v>
      </c>
      <c r="BV21" s="66">
        <f>IF(T_init2034474536067150174[[#This Row],[p]]=1,T_fact29392879586572155179[[#This Row],[players]]*T_fact29392879586572155179[[#This Row],[stack]]/chips+COUNTIF(T_fact29392879586572155179[stack],0),T_fact29392879586572155179[[#This Row],[players]]*T_fact29392879586572155179[[#This Row],[stack]]/chips)</f>
        <v>0</v>
      </c>
      <c r="BW21" s="16">
        <f>T_fact29392879586572155179[[#This Row],[ICM]]+bounty*T_fact29392879586572155179[[#This Row],[KO]]</f>
        <v>0</v>
      </c>
      <c r="BZ21" s="68">
        <f>'3way-bu-call-sb-call разбивка'!p3win* ('3way-bu-call-sb-call разбивка'!p1sp1win*T_p3p123372677566370153177[[#This Row],[ICM]] + '3way-bu-call-sb-call разбивка'!p2sp1win*T_p3p224382778576471154178[[#This Row],[ICM]] + tiesp1*T_p3p22438277857647175158182[[#This Row],[ICM]])
+'3way-bu-call-sb-call разбивка'!p2win*T_p222362576556269152176[[#This Row],[ICM]]
+'3way-bu-call-sb-call разбивка'!p1win*T_p121351975546168151175[[#This Row],[ICM]]
+'3way-bu-call-sb-call разбивка'!tie*T_p22236257655626974157181[[#This Row],[ICM]]</f>
        <v>0</v>
      </c>
      <c r="CA21" s="68">
        <f>('3way-bu-call-sb-call разбивка'!p3win* ('3way-bu-call-sb-call разбивка'!p1sp1win*T_p3p123372677566370153177[[#This Row],[KO]] + '3way-bu-call-sb-call разбивка'!p2sp1win*T_p3p224382778576471154178[[#This Row],[KO]])
+'3way-bu-call-sb-call разбивка'!p2win*T_p222362576556269152176[[#This Row],[KO]]
+'3way-bu-call-sb-call разбивка'!p1win*T_p121351975546168151175[[#This Row],[KO]])*bounty</f>
        <v>0</v>
      </c>
      <c r="CB21" s="68">
        <f>'3way-bu-call-sb-call разбивка'!p3win* ('3way-bu-call-sb-call разбивка'!p1sp1win*T_p3p123372677566370153177[[#This Row],[$stack]] + '3way-bu-call-sb-call разбивка'!p2sp1win*T_p3p224382778576471154178[[#This Row],[$stack]])
+'3way-bu-call-sb-call разбивка'!p2win*T_p222362576556269152176[[#This Row],[$stack]]
+'3way-bu-call-sb-call разбивка'!p1win*T_p121351975546168151175[[#This Row],[$stack]]</f>
        <v>0</v>
      </c>
      <c r="CC21" s="68">
        <f>'3way-bu-call-sb-call разбивка'!p3win* ('3way-bu-call-sb-call разбивка'!p1sp1win*T_p3p123372677566370153177[[#This Row],[stack]] + '3way-bu-call-sb-call разбивка'!p2sp1win*T_p3p224382778576471154178[[#This Row],[stack]] + tiesp1*T_p3p22438277857647175158182[[#This Row],[stack]])
+'3way-bu-call-sb-call разбивка'!p2win*T_p222362576556269152176[[#This Row],[stack]]
+'3way-bu-call-sb-call разбивка'!p1win*T_p121351975546168151175[[#This Row],[stack]]
+tie*T_p22236257655626974157181[[#This Row],[stack]]</f>
        <v>0</v>
      </c>
      <c r="CD21" s="68">
        <f>T_fact29392879586572155179[[#This Row],[stack]]- T_init2034474536067150174[[#This Row],[stack]]</f>
        <v>0</v>
      </c>
      <c r="CE21" s="68">
        <f>T_EV33403080596673156180[[#This Row],[netwon]]+T_EV33403080596673156180[[#This Row],[cEVdiff]]</f>
        <v>0</v>
      </c>
      <c r="CF21" s="2">
        <f>T_EV33403080596673156180[[#This Row],[chipEV]]-T_fact29392879586572155179[[#This Row],[stack]]</f>
        <v>0</v>
      </c>
      <c r="CG21" s="2">
        <f>T_EV33403080596673156180[[#This Row],[EV]]-(T_fact29392879586572155179[[#This Row],[ICM]])</f>
        <v>0</v>
      </c>
    </row>
    <row r="22" spans="1:85" x14ac:dyDescent="0.25">
      <c r="G22" s="5">
        <f>COUNTIF(T_p121351975546168151175[stack],"&gt;0")</f>
        <v>1</v>
      </c>
      <c r="H22">
        <f>IF(T_init2034474536067150174[[#This Row],[p]]=1,mainpot+sidepot1+sidepot2+uncalled,IF(T_init2034474536067150174[[#This Row],[p]]&gt;1,0,T_init2034474536067150174[[#This Row],[stack]]-T_init2034474536067150174[[#This Row],[anteblinds]]))</f>
        <v>0</v>
      </c>
      <c r="J22" s="2">
        <f>T_p121351975546168151175[[#This Row],[EQ]]*prize</f>
        <v>0</v>
      </c>
      <c r="K22" s="66">
        <f>IF(T_init2034474536067150174[[#This Row],[p]]=1,T_p121351975546168151175[[#This Row],[players]]*T_p121351975546168151175[[#This Row],[stack]]/chips+COUNTIF(T_p121351975546168151175[stack],0),T_p121351975546168151175[[#This Row],[players]]*T_p121351975546168151175[[#This Row],[stack]]/chips)</f>
        <v>0</v>
      </c>
      <c r="L22" s="66">
        <f>T_p121351975546168151175[[#This Row],[ICM]]+bounty*T_p121351975546168151175[[#This Row],[KO]]</f>
        <v>0</v>
      </c>
      <c r="N22" s="10">
        <f>COUNTIF(T_p222362576556269152176[stack],"&gt;0")</f>
        <v>2</v>
      </c>
      <c r="O22" s="2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0</v>
      </c>
      <c r="Q22" s="2">
        <f>T_p222362576556269152176[[#This Row],[EQ]]*prize</f>
        <v>0</v>
      </c>
      <c r="R22" s="66">
        <f>IF(T_init2034474536067150174[[#This Row],[p]]=2,T_p222362576556269152176[[#This Row],[players]]*T_p222362576556269152176[[#This Row],[stack]]/chips+COUNTIF(T_p222362576556269152176[stack],0),T_p222362576556269152176[[#This Row],[players]]*T_p222362576556269152176[[#This Row],[stack]]/chips)</f>
        <v>0</v>
      </c>
      <c r="S22" s="66">
        <f>T_p222362576556269152176[[#This Row],[ICM]]+bounty*T_p222362576556269152176[[#This Row],[KO]]</f>
        <v>0</v>
      </c>
      <c r="T22" s="66"/>
      <c r="U22" s="10">
        <f>COUNTIF(T_p22236257655626974157181[stack],"&gt;0")</f>
        <v>3</v>
      </c>
      <c r="V22" s="26">
        <f>IF(T_init2034474536067150174[[#This Row],[p]]=1,ROUND(uncalled + mainpot/3, 0) + ROUND(sidepot1/2,0),IF(T_init2034474536067150174[[#This Row],[p]]=2,ROUND(mainpot/3,0) + ROUND(sidepot1/2,0),IF(T_init2034474536067150174[[#This Row],[p]]=3, ROUNDUP(mainpot/3,0),T_init2034474536067150174[[#This Row],[stack]]-T_init2034474536067150174[[#This Row],[anteblinds]])))</f>
        <v>0</v>
      </c>
      <c r="X22" s="2">
        <f>T_p22236257655626974157181[[#This Row],[EQ]]*prize</f>
        <v>0</v>
      </c>
      <c r="Y22" s="66">
        <f>IF(T_init2034474536067150174[[#This Row],[p]]=2,T_p22236257655626974157181[[#This Row],[players]]*T_p22236257655626974157181[[#This Row],[stack]]/chips+COUNTIF(T_p22236257655626974157181[stack],0),T_p22236257655626974157181[[#This Row],[players]]*T_p22236257655626974157181[[#This Row],[stack]]/chips)</f>
        <v>0</v>
      </c>
      <c r="Z22" s="66">
        <f>T_p22236257655626974157181[[#This Row],[ICM]]+bounty*T_p22236257655626974157181[[#This Row],[KO]]</f>
        <v>0</v>
      </c>
      <c r="AA22" s="66"/>
      <c r="AB22" s="10">
        <f>COUNTIF(T_p22236257655626974157159183[stack],"&gt;0")</f>
        <v>2</v>
      </c>
      <c r="AC22" s="26">
        <f>IF(T_init2034474536067150174[[#This Row],[p]]=1,ROUNDDOWN(uncalled + mainpot/2, 0) + ROUNDDOWN(sidepot1/2,0),IF(T_init2034474536067150174[[#This Row],[p]]=2,ROUND(mainpot/2,0) + ROUND(sidepot1/2,0),IF(T_init2034474536067150174[[#This Row],[p]]=3, 0,T_init2034474536067150174[[#This Row],[stack]]-T_init2034474536067150174[[#This Row],[anteblinds]])))</f>
        <v>0</v>
      </c>
      <c r="AE22" s="2">
        <f>T_p22236257655626974157159183[[#This Row],[EQ]]*prize</f>
        <v>0</v>
      </c>
      <c r="AF22" s="66">
        <f>IF(T_init2034474536067150174[[#This Row],[p]]=2,T_p22236257655626974157159183[[#This Row],[players]]*T_p22236257655626974157159183[[#This Row],[stack]]/chips+COUNTIF(T_p22236257655626974157159183[stack],0),T_p22236257655626974157159183[[#This Row],[players]]*T_p22236257655626974157159183[[#This Row],[stack]]/chips)</f>
        <v>0</v>
      </c>
      <c r="AG22" s="66">
        <f>T_p22236257655626974157159183[[#This Row],[ICM]]+bounty*T_p22236257655626974157159183[[#This Row],[KO]]</f>
        <v>0</v>
      </c>
      <c r="AH22" s="66"/>
      <c r="AI22" s="10">
        <f>COUNTIF(T_p22236257655626974157159160184[stack],"&gt;0")</f>
        <v>2</v>
      </c>
      <c r="AJ22" s="26">
        <f>IF(T_init2034474536067150174[[#This Row],[p]]=1,ROUNDDOWN(uncalled + mainpot/2, 0) + ROUNDDOWN(sidepot1,0),IF(T_init2034474536067150174[[#This Row],[p]]=2,0,IF(T_init2034474536067150174[[#This Row],[p]]=3, ROUNDUP(mainpot/2,0),T_init2034474536067150174[[#This Row],[stack]]-T_init2034474536067150174[[#This Row],[anteblinds]])))</f>
        <v>0</v>
      </c>
      <c r="AL22" s="2">
        <f>T_p22236257655626974157159160184[[#This Row],[EQ]]*prize</f>
        <v>0</v>
      </c>
      <c r="AM22" s="66">
        <f>IF(T_init2034474536067150174[[#This Row],[p]]=2,T_p22236257655626974157159160184[[#This Row],[players]]*T_p22236257655626974157159160184[[#This Row],[stack]]/chips+COUNTIF(T_p22236257655626974157159160184[stack],0),T_p22236257655626974157159160184[[#This Row],[players]]*T_p22236257655626974157159160184[[#This Row],[stack]]/chips)</f>
        <v>0</v>
      </c>
      <c r="AN22" s="66">
        <f>T_p22236257655626974157159160184[[#This Row],[ICM]]+bounty*T_p22236257655626974157159160184[[#This Row],[KO]]</f>
        <v>0</v>
      </c>
      <c r="AP22" s="10">
        <f>COUNTIF(T_p22236257655626974157159160161185[stack],"&gt;0")</f>
        <v>3</v>
      </c>
      <c r="AQ22" s="26">
        <f>IF(T_init2034474536067150174[[#This Row],[p]]=1,uncalled,IF(T_init2034474536067150174[[#This Row],[p]]=2,ROUNDDOWN(mainpot/2,0) + ROUNDDOWN(sidepot1,0),IF(T_init2034474536067150174[[#This Row],[p]]=3, ROUNDUP(mainpot/2,0),T_init2034474536067150174[[#This Row],[stack]]-T_init2034474536067150174[[#This Row],[anteblinds]])))</f>
        <v>0</v>
      </c>
      <c r="AS22" s="2">
        <f>T_p22236257655626974157159160161185[[#This Row],[EQ]]*prize</f>
        <v>0</v>
      </c>
      <c r="AT22" s="66">
        <f>IF(T_init2034474536067150174[[#This Row],[p]]=2,T_p22236257655626974157159160161185[[#This Row],[players]]*T_p22236257655626974157159160161185[[#This Row],[stack]]/chips+COUNTIF(T_p22236257655626974157159160161185[stack],0),T_p22236257655626974157159160161185[[#This Row],[players]]*T_p22236257655626974157159160161185[[#This Row],[stack]]/chips)</f>
        <v>0</v>
      </c>
      <c r="AU22" s="66">
        <f>T_p22236257655626974157159160161185[[#This Row],[ICM]]+bounty*T_p22236257655626974157159160161185[[#This Row],[KO]]</f>
        <v>0</v>
      </c>
      <c r="AW22" s="5">
        <f>COUNTIF(T_p3p123372677566370153177[stack],"&gt;0")</f>
        <v>2</v>
      </c>
      <c r="AX22" s="26">
        <f>IF(T_init2034474536067150174[[#This Row],[p]]=1,sidepot1+uncalled,IF(T_init2034474536067150174[[#This Row],[p]]=3,mainpot,IF(ISBLANK(T_init2034474536067150174[[#This Row],[p]]),T_init2034474536067150174[[#This Row],[stack]]-T_init2034474536067150174[[#This Row],[anteblinds]],0)))</f>
        <v>0</v>
      </c>
      <c r="AY22">
        <v>0</v>
      </c>
      <c r="AZ22" s="2">
        <f>T_p3p123372677566370153177[[#This Row],[EQ]]*prize</f>
        <v>0</v>
      </c>
      <c r="BA22" s="66">
        <f>IF(T_init2034474536067150174[[#This Row],[p]]=1,T_p3p123372677566370153177[[#This Row],[players]]*T_p3p123372677566370153177[[#This Row],[stack]]/chips+COUNTIF(T_p3p123372677566370153177[stack],0),T_p3p123372677566370153177[[#This Row],[players]]*T_p3p123372677566370153177[[#This Row],[stack]]/chips)</f>
        <v>0</v>
      </c>
      <c r="BB22" s="66">
        <f>T_p3p123372677566370153177[[#This Row],[ICM]]+bounty*T_p3p123372677566370153177[[#This Row],[KO]]</f>
        <v>0</v>
      </c>
      <c r="BD22" s="5">
        <f>COUNTIF(T_p3p224382778576471154178[stack],"&gt;0")</f>
        <v>3</v>
      </c>
      <c r="BE22">
        <f>IF(T_init2034474536067150174[[#This Row],[p]]=1,uncalled,IF(T_init2034474536067150174[[#This Row],[p]]=2,sidepot1,IF(T_init2034474536067150174[[#This Row],[p]]=3,mainpot,IF(ISBLANK(T_init2034474536067150174[[#This Row],[p]]),T_init2034474536067150174[[#This Row],[stack]]-T_init2034474536067150174[[#This Row],[anteblinds]],0))))</f>
        <v>0</v>
      </c>
      <c r="BF22">
        <v>0</v>
      </c>
      <c r="BG22" s="2">
        <f>T_p3p224382778576471154178[[#This Row],[EQ]]*prize</f>
        <v>0</v>
      </c>
      <c r="BH22" s="66">
        <f>IF(T_init2034474536067150174[[#This Row],[p]]=2,T_p3p224382778576471154178[[#This Row],[players]]*T_p3p224382778576471154178[[#This Row],[stack]]/chips+COUNTIF(T_p3p224382778576471154178[stack],0),T_p3p224382778576471154178[[#This Row],[players]]*T_p3p224382778576471154178[[#This Row],[stack]]/chips)</f>
        <v>0</v>
      </c>
      <c r="BI22" s="16">
        <f>T_p3p224382778576471154178[[#This Row],[ICM]]+bounty*T_p3p224382778576471154178[[#This Row],[KO]]</f>
        <v>0</v>
      </c>
      <c r="BK22" s="5">
        <f>COUNTIF(T_p3p22438277857647175158182[stack],"&gt;0")</f>
        <v>3</v>
      </c>
      <c r="BL22">
        <f>IF(T_init2034474536067150174[[#This Row],[p]]=1,uncalled + ROUND(sidepot1/2,0),IF(T_init2034474536067150174[[#This Row],[p]]=2,ROUND(sidepot1/2,0),IF(T_init2034474536067150174[[#This Row],[p]]=3,mainpot,IF(ISBLANK(T_init2034474536067150174[[#This Row],[p]]),T_init2034474536067150174[[#This Row],[stack]]-T_init2034474536067150174[[#This Row],[anteblinds]],0))))</f>
        <v>0</v>
      </c>
      <c r="BM22">
        <v>0</v>
      </c>
      <c r="BN22" s="2">
        <f>T_p3p22438277857647175158182[[#This Row],[EQ]]*prize</f>
        <v>0</v>
      </c>
      <c r="BO22" s="66">
        <f>IF(T_init2034474536067150174[[#This Row],[p]]=2,T_p3p22438277857647175158182[[#This Row],[players]]*T_p3p22438277857647175158182[[#This Row],[stack]]/chips+COUNTIF(T_p3p22438277857647175158182[stack],0),T_p3p22438277857647175158182[[#This Row],[players]]*T_p3p22438277857647175158182[[#This Row],[stack]]/chips)</f>
        <v>0</v>
      </c>
      <c r="BP22" s="16">
        <f>T_p3p22438277857647175158182[[#This Row],[ICM]]+bounty*T_p3p22438277857647175158182[[#This Row],[KO]]</f>
        <v>0</v>
      </c>
      <c r="BR22" s="73">
        <v>3</v>
      </c>
      <c r="BS22" s="26">
        <f>IF(T_init2034474536067150174[[#This Row],[p]]=1,uncalled,IF(T_init2034474536067150174[[#This Row],[p]]=2,mainpot+sidepot1+sidepot2,IF(T_init2034474536067150174[[#This Row],[p]]&gt;2,0,T_init2034474536067150174[[#This Row],[stack]]-T_init2034474536067150174[[#This Row],[anteblinds]])))</f>
        <v>0</v>
      </c>
      <c r="BU22" s="2">
        <f>T_fact29392879586572155179[[#This Row],[EQ]]*prize</f>
        <v>0</v>
      </c>
      <c r="BV22" s="66">
        <f>IF(T_init2034474536067150174[[#This Row],[p]]=1,T_fact29392879586572155179[[#This Row],[players]]*T_fact29392879586572155179[[#This Row],[stack]]/chips+COUNTIF(T_fact29392879586572155179[stack],0),T_fact29392879586572155179[[#This Row],[players]]*T_fact29392879586572155179[[#This Row],[stack]]/chips)</f>
        <v>0</v>
      </c>
      <c r="BW22" s="16">
        <f>T_fact29392879586572155179[[#This Row],[ICM]]+bounty*T_fact29392879586572155179[[#This Row],[KO]]</f>
        <v>0</v>
      </c>
      <c r="BZ22" s="68">
        <f>'3way-bu-call-sb-call разбивка'!p3win* ('3way-bu-call-sb-call разбивка'!p1sp1win*T_p3p123372677566370153177[[#This Row],[ICM]] + '3way-bu-call-sb-call разбивка'!p2sp1win*T_p3p224382778576471154178[[#This Row],[ICM]] + tiesp1*T_p3p22438277857647175158182[[#This Row],[ICM]])
+'3way-bu-call-sb-call разбивка'!p2win*T_p222362576556269152176[[#This Row],[ICM]]
+'3way-bu-call-sb-call разбивка'!p1win*T_p121351975546168151175[[#This Row],[ICM]]
+'3way-bu-call-sb-call разбивка'!tie*T_p22236257655626974157181[[#This Row],[ICM]]</f>
        <v>0</v>
      </c>
      <c r="CA22" s="68">
        <f>('3way-bu-call-sb-call разбивка'!p3win* ('3way-bu-call-sb-call разбивка'!p1sp1win*T_p3p123372677566370153177[[#This Row],[KO]] + '3way-bu-call-sb-call разбивка'!p2sp1win*T_p3p224382778576471154178[[#This Row],[KO]])
+'3way-bu-call-sb-call разбивка'!p2win*T_p222362576556269152176[[#This Row],[KO]]
+'3way-bu-call-sb-call разбивка'!p1win*T_p121351975546168151175[[#This Row],[KO]])*bounty</f>
        <v>0</v>
      </c>
      <c r="CB22" s="68">
        <f>'3way-bu-call-sb-call разбивка'!p3win* ('3way-bu-call-sb-call разбивка'!p1sp1win*T_p3p123372677566370153177[[#This Row],[$stack]] + '3way-bu-call-sb-call разбивка'!p2sp1win*T_p3p224382778576471154178[[#This Row],[$stack]])
+'3way-bu-call-sb-call разбивка'!p2win*T_p222362576556269152176[[#This Row],[$stack]]
+'3way-bu-call-sb-call разбивка'!p1win*T_p121351975546168151175[[#This Row],[$stack]]</f>
        <v>0</v>
      </c>
      <c r="CC22" s="68">
        <f>'3way-bu-call-sb-call разбивка'!p3win* ('3way-bu-call-sb-call разбивка'!p1sp1win*T_p3p123372677566370153177[[#This Row],[stack]] + '3way-bu-call-sb-call разбивка'!p2sp1win*T_p3p224382778576471154178[[#This Row],[stack]] + tiesp1*T_p3p22438277857647175158182[[#This Row],[stack]])
+'3way-bu-call-sb-call разбивка'!p2win*T_p222362576556269152176[[#This Row],[stack]]
+'3way-bu-call-sb-call разбивка'!p1win*T_p121351975546168151175[[#This Row],[stack]]
+tie*T_p22236257655626974157181[[#This Row],[stack]]</f>
        <v>0</v>
      </c>
      <c r="CD22" s="68">
        <f>T_fact29392879586572155179[[#This Row],[stack]]- T_init2034474536067150174[[#This Row],[stack]]</f>
        <v>0</v>
      </c>
      <c r="CE22" s="68">
        <f>T_EV33403080596673156180[[#This Row],[netwon]]+T_EV33403080596673156180[[#This Row],[cEVdiff]]</f>
        <v>0</v>
      </c>
      <c r="CF22" s="2">
        <f>T_EV33403080596673156180[[#This Row],[chipEV]]-T_fact29392879586572155179[[#This Row],[stack]]</f>
        <v>0</v>
      </c>
      <c r="CG22" s="2">
        <f>T_EV33403080596673156180[[#This Row],[EV]]-(T_fact29392879586572155179[[#This Row],[ICM]])</f>
        <v>0</v>
      </c>
    </row>
    <row r="23" spans="1:85" x14ac:dyDescent="0.25">
      <c r="B23" t="s">
        <v>95</v>
      </c>
      <c r="E23">
        <f>SUBTOTAL(109,T_init2034474536067150174[anteblinds])</f>
        <v>210</v>
      </c>
      <c r="G23" s="53"/>
      <c r="H23" s="50">
        <f>SUM(T_p121351975546168151175[stack])</f>
        <v>1390</v>
      </c>
      <c r="I23" s="50">
        <f>SUM(T_p121351975546168151175[EQ])</f>
        <v>1</v>
      </c>
      <c r="J23" s="50">
        <f>SUM(T_p121351975546168151175[ICM])</f>
        <v>107.83999999999999</v>
      </c>
      <c r="K23" s="50">
        <f>SUM(T_p121351975546168151175[KO])</f>
        <v>5.6950000000000003</v>
      </c>
      <c r="L23" s="50">
        <f>SUM(T_p121351975546168151175[$stack])</f>
        <v>107.83999999999999</v>
      </c>
      <c r="N23" s="53"/>
      <c r="O23" s="55">
        <f>SUM(T_p222362576556269152176[stack])</f>
        <v>1390</v>
      </c>
      <c r="P23" s="50">
        <f>SUM(T_p222362576556269152176[EQ])</f>
        <v>1</v>
      </c>
      <c r="Q23" s="51">
        <f>SUM(T_p222362576556269152176[ICM])</f>
        <v>107.84</v>
      </c>
      <c r="R23" s="52">
        <f>SUM(T_p222362576556269152176[KO])</f>
        <v>5.39</v>
      </c>
      <c r="S23" s="50">
        <f>SUM(T_p222362576556269152176[$stack])</f>
        <v>107.84</v>
      </c>
      <c r="U23" s="53"/>
      <c r="V23" s="55">
        <f>SUM(T_p22236257655626974157181[stack])</f>
        <v>1390</v>
      </c>
      <c r="W23" s="50">
        <f>SUM(T_p22236257655626974157181[EQ])</f>
        <v>1</v>
      </c>
      <c r="X23" s="51">
        <f>SUM(T_p22236257655626974157181[ICM])</f>
        <v>107.84</v>
      </c>
      <c r="Y23" s="52">
        <f>SUM(T_p22236257655626974157181[KO])</f>
        <v>5.085</v>
      </c>
      <c r="Z23" s="50">
        <f>SUM(T_p22236257655626974157181[$stack])</f>
        <v>107.84</v>
      </c>
      <c r="AB23" s="53"/>
      <c r="AC23" s="55">
        <f>SUM(T_p22236257655626974157159183[stack])</f>
        <v>1390</v>
      </c>
      <c r="AD23" s="50">
        <f>SUM(T_p22236257655626974157159183[EQ])</f>
        <v>1</v>
      </c>
      <c r="AE23" s="51">
        <f>SUM(T_p22236257655626974157159183[ICM])</f>
        <v>107.84</v>
      </c>
      <c r="AF23" s="52">
        <f>SUM(T_p22236257655626974157159183[KO])</f>
        <v>5.3900000000000006</v>
      </c>
      <c r="AG23" s="50">
        <f>SUM(T_p22236257655626974157159183[$stack])</f>
        <v>107.84</v>
      </c>
      <c r="AI23" s="53"/>
      <c r="AJ23" s="55">
        <f>SUM(T_p22236257655626974157159160184[stack])</f>
        <v>1390</v>
      </c>
      <c r="AK23" s="50">
        <f>SUM(T_p22236257655626974157159160184[EQ])</f>
        <v>1</v>
      </c>
      <c r="AL23" s="51">
        <f>SUM(T_p22236257655626974157159160184[ICM])</f>
        <v>107.84</v>
      </c>
      <c r="AM23" s="52">
        <f>SUM(T_p22236257655626974157159160184[KO])</f>
        <v>5.39</v>
      </c>
      <c r="AN23" s="50">
        <f>SUM(T_p22236257655626974157159160184[$stack])</f>
        <v>107.84</v>
      </c>
      <c r="AP23" s="53"/>
      <c r="AQ23" s="55">
        <f>SUM(T_p22236257655626974157159160161185[stack])</f>
        <v>1390</v>
      </c>
      <c r="AR23" s="50">
        <f>SUM(T_p22236257655626974157159160161185[EQ])</f>
        <v>1</v>
      </c>
      <c r="AS23" s="51">
        <f>SUM(T_p22236257655626974157159160161185[ICM])</f>
        <v>107.84</v>
      </c>
      <c r="AT23" s="52">
        <f>SUM(T_p22236257655626974157159160161185[KO])</f>
        <v>5.085</v>
      </c>
      <c r="AU23" s="50">
        <f>SUM(T_p22236257655626974157159160161185[$stack])</f>
        <v>107.84</v>
      </c>
      <c r="AW23" s="53"/>
      <c r="AX23" s="55">
        <f>SUM(T_p3p123372677566370153177[stack])</f>
        <v>1390</v>
      </c>
      <c r="AY23" s="50">
        <f>SUM(T_p3p123372677566370153177[EQ])</f>
        <v>1</v>
      </c>
      <c r="AZ23" s="51">
        <f>SUM(T_p3p123372677566370153177[ICM])</f>
        <v>107.84</v>
      </c>
      <c r="BA23" s="52">
        <f>SUM(T_p3p123372677566370153177[KO])</f>
        <v>5.3900000000000006</v>
      </c>
      <c r="BB23" s="50">
        <f>SUM(T_p3p123372677566370153177[$stack])</f>
        <v>107.84</v>
      </c>
      <c r="BD23" s="53"/>
      <c r="BE23" s="55">
        <f>SUM(T_p3p224382778576471154178[stack])</f>
        <v>1390</v>
      </c>
      <c r="BF23" s="50">
        <f>SUM(T_p3p224382778576471154178[EQ])</f>
        <v>1</v>
      </c>
      <c r="BG23" s="51">
        <f>SUM(T_p3p224382778576471154178[ICM])</f>
        <v>107.84</v>
      </c>
      <c r="BH23" s="52">
        <f>SUM(T_p3p224382778576471154178[KO])</f>
        <v>5.0850000000000009</v>
      </c>
      <c r="BI23" s="50">
        <f>SUM(T_p3p123372677566370153177[$stack])</f>
        <v>107.84</v>
      </c>
      <c r="BK23" s="53"/>
      <c r="BL23" s="55">
        <f>SUM(T_p3p22438277857647175158182[stack])</f>
        <v>1390</v>
      </c>
      <c r="BM23" s="50">
        <f>SUM(T_p3p22438277857647175158182[EQ])</f>
        <v>1</v>
      </c>
      <c r="BN23" s="51">
        <f>SUM(T_p3p22438277857647175158182[ICM])</f>
        <v>107.84</v>
      </c>
      <c r="BO23" s="52">
        <f>SUM(T_p3p22438277857647175158182[KO])</f>
        <v>5.0850000000000009</v>
      </c>
      <c r="BP23" s="50">
        <f>SUM(T_p3p123372677566370153177[$stack])</f>
        <v>107.84</v>
      </c>
      <c r="BR23" s="53"/>
      <c r="BS23" s="55">
        <f>SUM(T_fact29392879586572155179[stack])</f>
        <v>1390</v>
      </c>
      <c r="BT23" s="50">
        <f>SUM(T_fact29392879586572155179[EQ])</f>
        <v>1</v>
      </c>
      <c r="BU23" s="51">
        <f>SUM(T_fact29392879586572155179[ICM])</f>
        <v>107.84</v>
      </c>
      <c r="BV23" s="52">
        <f>SUM(T_fact29392879586572155179[KO])</f>
        <v>6.0849999999999991</v>
      </c>
      <c r="BW23" s="51">
        <f>SUM(T_fact29392879586572155179[$stack])</f>
        <v>107.84</v>
      </c>
      <c r="BZ23" s="52">
        <f>SUM(T_EV33403080596673156180[ICM])</f>
        <v>101.5309706976</v>
      </c>
      <c r="CA23" s="52">
        <f>SUM(T_EV33403080596673156180[KO])</f>
        <v>0</v>
      </c>
      <c r="CB23" s="52">
        <f>SUM(T_EV33403080596673156180[EV])</f>
        <v>88.557429395199989</v>
      </c>
      <c r="CC23" s="50">
        <f>SUM(T_EV33403080596673156180[chipEV])</f>
        <v>1308.6799821</v>
      </c>
      <c r="CD23" s="50"/>
      <c r="CE23" s="50"/>
    </row>
    <row r="25" spans="1:85" ht="18.75" x14ac:dyDescent="0.3">
      <c r="N25" s="79" t="s">
        <v>117</v>
      </c>
      <c r="Q25" t="s">
        <v>793</v>
      </c>
    </row>
    <row r="26" spans="1:85" x14ac:dyDescent="0.25">
      <c r="D26" t="s">
        <v>118</v>
      </c>
      <c r="N26" t="s">
        <v>761</v>
      </c>
    </row>
    <row r="27" spans="1:85" x14ac:dyDescent="0.25">
      <c r="D27" t="s">
        <v>120</v>
      </c>
      <c r="N27" t="s">
        <v>762</v>
      </c>
    </row>
    <row r="28" spans="1:85" x14ac:dyDescent="0.25">
      <c r="D28" t="s">
        <v>122</v>
      </c>
      <c r="N28" t="s">
        <v>763</v>
      </c>
    </row>
    <row r="29" spans="1:85" x14ac:dyDescent="0.25">
      <c r="N29" t="s">
        <v>764</v>
      </c>
    </row>
    <row r="30" spans="1:85" x14ac:dyDescent="0.25">
      <c r="N30" t="s">
        <v>765</v>
      </c>
    </row>
    <row r="31" spans="1:85" x14ac:dyDescent="0.25">
      <c r="D31" t="s">
        <v>126</v>
      </c>
      <c r="N31" t="s">
        <v>688</v>
      </c>
    </row>
    <row r="32" spans="1:85" x14ac:dyDescent="0.25">
      <c r="N32" t="s">
        <v>766</v>
      </c>
    </row>
    <row r="33" spans="3:14" x14ac:dyDescent="0.25">
      <c r="C33" t="s">
        <v>129</v>
      </c>
      <c r="N33" t="s">
        <v>767</v>
      </c>
    </row>
    <row r="34" spans="3:14" x14ac:dyDescent="0.25">
      <c r="C34" t="s">
        <v>131</v>
      </c>
      <c r="N34" t="s">
        <v>768</v>
      </c>
    </row>
    <row r="35" spans="3:14" x14ac:dyDescent="0.25">
      <c r="D35" t="s">
        <v>133</v>
      </c>
      <c r="N35" t="s">
        <v>769</v>
      </c>
    </row>
    <row r="36" spans="3:14" x14ac:dyDescent="0.25">
      <c r="E36" t="s">
        <v>135</v>
      </c>
      <c r="N36" t="s">
        <v>139</v>
      </c>
    </row>
    <row r="37" spans="3:14" x14ac:dyDescent="0.25">
      <c r="D37" t="s">
        <v>137</v>
      </c>
      <c r="N37" t="s">
        <v>770</v>
      </c>
    </row>
    <row r="38" spans="3:14" x14ac:dyDescent="0.25">
      <c r="E38" t="s">
        <v>135</v>
      </c>
      <c r="N38" t="s">
        <v>771</v>
      </c>
    </row>
    <row r="39" spans="3:14" x14ac:dyDescent="0.25">
      <c r="D39" t="s">
        <v>140</v>
      </c>
      <c r="N39" t="s">
        <v>772</v>
      </c>
    </row>
    <row r="40" spans="3:14" x14ac:dyDescent="0.25">
      <c r="E40" t="s">
        <v>142</v>
      </c>
      <c r="N40" t="s">
        <v>773</v>
      </c>
    </row>
    <row r="41" spans="3:14" x14ac:dyDescent="0.25">
      <c r="E41" t="s">
        <v>144</v>
      </c>
      <c r="F41" t="s">
        <v>145</v>
      </c>
      <c r="N41" t="s">
        <v>774</v>
      </c>
    </row>
    <row r="42" spans="3:14" x14ac:dyDescent="0.25">
      <c r="G42" t="s">
        <v>147</v>
      </c>
      <c r="N42" t="s">
        <v>775</v>
      </c>
    </row>
    <row r="43" spans="3:14" x14ac:dyDescent="0.25">
      <c r="F43" t="s">
        <v>149</v>
      </c>
      <c r="N43" t="s">
        <v>773</v>
      </c>
    </row>
    <row r="44" spans="3:14" x14ac:dyDescent="0.25">
      <c r="G44" t="s">
        <v>151</v>
      </c>
      <c r="N44" t="s">
        <v>776</v>
      </c>
    </row>
    <row r="45" spans="3:14" x14ac:dyDescent="0.25">
      <c r="N45" t="s">
        <v>775</v>
      </c>
    </row>
    <row r="46" spans="3:14" x14ac:dyDescent="0.25">
      <c r="D46" t="s">
        <v>154</v>
      </c>
      <c r="N46" t="s">
        <v>773</v>
      </c>
    </row>
    <row r="47" spans="3:14" x14ac:dyDescent="0.25">
      <c r="E47" t="s">
        <v>156</v>
      </c>
      <c r="N47" t="s">
        <v>777</v>
      </c>
    </row>
    <row r="48" spans="3:14" x14ac:dyDescent="0.25">
      <c r="E48" t="s">
        <v>158</v>
      </c>
      <c r="F48" t="s">
        <v>145</v>
      </c>
      <c r="N48" t="s">
        <v>775</v>
      </c>
    </row>
    <row r="49" spans="6:14" x14ac:dyDescent="0.25">
      <c r="G49" t="s">
        <v>160</v>
      </c>
      <c r="N49" t="s">
        <v>773</v>
      </c>
    </row>
    <row r="50" spans="6:14" x14ac:dyDescent="0.25">
      <c r="F50" t="s">
        <v>149</v>
      </c>
      <c r="N50" t="s">
        <v>166</v>
      </c>
    </row>
    <row r="51" spans="6:14" x14ac:dyDescent="0.25">
      <c r="G51" t="s">
        <v>163</v>
      </c>
      <c r="N51" t="s">
        <v>778</v>
      </c>
    </row>
    <row r="52" spans="6:14" x14ac:dyDescent="0.25">
      <c r="F52" t="s">
        <v>165</v>
      </c>
      <c r="N52" t="s">
        <v>779</v>
      </c>
    </row>
    <row r="53" spans="6:14" x14ac:dyDescent="0.25">
      <c r="G53" t="s">
        <v>167</v>
      </c>
      <c r="N53" t="s">
        <v>780</v>
      </c>
    </row>
    <row r="54" spans="6:14" x14ac:dyDescent="0.25">
      <c r="G54" t="s">
        <v>144</v>
      </c>
      <c r="N54" t="s">
        <v>781</v>
      </c>
    </row>
    <row r="55" spans="6:14" x14ac:dyDescent="0.25">
      <c r="H55" t="s">
        <v>145</v>
      </c>
      <c r="N55" t="s">
        <v>782</v>
      </c>
    </row>
    <row r="56" spans="6:14" x14ac:dyDescent="0.25">
      <c r="I56" t="s">
        <v>147</v>
      </c>
      <c r="N56" t="s">
        <v>783</v>
      </c>
    </row>
    <row r="57" spans="6:14" x14ac:dyDescent="0.25">
      <c r="H57" t="s">
        <v>149</v>
      </c>
      <c r="N57" t="s">
        <v>784</v>
      </c>
    </row>
    <row r="58" spans="6:14" x14ac:dyDescent="0.25">
      <c r="I58" t="s">
        <v>151</v>
      </c>
      <c r="N58" t="s">
        <v>785</v>
      </c>
    </row>
    <row r="59" spans="6:14" x14ac:dyDescent="0.25">
      <c r="N59" t="s">
        <v>786</v>
      </c>
    </row>
    <row r="60" spans="6:14" x14ac:dyDescent="0.25">
      <c r="N60" t="s">
        <v>787</v>
      </c>
    </row>
    <row r="61" spans="6:14" x14ac:dyDescent="0.25">
      <c r="N61" t="s">
        <v>173</v>
      </c>
    </row>
    <row r="62" spans="6:14" x14ac:dyDescent="0.25">
      <c r="N62" t="s">
        <v>788</v>
      </c>
    </row>
    <row r="63" spans="6:14" x14ac:dyDescent="0.25">
      <c r="N63" t="s">
        <v>789</v>
      </c>
    </row>
    <row r="64" spans="6:14" x14ac:dyDescent="0.25">
      <c r="N64" t="s">
        <v>790</v>
      </c>
    </row>
    <row r="65" spans="14:14" x14ac:dyDescent="0.25">
      <c r="N65" t="s">
        <v>791</v>
      </c>
    </row>
    <row r="66" spans="14:14" x14ac:dyDescent="0.25">
      <c r="N66" t="s">
        <v>792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BD15:BH15"/>
    <mergeCell ref="BK15:BO15"/>
    <mergeCell ref="BR15:BV15"/>
    <mergeCell ref="BZ15:CC15"/>
    <mergeCell ref="G10:G11"/>
    <mergeCell ref="AW13:BP13"/>
    <mergeCell ref="BZ14:CC14"/>
    <mergeCell ref="G15:K15"/>
    <mergeCell ref="N15:R15"/>
    <mergeCell ref="U15:Y15"/>
    <mergeCell ref="AB15:AF15"/>
    <mergeCell ref="AI15:AM15"/>
    <mergeCell ref="AP15:AT15"/>
    <mergeCell ref="AW15:BA15"/>
  </mergeCells>
  <pageMargins left="0.7" right="0.7" top="0.75" bottom="0.75" header="0.3" footer="0.3"/>
  <pageSetup paperSize="9" orientation="portrait" horizontalDpi="4294967293" verticalDpi="0" r:id="rId1"/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3532-388D-42C1-BA2A-30CAC1547513}">
  <dimension ref="A1:AV70"/>
  <sheetViews>
    <sheetView workbookViewId="0">
      <selection activeCell="R18" sqref="R18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14.71*4</f>
        <v>58.84</v>
      </c>
      <c r="F1" s="80" t="s">
        <v>71</v>
      </c>
      <c r="G1">
        <v>0.27910000000000001</v>
      </c>
      <c r="I1" s="80" t="s">
        <v>72</v>
      </c>
      <c r="J1">
        <v>0.53639999999999999</v>
      </c>
      <c r="M1" s="80" t="s">
        <v>73</v>
      </c>
      <c r="N1">
        <v>590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0.37959999999999999</v>
      </c>
      <c r="I2" s="80" t="s">
        <v>75</v>
      </c>
      <c r="J2">
        <v>0.46360000000000001</v>
      </c>
      <c r="M2" s="80" t="s">
        <v>76</v>
      </c>
      <c r="N2">
        <v>410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0.34129999999999999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50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4"/>
      <c r="K11" s="84"/>
    </row>
    <row r="12" spans="1:48" ht="19.5" thickBot="1" x14ac:dyDescent="0.35">
      <c r="F12" s="84"/>
      <c r="G12" s="84"/>
      <c r="H12" s="84"/>
      <c r="I12" s="84"/>
      <c r="J12" s="84"/>
      <c r="K12" s="84"/>
      <c r="V12" t="s">
        <v>92</v>
      </c>
      <c r="AC12" t="s">
        <v>93</v>
      </c>
    </row>
    <row r="13" spans="1:48" ht="20.25" thickTop="1" thickBot="1" x14ac:dyDescent="0.35">
      <c r="F13" s="84"/>
      <c r="G13" s="84"/>
      <c r="H13" s="84"/>
      <c r="I13" s="84"/>
      <c r="J13" s="84"/>
      <c r="K13" s="84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4"/>
      <c r="G14" s="84"/>
      <c r="H14" s="84" t="s">
        <v>96</v>
      </c>
      <c r="I14" s="84"/>
      <c r="J14" s="84"/>
      <c r="K14" s="84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4"/>
      <c r="M15" s="134" t="s">
        <v>101</v>
      </c>
      <c r="N15" s="135"/>
      <c r="O15" s="135"/>
      <c r="P15" s="135"/>
      <c r="Q15" s="136"/>
      <c r="R15" s="84"/>
      <c r="T15" s="118" t="s">
        <v>102</v>
      </c>
      <c r="U15" s="119"/>
      <c r="V15" s="119"/>
      <c r="W15" s="119"/>
      <c r="X15" s="120"/>
      <c r="Y15" s="84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s="86" customFormat="1" x14ac:dyDescent="0.25">
      <c r="B17" s="86">
        <v>970</v>
      </c>
      <c r="C17" s="86" t="s">
        <v>46</v>
      </c>
      <c r="D17" s="86">
        <v>20</v>
      </c>
      <c r="F17" s="87">
        <f>COUNTIF(T_p1213519828996117124131138[stack],"&gt;0")</f>
        <v>2</v>
      </c>
      <c r="G17" s="86">
        <f>IF(T_init20344818895116123130137[[#This Row],[p]]=1,mainpot+sidepot1+sidepot2+uncalled,IF(T_init20344818895116123130137[[#This Row],[p]]&gt;1,0,T_init20344818895116123130137[[#This Row],[stack]]-T_init20344818895116123130137[[#This Row],[anteblinds]]))</f>
        <v>950</v>
      </c>
      <c r="H17" s="86">
        <v>0.47499999999999998</v>
      </c>
      <c r="I17" s="88">
        <f>T_p1213519828996117124131138[[#This Row],[EQ]]*prize</f>
        <v>27.949000000000002</v>
      </c>
      <c r="J17" s="89">
        <f>IF(T_init20344818895116123130137[[#This Row],[p]]=1,T_p1213519828996117124131138[[#This Row],[players]]*T_p1213519828996117124131138[[#This Row],[stack]]/chips+COUNTIF(T_p1213519828996117124131138[stack],0),T_p1213519828996117124131138[[#This Row],[players]]*T_p1213519828996117124131138[[#This Row],[stack]]/chips)</f>
        <v>0.95</v>
      </c>
      <c r="K17" s="89">
        <f>T_p1213519828996117124131138[[#This Row],[ICM]]+bounty*T_p1213519828996117124131138[[#This Row],[KO]]</f>
        <v>27.949000000000002</v>
      </c>
      <c r="M17" s="90">
        <f>COUNTIF(T_p2223625839097118125132139[stack],"&gt;0")</f>
        <v>3</v>
      </c>
      <c r="N17" s="86">
        <f>IF(T_init20344818895116123130137[[#This Row],[p]]=1,uncalled,IF(T_init20344818895116123130137[[#This Row],[p]]=2,mainpot+sidepot1+sidepot2,IF(T_init20344818895116123130137[[#This Row],[p]]&gt;2,0,T_init20344818895116123130137[[#This Row],[stack]]-T_init20344818895116123130137[[#This Row],[anteblinds]])))</f>
        <v>950</v>
      </c>
      <c r="O17" s="86">
        <v>0.47499999999999998</v>
      </c>
      <c r="P17" s="88">
        <f>T_p2223625839097118125132139[[#This Row],[EQ]]*prize</f>
        <v>27.949000000000002</v>
      </c>
      <c r="Q17" s="89">
        <f>IF(T_init20344818895116123130137[[#This Row],[p]]=2,T_p2223625839097118125132139[[#This Row],[players]]*T_p2223625839097118125132139[[#This Row],[stack]]/chips+COUNTIF(T_p2223625839097118125132139[stack],0),T_p2223625839097118125132139[[#This Row],[players]]*T_p2223625839097118125132139[[#This Row],[stack]]/chips)</f>
        <v>1.425</v>
      </c>
      <c r="R17" s="89">
        <f>T_p2223625839097118125132139[[#This Row],[ICM]]+bounty*T_p2223625839097118125132139[[#This Row],[KO]]</f>
        <v>27.949000000000002</v>
      </c>
      <c r="T17" s="87">
        <f>COUNTIF(T_p3p1233726849198119126133140[stack],"&gt;0")</f>
        <v>3</v>
      </c>
      <c r="U17" s="86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950</v>
      </c>
      <c r="V17" s="86">
        <v>0.47499999999999998</v>
      </c>
      <c r="W17" s="88">
        <f>T_p3p1233726849198119126133140[[#This Row],[EQ]]*prize</f>
        <v>27.949000000000002</v>
      </c>
      <c r="X17" s="89">
        <f>IF(T_init20344818895116123130137[[#This Row],[p]]=1,T_p3p1233726849198119126133140[[#This Row],[players]]*T_p3p1233726849198119126133140[[#This Row],[stack]]/chips+COUNTIF(T_p3p1233726849198119126133140[stack],0),T_p3p1233726849198119126133140[[#This Row],[players]]*T_p3p1233726849198119126133140[[#This Row],[stack]]/chips)</f>
        <v>1.425</v>
      </c>
      <c r="Y17" s="89">
        <f>T_p3p1233726849198119126133140[[#This Row],[ICM]]+bounty*T_p3p1233726849198119126133140[[#This Row],[KO]]</f>
        <v>27.949000000000002</v>
      </c>
      <c r="AA17" s="87">
        <f>COUNTIF(T_p3p2243827859299120127134141[stack],"&gt;0")</f>
        <v>4</v>
      </c>
      <c r="AB17" s="86">
        <f>IF(T_init20344818895116123130137[[#This Row],[p]]=1,uncalled,IF(T_init20344818895116123130137[[#This Row],[p]]=2,sidepot1,IF(T_init20344818895116123130137[[#This Row],[p]]=3,mainpot,IF(ISBLANK(T_init20344818895116123130137[[#This Row],[p]]),T_init20344818895116123130137[[#This Row],[stack]]-T_init20344818895116123130137[[#This Row],[anteblinds]],0))))</f>
        <v>950</v>
      </c>
      <c r="AC17" s="86">
        <v>0.47499999999999998</v>
      </c>
      <c r="AD17" s="88">
        <f>T_p3p2243827859299120127134141[[#This Row],[EQ]]*prize</f>
        <v>27.949000000000002</v>
      </c>
      <c r="AE17" s="89">
        <f>IF(T_init20344818895116123130137[[#This Row],[p]]=2,T_p3p2243827859299120127134141[[#This Row],[players]]*T_p3p2243827859299120127134141[[#This Row],[stack]]/chips+COUNTIF(T_p3p2243827859299120127134141[stack],0),T_p3p2243827859299120127134141[[#This Row],[players]]*T_p3p2243827859299120127134141[[#This Row],[stack]]/chips)</f>
        <v>1.9</v>
      </c>
      <c r="AF17" s="89">
        <f>T_p3p2243827859299120127134141[[#This Row],[ICM]]+bounty*T_p3p2243827859299120127134141[[#This Row],[KO]]</f>
        <v>27.949000000000002</v>
      </c>
      <c r="AI17" s="87">
        <v>3</v>
      </c>
      <c r="AJ17" s="86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950</v>
      </c>
      <c r="AK17" s="86">
        <v>0.47499999999999998</v>
      </c>
      <c r="AL17" s="88">
        <f>T_fact2939288693100121128135142[[#This Row],[EQ]]*prize</f>
        <v>27.949000000000002</v>
      </c>
      <c r="AM17" s="89">
        <f>IF(T_init20344818895116123130137[[#This Row],[p]]=1,T_fact2939288693100121128135142[[#This Row],[players]]*T_fact2939288693100121128135142[[#This Row],[stack]]/chips+COUNTIF(T_fact2939288693100121128135142[stack],0),T_fact2939288693100121128135142[[#This Row],[players]]*T_fact2939288693100121128135142[[#This Row],[stack]]/chips)</f>
        <v>1.425</v>
      </c>
      <c r="AN17" s="89">
        <f>T_fact2939288693100121128135142[[#This Row],[ICM]]+bounty*T_fact2939288693100121128135142[[#This Row],[KO]]</f>
        <v>27.949000000000002</v>
      </c>
      <c r="AQ17" s="91">
        <f>'3w Kc5c Ден'!p3win* ('3w Kc5c Ден'!p1sp1win*T_p3p1233726849198119126133140[[#This Row],[ICM]] + '3w Kc5c Ден'!p2sp1win*T_p3p2243827859299120127134141[[#This Row],[ICM]])
+'3w Kc5c Ден'!p2win*T_p2223625839097118125132139[[#This Row],[ICM]]
+'3w Kc5c Ден'!p1win*T_p1213519828996117124131138[[#This Row],[ICM]]</f>
        <v>27.949000000000005</v>
      </c>
      <c r="AR17" s="92">
        <f>('3w Kc5c Ден'!p3win* ('3w Kc5c Ден'!p1sp1win*T_p3p1233726849198119126133140[[#This Row],[KO]] + '3w Kc5c Ден'!p2sp1win*T_p3p2243827859299120127134141[[#This Row],[KO]])
+'3w Kc5c Ден'!p2win*T_p2223625839097118125132139[[#This Row],[KO]]
+'3w Kc5c Ден'!p1win*T_p1213519828996117124131138[[#This Row],[KO]])*bounty</f>
        <v>0</v>
      </c>
      <c r="AS17" s="91">
        <f>'3w Kc5c Ден'!p3win* ('3w Kc5c Ден'!p1sp1win*T_p3p1233726849198119126133140[[#This Row],[$stack]] + '3w Kc5c Ден'!p2sp1win*T_p3p2243827859299120127134141[[#This Row],[$stack]])
+'3w Kc5c Ден'!p2win*T_p2223625839097118125132139[[#This Row],[$stack]]
+'3w Kc5c Ден'!p1win*T_p1213519828996117124131138[[#This Row],[$stack]]</f>
        <v>27.949000000000005</v>
      </c>
      <c r="AT17" s="92">
        <f>'3w Kc5c Ден'!p3win* ('3w Kc5c Ден'!p1sp1win*T_p3p1233726849198119126133140[[#This Row],[stack]] + '3w Kc5c Ден'!p2sp1win*T_p3p2243827859299120127134141[[#This Row],[stack]])
+'3w Kc5c Ден'!p2win*T_p2223625839097118125132139[[#This Row],[stack]]
+'3w Kc5c Ден'!p1win*T_p1213519828996117124131138[[#This Row],[stack]]</f>
        <v>950</v>
      </c>
      <c r="AU17" s="88">
        <f>T_EV3340308794101122129136143[[#This Row],[chipEV]]-T_fact2939288693100121128135142[[#This Row],[stack]]</f>
        <v>0</v>
      </c>
      <c r="AV17" s="88">
        <f>T_EV3340308794101122129136143[[#This Row],[EV]]-(T_fact2939288693100121128135142[[#This Row],[ICM]]+bounty*T_fact2939288693100121128135142[[#This Row],[KO]])</f>
        <v>0</v>
      </c>
    </row>
    <row r="18" spans="1:48" x14ac:dyDescent="0.25">
      <c r="A18">
        <v>2</v>
      </c>
      <c r="B18">
        <v>395</v>
      </c>
      <c r="C18" t="s">
        <v>379</v>
      </c>
      <c r="D18">
        <v>20</v>
      </c>
      <c r="F18" s="5">
        <f>COUNTIF(T_p1213519828996117124131138[stack],"&gt;0")</f>
        <v>2</v>
      </c>
      <c r="G18">
        <f>IF(T_init20344818895116123130137[[#This Row],[p]]=1,mainpot+sidepot1+sidepot2+uncalled,IF(T_init20344818895116123130137[[#This Row],[p]]&gt;1,0,T_init20344818895116123130137[[#This Row],[stack]]-T_init20344818895116123130137[[#This Row],[anteblinds]]))</f>
        <v>0</v>
      </c>
      <c r="I18" s="2">
        <f>T_p1213519828996117124131138[[#This Row],[EQ]]*prize</f>
        <v>0</v>
      </c>
      <c r="J18" s="66">
        <f>IF(T_init20344818895116123130137[[#This Row],[p]]=1,T_p1213519828996117124131138[[#This Row],[players]]*T_p1213519828996117124131138[[#This Row],[stack]]/chips+COUNTIF(T_p1213519828996117124131138[stack],0),T_p1213519828996117124131138[[#This Row],[players]]*T_p1213519828996117124131138[[#This Row],[stack]]/chips)</f>
        <v>0</v>
      </c>
      <c r="K18" s="66">
        <f>T_p1213519828996117124131138[[#This Row],[ICM]]+bounty*T_p1213519828996117124131138[[#This Row],[KO]]</f>
        <v>0</v>
      </c>
      <c r="M18" s="10">
        <f>COUNTIF(T_p2223625839097118125132139[stack],"&gt;0")</f>
        <v>3</v>
      </c>
      <c r="N18" s="26">
        <f>IF(T_init20344818895116123130137[[#This Row],[p]]=1,uncalled,IF(T_init20344818895116123130137[[#This Row],[p]]=2,mainpot+sidepot1+sidepot2,IF(T_init20344818895116123130137[[#This Row],[p]]&gt;2,0,T_init20344818895116123130137[[#This Row],[stack]]-T_init20344818895116123130137[[#This Row],[anteblinds]])))</f>
        <v>1000</v>
      </c>
      <c r="O18">
        <v>0.5</v>
      </c>
      <c r="P18" s="2">
        <f>T_p2223625839097118125132139[[#This Row],[EQ]]*prize</f>
        <v>29.42</v>
      </c>
      <c r="Q18" s="66">
        <f>IF(T_init20344818895116123130137[[#This Row],[p]]=2,T_p2223625839097118125132139[[#This Row],[players]]*T_p2223625839097118125132139[[#This Row],[stack]]/chips+COUNTIF(T_p2223625839097118125132139[stack],0),T_p2223625839097118125132139[[#This Row],[players]]*T_p2223625839097118125132139[[#This Row],[stack]]/chips)</f>
        <v>4.5</v>
      </c>
      <c r="R18" s="66">
        <f>T_p2223625839097118125132139[[#This Row],[ICM]]+bounty*T_p2223625839097118125132139[[#This Row],[KO]]</f>
        <v>29.42</v>
      </c>
      <c r="T18" s="5">
        <f>COUNTIF(T_p3p1233726849198119126133140[stack],"&gt;0")</f>
        <v>3</v>
      </c>
      <c r="U18" s="26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0</v>
      </c>
      <c r="W18" s="2">
        <f>T_p3p1233726849198119126133140[[#This Row],[EQ]]*prize</f>
        <v>0</v>
      </c>
      <c r="X18" s="66">
        <f>IF(T_init20344818895116123130137[[#This Row],[p]]=1,T_p3p1233726849198119126133140[[#This Row],[players]]*T_p3p1233726849198119126133140[[#This Row],[stack]]/chips+COUNTIF(T_p3p1233726849198119126133140[stack],0),T_p3p1233726849198119126133140[[#This Row],[players]]*T_p3p1233726849198119126133140[[#This Row],[stack]]/chips)</f>
        <v>0</v>
      </c>
      <c r="Y18" s="66">
        <f>T_p3p1233726849198119126133140[[#This Row],[ICM]]+bounty*T_p3p1233726849198119126133140[[#This Row],[KO]]</f>
        <v>0</v>
      </c>
      <c r="AA18" s="5">
        <f>COUNTIF(T_p3p2243827859299120127134141[stack],"&gt;0")</f>
        <v>4</v>
      </c>
      <c r="AB18">
        <f>IF(T_init20344818895116123130137[[#This Row],[p]]=1,uncalled,IF(T_init20344818895116123130137[[#This Row],[p]]=2,sidepot1,IF(T_init20344818895116123130137[[#This Row],[p]]=3,mainpot,IF(ISBLANK(T_init20344818895116123130137[[#This Row],[p]]),T_init20344818895116123130137[[#This Row],[stack]]-T_init20344818895116123130137[[#This Row],[anteblinds]],0))))</f>
        <v>410</v>
      </c>
      <c r="AC18">
        <v>0.20499999999999999</v>
      </c>
      <c r="AD18" s="2">
        <f>T_p3p2243827859299120127134141[[#This Row],[EQ]]*prize</f>
        <v>12.062200000000001</v>
      </c>
      <c r="AE18" s="66">
        <f>IF(T_init20344818895116123130137[[#This Row],[p]]=2,T_p3p2243827859299120127134141[[#This Row],[players]]*T_p3p2243827859299120127134141[[#This Row],[stack]]/chips+COUNTIF(T_p3p2243827859299120127134141[stack],0),T_p3p2243827859299120127134141[[#This Row],[players]]*T_p3p2243827859299120127134141[[#This Row],[stack]]/chips)</f>
        <v>2.82</v>
      </c>
      <c r="AF18" s="16">
        <f>T_p3p2243827859299120127134141[[#This Row],[ICM]]+bounty*T_p3p2243827859299120127134141[[#This Row],[KO]]</f>
        <v>12.062200000000001</v>
      </c>
      <c r="AI18" s="73">
        <v>3</v>
      </c>
      <c r="AJ18" s="26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0</v>
      </c>
      <c r="AL18" s="2">
        <f>T_fact2939288693100121128135142[[#This Row],[EQ]]*prize</f>
        <v>0</v>
      </c>
      <c r="AM18" s="66">
        <f>IF(T_init20344818895116123130137[[#This Row],[p]]=1,T_fact2939288693100121128135142[[#This Row],[players]]*T_fact2939288693100121128135142[[#This Row],[stack]]/chips+COUNTIF(T_fact2939288693100121128135142[stack],0),T_fact2939288693100121128135142[[#This Row],[players]]*T_fact2939288693100121128135142[[#This Row],[stack]]/chips)</f>
        <v>0</v>
      </c>
      <c r="AN18" s="16">
        <f>T_fact2939288693100121128135142[[#This Row],[ICM]]+bounty*T_fact2939288693100121128135142[[#This Row],[KO]]</f>
        <v>0</v>
      </c>
      <c r="AQ18" s="68">
        <f>'3w Kc5c Ден'!p3win* ('3w Kc5c Ден'!p1sp1win*T_p3p1233726849198119126133140[[#This Row],[ICM]] + '3w Kc5c Ден'!p2sp1win*T_p3p2243827859299120127134141[[#This Row],[ICM]])
+'3w Kc5c Ден'!p2win*T_p2223625839097118125132139[[#This Row],[ICM]]
+'3w Kc5c Ден'!p1win*T_p1213519828996117124131138[[#This Row],[ICM]]</f>
        <v>13.076393859496001</v>
      </c>
      <c r="AR18" s="68">
        <f>('3w Kc5c Ден'!p3win* ('3w Kc5c Ден'!p1sp1win*T_p3p1233726849198119126133140[[#This Row],[KO]] + '3w Kc5c Ден'!p2sp1win*T_p3p2243827859299120127134141[[#This Row],[KO]])
+'3w Kc5c Ден'!p2win*T_p2223625839097118125132139[[#This Row],[KO]]
+'3w Kc5c Ден'!p1win*T_p1213519828996117124131138[[#This Row],[KO]])*bounty</f>
        <v>0</v>
      </c>
      <c r="AS18" s="68">
        <f>'3w Kc5c Ден'!p3win* ('3w Kc5c Ден'!p1sp1win*T_p3p1233726849198119126133140[[#This Row],[$stack]] + '3w Kc5c Ден'!p2sp1win*T_p3p2243827859299120127134141[[#This Row],[$stack]])
+'3w Kc5c Ден'!p2win*T_p2223625839097118125132139[[#This Row],[$stack]]
+'3w Kc5c Ден'!p1win*T_p1213519828996117124131138[[#This Row],[$stack]]</f>
        <v>13.076393859496001</v>
      </c>
      <c r="AT18" s="68">
        <f>'3w Kc5c Ден'!p3win* ('3w Kc5c Ден'!p1sp1win*T_p3p1233726849198119126133140[[#This Row],[stack]] + '3w Kc5c Ден'!p2sp1win*T_p3p2243827859299120127134141[[#This Row],[stack]])
+'3w Kc5c Ден'!p2win*T_p2223625839097118125132139[[#This Row],[stack]]
+'3w Kc5c Ден'!p1win*T_p1213519828996117124131138[[#This Row],[stack]]</f>
        <v>444.47293879999995</v>
      </c>
      <c r="AU18" s="2">
        <f>T_EV3340308794101122129136143[[#This Row],[chipEV]]-T_fact2939288693100121128135142[[#This Row],[stack]]</f>
        <v>444.47293879999995</v>
      </c>
      <c r="AV18" s="2">
        <f>T_EV3340308794101122129136143[[#This Row],[EV]]-(T_fact2939288693100121128135142[[#This Row],[ICM]]+bounty*T_fact2939288693100121128135142[[#This Row],[KO]])</f>
        <v>13.076393859496001</v>
      </c>
    </row>
    <row r="19" spans="1:48" x14ac:dyDescent="0.25">
      <c r="A19">
        <v>3</v>
      </c>
      <c r="B19">
        <v>190</v>
      </c>
      <c r="C19" s="26" t="s">
        <v>380</v>
      </c>
      <c r="D19">
        <v>70</v>
      </c>
      <c r="F19" s="5">
        <f>COUNTIF(T_p1213519828996117124131138[stack],"&gt;0")</f>
        <v>2</v>
      </c>
      <c r="G19">
        <f>IF(T_init20344818895116123130137[[#This Row],[p]]=1,mainpot+sidepot1+sidepot2+uncalled,IF(T_init20344818895116123130137[[#This Row],[p]]&gt;1,0,T_init20344818895116123130137[[#This Row],[stack]]-T_init20344818895116123130137[[#This Row],[anteblinds]]))</f>
        <v>0</v>
      </c>
      <c r="I19" s="2">
        <f>T_p1213519828996117124131138[[#This Row],[EQ]]*prize</f>
        <v>0</v>
      </c>
      <c r="J19" s="66">
        <f>IF(T_init20344818895116123130137[[#This Row],[p]]=1,T_p1213519828996117124131138[[#This Row],[players]]*T_p1213519828996117124131138[[#This Row],[stack]]/chips+COUNTIF(T_p1213519828996117124131138[stack],0),T_p1213519828996117124131138[[#This Row],[players]]*T_p1213519828996117124131138[[#This Row],[stack]]/chips)</f>
        <v>0</v>
      </c>
      <c r="K19" s="66">
        <f>T_p1213519828996117124131138[[#This Row],[ICM]]+bounty*T_p1213519828996117124131138[[#This Row],[KO]]</f>
        <v>0</v>
      </c>
      <c r="M19" s="10">
        <f>COUNTIF(T_p2223625839097118125132139[stack],"&gt;0")</f>
        <v>3</v>
      </c>
      <c r="N19" s="26">
        <f>IF(T_init20344818895116123130137[[#This Row],[p]]=1,uncalled,IF(T_init20344818895116123130137[[#This Row],[p]]=2,mainpot+sidepot1+sidepot2,IF(T_init20344818895116123130137[[#This Row],[p]]&gt;2,0,T_init20344818895116123130137[[#This Row],[stack]]-T_init20344818895116123130137[[#This Row],[anteblinds]])))</f>
        <v>0</v>
      </c>
      <c r="P19" s="2">
        <f>T_p2223625839097118125132139[[#This Row],[EQ]]*prize</f>
        <v>0</v>
      </c>
      <c r="Q19" s="66">
        <f>IF(T_init20344818895116123130137[[#This Row],[p]]=2,T_p2223625839097118125132139[[#This Row],[players]]*T_p2223625839097118125132139[[#This Row],[stack]]/chips+COUNTIF(T_p2223625839097118125132139[stack],0),T_p2223625839097118125132139[[#This Row],[players]]*T_p2223625839097118125132139[[#This Row],[stack]]/chips)</f>
        <v>0</v>
      </c>
      <c r="R19" s="66">
        <f>T_p2223625839097118125132139[[#This Row],[ICM]]+bounty*T_p2223625839097118125132139[[#This Row],[KO]]</f>
        <v>0</v>
      </c>
      <c r="T19" s="5">
        <f>COUNTIF(T_p3p1233726849198119126133140[stack],"&gt;0")</f>
        <v>3</v>
      </c>
      <c r="U19" s="26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590</v>
      </c>
      <c r="V19">
        <v>0.29499999999999998</v>
      </c>
      <c r="W19" s="2">
        <f>T_p3p1233726849198119126133140[[#This Row],[EQ]]*prize</f>
        <v>17.357800000000001</v>
      </c>
      <c r="X19" s="66">
        <f>IF(T_init20344818895116123130137[[#This Row],[p]]=1,T_p3p1233726849198119126133140[[#This Row],[players]]*T_p3p1233726849198119126133140[[#This Row],[stack]]/chips+COUNTIF(T_p3p1233726849198119126133140[stack],0),T_p3p1233726849198119126133140[[#This Row],[players]]*T_p3p1233726849198119126133140[[#This Row],[stack]]/chips)</f>
        <v>0.88500000000000001</v>
      </c>
      <c r="Y19" s="66">
        <f>T_p3p1233726849198119126133140[[#This Row],[ICM]]+bounty*T_p3p1233726849198119126133140[[#This Row],[KO]]</f>
        <v>17.357800000000001</v>
      </c>
      <c r="AA19" s="5">
        <f>COUNTIF(T_p3p2243827859299120127134141[stack],"&gt;0")</f>
        <v>4</v>
      </c>
      <c r="AB19">
        <f>IF(T_init20344818895116123130137[[#This Row],[p]]=1,uncalled,IF(T_init20344818895116123130137[[#This Row],[p]]=2,sidepot1,IF(T_init20344818895116123130137[[#This Row],[p]]=3,mainpot,IF(ISBLANK(T_init20344818895116123130137[[#This Row],[p]]),T_init20344818895116123130137[[#This Row],[stack]]-T_init20344818895116123130137[[#This Row],[anteblinds]],0))))</f>
        <v>590</v>
      </c>
      <c r="AC19">
        <v>0.29499999999999998</v>
      </c>
      <c r="AD19" s="2">
        <f>T_p3p2243827859299120127134141[[#This Row],[EQ]]*prize</f>
        <v>17.357800000000001</v>
      </c>
      <c r="AE19" s="66">
        <f>IF(T_init20344818895116123130137[[#This Row],[p]]=2,T_p3p2243827859299120127134141[[#This Row],[players]]*T_p3p2243827859299120127134141[[#This Row],[stack]]/chips+COUNTIF(T_p3p2243827859299120127134141[stack],0),T_p3p2243827859299120127134141[[#This Row],[players]]*T_p3p2243827859299120127134141[[#This Row],[stack]]/chips)</f>
        <v>1.18</v>
      </c>
      <c r="AF19" s="16">
        <f>T_p3p2243827859299120127134141[[#This Row],[ICM]]+bounty*T_p3p2243827859299120127134141[[#This Row],[KO]]</f>
        <v>17.357800000000001</v>
      </c>
      <c r="AI19" s="73">
        <v>3</v>
      </c>
      <c r="AJ19" s="26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590</v>
      </c>
      <c r="AK19">
        <v>0.29499999999999998</v>
      </c>
      <c r="AL19" s="2">
        <f>T_fact2939288693100121128135142[[#This Row],[EQ]]*prize</f>
        <v>17.357800000000001</v>
      </c>
      <c r="AM19" s="66">
        <f>IF(T_init20344818895116123130137[[#This Row],[p]]=1,T_fact2939288693100121128135142[[#This Row],[players]]*T_fact2939288693100121128135142[[#This Row],[stack]]/chips+COUNTIF(T_fact2939288693100121128135142[stack],0),T_fact2939288693100121128135142[[#This Row],[players]]*T_fact2939288693100121128135142[[#This Row],[stack]]/chips)</f>
        <v>0.88500000000000001</v>
      </c>
      <c r="AN19" s="16">
        <f>T_fact2939288693100121128135142[[#This Row],[ICM]]+bounty*T_fact2939288693100121128135142[[#This Row],[KO]]</f>
        <v>17.357800000000001</v>
      </c>
      <c r="AQ19" s="68">
        <f>'3w Kc5c Ден'!p3win* ('3w Kc5c Ден'!p1sp1win*T_p3p1233726849198119126133140[[#This Row],[ICM]] + '3w Kc5c Ден'!p2sp1win*T_p3p2243827859299120127134141[[#This Row],[ICM]])
+'3w Kc5c Ден'!p2win*T_p2223625839097118125132139[[#This Row],[ICM]]
+'3w Kc5c Ден'!p1win*T_p1213519828996117124131138[[#This Row],[ICM]]</f>
        <v>5.9242171400000005</v>
      </c>
      <c r="AR19" s="68">
        <f>('3w Kc5c Ден'!p3win* ('3w Kc5c Ден'!p1sp1win*T_p3p1233726849198119126133140[[#This Row],[KO]] + '3w Kc5c Ден'!p2sp1win*T_p3p2243827859299120127134141[[#This Row],[KO]])
+'3w Kc5c Ден'!p2win*T_p2223625839097118125132139[[#This Row],[KO]]
+'3w Kc5c Ден'!p1win*T_p1213519828996117124131138[[#This Row],[KO]])*bounty</f>
        <v>0</v>
      </c>
      <c r="AS19" s="68">
        <f>'3w Kc5c Ден'!p3win* ('3w Kc5c Ден'!p1sp1win*T_p3p1233726849198119126133140[[#This Row],[$stack]] + '3w Kc5c Ден'!p2sp1win*T_p3p2243827859299120127134141[[#This Row],[$stack]])
+'3w Kc5c Ден'!p2win*T_p2223625839097118125132139[[#This Row],[$stack]]
+'3w Kc5c Ден'!p1win*T_p1213519828996117124131138[[#This Row],[$stack]]</f>
        <v>5.9242171400000005</v>
      </c>
      <c r="AT19" s="68">
        <f>'3w Kc5c Ден'!p3win* ('3w Kc5c Ден'!p1sp1win*T_p3p1233726849198119126133140[[#This Row],[stack]] + '3w Kc5c Ден'!p2sp1win*T_p3p2243827859299120127134141[[#This Row],[stack]])
+'3w Kc5c Ден'!p2win*T_p2223625839097118125132139[[#This Row],[stack]]
+'3w Kc5c Ден'!p1win*T_p1213519828996117124131138[[#This Row],[stack]]</f>
        <v>201.36699999999999</v>
      </c>
      <c r="AU19" s="2">
        <f>T_EV3340308794101122129136143[[#This Row],[chipEV]]-T_fact2939288693100121128135142[[#This Row],[stack]]</f>
        <v>-388.63300000000004</v>
      </c>
      <c r="AV19" s="2">
        <f>T_EV3340308794101122129136143[[#This Row],[EV]]-(T_fact2939288693100121128135142[[#This Row],[ICM]]+bounty*T_fact2939288693100121128135142[[#This Row],[KO]])</f>
        <v>-11.433582860000001</v>
      </c>
    </row>
    <row r="20" spans="1:48" s="17" customFormat="1" x14ac:dyDescent="0.25">
      <c r="A20" s="17">
        <v>1</v>
      </c>
      <c r="B20" s="17">
        <v>445</v>
      </c>
      <c r="C20" s="17" t="s">
        <v>381</v>
      </c>
      <c r="D20" s="17">
        <v>120</v>
      </c>
      <c r="F20" s="83">
        <f>COUNTIF(T_p1213519828996117124131138[stack],"&gt;0")</f>
        <v>2</v>
      </c>
      <c r="G20" s="17">
        <f>IF(T_init20344818895116123130137[[#This Row],[p]]=1,mainpot+sidepot1+sidepot2+uncalled,IF(T_init20344818895116123130137[[#This Row],[p]]&gt;1,0,T_init20344818895116123130137[[#This Row],[stack]]-T_init20344818895116123130137[[#This Row],[anteblinds]]))</f>
        <v>1050</v>
      </c>
      <c r="H20" s="17">
        <v>0.52500000000000002</v>
      </c>
      <c r="I20" s="18">
        <f>T_p1213519828996117124131138[[#This Row],[EQ]]*prize</f>
        <v>30.891000000000002</v>
      </c>
      <c r="J20" s="67">
        <f>IF(T_init20344818895116123130137[[#This Row],[p]]=1,T_p1213519828996117124131138[[#This Row],[players]]*T_p1213519828996117124131138[[#This Row],[stack]]/chips+COUNTIF(T_p1213519828996117124131138[stack],0),T_p1213519828996117124131138[[#This Row],[players]]*T_p1213519828996117124131138[[#This Row],[stack]]/chips)</f>
        <v>5.05</v>
      </c>
      <c r="K20" s="67">
        <f>T_p1213519828996117124131138[[#This Row],[ICM]]+bounty*T_p1213519828996117124131138[[#This Row],[KO]]</f>
        <v>30.891000000000002</v>
      </c>
      <c r="M20" s="19">
        <f>COUNTIF(T_p2223625839097118125132139[stack],"&gt;0")</f>
        <v>3</v>
      </c>
      <c r="N20" s="17">
        <f>IF(T_init20344818895116123130137[[#This Row],[p]]=1,uncalled,IF(T_init20344818895116123130137[[#This Row],[p]]=2,mainpot+sidepot1+sidepot2,IF(T_init20344818895116123130137[[#This Row],[p]]&gt;2,0,T_init20344818895116123130137[[#This Row],[stack]]-T_init20344818895116123130137[[#This Row],[anteblinds]])))</f>
        <v>50</v>
      </c>
      <c r="O20" s="17">
        <v>2.5000000000000001E-2</v>
      </c>
      <c r="P20" s="18">
        <f>T_p2223625839097118125132139[[#This Row],[EQ]]*prize</f>
        <v>1.4710000000000001</v>
      </c>
      <c r="Q20" s="67">
        <f>IF(T_init20344818895116123130137[[#This Row],[p]]=2,T_p2223625839097118125132139[[#This Row],[players]]*T_p2223625839097118125132139[[#This Row],[stack]]/chips+COUNTIF(T_p2223625839097118125132139[stack],0),T_p2223625839097118125132139[[#This Row],[players]]*T_p2223625839097118125132139[[#This Row],[stack]]/chips)</f>
        <v>7.4999999999999997E-2</v>
      </c>
      <c r="R20" s="67">
        <f>T_p2223625839097118125132139[[#This Row],[ICM]]+bounty*T_p2223625839097118125132139[[#This Row],[KO]]</f>
        <v>1.4710000000000001</v>
      </c>
      <c r="T20" s="83">
        <f>COUNTIF(T_p3p1233726849198119126133140[stack],"&gt;0")</f>
        <v>3</v>
      </c>
      <c r="U20" s="17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460</v>
      </c>
      <c r="V20" s="17">
        <v>0.23</v>
      </c>
      <c r="W20" s="18">
        <f>T_p3p1233726849198119126133140[[#This Row],[EQ]]*prize</f>
        <v>13.533200000000001</v>
      </c>
      <c r="X20" s="67">
        <f>IF(T_init20344818895116123130137[[#This Row],[p]]=1,T_p3p1233726849198119126133140[[#This Row],[players]]*T_p3p1233726849198119126133140[[#This Row],[stack]]/chips+COUNTIF(T_p3p1233726849198119126133140[stack],0),T_p3p1233726849198119126133140[[#This Row],[players]]*T_p3p1233726849198119126133140[[#This Row],[stack]]/chips)</f>
        <v>3.69</v>
      </c>
      <c r="Y20" s="67">
        <f>T_p3p1233726849198119126133140[[#This Row],[ICM]]+bounty*T_p3p1233726849198119126133140[[#This Row],[KO]]</f>
        <v>13.533200000000001</v>
      </c>
      <c r="AA20" s="83">
        <f>COUNTIF(T_p3p2243827859299120127134141[stack],"&gt;0")</f>
        <v>4</v>
      </c>
      <c r="AB20" s="17">
        <f>IF(T_init20344818895116123130137[[#This Row],[p]]=1,uncalled,IF(T_init20344818895116123130137[[#This Row],[p]]=2,sidepot1,IF(T_init20344818895116123130137[[#This Row],[p]]=3,mainpot,IF(ISBLANK(T_init20344818895116123130137[[#This Row],[p]]),T_init20344818895116123130137[[#This Row],[stack]]-T_init20344818895116123130137[[#This Row],[anteblinds]],0))))</f>
        <v>50</v>
      </c>
      <c r="AC20" s="17">
        <v>2.5000000000000001E-2</v>
      </c>
      <c r="AD20" s="18">
        <f>T_p3p2243827859299120127134141[[#This Row],[EQ]]*prize</f>
        <v>1.4710000000000001</v>
      </c>
      <c r="AE20" s="67">
        <f>IF(T_init20344818895116123130137[[#This Row],[p]]=2,T_p3p2243827859299120127134141[[#This Row],[players]]*T_p3p2243827859299120127134141[[#This Row],[stack]]/chips+COUNTIF(T_p3p2243827859299120127134141[stack],0),T_p3p2243827859299120127134141[[#This Row],[players]]*T_p3p2243827859299120127134141[[#This Row],[stack]]/chips)</f>
        <v>0.1</v>
      </c>
      <c r="AF20" s="24">
        <f>T_p3p2243827859299120127134141[[#This Row],[ICM]]+bounty*T_p3p2243827859299120127134141[[#This Row],[KO]]</f>
        <v>1.4710000000000001</v>
      </c>
      <c r="AI20" s="83">
        <v>3</v>
      </c>
      <c r="AJ20" s="17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460</v>
      </c>
      <c r="AK20" s="17">
        <v>0.23</v>
      </c>
      <c r="AL20" s="18">
        <f>T_fact2939288693100121128135142[[#This Row],[EQ]]*prize</f>
        <v>13.533200000000001</v>
      </c>
      <c r="AM20" s="67">
        <f>IF(T_init20344818895116123130137[[#This Row],[p]]=1,T_fact2939288693100121128135142[[#This Row],[players]]*T_fact2939288693100121128135142[[#This Row],[stack]]/chips+COUNTIF(T_fact2939288693100121128135142[stack],0),T_fact2939288693100121128135142[[#This Row],[players]]*T_fact2939288693100121128135142[[#This Row],[stack]]/chips)</f>
        <v>3.69</v>
      </c>
      <c r="AN20" s="24">
        <f>T_fact2939288693100121128135142[[#This Row],[ICM]]+bounty*T_fact2939288693100121128135142[[#This Row],[KO]]</f>
        <v>13.533200000000001</v>
      </c>
      <c r="AQ20" s="69">
        <f>'3w Kc5c Ден'!p3win* ('3w Kc5c Ден'!p1sp1win*T_p3p1233726849198119126133140[[#This Row],[ICM]] + '3w Kc5c Ден'!p2sp1win*T_p3p2243827859299120127134141[[#This Row],[ICM]])
+'3w Kc5c Ден'!p2win*T_p2223625839097118125132139[[#This Row],[ICM]]
+'3w Kc5c Ден'!p1win*T_p1213519828996117124131138[[#This Row],[ICM]]</f>
        <v>11.890389000504001</v>
      </c>
      <c r="AR20" s="69">
        <f>('3w Kc5c Ден'!p3win* ('3w Kc5c Ден'!p1sp1win*T_p3p1233726849198119126133140[[#This Row],[KO]] + '3w Kc5c Ден'!p2sp1win*T_p3p2243827859299120127134141[[#This Row],[KO]])
+'3w Kc5c Ден'!p2win*T_p2223625839097118125132139[[#This Row],[KO]]
+'3w Kc5c Ден'!p1win*T_p1213519828996117124131138[[#This Row],[KO]])*bounty</f>
        <v>0</v>
      </c>
      <c r="AS20" s="69">
        <f>'3w Kc5c Ден'!p3win* ('3w Kc5c Ден'!p1sp1win*T_p3p1233726849198119126133140[[#This Row],[$stack]] + '3w Kc5c Ден'!p2sp1win*T_p3p2243827859299120127134141[[#This Row],[$stack]])
+'3w Kc5c Ден'!p2win*T_p2223625839097118125132139[[#This Row],[$stack]]
+'3w Kc5c Ден'!p1win*T_p1213519828996117124131138[[#This Row],[$stack]]</f>
        <v>11.890389000504001</v>
      </c>
      <c r="AT20" s="69">
        <f>'3w Kc5c Ден'!p3win* ('3w Kc5c Ден'!p1sp1win*T_p3p1233726849198119126133140[[#This Row],[stack]] + '3w Kc5c Ден'!p2sp1win*T_p3p2243827859299120127134141[[#This Row],[stack]])
+'3w Kc5c Ден'!p2win*T_p2223625839097118125132139[[#This Row],[stack]]
+'3w Kc5c Ден'!p1win*T_p1213519828996117124131138[[#This Row],[stack]]</f>
        <v>404.16006119999997</v>
      </c>
      <c r="AU20" s="18">
        <f>T_EV3340308794101122129136143[[#This Row],[chipEV]]-T_fact2939288693100121128135142[[#This Row],[stack]]</f>
        <v>-55.839938800000027</v>
      </c>
      <c r="AV20" s="18">
        <f>T_EV3340308794101122129136143[[#This Row],[EV]]-(T_fact2939288693100121128135142[[#This Row],[ICM]]+bounty*T_fact2939288693100121128135142[[#This Row],[KO]])</f>
        <v>-1.6428109994959996</v>
      </c>
    </row>
    <row r="21" spans="1:48" x14ac:dyDescent="0.25">
      <c r="B21">
        <v>0</v>
      </c>
      <c r="F21" s="5">
        <f>COUNTIF(T_p1213519828996117124131138[stack],"&gt;0")</f>
        <v>2</v>
      </c>
      <c r="G21">
        <f>IF(T_init20344818895116123130137[[#This Row],[p]]=1,mainpot+sidepot1+sidepot2+uncalled,IF(T_init20344818895116123130137[[#This Row],[p]]&gt;1,0,T_init20344818895116123130137[[#This Row],[stack]]-T_init20344818895116123130137[[#This Row],[anteblinds]]))</f>
        <v>0</v>
      </c>
      <c r="I21" s="2">
        <f>T_p1213519828996117124131138[[#This Row],[EQ]]*prize</f>
        <v>0</v>
      </c>
      <c r="J21" s="66">
        <f>IF(T_init20344818895116123130137[[#This Row],[p]]=1,T_p1213519828996117124131138[[#This Row],[players]]*T_p1213519828996117124131138[[#This Row],[stack]]/chips+COUNTIF(T_p1213519828996117124131138[stack],0),T_p1213519828996117124131138[[#This Row],[players]]*T_p1213519828996117124131138[[#This Row],[stack]]/chips)</f>
        <v>0</v>
      </c>
      <c r="K21" s="66">
        <f>T_p1213519828996117124131138[[#This Row],[ICM]]+bounty*T_p1213519828996117124131138[[#This Row],[KO]]</f>
        <v>0</v>
      </c>
      <c r="M21" s="10">
        <f>COUNTIF(T_p2223625839097118125132139[stack],"&gt;0")</f>
        <v>3</v>
      </c>
      <c r="N21" s="26">
        <f>IF(T_init20344818895116123130137[[#This Row],[p]]=1,uncalled,IF(T_init20344818895116123130137[[#This Row],[p]]=2,mainpot+sidepot1+sidepot2,IF(T_init20344818895116123130137[[#This Row],[p]]&gt;2,0,T_init20344818895116123130137[[#This Row],[stack]]-T_init20344818895116123130137[[#This Row],[anteblinds]])))</f>
        <v>0</v>
      </c>
      <c r="O21">
        <v>0</v>
      </c>
      <c r="P21" s="2">
        <f>T_p2223625839097118125132139[[#This Row],[EQ]]*prize</f>
        <v>0</v>
      </c>
      <c r="Q21" s="66">
        <f>IF(T_init20344818895116123130137[[#This Row],[p]]=2,T_p2223625839097118125132139[[#This Row],[players]]*T_p2223625839097118125132139[[#This Row],[stack]]/chips+COUNTIF(T_p2223625839097118125132139[stack],0),T_p2223625839097118125132139[[#This Row],[players]]*T_p2223625839097118125132139[[#This Row],[stack]]/chips)</f>
        <v>0</v>
      </c>
      <c r="R21" s="66">
        <f>T_p2223625839097118125132139[[#This Row],[ICM]]+bounty*T_p2223625839097118125132139[[#This Row],[KO]]</f>
        <v>0</v>
      </c>
      <c r="T21" s="5">
        <f>COUNTIF(T_p3p1233726849198119126133140[stack],"&gt;0")</f>
        <v>3</v>
      </c>
      <c r="U21" s="26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0</v>
      </c>
      <c r="V21">
        <v>0</v>
      </c>
      <c r="W21" s="2">
        <f>T_p3p1233726849198119126133140[[#This Row],[EQ]]*prize</f>
        <v>0</v>
      </c>
      <c r="X21" s="66">
        <f>IF(T_init20344818895116123130137[[#This Row],[p]]=1,T_p3p1233726849198119126133140[[#This Row],[players]]*T_p3p1233726849198119126133140[[#This Row],[stack]]/chips+COUNTIF(T_p3p1233726849198119126133140[stack],0),T_p3p1233726849198119126133140[[#This Row],[players]]*T_p3p1233726849198119126133140[[#This Row],[stack]]/chips)</f>
        <v>0</v>
      </c>
      <c r="Y21" s="66">
        <f>T_p3p1233726849198119126133140[[#This Row],[ICM]]+bounty*T_p3p1233726849198119126133140[[#This Row],[KO]]</f>
        <v>0</v>
      </c>
      <c r="AA21" s="5">
        <f>COUNTIF(T_p3p2243827859299120127134141[stack],"&gt;0")</f>
        <v>4</v>
      </c>
      <c r="AB21">
        <f>IF(T_init20344818895116123130137[[#This Row],[p]]=1,uncalled,IF(T_init20344818895116123130137[[#This Row],[p]]=2,sidepot1,IF(T_init20344818895116123130137[[#This Row],[p]]=3,mainpot,IF(ISBLANK(T_init20344818895116123130137[[#This Row],[p]]),T_init20344818895116123130137[[#This Row],[stack]]-T_init20344818895116123130137[[#This Row],[anteblinds]],0))))</f>
        <v>0</v>
      </c>
      <c r="AC21">
        <v>0</v>
      </c>
      <c r="AD21" s="2">
        <f>T_p3p2243827859299120127134141[[#This Row],[EQ]]*prize</f>
        <v>0</v>
      </c>
      <c r="AE21" s="66">
        <f>IF(T_init20344818895116123130137[[#This Row],[p]]=2,T_p3p2243827859299120127134141[[#This Row],[players]]*T_p3p2243827859299120127134141[[#This Row],[stack]]/chips+COUNTIF(T_p3p2243827859299120127134141[stack],0),T_p3p2243827859299120127134141[[#This Row],[players]]*T_p3p2243827859299120127134141[[#This Row],[stack]]/chips)</f>
        <v>0</v>
      </c>
      <c r="AF21" s="16">
        <f>T_p3p2243827859299120127134141[[#This Row],[ICM]]+bounty*T_p3p2243827859299120127134141[[#This Row],[KO]]</f>
        <v>0</v>
      </c>
      <c r="AI21" s="73">
        <v>3</v>
      </c>
      <c r="AJ21" s="26">
        <v>0</v>
      </c>
      <c r="AL21" s="2">
        <f>T_fact2939288693100121128135142[[#This Row],[EQ]]*prize</f>
        <v>0</v>
      </c>
      <c r="AM21" s="66">
        <f>IF(T_init20344818895116123130137[[#This Row],[p]]=1,T_fact2939288693100121128135142[[#This Row],[players]]*T_fact2939288693100121128135142[[#This Row],[stack]]/chips+COUNTIF(T_fact2939288693100121128135142[stack],0),T_fact2939288693100121128135142[[#This Row],[players]]*T_fact2939288693100121128135142[[#This Row],[stack]]/chips)</f>
        <v>0</v>
      </c>
      <c r="AN21" s="16">
        <f>T_fact2939288693100121128135142[[#This Row],[ICM]]+bounty*T_fact2939288693100121128135142[[#This Row],[KO]]</f>
        <v>0</v>
      </c>
      <c r="AQ21" s="68">
        <f>'3w Kc5c Ден'!p3win* ('3w Kc5c Ден'!p1sp1win*T_p3p1233726849198119126133140[[#This Row],[ICM]] + '3w Kc5c Ден'!p2sp1win*T_p3p2243827859299120127134141[[#This Row],[ICM]])
+'3w Kc5c Ден'!p2win*T_p2223625839097118125132139[[#This Row],[ICM]]
+'3w Kc5c Ден'!p1win*T_p1213519828996117124131138[[#This Row],[ICM]]</f>
        <v>0</v>
      </c>
      <c r="AR21" s="68">
        <f>('3w Kc5c Ден'!p3win* ('3w Kc5c Ден'!p1sp1win*T_p3p1233726849198119126133140[[#This Row],[KO]] + '3w Kc5c Ден'!p2sp1win*T_p3p2243827859299120127134141[[#This Row],[KO]])
+'3w Kc5c Ден'!p2win*T_p2223625839097118125132139[[#This Row],[KO]]
+'3w Kc5c Ден'!p1win*T_p1213519828996117124131138[[#This Row],[KO]])*bounty</f>
        <v>0</v>
      </c>
      <c r="AS21" s="68">
        <f>'3w Kc5c Ден'!p3win* ('3w Kc5c Ден'!p1sp1win*T_p3p1233726849198119126133140[[#This Row],[$stack]] + '3w Kc5c Ден'!p2sp1win*T_p3p2243827859299120127134141[[#This Row],[$stack]])
+'3w Kc5c Ден'!p2win*T_p2223625839097118125132139[[#This Row],[$stack]]
+'3w Kc5c Ден'!p1win*T_p1213519828996117124131138[[#This Row],[$stack]]</f>
        <v>0</v>
      </c>
      <c r="AT21" s="68">
        <f>'3w Kc5c Ден'!p3win* ('3w Kc5c Ден'!p1sp1win*T_p3p1233726849198119126133140[[#This Row],[stack]] + '3w Kc5c Ден'!p2sp1win*T_p3p2243827859299120127134141[[#This Row],[stack]])
+'3w Kc5c Ден'!p2win*T_p2223625839097118125132139[[#This Row],[stack]]
+'3w Kc5c Ден'!p1win*T_p1213519828996117124131138[[#This Row],[stack]]</f>
        <v>0</v>
      </c>
      <c r="AU21" s="2">
        <f>T_EV3340308794101122129136143[[#This Row],[chipEV]]-T_fact2939288693100121128135142[[#This Row],[stack]]</f>
        <v>0</v>
      </c>
      <c r="AV21" s="2">
        <f>T_EV3340308794101122129136143[[#This Row],[EV]]-(T_fact2939288693100121128135142[[#This Row],[ICM]]+bounty*T_fact2939288693100121128135142[[#This Row],[KO]])</f>
        <v>0</v>
      </c>
    </row>
    <row r="22" spans="1:48" x14ac:dyDescent="0.25">
      <c r="B22">
        <v>0</v>
      </c>
      <c r="F22" s="5">
        <f>COUNTIF(T_p1213519828996117124131138[stack],"&gt;0")</f>
        <v>2</v>
      </c>
      <c r="G22">
        <f>IF(T_init20344818895116123130137[[#This Row],[p]]=1,mainpot+sidepot1+sidepot2+uncalled,IF(T_init20344818895116123130137[[#This Row],[p]]&gt;1,0,T_init20344818895116123130137[[#This Row],[stack]]-T_init20344818895116123130137[[#This Row],[anteblinds]]))</f>
        <v>0</v>
      </c>
      <c r="I22" s="2">
        <f>T_p1213519828996117124131138[[#This Row],[EQ]]*prize</f>
        <v>0</v>
      </c>
      <c r="J22" s="66">
        <f>IF(T_init20344818895116123130137[[#This Row],[p]]=1,T_p1213519828996117124131138[[#This Row],[players]]*T_p1213519828996117124131138[[#This Row],[stack]]/chips+COUNTIF(T_p1213519828996117124131138[stack],0),T_p1213519828996117124131138[[#This Row],[players]]*T_p1213519828996117124131138[[#This Row],[stack]]/chips)</f>
        <v>0</v>
      </c>
      <c r="K22" s="66">
        <f>T_p1213519828996117124131138[[#This Row],[ICM]]+bounty*T_p1213519828996117124131138[[#This Row],[KO]]</f>
        <v>0</v>
      </c>
      <c r="M22" s="10">
        <f>COUNTIF(T_p2223625839097118125132139[stack],"&gt;0")</f>
        <v>3</v>
      </c>
      <c r="N22" s="26">
        <f>IF(T_init20344818895116123130137[[#This Row],[p]]=1,uncalled,IF(T_init20344818895116123130137[[#This Row],[p]]=2,mainpot+sidepot1+sidepot2,IF(T_init20344818895116123130137[[#This Row],[p]]&gt;2,0,T_init20344818895116123130137[[#This Row],[stack]]-T_init20344818895116123130137[[#This Row],[anteblinds]])))</f>
        <v>0</v>
      </c>
      <c r="P22" s="2">
        <f>T_p2223625839097118125132139[[#This Row],[EQ]]*prize</f>
        <v>0</v>
      </c>
      <c r="Q22" s="66">
        <f>IF(T_init20344818895116123130137[[#This Row],[p]]=2,T_p2223625839097118125132139[[#This Row],[players]]*T_p2223625839097118125132139[[#This Row],[stack]]/chips+COUNTIF(T_p2223625839097118125132139[stack],0),T_p2223625839097118125132139[[#This Row],[players]]*T_p2223625839097118125132139[[#This Row],[stack]]/chips)</f>
        <v>0</v>
      </c>
      <c r="R22" s="66">
        <f>T_p2223625839097118125132139[[#This Row],[ICM]]+bounty*T_p2223625839097118125132139[[#This Row],[KO]]</f>
        <v>0</v>
      </c>
      <c r="T22" s="5">
        <f>COUNTIF(T_p3p1233726849198119126133140[stack],"&gt;0")</f>
        <v>3</v>
      </c>
      <c r="U22" s="26">
        <f>IF(T_init20344818895116123130137[[#This Row],[p]]=1,sidepot1+uncalled,IF(T_init20344818895116123130137[[#This Row],[p]]=3,mainpot,IF(ISBLANK(T_init20344818895116123130137[[#This Row],[p]]),T_init20344818895116123130137[[#This Row],[stack]]-T_init20344818895116123130137[[#This Row],[anteblinds]],0)))</f>
        <v>0</v>
      </c>
      <c r="V22">
        <v>0</v>
      </c>
      <c r="W22" s="2">
        <f>T_p3p1233726849198119126133140[[#This Row],[EQ]]*prize</f>
        <v>0</v>
      </c>
      <c r="X22" s="66">
        <f>IF(T_init20344818895116123130137[[#This Row],[p]]=1,T_p3p1233726849198119126133140[[#This Row],[players]]*T_p3p1233726849198119126133140[[#This Row],[stack]]/chips+COUNTIF(T_p3p1233726849198119126133140[stack],0),T_p3p1233726849198119126133140[[#This Row],[players]]*T_p3p1233726849198119126133140[[#This Row],[stack]]/chips)</f>
        <v>0</v>
      </c>
      <c r="Y22" s="66">
        <f>T_p3p1233726849198119126133140[[#This Row],[ICM]]+bounty*T_p3p1233726849198119126133140[[#This Row],[KO]]</f>
        <v>0</v>
      </c>
      <c r="AA22" s="5">
        <f>COUNTIF(T_p3p2243827859299120127134141[stack],"&gt;0")</f>
        <v>4</v>
      </c>
      <c r="AB22">
        <f>IF(T_init20344818895116123130137[[#This Row],[p]]=1,uncalled,IF(T_init20344818895116123130137[[#This Row],[p]]=2,sidepot1,IF(T_init20344818895116123130137[[#This Row],[p]]=3,mainpot,IF(ISBLANK(T_init20344818895116123130137[[#This Row],[p]]),T_init20344818895116123130137[[#This Row],[stack]]-T_init20344818895116123130137[[#This Row],[anteblinds]],0))))</f>
        <v>0</v>
      </c>
      <c r="AC22">
        <v>0</v>
      </c>
      <c r="AD22" s="2">
        <f>T_p3p2243827859299120127134141[[#This Row],[EQ]]*prize</f>
        <v>0</v>
      </c>
      <c r="AE22" s="66">
        <f>IF(T_init20344818895116123130137[[#This Row],[p]]=2,T_p3p2243827859299120127134141[[#This Row],[players]]*T_p3p2243827859299120127134141[[#This Row],[stack]]/chips+COUNTIF(T_p3p2243827859299120127134141[stack],0),T_p3p2243827859299120127134141[[#This Row],[players]]*T_p3p2243827859299120127134141[[#This Row],[stack]]/chips)</f>
        <v>0</v>
      </c>
      <c r="AF22" s="16">
        <f>T_p3p2243827859299120127134141[[#This Row],[ICM]]+bounty*T_p3p2243827859299120127134141[[#This Row],[KO]]</f>
        <v>0</v>
      </c>
      <c r="AI22" s="73">
        <v>3</v>
      </c>
      <c r="AJ22" s="26">
        <v>0</v>
      </c>
      <c r="AL22" s="2">
        <f>T_fact2939288693100121128135142[[#This Row],[EQ]]*prize</f>
        <v>0</v>
      </c>
      <c r="AM22" s="66">
        <f>IF(T_init20344818895116123130137[[#This Row],[p]]=1,T_fact2939288693100121128135142[[#This Row],[players]]*T_fact2939288693100121128135142[[#This Row],[stack]]/chips+COUNTIF(T_fact2939288693100121128135142[stack],0),T_fact2939288693100121128135142[[#This Row],[players]]*T_fact2939288693100121128135142[[#This Row],[stack]]/chips)</f>
        <v>0</v>
      </c>
      <c r="AN22" s="16">
        <f>T_fact2939288693100121128135142[[#This Row],[ICM]]+bounty*T_fact2939288693100121128135142[[#This Row],[KO]]</f>
        <v>0</v>
      </c>
      <c r="AQ22" s="68">
        <f>'3w Kc5c Ден'!p3win* ('3w Kc5c Ден'!p1sp1win*T_p3p1233726849198119126133140[[#This Row],[ICM]] + '3w Kc5c Ден'!p2sp1win*T_p3p2243827859299120127134141[[#This Row],[ICM]])
+'3w Kc5c Ден'!p2win*T_p2223625839097118125132139[[#This Row],[ICM]]
+'3w Kc5c Ден'!p1win*T_p1213519828996117124131138[[#This Row],[ICM]]</f>
        <v>0</v>
      </c>
      <c r="AR22" s="68">
        <f>('3w Kc5c Ден'!p3win* ('3w Kc5c Ден'!p1sp1win*T_p3p1233726849198119126133140[[#This Row],[KO]] + '3w Kc5c Ден'!p2sp1win*T_p3p2243827859299120127134141[[#This Row],[KO]])
+'3w Kc5c Ден'!p2win*T_p2223625839097118125132139[[#This Row],[KO]]
+'3w Kc5c Ден'!p1win*T_p1213519828996117124131138[[#This Row],[KO]])*bounty</f>
        <v>0</v>
      </c>
      <c r="AS22" s="68">
        <f>'3w Kc5c Ден'!p3win* ('3w Kc5c Ден'!p1sp1win*T_p3p1233726849198119126133140[[#This Row],[$stack]] + '3w Kc5c Ден'!p2sp1win*T_p3p2243827859299120127134141[[#This Row],[$stack]])
+'3w Kc5c Ден'!p2win*T_p2223625839097118125132139[[#This Row],[$stack]]
+'3w Kc5c Ден'!p1win*T_p1213519828996117124131138[[#This Row],[$stack]]</f>
        <v>0</v>
      </c>
      <c r="AT22" s="68">
        <f>'3w Kc5c Ден'!p3win* ('3w Kc5c Ден'!p1sp1win*T_p3p1233726849198119126133140[[#This Row],[stack]] + '3w Kc5c Ден'!p2sp1win*T_p3p2243827859299120127134141[[#This Row],[stack]])
+'3w Kc5c Ден'!p2win*T_p2223625839097118125132139[[#This Row],[stack]]
+'3w Kc5c Ден'!p1win*T_p1213519828996117124131138[[#This Row],[stack]]</f>
        <v>0</v>
      </c>
      <c r="AU22" s="2">
        <f>T_EV3340308794101122129136143[[#This Row],[chipEV]]-T_fact2939288693100121128135142[[#This Row],[stack]]</f>
        <v>0</v>
      </c>
      <c r="AV22" s="2">
        <f>T_EV3340308794101122129136143[[#This Row],[EV]]-(T_fact2939288693100121128135142[[#This Row],[ICM]]+bounty*T_fact2939288693100121128135142[[#This Row],[KO]])</f>
        <v>0</v>
      </c>
    </row>
    <row r="23" spans="1:48" x14ac:dyDescent="0.25">
      <c r="A23" t="s">
        <v>95</v>
      </c>
      <c r="D23">
        <f>SUBTOTAL(109,T_init20344818895116123130137[anteblinds])</f>
        <v>230</v>
      </c>
      <c r="F23" s="53"/>
      <c r="G23" s="50">
        <f>SUM(T_p1213519828996117124131138[stack])</f>
        <v>2000</v>
      </c>
      <c r="H23" s="50">
        <f>SUM(T_p1213519828996117124131138[EQ])</f>
        <v>1</v>
      </c>
      <c r="I23" s="50">
        <f>SUM(T_p1213519828996117124131138[ICM])</f>
        <v>58.84</v>
      </c>
      <c r="J23" s="50">
        <f>SUM(T_p1213519828996117124131138[KO])</f>
        <v>6</v>
      </c>
      <c r="K23" s="50">
        <f>SUM(T_p1213519828996117124131138[$stack])</f>
        <v>58.84</v>
      </c>
      <c r="M23" s="53"/>
      <c r="N23" s="55">
        <f>SUM(T_p2223625839097118125132139[stack])</f>
        <v>2000</v>
      </c>
      <c r="O23" s="50">
        <f>SUM(T_p2223625839097118125132139[EQ])</f>
        <v>1</v>
      </c>
      <c r="P23" s="51">
        <f>SUM(T_p2223625839097118125132139[ICM])</f>
        <v>58.84</v>
      </c>
      <c r="Q23" s="52">
        <f>SUM(T_p2223625839097118125132139[KO])</f>
        <v>6</v>
      </c>
      <c r="R23" s="50">
        <f>SUM(T_p2223625839097118125132139[$stack])</f>
        <v>58.84</v>
      </c>
      <c r="T23" s="53"/>
      <c r="U23" s="55">
        <f>SUM(T_p3p1233726849198119126133140[stack])</f>
        <v>2000</v>
      </c>
      <c r="V23" s="50">
        <f>SUM(T_p3p1233726849198119126133140[EQ])</f>
        <v>1</v>
      </c>
      <c r="W23" s="51">
        <f>SUM(T_p3p1233726849198119126133140[ICM])</f>
        <v>58.84</v>
      </c>
      <c r="X23" s="52">
        <f>SUM(T_p3p1233726849198119126133140[KO])</f>
        <v>6</v>
      </c>
      <c r="Y23" s="50">
        <f>SUM(T_p3p1233726849198119126133140[$stack])</f>
        <v>58.84</v>
      </c>
      <c r="AA23" s="53"/>
      <c r="AB23" s="55">
        <f>SUM(T_p3p2243827859299120127134141[stack])</f>
        <v>2000</v>
      </c>
      <c r="AC23" s="50">
        <f>SUM(T_p3p2243827859299120127134141[EQ])</f>
        <v>0.99999999999999989</v>
      </c>
      <c r="AD23" s="51">
        <f>SUM(T_p3p2243827859299120127134141[ICM])</f>
        <v>58.84</v>
      </c>
      <c r="AE23" s="52">
        <f>SUM(T_p3p2243827859299120127134141[KO])</f>
        <v>5.9999999999999991</v>
      </c>
      <c r="AF23" s="50">
        <f>SUM(T_p3p1233726849198119126133140[$stack])</f>
        <v>58.84</v>
      </c>
      <c r="AI23" s="53"/>
      <c r="AJ23" s="55">
        <f>SUM(T_fact2939288693100121128135142[stack])</f>
        <v>2000</v>
      </c>
      <c r="AK23" s="50">
        <f>SUM(T_fact2939288693100121128135142[EQ])</f>
        <v>1</v>
      </c>
      <c r="AL23" s="51">
        <f>SUM(T_fact2939288693100121128135142[ICM])</f>
        <v>58.84</v>
      </c>
      <c r="AM23" s="52">
        <f>SUM(T_fact2939288693100121128135142[KO])</f>
        <v>6</v>
      </c>
      <c r="AN23" s="51">
        <f>SUM(T_fact2939288693100121128135142[$stack])</f>
        <v>58.84</v>
      </c>
      <c r="AQ23" s="52">
        <f>SUM(T_EV3340308794101122129136143[ICM])</f>
        <v>58.840000000000011</v>
      </c>
      <c r="AR23" s="52">
        <f>SUM(T_EV3340308794101122129136143[KO])</f>
        <v>0</v>
      </c>
      <c r="AS23" s="52">
        <f>SUM(T_EV3340308794101122129136143[EV])</f>
        <v>58.840000000000011</v>
      </c>
      <c r="AT23" s="50">
        <f>SUM(T_EV3340308794101122129136143[chipEV])</f>
        <v>2000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382</v>
      </c>
    </row>
    <row r="27" spans="1:48" x14ac:dyDescent="0.25">
      <c r="C27" t="s">
        <v>120</v>
      </c>
      <c r="M27" t="s">
        <v>383</v>
      </c>
    </row>
    <row r="28" spans="1:48" x14ac:dyDescent="0.25">
      <c r="C28" t="s">
        <v>122</v>
      </c>
      <c r="M28" t="s">
        <v>384</v>
      </c>
    </row>
    <row r="29" spans="1:48" x14ac:dyDescent="0.25">
      <c r="M29" t="s">
        <v>385</v>
      </c>
    </row>
    <row r="30" spans="1:48" x14ac:dyDescent="0.25">
      <c r="M30" t="s">
        <v>386</v>
      </c>
    </row>
    <row r="31" spans="1:48" x14ac:dyDescent="0.25">
      <c r="C31" t="s">
        <v>126</v>
      </c>
      <c r="M31" t="s">
        <v>387</v>
      </c>
    </row>
    <row r="32" spans="1:48" x14ac:dyDescent="0.25">
      <c r="M32" t="s">
        <v>388</v>
      </c>
    </row>
    <row r="33" spans="2:13" x14ac:dyDescent="0.25">
      <c r="B33" t="s">
        <v>129</v>
      </c>
      <c r="M33" t="s">
        <v>355</v>
      </c>
    </row>
    <row r="34" spans="2:13" x14ac:dyDescent="0.25">
      <c r="B34" t="s">
        <v>131</v>
      </c>
      <c r="M34" t="s">
        <v>389</v>
      </c>
    </row>
    <row r="35" spans="2:13" x14ac:dyDescent="0.25">
      <c r="C35" t="s">
        <v>133</v>
      </c>
      <c r="M35" t="s">
        <v>390</v>
      </c>
    </row>
    <row r="36" spans="2:13" x14ac:dyDescent="0.25">
      <c r="D36" t="s">
        <v>135</v>
      </c>
      <c r="M36" t="s">
        <v>391</v>
      </c>
    </row>
    <row r="37" spans="2:13" x14ac:dyDescent="0.25">
      <c r="C37" t="s">
        <v>137</v>
      </c>
      <c r="M37" t="s">
        <v>358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392</v>
      </c>
    </row>
    <row r="40" spans="2:13" x14ac:dyDescent="0.25">
      <c r="D40" t="s">
        <v>142</v>
      </c>
      <c r="M40" t="s">
        <v>393</v>
      </c>
    </row>
    <row r="41" spans="2:13" x14ac:dyDescent="0.25">
      <c r="D41" t="s">
        <v>144</v>
      </c>
      <c r="E41" t="s">
        <v>145</v>
      </c>
      <c r="M41" t="s">
        <v>394</v>
      </c>
    </row>
    <row r="42" spans="2:13" x14ac:dyDescent="0.25">
      <c r="F42" t="s">
        <v>147</v>
      </c>
      <c r="M42" t="s">
        <v>395</v>
      </c>
    </row>
    <row r="43" spans="2:13" x14ac:dyDescent="0.25">
      <c r="E43" t="s">
        <v>149</v>
      </c>
      <c r="M43" t="s">
        <v>396</v>
      </c>
    </row>
    <row r="44" spans="2:13" x14ac:dyDescent="0.25">
      <c r="F44" t="s">
        <v>151</v>
      </c>
      <c r="M44" t="s">
        <v>397</v>
      </c>
    </row>
    <row r="45" spans="2:13" x14ac:dyDescent="0.25">
      <c r="M45" t="s">
        <v>398</v>
      </c>
    </row>
    <row r="46" spans="2:13" x14ac:dyDescent="0.25">
      <c r="C46" t="s">
        <v>154</v>
      </c>
      <c r="M46" t="s">
        <v>399</v>
      </c>
    </row>
    <row r="47" spans="2:13" x14ac:dyDescent="0.25">
      <c r="D47" t="s">
        <v>156</v>
      </c>
      <c r="M47" t="s">
        <v>166</v>
      </c>
    </row>
    <row r="48" spans="2:13" x14ac:dyDescent="0.25">
      <c r="D48" t="s">
        <v>158</v>
      </c>
      <c r="E48" t="s">
        <v>145</v>
      </c>
      <c r="M48" t="s">
        <v>400</v>
      </c>
    </row>
    <row r="49" spans="5:13" x14ac:dyDescent="0.25">
      <c r="F49" t="s">
        <v>160</v>
      </c>
      <c r="M49" t="s">
        <v>401</v>
      </c>
    </row>
    <row r="50" spans="5:13" x14ac:dyDescent="0.25">
      <c r="E50" t="s">
        <v>149</v>
      </c>
      <c r="M50" t="s">
        <v>402</v>
      </c>
    </row>
    <row r="51" spans="5:13" x14ac:dyDescent="0.25">
      <c r="F51" t="s">
        <v>163</v>
      </c>
      <c r="M51" t="s">
        <v>403</v>
      </c>
    </row>
    <row r="52" spans="5:13" x14ac:dyDescent="0.25">
      <c r="E52" t="s">
        <v>165</v>
      </c>
      <c r="M52" t="s">
        <v>404</v>
      </c>
    </row>
    <row r="53" spans="5:13" x14ac:dyDescent="0.25">
      <c r="F53" t="s">
        <v>167</v>
      </c>
      <c r="M53" t="s">
        <v>405</v>
      </c>
    </row>
    <row r="54" spans="5:13" x14ac:dyDescent="0.25">
      <c r="F54" t="s">
        <v>144</v>
      </c>
      <c r="M54" t="s">
        <v>173</v>
      </c>
    </row>
    <row r="55" spans="5:13" x14ac:dyDescent="0.25">
      <c r="G55" t="s">
        <v>145</v>
      </c>
      <c r="M55" t="s">
        <v>406</v>
      </c>
    </row>
    <row r="56" spans="5:13" x14ac:dyDescent="0.25">
      <c r="H56" t="s">
        <v>147</v>
      </c>
      <c r="M56" t="s">
        <v>407</v>
      </c>
    </row>
    <row r="57" spans="5:13" x14ac:dyDescent="0.25">
      <c r="G57" t="s">
        <v>149</v>
      </c>
      <c r="M57" t="s">
        <v>408</v>
      </c>
    </row>
    <row r="58" spans="5:13" x14ac:dyDescent="0.25">
      <c r="H58" t="s">
        <v>151</v>
      </c>
      <c r="M58" t="s">
        <v>409</v>
      </c>
    </row>
    <row r="59" spans="5:13" x14ac:dyDescent="0.25">
      <c r="M59" t="s">
        <v>410</v>
      </c>
    </row>
    <row r="60" spans="5:13" x14ac:dyDescent="0.25">
      <c r="M60" t="s">
        <v>411</v>
      </c>
    </row>
    <row r="62" spans="5:13" x14ac:dyDescent="0.25">
      <c r="M62" t="s">
        <v>527</v>
      </c>
    </row>
    <row r="63" spans="5:13" x14ac:dyDescent="0.25">
      <c r="M63" t="s">
        <v>513</v>
      </c>
    </row>
    <row r="64" spans="5:13" x14ac:dyDescent="0.25">
      <c r="M64" t="s">
        <v>528</v>
      </c>
    </row>
    <row r="65" spans="13:13" x14ac:dyDescent="0.25">
      <c r="M65" t="s">
        <v>529</v>
      </c>
    </row>
    <row r="66" spans="13:13" x14ac:dyDescent="0.25">
      <c r="M66" t="s">
        <v>530</v>
      </c>
    </row>
    <row r="67" spans="13:13" x14ac:dyDescent="0.25">
      <c r="M67" t="s">
        <v>531</v>
      </c>
    </row>
    <row r="68" spans="13:13" x14ac:dyDescent="0.25">
      <c r="M68" t="s">
        <v>518</v>
      </c>
    </row>
    <row r="69" spans="13:13" x14ac:dyDescent="0.25">
      <c r="M69" t="s">
        <v>519</v>
      </c>
    </row>
    <row r="70" spans="13:13" x14ac:dyDescent="0.25">
      <c r="M70" t="s">
        <v>520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0538-92B5-4153-8B66-6238226B350A}">
  <dimension ref="A1:AV74"/>
  <sheetViews>
    <sheetView workbookViewId="0">
      <selection activeCell="P66" sqref="P66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6" width="10.7109375" customWidth="1"/>
    <col min="47" max="47" width="10.85546875" customWidth="1"/>
  </cols>
  <sheetData>
    <row r="1" spans="1:48" ht="15.75" x14ac:dyDescent="0.25">
      <c r="C1" s="80" t="s">
        <v>0</v>
      </c>
      <c r="D1">
        <f>2.79*4</f>
        <v>11.16</v>
      </c>
      <c r="F1" s="80" t="s">
        <v>71</v>
      </c>
      <c r="G1">
        <v>0.1794</v>
      </c>
      <c r="I1" s="80" t="s">
        <v>72</v>
      </c>
      <c r="J1">
        <v>0.5</v>
      </c>
      <c r="M1" s="80" t="s">
        <v>73</v>
      </c>
      <c r="N1">
        <v>1165</v>
      </c>
    </row>
    <row r="2" spans="1:48" ht="15.75" x14ac:dyDescent="0.25">
      <c r="C2" s="80" t="s">
        <v>1</v>
      </c>
      <c r="D2">
        <f>bounty</f>
        <v>0</v>
      </c>
      <c r="F2" s="80" t="s">
        <v>74</v>
      </c>
      <c r="G2">
        <v>0.22919999999999999</v>
      </c>
      <c r="I2" s="80" t="s">
        <v>75</v>
      </c>
      <c r="J2">
        <v>0.5</v>
      </c>
      <c r="M2" s="80" t="s">
        <v>76</v>
      </c>
      <c r="N2">
        <v>0</v>
      </c>
    </row>
    <row r="3" spans="1:48" ht="15.75" x14ac:dyDescent="0.25">
      <c r="C3" s="80" t="s">
        <v>77</v>
      </c>
      <c r="D3">
        <v>2000</v>
      </c>
      <c r="F3" s="80" t="s">
        <v>78</v>
      </c>
      <c r="G3">
        <v>0.59140000000000004</v>
      </c>
      <c r="M3" s="80" t="s">
        <v>79</v>
      </c>
      <c r="N3">
        <v>0</v>
      </c>
    </row>
    <row r="4" spans="1:48" ht="15.75" x14ac:dyDescent="0.25">
      <c r="F4" s="80" t="s">
        <v>80</v>
      </c>
      <c r="G4">
        <v>0</v>
      </c>
      <c r="M4" s="80" t="s">
        <v>81</v>
      </c>
      <c r="N4">
        <v>185</v>
      </c>
    </row>
    <row r="5" spans="1:48" ht="6" customHeight="1" x14ac:dyDescent="0.25"/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9" spans="1:48" ht="6" customHeight="1" x14ac:dyDescent="0.25"/>
    <row r="10" spans="1:48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48" ht="18.75" x14ac:dyDescent="0.3">
      <c r="F11" s="128"/>
      <c r="G11" s="81">
        <v>1</v>
      </c>
      <c r="H11" s="81">
        <v>0</v>
      </c>
      <c r="I11" s="82">
        <v>0</v>
      </c>
      <c r="J11" s="84"/>
      <c r="K11" s="84"/>
    </row>
    <row r="12" spans="1:48" ht="19.5" thickBot="1" x14ac:dyDescent="0.35">
      <c r="F12" s="84"/>
      <c r="G12" s="84"/>
      <c r="H12" s="84"/>
      <c r="I12" s="84"/>
      <c r="J12" s="84"/>
      <c r="K12" s="84"/>
      <c r="V12" t="s">
        <v>92</v>
      </c>
      <c r="AC12" t="s">
        <v>93</v>
      </c>
    </row>
    <row r="13" spans="1:48" ht="20.25" thickTop="1" thickBot="1" x14ac:dyDescent="0.35">
      <c r="F13" s="84"/>
      <c r="G13" s="84"/>
      <c r="H13" s="84"/>
      <c r="I13" s="84"/>
      <c r="J13" s="84"/>
      <c r="K13" s="84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</row>
    <row r="14" spans="1:48" ht="20.25" thickTop="1" thickBot="1" x14ac:dyDescent="0.35">
      <c r="F14" s="84"/>
      <c r="G14" s="84"/>
      <c r="H14" s="84" t="s">
        <v>96</v>
      </c>
      <c r="I14" s="84"/>
      <c r="J14" s="84"/>
      <c r="K14" s="84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</row>
    <row r="15" spans="1:48" ht="19.5" thickTop="1" x14ac:dyDescent="0.3">
      <c r="F15" s="134" t="s">
        <v>100</v>
      </c>
      <c r="G15" s="135"/>
      <c r="H15" s="135"/>
      <c r="I15" s="135"/>
      <c r="J15" s="136"/>
      <c r="K15" s="84"/>
      <c r="M15" s="134" t="s">
        <v>101</v>
      </c>
      <c r="N15" s="135"/>
      <c r="O15" s="135"/>
      <c r="P15" s="135"/>
      <c r="Q15" s="136"/>
      <c r="R15" s="84"/>
      <c r="T15" s="118" t="s">
        <v>102</v>
      </c>
      <c r="U15" s="119"/>
      <c r="V15" s="119"/>
      <c r="W15" s="119"/>
      <c r="X15" s="120"/>
      <c r="Y15" s="84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</row>
    <row r="16" spans="1:48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t="s">
        <v>112</v>
      </c>
      <c r="AV16" t="s">
        <v>113</v>
      </c>
    </row>
    <row r="17" spans="1:48" s="17" customFormat="1" x14ac:dyDescent="0.25">
      <c r="B17" s="26">
        <v>660</v>
      </c>
      <c r="C17" s="26"/>
      <c r="D17" s="26">
        <v>10</v>
      </c>
      <c r="F17" s="83">
        <f>COUNTIF(T_p1213519828996103[stack],"&gt;0")</f>
        <v>2</v>
      </c>
      <c r="G17" s="17">
        <f>IF(T_init20344818895102[[#This Row],[p]]=1,mainpot+sidepot1+sidepot2+uncalled,IF(T_init20344818895102[[#This Row],[p]]&gt;1,0,T_init20344818895102[[#This Row],[stack]]-T_init20344818895102[[#This Row],[anteblinds]]))</f>
        <v>650</v>
      </c>
      <c r="H17" s="26">
        <v>0.32500000000000001</v>
      </c>
      <c r="I17" s="18">
        <f>T_p1213519828996103[[#This Row],[EQ]]*prize</f>
        <v>3.6270000000000002</v>
      </c>
      <c r="J17" s="67">
        <f>IF(T_init20344818895102[[#This Row],[p]]=1,T_p1213519828996103[[#This Row],[players]]*T_p1213519828996103[[#This Row],[stack]]/chips+COUNTIF(T_p1213519828996103[stack],0),T_p1213519828996103[[#This Row],[players]]*T_p1213519828996103[[#This Row],[stack]]/chips)</f>
        <v>0.65</v>
      </c>
      <c r="K17" s="67">
        <f>T_p1213519828996103[[#This Row],[ICM]]+bounty*T_p1213519828996103[[#This Row],[KO]]</f>
        <v>3.6270000000000002</v>
      </c>
      <c r="M17" s="19">
        <f>COUNTIF(T_p2223625839097104[stack],"&gt;0")</f>
        <v>3</v>
      </c>
      <c r="N17" s="17">
        <f>IF(T_init20344818895102[[#This Row],[p]]=1,uncalled,IF(T_init20344818895102[[#This Row],[p]]=2,mainpot+sidepot1+sidepot2,IF(T_init20344818895102[[#This Row],[p]]&gt;2,0,T_init20344818895102[[#This Row],[stack]]-T_init20344818895102[[#This Row],[anteblinds]])))</f>
        <v>650</v>
      </c>
      <c r="O17" s="26">
        <v>0.32500000000000001</v>
      </c>
      <c r="P17" s="18">
        <f>T_p2223625839097104[[#This Row],[EQ]]*prize</f>
        <v>3.6270000000000002</v>
      </c>
      <c r="Q17" s="67">
        <f>IF(T_init20344818895102[[#This Row],[p]]=2,T_p2223625839097104[[#This Row],[players]]*T_p2223625839097104[[#This Row],[stack]]/chips+COUNTIF(T_p2223625839097104[stack],0),T_p2223625839097104[[#This Row],[players]]*T_p2223625839097104[[#This Row],[stack]]/chips)</f>
        <v>0.97499999999999998</v>
      </c>
      <c r="R17" s="67">
        <f>T_p2223625839097104[[#This Row],[ICM]]+bounty*T_p2223625839097104[[#This Row],[KO]]</f>
        <v>3.6270000000000002</v>
      </c>
      <c r="T17" s="83">
        <f>COUNTIF(T_p3p1233726849198105[stack],"&gt;0")</f>
        <v>3</v>
      </c>
      <c r="U17" s="17">
        <f>IF(T_init20344818895102[[#This Row],[p]]=1,sidepot1+uncalled,IF(T_init20344818895102[[#This Row],[p]]=3,mainpot,IF(ISBLANK(T_init20344818895102[[#This Row],[p]]),T_init20344818895102[[#This Row],[stack]]-T_init20344818895102[[#This Row],[anteblinds]],0)))</f>
        <v>650</v>
      </c>
      <c r="V17" s="26">
        <v>0.32500000000000001</v>
      </c>
      <c r="W17" s="18">
        <f>T_p3p1233726849198105[[#This Row],[EQ]]*prize</f>
        <v>3.6270000000000002</v>
      </c>
      <c r="X17" s="67">
        <f>IF(T_init20344818895102[[#This Row],[p]]=1,T_p3p1233726849198105[[#This Row],[players]]*T_p3p1233726849198105[[#This Row],[stack]]/chips+COUNTIF(T_p3p1233726849198105[stack],0),T_p3p1233726849198105[[#This Row],[players]]*T_p3p1233726849198105[[#This Row],[stack]]/chips)</f>
        <v>0.97499999999999998</v>
      </c>
      <c r="Y17" s="67">
        <f>T_p3p1233726849198105[[#This Row],[ICM]]+bounty*T_p3p1233726849198105[[#This Row],[KO]]</f>
        <v>3.6270000000000002</v>
      </c>
      <c r="AA17" s="83">
        <f>COUNTIF(T_p3p2243827859299106[stack],"&gt;0")</f>
        <v>3</v>
      </c>
      <c r="AB17" s="17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650</v>
      </c>
      <c r="AC17" s="26">
        <v>0.32500000000000001</v>
      </c>
      <c r="AD17" s="18">
        <f>T_p3p2243827859299106[[#This Row],[EQ]]*prize</f>
        <v>3.6270000000000002</v>
      </c>
      <c r="AE17" s="67">
        <f>IF(T_init20344818895102[[#This Row],[p]]=2,T_p3p2243827859299106[[#This Row],[players]]*T_p3p2243827859299106[[#This Row],[stack]]/chips+COUNTIF(T_p3p2243827859299106[stack],0),T_p3p2243827859299106[[#This Row],[players]]*T_p3p2243827859299106[[#This Row],[stack]]/chips)</f>
        <v>0.97499999999999998</v>
      </c>
      <c r="AF17" s="67">
        <f>T_p3p2243827859299106[[#This Row],[ICM]]+bounty*T_p3p2243827859299106[[#This Row],[KO]]</f>
        <v>3.6270000000000002</v>
      </c>
      <c r="AI17" s="83">
        <v>3</v>
      </c>
      <c r="AJ17" s="17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650</v>
      </c>
      <c r="AK17" s="26">
        <v>0.32500000000000001</v>
      </c>
      <c r="AL17" s="18">
        <f>T_fact2939288693100107[[#This Row],[EQ]]*prize</f>
        <v>3.6270000000000002</v>
      </c>
      <c r="AM17" s="67">
        <f>IF(T_init20344818895102[[#This Row],[p]]=1,T_fact2939288693100107[[#This Row],[players]]*T_fact2939288693100107[[#This Row],[stack]]/chips+COUNTIF(T_fact2939288693100107[stack],0),T_fact2939288693100107[[#This Row],[players]]*T_fact2939288693100107[[#This Row],[stack]]/chips)</f>
        <v>0.97499999999999998</v>
      </c>
      <c r="AN17" s="67">
        <f>T_fact2939288693100107[[#This Row],[ICM]]+bounty*T_fact2939288693100107[[#This Row],[KO]]</f>
        <v>3.6270000000000002</v>
      </c>
      <c r="AQ17" s="69">
        <f>'3w postflop 9c7s Ден v2'!p3win* ('3w postflop 9c7s Ден v2'!p1sp1win*T_p3p1233726849198105[[#This Row],[ICM]] + '3w postflop 9c7s Ден v2'!p2sp1win*T_p3p2243827859299106[[#This Row],[ICM]])
+'3w postflop 9c7s Ден v2'!p2win*T_p2223625839097104[[#This Row],[ICM]]
+'3w postflop 9c7s Ден v2'!p1win*T_p1213519828996103[[#This Row],[ICM]]</f>
        <v>3.6270000000000002</v>
      </c>
      <c r="AR17" s="23">
        <f>('3w postflop 9c7s Ден v2'!p3win* ('3w postflop 9c7s Ден v2'!p1sp1win*T_p3p1233726849198105[[#This Row],[KO]] + '3w postflop 9c7s Ден v2'!p2sp1win*T_p3p2243827859299106[[#This Row],[KO]])
+'3w postflop 9c7s Ден v2'!p2win*T_p2223625839097104[[#This Row],[KO]]
+'3w postflop 9c7s Ден v2'!p1win*T_p1213519828996103[[#This Row],[KO]])*bounty</f>
        <v>0</v>
      </c>
      <c r="AS17" s="69">
        <f>'3w postflop 9c7s Ден v2'!p3win* ('3w postflop 9c7s Ден v2'!p1sp1win*T_p3p1233726849198105[[#This Row],[$stack]] + '3w postflop 9c7s Ден v2'!p2sp1win*T_p3p2243827859299106[[#This Row],[$stack]])
+'3w postflop 9c7s Ден v2'!p2win*T_p2223625839097104[[#This Row],[$stack]]
+'3w postflop 9c7s Ден v2'!p1win*T_p1213519828996103[[#This Row],[$stack]]</f>
        <v>3.6270000000000002</v>
      </c>
      <c r="AT17" s="23">
        <f>'3w postflop 9c7s Ден v2'!p3win* ('3w postflop 9c7s Ден v2'!p1sp1win*T_p3p1233726849198105[[#This Row],[stack]] + '3w postflop 9c7s Ден v2'!p2sp1win*T_p3p2243827859299106[[#This Row],[stack]])
+'3w postflop 9c7s Ден v2'!p2win*T_p2223625839097104[[#This Row],[stack]]
+'3w postflop 9c7s Ден v2'!p1win*T_p1213519828996103[[#This Row],[stack]]</f>
        <v>650</v>
      </c>
      <c r="AU17" s="18">
        <f>T_EV3340308794101108[[#This Row],[chipEV]]-T_fact2939288693100107[[#This Row],[stack]]</f>
        <v>0</v>
      </c>
      <c r="AV17" s="18">
        <f>T_EV3340308794101108[[#This Row],[EV]]-(T_fact2939288693100107[[#This Row],[ICM]]+bounty*T_fact2939288693100107[[#This Row],[KO]])</f>
        <v>0</v>
      </c>
    </row>
    <row r="18" spans="1:48" x14ac:dyDescent="0.25">
      <c r="A18">
        <v>3</v>
      </c>
      <c r="B18">
        <v>385</v>
      </c>
      <c r="C18" t="s">
        <v>114</v>
      </c>
      <c r="D18">
        <v>10</v>
      </c>
      <c r="F18" s="5">
        <f>COUNTIF(T_p1213519828996103[stack],"&gt;0")</f>
        <v>2</v>
      </c>
      <c r="G18">
        <f>IF(T_init20344818895102[[#This Row],[p]]=1,mainpot+sidepot1+sidepot2+uncalled,IF(T_init20344818895102[[#This Row],[p]]&gt;1,0,T_init20344818895102[[#This Row],[stack]]-T_init20344818895102[[#This Row],[anteblinds]]))</f>
        <v>0</v>
      </c>
      <c r="I18" s="2">
        <f>T_p1213519828996103[[#This Row],[EQ]]*prize</f>
        <v>0</v>
      </c>
      <c r="J18" s="66">
        <f>IF(T_init20344818895102[[#This Row],[p]]=1,T_p1213519828996103[[#This Row],[players]]*T_p1213519828996103[[#This Row],[stack]]/chips+COUNTIF(T_p1213519828996103[stack],0),T_p1213519828996103[[#This Row],[players]]*T_p1213519828996103[[#This Row],[stack]]/chips)</f>
        <v>0</v>
      </c>
      <c r="K18" s="66">
        <f>T_p1213519828996103[[#This Row],[ICM]]+bounty*T_p1213519828996103[[#This Row],[KO]]</f>
        <v>0</v>
      </c>
      <c r="M18" s="10">
        <f>COUNTIF(T_p2223625839097104[stack],"&gt;0")</f>
        <v>3</v>
      </c>
      <c r="N18" s="26">
        <f>IF(T_init20344818895102[[#This Row],[p]]=1,uncalled,IF(T_init20344818895102[[#This Row],[p]]=2,mainpot+sidepot1+sidepot2,IF(T_init20344818895102[[#This Row],[p]]&gt;2,0,T_init20344818895102[[#This Row],[stack]]-T_init20344818895102[[#This Row],[anteblinds]])))</f>
        <v>0</v>
      </c>
      <c r="P18" s="2">
        <f>T_p2223625839097104[[#This Row],[EQ]]*prize</f>
        <v>0</v>
      </c>
      <c r="Q18" s="66">
        <f>IF(T_init20344818895102[[#This Row],[p]]=2,T_p2223625839097104[[#This Row],[players]]*T_p2223625839097104[[#This Row],[stack]]/chips+COUNTIF(T_p2223625839097104[stack],0),T_p2223625839097104[[#This Row],[players]]*T_p2223625839097104[[#This Row],[stack]]/chips)</f>
        <v>0</v>
      </c>
      <c r="R18" s="66">
        <f>T_p2223625839097104[[#This Row],[ICM]]+bounty*T_p2223625839097104[[#This Row],[KO]]</f>
        <v>0</v>
      </c>
      <c r="T18" s="5">
        <f>COUNTIF(T_p3p1233726849198105[stack],"&gt;0")</f>
        <v>3</v>
      </c>
      <c r="U18" s="26">
        <f>IF(T_init20344818895102[[#This Row],[p]]=1,sidepot1+uncalled,IF(T_init20344818895102[[#This Row],[p]]=3,mainpot,IF(ISBLANK(T_init20344818895102[[#This Row],[p]]),T_init20344818895102[[#This Row],[stack]]-T_init20344818895102[[#This Row],[anteblinds]],0)))</f>
        <v>1165</v>
      </c>
      <c r="V18">
        <v>0.58250000000000002</v>
      </c>
      <c r="W18" s="2">
        <f>T_p3p1233726849198105[[#This Row],[EQ]]*prize</f>
        <v>6.5007000000000001</v>
      </c>
      <c r="X18" s="66">
        <f>IF(T_init20344818895102[[#This Row],[p]]=1,T_p3p1233726849198105[[#This Row],[players]]*T_p3p1233726849198105[[#This Row],[stack]]/chips+COUNTIF(T_p3p1233726849198105[stack],0),T_p3p1233726849198105[[#This Row],[players]]*T_p3p1233726849198105[[#This Row],[stack]]/chips)</f>
        <v>1.7475000000000001</v>
      </c>
      <c r="Y18" s="66">
        <f>T_p3p1233726849198105[[#This Row],[ICM]]+bounty*T_p3p1233726849198105[[#This Row],[KO]]</f>
        <v>6.5007000000000001</v>
      </c>
      <c r="AA18" s="5">
        <f>COUNTIF(T_p3p2243827859299106[stack],"&gt;0")</f>
        <v>3</v>
      </c>
      <c r="AB18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1165</v>
      </c>
      <c r="AC18">
        <v>0.58250000000000002</v>
      </c>
      <c r="AD18" s="2">
        <f>T_p3p2243827859299106[[#This Row],[EQ]]*prize</f>
        <v>6.5007000000000001</v>
      </c>
      <c r="AE18" s="66">
        <f>IF(T_init20344818895102[[#This Row],[p]]=2,T_p3p2243827859299106[[#This Row],[players]]*T_p3p2243827859299106[[#This Row],[stack]]/chips+COUNTIF(T_p3p2243827859299106[stack],0),T_p3p2243827859299106[[#This Row],[players]]*T_p3p2243827859299106[[#This Row],[stack]]/chips)</f>
        <v>1.7475000000000001</v>
      </c>
      <c r="AF18" s="16">
        <f>T_p3p2243827859299106[[#This Row],[ICM]]+bounty*T_p3p2243827859299106[[#This Row],[KO]]</f>
        <v>6.5007000000000001</v>
      </c>
      <c r="AI18" s="73">
        <v>3</v>
      </c>
      <c r="AJ18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1165</v>
      </c>
      <c r="AK18">
        <v>0.58250000000000002</v>
      </c>
      <c r="AL18" s="2">
        <f>T_fact2939288693100107[[#This Row],[EQ]]*prize</f>
        <v>6.5007000000000001</v>
      </c>
      <c r="AM18" s="66">
        <f>IF(T_init20344818895102[[#This Row],[p]]=1,T_fact2939288693100107[[#This Row],[players]]*T_fact2939288693100107[[#This Row],[stack]]/chips+COUNTIF(T_fact2939288693100107[stack],0),T_fact2939288693100107[[#This Row],[players]]*T_fact2939288693100107[[#This Row],[stack]]/chips)</f>
        <v>1.7475000000000001</v>
      </c>
      <c r="AN18" s="16">
        <f>T_fact2939288693100107[[#This Row],[ICM]]+bounty*T_fact2939288693100107[[#This Row],[KO]]</f>
        <v>6.5007000000000001</v>
      </c>
      <c r="AQ18" s="68">
        <f>'3w postflop 9c7s Ден v2'!p3win* ('3w postflop 9c7s Ден v2'!p1sp1win*T_p3p1233726849198105[[#This Row],[ICM]] + '3w postflop 9c7s Ден v2'!p2sp1win*T_p3p2243827859299106[[#This Row],[ICM]])
+'3w postflop 9c7s Ден v2'!p2win*T_p2223625839097104[[#This Row],[ICM]]
+'3w postflop 9c7s Ден v2'!p1win*T_p1213519828996103[[#This Row],[ICM]]</f>
        <v>3.8445139800000003</v>
      </c>
      <c r="AR18" s="68">
        <f>('3w postflop 9c7s Ден v2'!p3win* ('3w postflop 9c7s Ден v2'!p1sp1win*T_p3p1233726849198105[[#This Row],[KO]] + '3w postflop 9c7s Ден v2'!p2sp1win*T_p3p2243827859299106[[#This Row],[KO]])
+'3w postflop 9c7s Ден v2'!p2win*T_p2223625839097104[[#This Row],[KO]]
+'3w postflop 9c7s Ден v2'!p1win*T_p1213519828996103[[#This Row],[KO]])*bounty</f>
        <v>0</v>
      </c>
      <c r="AS18" s="68">
        <f>'3w postflop 9c7s Ден v2'!p3win* ('3w postflop 9c7s Ден v2'!p1sp1win*T_p3p1233726849198105[[#This Row],[$stack]] + '3w postflop 9c7s Ден v2'!p2sp1win*T_p3p2243827859299106[[#This Row],[$stack]])
+'3w postflop 9c7s Ден v2'!p2win*T_p2223625839097104[[#This Row],[$stack]]
+'3w postflop 9c7s Ден v2'!p1win*T_p1213519828996103[[#This Row],[$stack]]</f>
        <v>3.8445139800000003</v>
      </c>
      <c r="AT18" s="68">
        <f>'3w postflop 9c7s Ден v2'!p3win* ('3w postflop 9c7s Ден v2'!p1sp1win*T_p3p1233726849198105[[#This Row],[stack]] + '3w postflop 9c7s Ден v2'!p2sp1win*T_p3p2243827859299106[[#This Row],[stack]])
+'3w postflop 9c7s Ден v2'!p2win*T_p2223625839097104[[#This Row],[stack]]
+'3w postflop 9c7s Ден v2'!p1win*T_p1213519828996103[[#This Row],[stack]]</f>
        <v>688.98099999999999</v>
      </c>
      <c r="AU18" s="2">
        <f>T_EV3340308794101108[[#This Row],[chipEV]]-T_fact2939288693100107[[#This Row],[stack]]</f>
        <v>-476.01900000000001</v>
      </c>
      <c r="AV18" s="2">
        <f>T_EV3340308794101108[[#This Row],[EV]]-(T_fact2939288693100107[[#This Row],[ICM]]+bounty*T_fact2939288693100107[[#This Row],[KO]])</f>
        <v>-2.6561860199999998</v>
      </c>
    </row>
    <row r="19" spans="1:48" x14ac:dyDescent="0.25">
      <c r="A19">
        <v>2</v>
      </c>
      <c r="B19">
        <v>385</v>
      </c>
      <c r="C19" s="26" t="s">
        <v>115</v>
      </c>
      <c r="D19">
        <v>35</v>
      </c>
      <c r="F19" s="5">
        <f>COUNTIF(T_p1213519828996103[stack],"&gt;0")</f>
        <v>2</v>
      </c>
      <c r="G19">
        <f>IF(T_init20344818895102[[#This Row],[p]]=1,mainpot+sidepot1+sidepot2+uncalled,IF(T_init20344818895102[[#This Row],[p]]&gt;1,0,T_init20344818895102[[#This Row],[stack]]-T_init20344818895102[[#This Row],[anteblinds]]))</f>
        <v>0</v>
      </c>
      <c r="I19" s="2">
        <f>T_p1213519828996103[[#This Row],[EQ]]*prize</f>
        <v>0</v>
      </c>
      <c r="J19" s="66">
        <f>IF(T_init20344818895102[[#This Row],[p]]=1,T_p1213519828996103[[#This Row],[players]]*T_p1213519828996103[[#This Row],[stack]]/chips+COUNTIF(T_p1213519828996103[stack],0),T_p1213519828996103[[#This Row],[players]]*T_p1213519828996103[[#This Row],[stack]]/chips)</f>
        <v>0</v>
      </c>
      <c r="K19" s="66">
        <f>T_p1213519828996103[[#This Row],[ICM]]+bounty*T_p1213519828996103[[#This Row],[KO]]</f>
        <v>0</v>
      </c>
      <c r="M19" s="10">
        <f>COUNTIF(T_p2223625839097104[stack],"&gt;0")</f>
        <v>3</v>
      </c>
      <c r="N19" s="26">
        <f>IF(T_init20344818895102[[#This Row],[p]]=1,uncalled,IF(T_init20344818895102[[#This Row],[p]]=2,mainpot+sidepot1+sidepot2,IF(T_init20344818895102[[#This Row],[p]]&gt;2,0,T_init20344818895102[[#This Row],[stack]]-T_init20344818895102[[#This Row],[anteblinds]])))</f>
        <v>1165</v>
      </c>
      <c r="O19">
        <v>0.58250000000000002</v>
      </c>
      <c r="P19" s="2">
        <f>T_p2223625839097104[[#This Row],[EQ]]*prize</f>
        <v>6.5007000000000001</v>
      </c>
      <c r="Q19" s="66">
        <f>IF(T_init20344818895102[[#This Row],[p]]=2,T_p2223625839097104[[#This Row],[players]]*T_p2223625839097104[[#This Row],[stack]]/chips+COUNTIF(T_p2223625839097104[stack],0),T_p2223625839097104[[#This Row],[players]]*T_p2223625839097104[[#This Row],[stack]]/chips)</f>
        <v>4.7475000000000005</v>
      </c>
      <c r="R19" s="66">
        <f>T_p2223625839097104[[#This Row],[ICM]]+bounty*T_p2223625839097104[[#This Row],[KO]]</f>
        <v>6.5007000000000001</v>
      </c>
      <c r="T19" s="5">
        <f>COUNTIF(T_p3p1233726849198105[stack],"&gt;0")</f>
        <v>3</v>
      </c>
      <c r="U19" s="26">
        <f>IF(T_init20344818895102[[#This Row],[p]]=1,sidepot1+uncalled,IF(T_init20344818895102[[#This Row],[p]]=3,mainpot,IF(ISBLANK(T_init20344818895102[[#This Row],[p]]),T_init20344818895102[[#This Row],[stack]]-T_init20344818895102[[#This Row],[anteblinds]],0)))</f>
        <v>0</v>
      </c>
      <c r="W19" s="2">
        <f>T_p3p1233726849198105[[#This Row],[EQ]]*prize</f>
        <v>0</v>
      </c>
      <c r="X19" s="66">
        <f>IF(T_init20344818895102[[#This Row],[p]]=1,T_p3p1233726849198105[[#This Row],[players]]*T_p3p1233726849198105[[#This Row],[stack]]/chips+COUNTIF(T_p3p1233726849198105[stack],0),T_p3p1233726849198105[[#This Row],[players]]*T_p3p1233726849198105[[#This Row],[stack]]/chips)</f>
        <v>0</v>
      </c>
      <c r="Y19" s="66">
        <f>T_p3p1233726849198105[[#This Row],[ICM]]+bounty*T_p3p1233726849198105[[#This Row],[KO]]</f>
        <v>0</v>
      </c>
      <c r="AA19" s="5">
        <f>COUNTIF(T_p3p2243827859299106[stack],"&gt;0")</f>
        <v>3</v>
      </c>
      <c r="AB19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0</v>
      </c>
      <c r="AD19" s="2">
        <f>T_p3p2243827859299106[[#This Row],[EQ]]*prize</f>
        <v>0</v>
      </c>
      <c r="AE19" s="66">
        <f>IF(T_init20344818895102[[#This Row],[p]]=2,T_p3p2243827859299106[[#This Row],[players]]*T_p3p2243827859299106[[#This Row],[stack]]/chips+COUNTIF(T_p3p2243827859299106[stack],0),T_p3p2243827859299106[[#This Row],[players]]*T_p3p2243827859299106[[#This Row],[stack]]/chips)</f>
        <v>3</v>
      </c>
      <c r="AF19" s="16">
        <f>T_p3p2243827859299106[[#This Row],[ICM]]+bounty*T_p3p2243827859299106[[#This Row],[KO]]</f>
        <v>0</v>
      </c>
      <c r="AI19" s="73">
        <v>3</v>
      </c>
      <c r="AJ19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0</v>
      </c>
      <c r="AL19" s="2">
        <f>T_fact2939288693100107[[#This Row],[EQ]]*prize</f>
        <v>0</v>
      </c>
      <c r="AM19" s="66">
        <f>IF(T_init20344818895102[[#This Row],[p]]=1,T_fact2939288693100107[[#This Row],[players]]*T_fact2939288693100107[[#This Row],[stack]]/chips+COUNTIF(T_fact2939288693100107[stack],0),T_fact2939288693100107[[#This Row],[players]]*T_fact2939288693100107[[#This Row],[stack]]/chips)</f>
        <v>0</v>
      </c>
      <c r="AN19" s="16">
        <f>T_fact2939288693100107[[#This Row],[ICM]]+bounty*T_fact2939288693100107[[#This Row],[KO]]</f>
        <v>0</v>
      </c>
      <c r="AQ19" s="68">
        <f>'3w postflop 9c7s Ден v2'!p3win* ('3w postflop 9c7s Ден v2'!p1sp1win*T_p3p1233726849198105[[#This Row],[ICM]] + '3w postflop 9c7s Ден v2'!p2sp1win*T_p3p2243827859299106[[#This Row],[ICM]])
+'3w postflop 9c7s Ден v2'!p2win*T_p2223625839097104[[#This Row],[ICM]]
+'3w postflop 9c7s Ден v2'!p1win*T_p1213519828996103[[#This Row],[ICM]]</f>
        <v>1.4899604399999999</v>
      </c>
      <c r="AR19" s="68">
        <f>('3w postflop 9c7s Ден v2'!p3win* ('3w postflop 9c7s Ден v2'!p1sp1win*T_p3p1233726849198105[[#This Row],[KO]] + '3w postflop 9c7s Ден v2'!p2sp1win*T_p3p2243827859299106[[#This Row],[KO]])
+'3w postflop 9c7s Ден v2'!p2win*T_p2223625839097104[[#This Row],[KO]]
+'3w postflop 9c7s Ден v2'!p1win*T_p1213519828996103[[#This Row],[KO]])*bounty</f>
        <v>0</v>
      </c>
      <c r="AS19" s="68">
        <f>'3w postflop 9c7s Ден v2'!p3win* ('3w postflop 9c7s Ден v2'!p1sp1win*T_p3p1233726849198105[[#This Row],[$stack]] + '3w postflop 9c7s Ден v2'!p2sp1win*T_p3p2243827859299106[[#This Row],[$stack]])
+'3w postflop 9c7s Ден v2'!p2win*T_p2223625839097104[[#This Row],[$stack]]
+'3w postflop 9c7s Ден v2'!p1win*T_p1213519828996103[[#This Row],[$stack]]</f>
        <v>1.4899604399999999</v>
      </c>
      <c r="AT19" s="68">
        <f>'3w postflop 9c7s Ден v2'!p3win* ('3w postflop 9c7s Ден v2'!p1sp1win*T_p3p1233726849198105[[#This Row],[stack]] + '3w postflop 9c7s Ден v2'!p2sp1win*T_p3p2243827859299106[[#This Row],[stack]])
+'3w postflop 9c7s Ден v2'!p2win*T_p2223625839097104[[#This Row],[stack]]
+'3w postflop 9c7s Ден v2'!p1win*T_p1213519828996103[[#This Row],[stack]]</f>
        <v>267.01799999999997</v>
      </c>
      <c r="AU19" s="2">
        <f>T_EV3340308794101108[[#This Row],[chipEV]]-T_fact2939288693100107[[#This Row],[stack]]</f>
        <v>267.01799999999997</v>
      </c>
      <c r="AV19" s="2">
        <f>T_EV3340308794101108[[#This Row],[EV]]-(T_fact2939288693100107[[#This Row],[ICM]]+bounty*T_fact2939288693100107[[#This Row],[KO]])</f>
        <v>1.4899604399999999</v>
      </c>
    </row>
    <row r="20" spans="1:48" x14ac:dyDescent="0.25">
      <c r="A20" s="26">
        <v>1</v>
      </c>
      <c r="B20" s="26">
        <v>570</v>
      </c>
      <c r="C20" t="s">
        <v>116</v>
      </c>
      <c r="D20" s="26">
        <v>60</v>
      </c>
      <c r="F20" s="73">
        <f>COUNTIF(T_p1213519828996103[stack],"&gt;0")</f>
        <v>2</v>
      </c>
      <c r="G20" s="26">
        <f>IF(T_init20344818895102[[#This Row],[p]]=1,mainpot+sidepot1+sidepot2+uncalled,IF(T_init20344818895102[[#This Row],[p]]&gt;1,0,T_init20344818895102[[#This Row],[stack]]-T_init20344818895102[[#This Row],[anteblinds]]))</f>
        <v>1350</v>
      </c>
      <c r="H20">
        <v>0.67500000000000004</v>
      </c>
      <c r="I20" s="27">
        <f>T_p1213519828996103[[#This Row],[EQ]]*prize</f>
        <v>7.5330000000000004</v>
      </c>
      <c r="J20" s="71">
        <f>IF(T_init20344818895102[[#This Row],[p]]=1,T_p1213519828996103[[#This Row],[players]]*T_p1213519828996103[[#This Row],[stack]]/chips+COUNTIF(T_p1213519828996103[stack],0),T_p1213519828996103[[#This Row],[players]]*T_p1213519828996103[[#This Row],[stack]]/chips)</f>
        <v>5.35</v>
      </c>
      <c r="K20" s="71">
        <f>T_p1213519828996103[[#This Row],[ICM]]+bounty*T_p1213519828996103[[#This Row],[KO]]</f>
        <v>7.5330000000000004</v>
      </c>
      <c r="M20" s="29">
        <f>COUNTIF(T_p2223625839097104[stack],"&gt;0")</f>
        <v>3</v>
      </c>
      <c r="N20" s="26">
        <f>IF(T_init20344818895102[[#This Row],[p]]=1,uncalled,IF(T_init20344818895102[[#This Row],[p]]=2,mainpot+sidepot1+sidepot2,IF(T_init20344818895102[[#This Row],[p]]&gt;2,0,T_init20344818895102[[#This Row],[stack]]-T_init20344818895102[[#This Row],[anteblinds]])))</f>
        <v>185</v>
      </c>
      <c r="O20" s="26">
        <v>9.2499999999999999E-2</v>
      </c>
      <c r="P20" s="27">
        <f>T_p2223625839097104[[#This Row],[EQ]]*prize</f>
        <v>1.0323</v>
      </c>
      <c r="Q20" s="71">
        <f>IF(T_init20344818895102[[#This Row],[p]]=2,T_p2223625839097104[[#This Row],[players]]*T_p2223625839097104[[#This Row],[stack]]/chips+COUNTIF(T_p2223625839097104[stack],0),T_p2223625839097104[[#This Row],[players]]*T_p2223625839097104[[#This Row],[stack]]/chips)</f>
        <v>0.27750000000000002</v>
      </c>
      <c r="R20" s="71">
        <f>T_p2223625839097104[[#This Row],[ICM]]+bounty*T_p2223625839097104[[#This Row],[KO]]</f>
        <v>1.0323</v>
      </c>
      <c r="T20" s="73">
        <f>COUNTIF(T_p3p1233726849198105[stack],"&gt;0")</f>
        <v>3</v>
      </c>
      <c r="U20" s="26">
        <f>IF(T_init20344818895102[[#This Row],[p]]=1,sidepot1+uncalled,IF(T_init20344818895102[[#This Row],[p]]=3,mainpot,IF(ISBLANK(T_init20344818895102[[#This Row],[p]]),T_init20344818895102[[#This Row],[stack]]-T_init20344818895102[[#This Row],[anteblinds]],0)))</f>
        <v>185</v>
      </c>
      <c r="V20" s="26">
        <v>9.2499999999999999E-2</v>
      </c>
      <c r="W20" s="27">
        <f>T_p3p1233726849198105[[#This Row],[EQ]]*prize</f>
        <v>1.0323</v>
      </c>
      <c r="X20" s="71">
        <f>IF(T_init20344818895102[[#This Row],[p]]=1,T_p3p1233726849198105[[#This Row],[players]]*T_p3p1233726849198105[[#This Row],[stack]]/chips+COUNTIF(T_p3p1233726849198105[stack],0),T_p3p1233726849198105[[#This Row],[players]]*T_p3p1233726849198105[[#This Row],[stack]]/chips)</f>
        <v>3.2774999999999999</v>
      </c>
      <c r="Y20" s="71">
        <f>T_p3p1233726849198105[[#This Row],[ICM]]+bounty*T_p3p1233726849198105[[#This Row],[KO]]</f>
        <v>1.0323</v>
      </c>
      <c r="AA20" s="73">
        <f>COUNTIF(T_p3p2243827859299106[stack],"&gt;0")</f>
        <v>3</v>
      </c>
      <c r="AB20" s="26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185</v>
      </c>
      <c r="AC20" s="26">
        <v>9.2499999999999999E-2</v>
      </c>
      <c r="AD20" s="27">
        <f>T_p3p2243827859299106[[#This Row],[EQ]]*prize</f>
        <v>1.0323</v>
      </c>
      <c r="AE20" s="71">
        <f>IF(T_init20344818895102[[#This Row],[p]]=2,T_p3p2243827859299106[[#This Row],[players]]*T_p3p2243827859299106[[#This Row],[stack]]/chips+COUNTIF(T_p3p2243827859299106[stack],0),T_p3p2243827859299106[[#This Row],[players]]*T_p3p2243827859299106[[#This Row],[stack]]/chips)</f>
        <v>0.27750000000000002</v>
      </c>
      <c r="AF20" s="16">
        <f>T_p3p2243827859299106[[#This Row],[ICM]]+bounty*T_p3p2243827859299106[[#This Row],[KO]]</f>
        <v>1.0323</v>
      </c>
      <c r="AI20" s="73">
        <v>3</v>
      </c>
      <c r="AJ20" s="26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185</v>
      </c>
      <c r="AK20" s="26">
        <v>9.2499999999999999E-2</v>
      </c>
      <c r="AL20" s="27">
        <f>T_fact2939288693100107[[#This Row],[EQ]]*prize</f>
        <v>1.0323</v>
      </c>
      <c r="AM20" s="71">
        <f>IF(T_init20344818895102[[#This Row],[p]]=1,T_fact2939288693100107[[#This Row],[players]]*T_fact2939288693100107[[#This Row],[stack]]/chips+COUNTIF(T_fact2939288693100107[stack],0),T_fact2939288693100107[[#This Row],[players]]*T_fact2939288693100107[[#This Row],[stack]]/chips)</f>
        <v>3.2774999999999999</v>
      </c>
      <c r="AN20" s="16">
        <f>T_fact2939288693100107[[#This Row],[ICM]]+bounty*T_fact2939288693100107[[#This Row],[KO]]</f>
        <v>1.0323</v>
      </c>
      <c r="AQ20" s="68">
        <f>'3w postflop 9c7s Ден v2'!p3win* ('3w postflop 9c7s Ден v2'!p1sp1win*T_p3p1233726849198105[[#This Row],[ICM]] + '3w postflop 9c7s Ден v2'!p2sp1win*T_p3p2243827859299106[[#This Row],[ICM]])
+'3w postflop 9c7s Ден v2'!p2win*T_p2223625839097104[[#This Row],[ICM]]
+'3w postflop 9c7s Ден v2'!p1win*T_p1213519828996103[[#This Row],[ICM]]</f>
        <v>2.1985255800000001</v>
      </c>
      <c r="AR20" s="72">
        <f>('3w postflop 9c7s Ден v2'!p3win* ('3w postflop 9c7s Ден v2'!p1sp1win*T_p3p1233726849198105[[#This Row],[KO]] + '3w postflop 9c7s Ден v2'!p2sp1win*T_p3p2243827859299106[[#This Row],[KO]])
+'3w postflop 9c7s Ден v2'!p2win*T_p2223625839097104[[#This Row],[KO]]
+'3w postflop 9c7s Ден v2'!p1win*T_p1213519828996103[[#This Row],[KO]])*bounty</f>
        <v>0</v>
      </c>
      <c r="AS20" s="72">
        <f>'3w postflop 9c7s Ден v2'!p3win* ('3w postflop 9c7s Ден v2'!p1sp1win*T_p3p1233726849198105[[#This Row],[$stack]] + '3w postflop 9c7s Ден v2'!p2sp1win*T_p3p2243827859299106[[#This Row],[$stack]])
+'3w postflop 9c7s Ден v2'!p2win*T_p2223625839097104[[#This Row],[$stack]]
+'3w postflop 9c7s Ден v2'!p1win*T_p1213519828996103[[#This Row],[$stack]]</f>
        <v>2.1985255800000001</v>
      </c>
      <c r="AT20" s="72">
        <f>'3w postflop 9c7s Ден v2'!p3win* ('3w postflop 9c7s Ден v2'!p1sp1win*T_p3p1233726849198105[[#This Row],[stack]] + '3w postflop 9c7s Ден v2'!p2sp1win*T_p3p2243827859299106[[#This Row],[stack]])
+'3w postflop 9c7s Ден v2'!p2win*T_p2223625839097104[[#This Row],[stack]]
+'3w postflop 9c7s Ден v2'!p1win*T_p1213519828996103[[#This Row],[stack]]</f>
        <v>394.00099999999998</v>
      </c>
      <c r="AU20" s="2">
        <f>T_EV3340308794101108[[#This Row],[chipEV]]-T_fact2939288693100107[[#This Row],[stack]]</f>
        <v>209.00099999999998</v>
      </c>
      <c r="AV20" s="2">
        <f>T_EV3340308794101108[[#This Row],[EV]]-(T_fact2939288693100107[[#This Row],[ICM]]+bounty*T_fact2939288693100107[[#This Row],[KO]])</f>
        <v>1.1662255800000001</v>
      </c>
    </row>
    <row r="21" spans="1:48" x14ac:dyDescent="0.25">
      <c r="B21">
        <v>0</v>
      </c>
      <c r="F21" s="5">
        <f>COUNTIF(T_p1213519828996103[stack],"&gt;0")</f>
        <v>2</v>
      </c>
      <c r="G21">
        <f>IF(T_init20344818895102[[#This Row],[p]]=1,mainpot+sidepot1+sidepot2+uncalled,IF(T_init20344818895102[[#This Row],[p]]&gt;1,0,T_init20344818895102[[#This Row],[stack]]-T_init20344818895102[[#This Row],[anteblinds]]))</f>
        <v>0</v>
      </c>
      <c r="I21" s="2">
        <f>T_p1213519828996103[[#This Row],[EQ]]*prize</f>
        <v>0</v>
      </c>
      <c r="J21" s="66">
        <f>IF(T_init20344818895102[[#This Row],[p]]=1,T_p1213519828996103[[#This Row],[players]]*T_p1213519828996103[[#This Row],[stack]]/chips+COUNTIF(T_p1213519828996103[stack],0),T_p1213519828996103[[#This Row],[players]]*T_p1213519828996103[[#This Row],[stack]]/chips)</f>
        <v>0</v>
      </c>
      <c r="K21" s="66">
        <f>T_p1213519828996103[[#This Row],[ICM]]+bounty*T_p1213519828996103[[#This Row],[KO]]</f>
        <v>0</v>
      </c>
      <c r="M21" s="10">
        <f>COUNTIF(T_p2223625839097104[stack],"&gt;0")</f>
        <v>3</v>
      </c>
      <c r="N21" s="26">
        <f>IF(T_init20344818895102[[#This Row],[p]]=1,uncalled,IF(T_init20344818895102[[#This Row],[p]]=2,mainpot+sidepot1+sidepot2,IF(T_init20344818895102[[#This Row],[p]]&gt;2,0,T_init20344818895102[[#This Row],[stack]]-T_init20344818895102[[#This Row],[anteblinds]])))</f>
        <v>0</v>
      </c>
      <c r="O21">
        <v>0</v>
      </c>
      <c r="P21" s="2">
        <f>T_p2223625839097104[[#This Row],[EQ]]*prize</f>
        <v>0</v>
      </c>
      <c r="Q21" s="66">
        <f>IF(T_init20344818895102[[#This Row],[p]]=2,T_p2223625839097104[[#This Row],[players]]*T_p2223625839097104[[#This Row],[stack]]/chips+COUNTIF(T_p2223625839097104[stack],0),T_p2223625839097104[[#This Row],[players]]*T_p2223625839097104[[#This Row],[stack]]/chips)</f>
        <v>0</v>
      </c>
      <c r="R21" s="66">
        <f>T_p2223625839097104[[#This Row],[ICM]]+bounty*T_p2223625839097104[[#This Row],[KO]]</f>
        <v>0</v>
      </c>
      <c r="T21" s="5">
        <f>COUNTIF(T_p3p1233726849198105[stack],"&gt;0")</f>
        <v>3</v>
      </c>
      <c r="U21" s="26">
        <f>IF(T_init20344818895102[[#This Row],[p]]=1,sidepot1+uncalled,IF(T_init20344818895102[[#This Row],[p]]=3,mainpot,IF(ISBLANK(T_init20344818895102[[#This Row],[p]]),T_init20344818895102[[#This Row],[stack]]-T_init20344818895102[[#This Row],[anteblinds]],0)))</f>
        <v>0</v>
      </c>
      <c r="V21">
        <v>0</v>
      </c>
      <c r="W21" s="2">
        <f>T_p3p1233726849198105[[#This Row],[EQ]]*prize</f>
        <v>0</v>
      </c>
      <c r="X21" s="66">
        <f>IF(T_init20344818895102[[#This Row],[p]]=1,T_p3p1233726849198105[[#This Row],[players]]*T_p3p1233726849198105[[#This Row],[stack]]/chips+COUNTIF(T_p3p1233726849198105[stack],0),T_p3p1233726849198105[[#This Row],[players]]*T_p3p1233726849198105[[#This Row],[stack]]/chips)</f>
        <v>0</v>
      </c>
      <c r="Y21" s="66">
        <f>T_p3p1233726849198105[[#This Row],[ICM]]+bounty*T_p3p1233726849198105[[#This Row],[KO]]</f>
        <v>0</v>
      </c>
      <c r="AA21" s="5">
        <f>COUNTIF(T_p3p2243827859299106[stack],"&gt;0")</f>
        <v>3</v>
      </c>
      <c r="AB21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0</v>
      </c>
      <c r="AC21">
        <v>0</v>
      </c>
      <c r="AD21" s="2">
        <f>T_p3p2243827859299106[[#This Row],[EQ]]*prize</f>
        <v>0</v>
      </c>
      <c r="AE21" s="66">
        <f>IF(T_init20344818895102[[#This Row],[p]]=2,T_p3p2243827859299106[[#This Row],[players]]*T_p3p2243827859299106[[#This Row],[stack]]/chips+COUNTIF(T_p3p2243827859299106[stack],0),T_p3p2243827859299106[[#This Row],[players]]*T_p3p2243827859299106[[#This Row],[stack]]/chips)</f>
        <v>0</v>
      </c>
      <c r="AF21" s="16">
        <f>T_p3p2243827859299106[[#This Row],[ICM]]+bounty*T_p3p2243827859299106[[#This Row],[KO]]</f>
        <v>0</v>
      </c>
      <c r="AI21" s="73">
        <v>3</v>
      </c>
      <c r="AJ21" s="26">
        <v>0</v>
      </c>
      <c r="AL21" s="2">
        <f>T_fact2939288693100107[[#This Row],[EQ]]*prize</f>
        <v>0</v>
      </c>
      <c r="AM21" s="66">
        <f>IF(T_init20344818895102[[#This Row],[p]]=1,T_fact2939288693100107[[#This Row],[players]]*T_fact2939288693100107[[#This Row],[stack]]/chips+COUNTIF(T_fact2939288693100107[stack],0),T_fact2939288693100107[[#This Row],[players]]*T_fact2939288693100107[[#This Row],[stack]]/chips)</f>
        <v>0</v>
      </c>
      <c r="AN21" s="16">
        <f>T_fact2939288693100107[[#This Row],[ICM]]+bounty*T_fact2939288693100107[[#This Row],[KO]]</f>
        <v>0</v>
      </c>
      <c r="AQ21" s="68">
        <f>'3w postflop 9c7s Ден v2'!p3win* ('3w postflop 9c7s Ден v2'!p1sp1win*T_p3p1233726849198105[[#This Row],[ICM]] + '3w postflop 9c7s Ден v2'!p2sp1win*T_p3p2243827859299106[[#This Row],[ICM]])
+'3w postflop 9c7s Ден v2'!p2win*T_p2223625839097104[[#This Row],[ICM]]
+'3w postflop 9c7s Ден v2'!p1win*T_p1213519828996103[[#This Row],[ICM]]</f>
        <v>0</v>
      </c>
      <c r="AR21" s="68">
        <f>('3w postflop 9c7s Ден v2'!p3win* ('3w postflop 9c7s Ден v2'!p1sp1win*T_p3p1233726849198105[[#This Row],[KO]] + '3w postflop 9c7s Ден v2'!p2sp1win*T_p3p2243827859299106[[#This Row],[KO]])
+'3w postflop 9c7s Ден v2'!p2win*T_p2223625839097104[[#This Row],[KO]]
+'3w postflop 9c7s Ден v2'!p1win*T_p1213519828996103[[#This Row],[KO]])*bounty</f>
        <v>0</v>
      </c>
      <c r="AS21" s="68">
        <f>'3w postflop 9c7s Ден v2'!p3win* ('3w postflop 9c7s Ден v2'!p1sp1win*T_p3p1233726849198105[[#This Row],[$stack]] + '3w postflop 9c7s Ден v2'!p2sp1win*T_p3p2243827859299106[[#This Row],[$stack]])
+'3w postflop 9c7s Ден v2'!p2win*T_p2223625839097104[[#This Row],[$stack]]
+'3w postflop 9c7s Ден v2'!p1win*T_p1213519828996103[[#This Row],[$stack]]</f>
        <v>0</v>
      </c>
      <c r="AT21" s="68">
        <f>'3w postflop 9c7s Ден v2'!p3win* ('3w postflop 9c7s Ден v2'!p1sp1win*T_p3p1233726849198105[[#This Row],[stack]] + '3w postflop 9c7s Ден v2'!p2sp1win*T_p3p2243827859299106[[#This Row],[stack]])
+'3w postflop 9c7s Ден v2'!p2win*T_p2223625839097104[[#This Row],[stack]]
+'3w postflop 9c7s Ден v2'!p1win*T_p1213519828996103[[#This Row],[stack]]</f>
        <v>0</v>
      </c>
      <c r="AU21" s="2">
        <f>T_EV3340308794101108[[#This Row],[chipEV]]-T_fact2939288693100107[[#This Row],[stack]]</f>
        <v>0</v>
      </c>
      <c r="AV21" s="2">
        <f>T_EV3340308794101108[[#This Row],[EV]]-(T_fact2939288693100107[[#This Row],[ICM]]+bounty*T_fact2939288693100107[[#This Row],[KO]])</f>
        <v>0</v>
      </c>
    </row>
    <row r="22" spans="1:48" x14ac:dyDescent="0.25">
      <c r="B22">
        <v>0</v>
      </c>
      <c r="F22" s="5">
        <f>COUNTIF(T_p1213519828996103[stack],"&gt;0")</f>
        <v>2</v>
      </c>
      <c r="G22">
        <f>IF(T_init20344818895102[[#This Row],[p]]=1,mainpot+sidepot1+sidepot2+uncalled,IF(T_init20344818895102[[#This Row],[p]]&gt;1,0,T_init20344818895102[[#This Row],[stack]]-T_init20344818895102[[#This Row],[anteblinds]]))</f>
        <v>0</v>
      </c>
      <c r="I22" s="2">
        <f>T_p1213519828996103[[#This Row],[EQ]]*prize</f>
        <v>0</v>
      </c>
      <c r="J22" s="66">
        <f>IF(T_init20344818895102[[#This Row],[p]]=1,T_p1213519828996103[[#This Row],[players]]*T_p1213519828996103[[#This Row],[stack]]/chips+COUNTIF(T_p1213519828996103[stack],0),T_p1213519828996103[[#This Row],[players]]*T_p1213519828996103[[#This Row],[stack]]/chips)</f>
        <v>0</v>
      </c>
      <c r="K22" s="66">
        <f>T_p1213519828996103[[#This Row],[ICM]]+bounty*T_p1213519828996103[[#This Row],[KO]]</f>
        <v>0</v>
      </c>
      <c r="M22" s="10">
        <f>COUNTIF(T_p2223625839097104[stack],"&gt;0")</f>
        <v>3</v>
      </c>
      <c r="N22" s="26">
        <f>IF(T_init20344818895102[[#This Row],[p]]=1,uncalled,IF(T_init20344818895102[[#This Row],[p]]=2,mainpot+sidepot1+sidepot2,IF(T_init20344818895102[[#This Row],[p]]&gt;2,0,T_init20344818895102[[#This Row],[stack]]-T_init20344818895102[[#This Row],[anteblinds]])))</f>
        <v>0</v>
      </c>
      <c r="P22" s="2">
        <f>T_p2223625839097104[[#This Row],[EQ]]*prize</f>
        <v>0</v>
      </c>
      <c r="Q22" s="66">
        <f>IF(T_init20344818895102[[#This Row],[p]]=2,T_p2223625839097104[[#This Row],[players]]*T_p2223625839097104[[#This Row],[stack]]/chips+COUNTIF(T_p2223625839097104[stack],0),T_p2223625839097104[[#This Row],[players]]*T_p2223625839097104[[#This Row],[stack]]/chips)</f>
        <v>0</v>
      </c>
      <c r="R22" s="66">
        <f>T_p2223625839097104[[#This Row],[ICM]]+bounty*T_p2223625839097104[[#This Row],[KO]]</f>
        <v>0</v>
      </c>
      <c r="T22" s="5">
        <f>COUNTIF(T_p3p1233726849198105[stack],"&gt;0")</f>
        <v>3</v>
      </c>
      <c r="U22" s="26">
        <f>IF(T_init20344818895102[[#This Row],[p]]=1,sidepot1+uncalled,IF(T_init20344818895102[[#This Row],[p]]=3,mainpot,IF(ISBLANK(T_init20344818895102[[#This Row],[p]]),T_init20344818895102[[#This Row],[stack]]-T_init20344818895102[[#This Row],[anteblinds]],0)))</f>
        <v>0</v>
      </c>
      <c r="V22">
        <v>0</v>
      </c>
      <c r="W22" s="2">
        <f>T_p3p1233726849198105[[#This Row],[EQ]]*prize</f>
        <v>0</v>
      </c>
      <c r="X22" s="66">
        <f>IF(T_init20344818895102[[#This Row],[p]]=1,T_p3p1233726849198105[[#This Row],[players]]*T_p3p1233726849198105[[#This Row],[stack]]/chips+COUNTIF(T_p3p1233726849198105[stack],0),T_p3p1233726849198105[[#This Row],[players]]*T_p3p1233726849198105[[#This Row],[stack]]/chips)</f>
        <v>0</v>
      </c>
      <c r="Y22" s="66">
        <f>T_p3p1233726849198105[[#This Row],[ICM]]+bounty*T_p3p1233726849198105[[#This Row],[KO]]</f>
        <v>0</v>
      </c>
      <c r="AA22" s="5">
        <f>COUNTIF(T_p3p2243827859299106[stack],"&gt;0")</f>
        <v>3</v>
      </c>
      <c r="AB22">
        <f>IF(T_init20344818895102[[#This Row],[p]]=1,uncalled,IF(T_init20344818895102[[#This Row],[p]]=2,sidepot1,IF(T_init20344818895102[[#This Row],[p]]=3,mainpot,IF(ISBLANK(T_init20344818895102[[#This Row],[p]]),T_init20344818895102[[#This Row],[stack]]-T_init20344818895102[[#This Row],[anteblinds]],0))))</f>
        <v>0</v>
      </c>
      <c r="AC22">
        <v>0</v>
      </c>
      <c r="AD22" s="2">
        <f>T_p3p2243827859299106[[#This Row],[EQ]]*prize</f>
        <v>0</v>
      </c>
      <c r="AE22" s="66">
        <f>IF(T_init20344818895102[[#This Row],[p]]=2,T_p3p2243827859299106[[#This Row],[players]]*T_p3p2243827859299106[[#This Row],[stack]]/chips+COUNTIF(T_p3p2243827859299106[stack],0),T_p3p2243827859299106[[#This Row],[players]]*T_p3p2243827859299106[[#This Row],[stack]]/chips)</f>
        <v>0</v>
      </c>
      <c r="AF22" s="16">
        <f>T_p3p2243827859299106[[#This Row],[ICM]]+bounty*T_p3p2243827859299106[[#This Row],[KO]]</f>
        <v>0</v>
      </c>
      <c r="AI22" s="73">
        <v>3</v>
      </c>
      <c r="AJ22" s="26">
        <v>0</v>
      </c>
      <c r="AL22" s="2">
        <f>T_fact2939288693100107[[#This Row],[EQ]]*prize</f>
        <v>0</v>
      </c>
      <c r="AM22" s="66">
        <f>IF(T_init20344818895102[[#This Row],[p]]=1,T_fact2939288693100107[[#This Row],[players]]*T_fact2939288693100107[[#This Row],[stack]]/chips+COUNTIF(T_fact2939288693100107[stack],0),T_fact2939288693100107[[#This Row],[players]]*T_fact2939288693100107[[#This Row],[stack]]/chips)</f>
        <v>0</v>
      </c>
      <c r="AN22" s="16">
        <f>T_fact2939288693100107[[#This Row],[ICM]]+bounty*T_fact2939288693100107[[#This Row],[KO]]</f>
        <v>0</v>
      </c>
      <c r="AQ22" s="68">
        <f>'3w postflop 9c7s Ден v2'!p3win* ('3w postflop 9c7s Ден v2'!p1sp1win*T_p3p1233726849198105[[#This Row],[ICM]] + '3w postflop 9c7s Ден v2'!p2sp1win*T_p3p2243827859299106[[#This Row],[ICM]])
+'3w postflop 9c7s Ден v2'!p2win*T_p2223625839097104[[#This Row],[ICM]]
+'3w postflop 9c7s Ден v2'!p1win*T_p1213519828996103[[#This Row],[ICM]]</f>
        <v>0</v>
      </c>
      <c r="AR22" s="68">
        <f>('3w postflop 9c7s Ден v2'!p3win* ('3w postflop 9c7s Ден v2'!p1sp1win*T_p3p1233726849198105[[#This Row],[KO]] + '3w postflop 9c7s Ден v2'!p2sp1win*T_p3p2243827859299106[[#This Row],[KO]])
+'3w postflop 9c7s Ден v2'!p2win*T_p2223625839097104[[#This Row],[KO]]
+'3w postflop 9c7s Ден v2'!p1win*T_p1213519828996103[[#This Row],[KO]])*bounty</f>
        <v>0</v>
      </c>
      <c r="AS22" s="68">
        <f>'3w postflop 9c7s Ден v2'!p3win* ('3w postflop 9c7s Ден v2'!p1sp1win*T_p3p1233726849198105[[#This Row],[$stack]] + '3w postflop 9c7s Ден v2'!p2sp1win*T_p3p2243827859299106[[#This Row],[$stack]])
+'3w postflop 9c7s Ден v2'!p2win*T_p2223625839097104[[#This Row],[$stack]]
+'3w postflop 9c7s Ден v2'!p1win*T_p1213519828996103[[#This Row],[$stack]]</f>
        <v>0</v>
      </c>
      <c r="AT22" s="68">
        <f>'3w postflop 9c7s Ден v2'!p3win* ('3w postflop 9c7s Ден v2'!p1sp1win*T_p3p1233726849198105[[#This Row],[stack]] + '3w postflop 9c7s Ден v2'!p2sp1win*T_p3p2243827859299106[[#This Row],[stack]])
+'3w postflop 9c7s Ден v2'!p2win*T_p2223625839097104[[#This Row],[stack]]
+'3w postflop 9c7s Ден v2'!p1win*T_p1213519828996103[[#This Row],[stack]]</f>
        <v>0</v>
      </c>
      <c r="AU22" s="2">
        <f>T_EV3340308794101108[[#This Row],[chipEV]]-T_fact2939288693100107[[#This Row],[stack]]</f>
        <v>0</v>
      </c>
      <c r="AV22" s="2">
        <f>T_EV3340308794101108[[#This Row],[EV]]-(T_fact2939288693100107[[#This Row],[ICM]]+bounty*T_fact2939288693100107[[#This Row],[KO]])</f>
        <v>0</v>
      </c>
    </row>
    <row r="23" spans="1:48" x14ac:dyDescent="0.25">
      <c r="A23" t="s">
        <v>95</v>
      </c>
      <c r="D23">
        <f>SUBTOTAL(109,T_init20344818895102[anteblinds])</f>
        <v>115</v>
      </c>
      <c r="F23" s="53"/>
      <c r="G23" s="50">
        <f>SUM(T_p1213519828996103[stack])</f>
        <v>2000</v>
      </c>
      <c r="H23" s="50">
        <f>SUM(T_p1213519828996103[EQ])</f>
        <v>1</v>
      </c>
      <c r="I23" s="50">
        <f>SUM(T_p1213519828996103[ICM])</f>
        <v>11.16</v>
      </c>
      <c r="J23" s="50">
        <f>SUM(T_p1213519828996103[KO])</f>
        <v>6</v>
      </c>
      <c r="K23" s="50">
        <f>SUM(T_p1213519828996103[$stack])</f>
        <v>11.16</v>
      </c>
      <c r="M23" s="53"/>
      <c r="N23" s="55">
        <f>SUM(T_p2223625839097104[stack])</f>
        <v>2000</v>
      </c>
      <c r="O23" s="50">
        <f>SUM(T_p2223625839097104[EQ])</f>
        <v>1</v>
      </c>
      <c r="P23" s="51">
        <f>SUM(T_p2223625839097104[ICM])</f>
        <v>11.16</v>
      </c>
      <c r="Q23" s="52">
        <f>SUM(T_p2223625839097104[KO])</f>
        <v>6</v>
      </c>
      <c r="R23" s="50">
        <f>SUM(T_p2223625839097104[$stack])</f>
        <v>11.16</v>
      </c>
      <c r="T23" s="53"/>
      <c r="U23" s="55">
        <f>SUM(T_p3p1233726849198105[stack])</f>
        <v>2000</v>
      </c>
      <c r="V23" s="50">
        <f>SUM(T_p3p1233726849198105[EQ])</f>
        <v>1</v>
      </c>
      <c r="W23" s="51">
        <f>SUM(T_p3p1233726849198105[ICM])</f>
        <v>11.16</v>
      </c>
      <c r="X23" s="52">
        <f>SUM(T_p3p1233726849198105[KO])</f>
        <v>6</v>
      </c>
      <c r="Y23" s="50">
        <f>SUM(T_p3p1233726849198105[$stack])</f>
        <v>11.16</v>
      </c>
      <c r="AA23" s="53"/>
      <c r="AB23" s="55">
        <f>SUM(T_p3p2243827859299106[stack])</f>
        <v>2000</v>
      </c>
      <c r="AC23" s="50">
        <f>SUM(T_p3p2243827859299106[EQ])</f>
        <v>1</v>
      </c>
      <c r="AD23" s="51">
        <f>SUM(T_p3p2243827859299106[ICM])</f>
        <v>11.16</v>
      </c>
      <c r="AE23" s="52">
        <f>SUM(T_p3p2243827859299106[KO])</f>
        <v>6</v>
      </c>
      <c r="AF23" s="50">
        <f>SUM(T_p3p1233726849198105[$stack])</f>
        <v>11.16</v>
      </c>
      <c r="AI23" s="53"/>
      <c r="AJ23" s="55">
        <f>SUM(T_fact2939288693100107[stack])</f>
        <v>2000</v>
      </c>
      <c r="AK23" s="50">
        <f>SUM(T_fact2939288693100107[EQ])</f>
        <v>1</v>
      </c>
      <c r="AL23" s="51">
        <f>SUM(T_fact2939288693100107[ICM])</f>
        <v>11.16</v>
      </c>
      <c r="AM23" s="52">
        <f>SUM(T_fact2939288693100107[KO])</f>
        <v>6</v>
      </c>
      <c r="AN23" s="51">
        <f>SUM(T_fact2939288693100107[$stack])</f>
        <v>11.16</v>
      </c>
      <c r="AQ23" s="52">
        <f>SUM(T_EV3340308794101108[ICM])</f>
        <v>11.160000000000002</v>
      </c>
      <c r="AR23" s="52">
        <f>SUM(T_EV3340308794101108[KO])</f>
        <v>0</v>
      </c>
      <c r="AS23" s="52">
        <f>SUM(T_EV3340308794101108[EV])</f>
        <v>11.160000000000002</v>
      </c>
      <c r="AT23" s="50">
        <f>SUM(T_EV3340308794101108[chipEV])</f>
        <v>2000</v>
      </c>
    </row>
    <row r="25" spans="1:48" ht="18.75" x14ac:dyDescent="0.3">
      <c r="M25" s="79" t="s">
        <v>117</v>
      </c>
    </row>
    <row r="26" spans="1:48" x14ac:dyDescent="0.25">
      <c r="C26" t="s">
        <v>118</v>
      </c>
      <c r="M26" t="s">
        <v>119</v>
      </c>
    </row>
    <row r="27" spans="1:48" x14ac:dyDescent="0.25">
      <c r="C27" t="s">
        <v>120</v>
      </c>
      <c r="M27" t="s">
        <v>121</v>
      </c>
    </row>
    <row r="28" spans="1:48" x14ac:dyDescent="0.25">
      <c r="C28" t="s">
        <v>122</v>
      </c>
      <c r="M28" t="s">
        <v>123</v>
      </c>
    </row>
    <row r="29" spans="1:48" x14ac:dyDescent="0.25">
      <c r="M29" t="s">
        <v>124</v>
      </c>
    </row>
    <row r="30" spans="1:48" x14ac:dyDescent="0.25">
      <c r="M30" t="s">
        <v>125</v>
      </c>
    </row>
    <row r="31" spans="1:48" x14ac:dyDescent="0.25">
      <c r="C31" t="s">
        <v>126</v>
      </c>
      <c r="M31" t="s">
        <v>127</v>
      </c>
    </row>
    <row r="32" spans="1:48" x14ac:dyDescent="0.25">
      <c r="M32" t="s">
        <v>128</v>
      </c>
    </row>
    <row r="33" spans="2:13" x14ac:dyDescent="0.25">
      <c r="B33" t="s">
        <v>129</v>
      </c>
      <c r="M33" t="s">
        <v>130</v>
      </c>
    </row>
    <row r="34" spans="2:13" x14ac:dyDescent="0.25">
      <c r="B34" t="s">
        <v>131</v>
      </c>
      <c r="M34" t="s">
        <v>132</v>
      </c>
    </row>
    <row r="35" spans="2:13" x14ac:dyDescent="0.25">
      <c r="C35" t="s">
        <v>133</v>
      </c>
      <c r="M35" t="s">
        <v>134</v>
      </c>
    </row>
    <row r="36" spans="2:13" x14ac:dyDescent="0.25">
      <c r="D36" t="s">
        <v>135</v>
      </c>
      <c r="M36" t="s">
        <v>136</v>
      </c>
    </row>
    <row r="37" spans="2:13" x14ac:dyDescent="0.25">
      <c r="C37" t="s">
        <v>137</v>
      </c>
      <c r="M37" t="s">
        <v>138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141</v>
      </c>
    </row>
    <row r="40" spans="2:13" x14ac:dyDescent="0.25">
      <c r="D40" t="s">
        <v>142</v>
      </c>
      <c r="M40" t="s">
        <v>143</v>
      </c>
    </row>
    <row r="41" spans="2:13" x14ac:dyDescent="0.25">
      <c r="D41" t="s">
        <v>144</v>
      </c>
      <c r="E41" t="s">
        <v>145</v>
      </c>
      <c r="M41" t="s">
        <v>146</v>
      </c>
    </row>
    <row r="42" spans="2:13" x14ac:dyDescent="0.25">
      <c r="F42" t="s">
        <v>147</v>
      </c>
      <c r="M42" t="s">
        <v>148</v>
      </c>
    </row>
    <row r="43" spans="2:13" x14ac:dyDescent="0.25">
      <c r="E43" t="s">
        <v>149</v>
      </c>
      <c r="M43" t="s">
        <v>150</v>
      </c>
    </row>
    <row r="44" spans="2:13" x14ac:dyDescent="0.25">
      <c r="F44" t="s">
        <v>151</v>
      </c>
      <c r="M44" t="s">
        <v>152</v>
      </c>
    </row>
    <row r="45" spans="2:13" x14ac:dyDescent="0.25">
      <c r="M45" t="s">
        <v>153</v>
      </c>
    </row>
    <row r="46" spans="2:13" x14ac:dyDescent="0.25">
      <c r="C46" t="s">
        <v>154</v>
      </c>
      <c r="M46" t="s">
        <v>155</v>
      </c>
    </row>
    <row r="47" spans="2:13" x14ac:dyDescent="0.25">
      <c r="D47" t="s">
        <v>156</v>
      </c>
      <c r="M47" t="s">
        <v>157</v>
      </c>
    </row>
    <row r="48" spans="2:13" x14ac:dyDescent="0.25">
      <c r="D48" t="s">
        <v>158</v>
      </c>
      <c r="E48" t="s">
        <v>145</v>
      </c>
      <c r="M48" t="s">
        <v>159</v>
      </c>
    </row>
    <row r="49" spans="5:13" x14ac:dyDescent="0.25">
      <c r="F49" t="s">
        <v>160</v>
      </c>
      <c r="M49" t="s">
        <v>161</v>
      </c>
    </row>
    <row r="50" spans="5:13" x14ac:dyDescent="0.25">
      <c r="E50" t="s">
        <v>149</v>
      </c>
      <c r="M50" t="s">
        <v>162</v>
      </c>
    </row>
    <row r="51" spans="5:13" x14ac:dyDescent="0.25">
      <c r="F51" t="s">
        <v>163</v>
      </c>
      <c r="M51" t="s">
        <v>164</v>
      </c>
    </row>
    <row r="52" spans="5:13" x14ac:dyDescent="0.25">
      <c r="E52" t="s">
        <v>165</v>
      </c>
      <c r="M52" t="s">
        <v>166</v>
      </c>
    </row>
    <row r="53" spans="5:13" x14ac:dyDescent="0.25">
      <c r="F53" t="s">
        <v>167</v>
      </c>
      <c r="M53" t="s">
        <v>168</v>
      </c>
    </row>
    <row r="54" spans="5:13" x14ac:dyDescent="0.25">
      <c r="F54" t="s">
        <v>144</v>
      </c>
      <c r="M54" t="s">
        <v>169</v>
      </c>
    </row>
    <row r="55" spans="5:13" x14ac:dyDescent="0.25">
      <c r="G55" t="s">
        <v>145</v>
      </c>
      <c r="M55" t="s">
        <v>170</v>
      </c>
    </row>
    <row r="56" spans="5:13" x14ac:dyDescent="0.25">
      <c r="H56" t="s">
        <v>147</v>
      </c>
      <c r="M56" t="s">
        <v>171</v>
      </c>
    </row>
    <row r="57" spans="5:13" x14ac:dyDescent="0.25">
      <c r="G57" t="s">
        <v>149</v>
      </c>
      <c r="M57" t="s">
        <v>172</v>
      </c>
    </row>
    <row r="58" spans="5:13" x14ac:dyDescent="0.25">
      <c r="H58" t="s">
        <v>151</v>
      </c>
      <c r="M58" t="s">
        <v>173</v>
      </c>
    </row>
    <row r="59" spans="5:13" x14ac:dyDescent="0.25">
      <c r="M59" t="s">
        <v>174</v>
      </c>
    </row>
    <row r="60" spans="5:13" x14ac:dyDescent="0.25">
      <c r="M60" t="s">
        <v>175</v>
      </c>
    </row>
    <row r="61" spans="5:13" x14ac:dyDescent="0.25">
      <c r="M61" t="s">
        <v>176</v>
      </c>
    </row>
    <row r="62" spans="5:13" x14ac:dyDescent="0.25">
      <c r="M62" t="s">
        <v>177</v>
      </c>
    </row>
    <row r="63" spans="5:13" x14ac:dyDescent="0.25">
      <c r="M63" t="s">
        <v>178</v>
      </c>
    </row>
    <row r="64" spans="5:13" x14ac:dyDescent="0.25">
      <c r="M64" t="s">
        <v>179</v>
      </c>
    </row>
    <row r="66" spans="13:13" x14ac:dyDescent="0.25">
      <c r="M66" t="s">
        <v>521</v>
      </c>
    </row>
    <row r="67" spans="13:13" x14ac:dyDescent="0.25">
      <c r="M67" t="s">
        <v>513</v>
      </c>
    </row>
    <row r="68" spans="13:13" x14ac:dyDescent="0.25">
      <c r="M68" t="s">
        <v>522</v>
      </c>
    </row>
    <row r="69" spans="13:13" x14ac:dyDescent="0.25">
      <c r="M69" t="s">
        <v>523</v>
      </c>
    </row>
    <row r="70" spans="13:13" x14ac:dyDescent="0.25">
      <c r="M70" t="s">
        <v>524</v>
      </c>
    </row>
    <row r="71" spans="13:13" x14ac:dyDescent="0.25">
      <c r="M71" t="s">
        <v>525</v>
      </c>
    </row>
    <row r="72" spans="13:13" x14ac:dyDescent="0.25">
      <c r="M72" t="s">
        <v>526</v>
      </c>
    </row>
    <row r="73" spans="13:13" x14ac:dyDescent="0.25">
      <c r="M73" t="s">
        <v>519</v>
      </c>
    </row>
    <row r="74" spans="13:13" x14ac:dyDescent="0.25">
      <c r="M74" t="s">
        <v>520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0"/>
  <sheetViews>
    <sheetView workbookViewId="0">
      <selection activeCell="AV16" sqref="AV16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5" max="35" width="10" customWidth="1"/>
    <col min="39" max="39" width="10.5703125" customWidth="1"/>
    <col min="46" max="46" width="9.140625" customWidth="1"/>
  </cols>
  <sheetData>
    <row r="1" spans="1:48" x14ac:dyDescent="0.25">
      <c r="C1" t="s">
        <v>0</v>
      </c>
      <c r="D1">
        <f>bounty*6</f>
        <v>0</v>
      </c>
      <c r="F1" t="s">
        <v>71</v>
      </c>
      <c r="G1">
        <v>0.625</v>
      </c>
      <c r="I1" t="s">
        <v>72</v>
      </c>
      <c r="J1">
        <v>0.79800000000000004</v>
      </c>
      <c r="O1" s="75"/>
      <c r="S1" t="s">
        <v>73</v>
      </c>
      <c r="T1">
        <v>248</v>
      </c>
    </row>
    <row r="2" spans="1:48" x14ac:dyDescent="0.25">
      <c r="C2" t="s">
        <v>1</v>
      </c>
      <c r="D2">
        <f>bounty</f>
        <v>0</v>
      </c>
      <c r="F2" t="s">
        <v>74</v>
      </c>
      <c r="G2">
        <v>0.16420000000000001</v>
      </c>
      <c r="I2" t="s">
        <v>75</v>
      </c>
      <c r="J2">
        <v>0.20200000000000001</v>
      </c>
      <c r="S2" t="s">
        <v>76</v>
      </c>
      <c r="T2">
        <v>844</v>
      </c>
    </row>
    <row r="3" spans="1:48" x14ac:dyDescent="0.25">
      <c r="C3" t="s">
        <v>77</v>
      </c>
      <c r="D3">
        <v>3000</v>
      </c>
      <c r="F3" t="s">
        <v>78</v>
      </c>
      <c r="G3">
        <v>0.21079999999999999</v>
      </c>
      <c r="S3" t="s">
        <v>79</v>
      </c>
      <c r="T3">
        <v>0</v>
      </c>
    </row>
    <row r="4" spans="1:48" x14ac:dyDescent="0.25">
      <c r="F4" t="s">
        <v>80</v>
      </c>
      <c r="G4">
        <v>0</v>
      </c>
      <c r="S4" t="s">
        <v>81</v>
      </c>
      <c r="T4">
        <v>498</v>
      </c>
    </row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10" spans="1:48" ht="18.75" x14ac:dyDescent="0.3">
      <c r="F10" s="84"/>
      <c r="G10" s="84"/>
      <c r="H10" s="84"/>
      <c r="I10" s="84"/>
      <c r="J10" s="84"/>
      <c r="K10" s="84"/>
    </row>
    <row r="11" spans="1:48" ht="19.5" thickBot="1" x14ac:dyDescent="0.35">
      <c r="F11" s="84"/>
      <c r="G11" s="84"/>
      <c r="H11" s="84"/>
      <c r="I11" s="84"/>
      <c r="J11" s="84"/>
      <c r="K11" s="84"/>
      <c r="V11" t="s">
        <v>92</v>
      </c>
      <c r="AC11" t="s">
        <v>93</v>
      </c>
    </row>
    <row r="12" spans="1:48" ht="20.25" thickTop="1" thickBot="1" x14ac:dyDescent="0.35">
      <c r="F12" s="84"/>
      <c r="G12" s="84"/>
      <c r="H12" s="84"/>
      <c r="I12" s="84"/>
      <c r="J12" s="84"/>
      <c r="K12" s="84"/>
      <c r="T12" s="132" t="s">
        <v>94</v>
      </c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41"/>
      <c r="AQ12" s="132" t="s">
        <v>95</v>
      </c>
      <c r="AR12" s="133"/>
      <c r="AS12" s="133"/>
      <c r="AT12" s="133"/>
    </row>
    <row r="13" spans="1:48" ht="20.25" thickTop="1" thickBot="1" x14ac:dyDescent="0.35">
      <c r="F13" s="84"/>
      <c r="G13" s="84"/>
      <c r="H13" s="84" t="s">
        <v>96</v>
      </c>
      <c r="I13" s="84"/>
      <c r="J13" s="84"/>
      <c r="K13" s="84"/>
      <c r="O13" t="s">
        <v>97</v>
      </c>
      <c r="T13" s="132" t="s">
        <v>98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K13" t="s">
        <v>99</v>
      </c>
      <c r="AQ13" s="132"/>
      <c r="AR13" s="133"/>
      <c r="AS13" s="133"/>
      <c r="AT13" s="133"/>
    </row>
    <row r="14" spans="1:48" ht="19.5" thickTop="1" x14ac:dyDescent="0.3">
      <c r="F14" s="134" t="s">
        <v>100</v>
      </c>
      <c r="G14" s="135"/>
      <c r="H14" s="135"/>
      <c r="I14" s="135"/>
      <c r="J14" s="136"/>
      <c r="K14" s="84"/>
      <c r="M14" s="134" t="s">
        <v>101</v>
      </c>
      <c r="N14" s="135"/>
      <c r="O14" s="135"/>
      <c r="P14" s="135"/>
      <c r="Q14" s="136"/>
      <c r="R14" s="84"/>
      <c r="T14" s="118" t="s">
        <v>102</v>
      </c>
      <c r="U14" s="119"/>
      <c r="V14" s="119"/>
      <c r="W14" s="119"/>
      <c r="X14" s="120"/>
      <c r="Y14" s="84"/>
      <c r="AA14" s="118" t="s">
        <v>103</v>
      </c>
      <c r="AB14" s="119"/>
      <c r="AC14" s="119"/>
      <c r="AD14" s="119"/>
      <c r="AE14" s="120"/>
      <c r="AI14" s="121" t="s">
        <v>10</v>
      </c>
      <c r="AJ14" s="122"/>
      <c r="AK14" s="122"/>
      <c r="AL14" s="122"/>
      <c r="AM14" s="123"/>
      <c r="AQ14" s="124" t="s">
        <v>104</v>
      </c>
      <c r="AR14" s="125"/>
      <c r="AS14" s="125"/>
      <c r="AT14" s="126"/>
    </row>
    <row r="15" spans="1:48" x14ac:dyDescent="0.25">
      <c r="A15" t="s">
        <v>105</v>
      </c>
      <c r="B15" t="s">
        <v>12</v>
      </c>
      <c r="C15" t="s">
        <v>13</v>
      </c>
      <c r="D15" t="s">
        <v>14</v>
      </c>
      <c r="F15" s="5" t="s">
        <v>107</v>
      </c>
      <c r="G15" t="s">
        <v>12</v>
      </c>
      <c r="H15" t="s">
        <v>108</v>
      </c>
      <c r="I15" t="s">
        <v>109</v>
      </c>
      <c r="J15" s="5" t="s">
        <v>1</v>
      </c>
      <c r="K15" s="5" t="s">
        <v>110</v>
      </c>
      <c r="M15" s="5" t="s">
        <v>107</v>
      </c>
      <c r="N15" s="5" t="s">
        <v>12</v>
      </c>
      <c r="O15" s="5" t="s">
        <v>108</v>
      </c>
      <c r="P15" s="5" t="s">
        <v>109</v>
      </c>
      <c r="Q15" s="5" t="s">
        <v>1</v>
      </c>
      <c r="R15" s="5" t="s">
        <v>110</v>
      </c>
      <c r="T15" s="5" t="s">
        <v>107</v>
      </c>
      <c r="U15" s="5" t="s">
        <v>12</v>
      </c>
      <c r="V15" s="5" t="s">
        <v>108</v>
      </c>
      <c r="W15" s="5" t="s">
        <v>109</v>
      </c>
      <c r="X15" s="5" t="s">
        <v>1</v>
      </c>
      <c r="Y15" s="5" t="s">
        <v>110</v>
      </c>
      <c r="AA15" s="5" t="s">
        <v>107</v>
      </c>
      <c r="AB15" s="5" t="s">
        <v>12</v>
      </c>
      <c r="AC15" s="5" t="s">
        <v>108</v>
      </c>
      <c r="AD15" s="5" t="s">
        <v>109</v>
      </c>
      <c r="AE15" s="5" t="s">
        <v>1</v>
      </c>
      <c r="AF15" t="s">
        <v>110</v>
      </c>
      <c r="AI15" s="5" t="s">
        <v>107</v>
      </c>
      <c r="AJ15" s="5" t="s">
        <v>12</v>
      </c>
      <c r="AK15" s="5" t="s">
        <v>108</v>
      </c>
      <c r="AL15" s="5" t="s">
        <v>109</v>
      </c>
      <c r="AM15" s="5" t="s">
        <v>1</v>
      </c>
      <c r="AN15" t="s">
        <v>110</v>
      </c>
      <c r="AQ15" s="5" t="s">
        <v>109</v>
      </c>
      <c r="AR15" s="5" t="s">
        <v>1</v>
      </c>
      <c r="AS15" s="5" t="s">
        <v>104</v>
      </c>
      <c r="AT15" s="5" t="s">
        <v>111</v>
      </c>
      <c r="AU15" t="s">
        <v>112</v>
      </c>
      <c r="AV15" t="s">
        <v>113</v>
      </c>
    </row>
    <row r="16" spans="1:48" x14ac:dyDescent="0.25">
      <c r="A16" s="26">
        <v>2</v>
      </c>
      <c r="B16" s="26">
        <v>494</v>
      </c>
      <c r="C16" s="26" t="s">
        <v>444</v>
      </c>
      <c r="D16" s="26"/>
      <c r="F16" s="73">
        <f>COUNTIF(T_p12135[stack],"&gt;0")</f>
        <v>4</v>
      </c>
      <c r="G16" s="26">
        <f>IF(T_init2034[[#This Row],[p]]=1,mainpot+sidepot1+sidepot2+uncalled,IF(T_init2034[[#This Row],[p]]&gt;1,0,T_init2034[[#This Row],[stack]]))</f>
        <v>0</v>
      </c>
      <c r="H16" s="26"/>
      <c r="I16" s="27">
        <f>T_p12135[[#This Row],[EQ]]*prize</f>
        <v>0</v>
      </c>
      <c r="J16" s="71">
        <f>IF(T_init2034[[#This Row],[p]]=1,T_p12135[[#This Row],[players]]*T_p12135[[#This Row],[stack]]/chips+COUNTIF(T_p12135[stack],0),T_p12135[[#This Row],[players]]*T_p12135[[#This Row],[stack]]/chips)</f>
        <v>0</v>
      </c>
      <c r="K16" s="71">
        <f>T_p12135[[#This Row],[ICM]]+bounty*T_p12135[[#This Row],[KO]]</f>
        <v>0</v>
      </c>
      <c r="M16" s="29">
        <f>COUNTIF(T_p22236[stack],"&gt;0")</f>
        <v>5</v>
      </c>
      <c r="N16" s="26">
        <f>IF(T_init2034[[#This Row],[p]]=1,uncalled,IF(T_init2034[[#This Row],[p]]=2,mainpot+sidepot1+sidepot2,IF(T_init2034[[#This Row],[p]]&gt;2,0,T_init2034[[#This Row],[stack]])))</f>
        <v>1092</v>
      </c>
      <c r="O16" s="26">
        <v>0.31969999999999998</v>
      </c>
      <c r="P16" s="27">
        <f>T_p22236[[#This Row],[EQ]]*prize</f>
        <v>0</v>
      </c>
      <c r="Q16" s="71">
        <f>IF(T_init2034[[#This Row],[p]]=2,T_p22236[[#This Row],[players]]*T_p22236[[#This Row],[stack]]/chips+COUNTIF(T_p22236[stack],0),T_p22236[[#This Row],[players]]*T_p22236[[#This Row],[stack]]/chips)</f>
        <v>2.8200000000000003</v>
      </c>
      <c r="R16" s="71">
        <f>T_p22236[[#This Row],[ICM]]+bounty*T_p22236[[#This Row],[KO]]</f>
        <v>0</v>
      </c>
      <c r="T16" s="73">
        <f>COUNTIF(T_p3p12337[stack],"&gt;0")</f>
        <v>5</v>
      </c>
      <c r="U16" s="26">
        <f>IF(T_init2034[[#This Row],[p]]=1,sidepot1+uncalled,IF(T_init2034[[#This Row],[p]]=3,mainpot,IF(ISBLANK(T_init2034[[#This Row],[p]]),T_init2034[[#This Row],[stack]],0)))</f>
        <v>0</v>
      </c>
      <c r="V16" s="26">
        <v>0</v>
      </c>
      <c r="W16" s="27">
        <f>T_p3p12337[[#This Row],[EQ]]*prize</f>
        <v>0</v>
      </c>
      <c r="X16" s="71">
        <f>IF(T_init2034[[#This Row],[p]]=1,T_p3p12337[[#This Row],[players]]*T_p3p12337[[#This Row],[stack]]/chips+COUNTIF(T_p3p12337[stack],0),T_p3p12337[[#This Row],[players]]*T_p3p12337[[#This Row],[stack]]/chips)</f>
        <v>0</v>
      </c>
      <c r="Y16" s="71">
        <f>T_p3p12337[[#This Row],[ICM]]+bounty*T_p3p12337[[#This Row],[KO]]</f>
        <v>0</v>
      </c>
      <c r="AA16" s="73">
        <f>COUNTIF(T_p3p22438[stack],"&gt;0")</f>
        <v>6</v>
      </c>
      <c r="AB16" s="26">
        <f>IF(T_init2034[[#This Row],[p]]=1,uncalled,IF(T_init2034[[#This Row],[p]]=2,sidepot1,IF(T_init2034[[#This Row],[p]]=3,mainpot,IF(ISBLANK(T_init2034[[#This Row],[p]]),T_init2034[[#This Row],[stack]],0))))</f>
        <v>844</v>
      </c>
      <c r="AC16" s="26">
        <v>0.25979999999999998</v>
      </c>
      <c r="AD16" s="27">
        <f>T_p3p22438[[#This Row],[EQ]]*prize</f>
        <v>0</v>
      </c>
      <c r="AE16" s="71">
        <f>IF(T_init2034[[#This Row],[p]]=2,T_p3p22438[[#This Row],[players]]*T_p3p22438[[#This Row],[stack]]/chips+COUNTIF(T_p3p22438[stack],0),T_p3p22438[[#This Row],[players]]*T_p3p22438[[#This Row],[stack]]/chips)</f>
        <v>1.6879999999999999</v>
      </c>
      <c r="AF16" s="71">
        <f>T_p3p22438[[#This Row],[ICM]]+bounty*T_p3p22438[[#This Row],[KO]]</f>
        <v>0</v>
      </c>
      <c r="AI16" s="73">
        <f>COUNTIF(T_fact2939[stack],"&gt;0")</f>
        <v>6</v>
      </c>
      <c r="AJ16" s="26">
        <v>968</v>
      </c>
      <c r="AK16" s="26">
        <v>0.29039999999999999</v>
      </c>
      <c r="AL16" s="27">
        <f>T_fact2939[[#This Row],[EQ]]*prize</f>
        <v>0</v>
      </c>
      <c r="AM16" s="71">
        <f>IF(T_init2034[[#This Row],[p]]=1,T_fact2939[[#This Row],[players]]*T_fact2939[[#This Row],[stack]]/chips+COUNTIF(T_fact2939[stack],0),T_fact2939[[#This Row],[players]]*T_fact2939[[#This Row],[stack]]/chips)</f>
        <v>1.9359999999999999</v>
      </c>
      <c r="AN16" s="71">
        <f>T_fact2939[[#This Row],[ICM]]+bounty*T_fact2939[[#This Row],[KO]]</f>
        <v>0</v>
      </c>
      <c r="AQ16" s="72">
        <f>'3wKhQs'!p3win* ('3wKhQs'!p1sp1win*T_p3p12337[[#This Row],[ICM]] + '3wKhQs'!p2sp1win*T_p3p22438[[#This Row],[ICM]])
+'3wKhQs'!p2win*T_p22236[[#This Row],[ICM]]
+'3wKhQs'!p1win*T_p12135[[#This Row],[ICM]]</f>
        <v>0</v>
      </c>
      <c r="AR16" s="33">
        <f>('3wKhQs'!p3win* ('3wKhQs'!p1sp1win*T_p3p12337[[#This Row],[KO]] + '3wKhQs'!p2sp1win*T_p3p22438[[#This Row],[KO]])
+'3wKhQs'!p2win*T_p22236[[#This Row],[KO]]
+'3wKhQs'!p1win*T_p12135[[#This Row],[KO]])*bounty</f>
        <v>0</v>
      </c>
      <c r="AS16" s="72">
        <f>'3wKhQs'!p3win* ('3wKhQs'!p1sp1win*T_p3p12337[[#This Row],[$stack]] + '3wKhQs'!p2sp1win*T_p3p22438[[#This Row],[$stack]])
+'3wKhQs'!p2win*T_p22236[[#This Row],[$stack]]
+'3wKhQs'!p1win*T_p12135[[#This Row],[$stack]]</f>
        <v>0</v>
      </c>
      <c r="AT16" s="33">
        <f>'3wKhQs'!p3win* ('3wKhQs'!p1sp1win*T_p3p12337[[#This Row],[stack]] + '3wKhQs'!p2sp1win*T_p3p22438[[#This Row],[stack]])
+'3wKhQs'!p2win*T_p22236[[#This Row],[stack]]
+'3wKhQs'!p1win*T_p12135[[#This Row],[stack]]</f>
        <v>215.24527040000004</v>
      </c>
      <c r="AU16" s="2">
        <f>T_EV3340[[#This Row],[chipEV]]-T_fact2939[[#This Row],[stack]]</f>
        <v>-752.75472960000002</v>
      </c>
      <c r="AV16" s="2">
        <f>T_EV3340[[#This Row],[EV]]-(T_fact2939[[#This Row],[ICM]]+bounty*T_fact2939[[#This Row],[KO]])</f>
        <v>0</v>
      </c>
    </row>
    <row r="17" spans="1:48" x14ac:dyDescent="0.25">
      <c r="B17">
        <v>494</v>
      </c>
      <c r="F17" s="5">
        <f>COUNTIF(T_p12135[stack],"&gt;0")</f>
        <v>4</v>
      </c>
      <c r="G17">
        <f>IF(T_init2034[[#This Row],[p]]=1,mainpot+sidepot1+sidepot2+uncalled,IF(T_init2034[[#This Row],[p]]&gt;1,0,T_init2034[[#This Row],[stack]]))</f>
        <v>494</v>
      </c>
      <c r="H17">
        <v>0.2049</v>
      </c>
      <c r="I17" s="2">
        <f>T_p12135[[#This Row],[EQ]]*prize</f>
        <v>0</v>
      </c>
      <c r="J17" s="66">
        <f>IF(T_init2034[[#This Row],[p]]=1,T_p12135[[#This Row],[players]]*T_p12135[[#This Row],[stack]]/chips+COUNTIF(T_p12135[stack],0),T_p12135[[#This Row],[players]]*T_p12135[[#This Row],[stack]]/chips)</f>
        <v>0.65866666666666662</v>
      </c>
      <c r="K17" s="66">
        <f>T_p12135[[#This Row],[ICM]]+bounty*T_p12135[[#This Row],[KO]]</f>
        <v>0</v>
      </c>
      <c r="M17" s="10">
        <f>COUNTIF(T_p22236[stack],"&gt;0")</f>
        <v>5</v>
      </c>
      <c r="N17" s="26">
        <f>IF(T_init2034[[#This Row],[p]]=1,uncalled,IF(T_init2034[[#This Row],[p]]=2,mainpot+sidepot1+sidepot2,IF(T_init2034[[#This Row],[p]]&gt;2,0,T_init2034[[#This Row],[stack]])))</f>
        <v>494</v>
      </c>
      <c r="O17">
        <v>0.17549999999999999</v>
      </c>
      <c r="P17" s="2">
        <f>T_p22236[[#This Row],[EQ]]*prize</f>
        <v>0</v>
      </c>
      <c r="Q17" s="66">
        <f>IF(T_init2034[[#This Row],[p]]=2,T_p22236[[#This Row],[players]]*T_p22236[[#This Row],[stack]]/chips+COUNTIF(T_p22236[stack],0),T_p22236[[#This Row],[players]]*T_p22236[[#This Row],[stack]]/chips)</f>
        <v>0.82333333333333336</v>
      </c>
      <c r="R17" s="66">
        <f>T_p22236[[#This Row],[ICM]]+bounty*T_p22236[[#This Row],[KO]]</f>
        <v>0</v>
      </c>
      <c r="T17" s="5">
        <f>COUNTIF(T_p3p12337[stack],"&gt;0")</f>
        <v>5</v>
      </c>
      <c r="U17" s="26">
        <f>IF(T_init2034[[#This Row],[p]]=1,sidepot1+uncalled,IF(T_init2034[[#This Row],[p]]=3,mainpot,IF(ISBLANK(T_init2034[[#This Row],[p]]),T_init2034[[#This Row],[stack]],0)))</f>
        <v>494</v>
      </c>
      <c r="V17">
        <v>0.18609999999999999</v>
      </c>
      <c r="W17" s="2">
        <f>T_p3p12337[[#This Row],[EQ]]*prize</f>
        <v>0</v>
      </c>
      <c r="X17" s="66">
        <f>IF(T_init2034[[#This Row],[p]]=1,T_p3p12337[[#This Row],[players]]*T_p3p12337[[#This Row],[stack]]/chips+COUNTIF(T_p3p12337[stack],0),T_p3p12337[[#This Row],[players]]*T_p3p12337[[#This Row],[stack]]/chips)</f>
        <v>0.82333333333333336</v>
      </c>
      <c r="Y17" s="66">
        <f>T_p3p12337[[#This Row],[ICM]]+bounty*T_p3p12337[[#This Row],[KO]]</f>
        <v>0</v>
      </c>
      <c r="AA17" s="5">
        <f>COUNTIF(T_p3p22438[stack],"&gt;0")</f>
        <v>6</v>
      </c>
      <c r="AB17">
        <f>IF(T_init2034[[#This Row],[p]]=1,uncalled,IF(T_init2034[[#This Row],[p]]=2,sidepot1,IF(T_init2034[[#This Row],[p]]=3,mainpot,IF(ISBLANK(T_init2034[[#This Row],[p]]),T_init2034[[#This Row],[stack]],0))))</f>
        <v>494</v>
      </c>
      <c r="AC17">
        <v>0.16800000000000001</v>
      </c>
      <c r="AD17" s="2">
        <f>T_p3p22438[[#This Row],[EQ]]*prize</f>
        <v>0</v>
      </c>
      <c r="AE17" s="66">
        <f>IF(T_init2034[[#This Row],[p]]=2,T_p3p22438[[#This Row],[players]]*T_p3p22438[[#This Row],[stack]]/chips+COUNTIF(T_p3p22438[stack],0),T_p3p22438[[#This Row],[players]]*T_p3p22438[[#This Row],[stack]]/chips)</f>
        <v>0.98799999999999999</v>
      </c>
      <c r="AF17" s="16">
        <f>T_p3p22438[[#This Row],[ICM]]+bounty*T_p3p22438[[#This Row],[KO]]</f>
        <v>0</v>
      </c>
      <c r="AI17" s="73">
        <f>COUNTIF(T_fact2939[stack],"&gt;0")</f>
        <v>6</v>
      </c>
      <c r="AJ17" s="26">
        <v>494</v>
      </c>
      <c r="AK17">
        <v>0.17119999999999999</v>
      </c>
      <c r="AL17" s="2">
        <f>T_fact2939[[#This Row],[EQ]]*prize</f>
        <v>0</v>
      </c>
      <c r="AM17" s="66">
        <f>IF(T_init2034[[#This Row],[p]]=1,T_fact2939[[#This Row],[players]]*T_fact2939[[#This Row],[stack]]/chips+COUNTIF(T_fact2939[stack],0),T_fact2939[[#This Row],[players]]*T_fact2939[[#This Row],[stack]]/chips)</f>
        <v>0.98799999999999999</v>
      </c>
      <c r="AN17" s="16">
        <f>T_fact2939[[#This Row],[ICM]]+bounty*T_fact2939[[#This Row],[KO]]</f>
        <v>0</v>
      </c>
      <c r="AQ17" s="68">
        <f>'3wKhQs'!p3win* ('3wKhQs'!p1sp1win*T_p3p12337[[#This Row],[ICM]] + '3wKhQs'!p2sp1win*T_p3p22438[[#This Row],[ICM]])
+'3wKhQs'!p2win*T_p22236[[#This Row],[ICM]]
+'3wKhQs'!p1win*T_p12135[[#This Row],[ICM]]</f>
        <v>0</v>
      </c>
      <c r="AR17" s="68">
        <f>('3wKhQs'!p3win* ('3wKhQs'!p1sp1win*T_p3p12337[[#This Row],[KO]] + '3wKhQs'!p2sp1win*T_p3p22438[[#This Row],[KO]])
+'3wKhQs'!p2win*T_p22236[[#This Row],[KO]]
+'3wKhQs'!p1win*T_p12135[[#This Row],[KO]])*bounty</f>
        <v>0</v>
      </c>
      <c r="AS17" s="68">
        <f>'3wKhQs'!p3win* ('3wKhQs'!p1sp1win*T_p3p12337[[#This Row],[$stack]] + '3wKhQs'!p2sp1win*T_p3p22438[[#This Row],[$stack]])
+'3wKhQs'!p2win*T_p22236[[#This Row],[$stack]]
+'3wKhQs'!p1win*T_p12135[[#This Row],[$stack]]</f>
        <v>0</v>
      </c>
      <c r="AT17" s="68">
        <f>'3wKhQs'!p3win* ('3wKhQs'!p1sp1win*T_p3p12337[[#This Row],[stack]] + '3wKhQs'!p2sp1win*T_p3p22438[[#This Row],[stack]])
+'3wKhQs'!p2win*T_p22236[[#This Row],[stack]]
+'3wKhQs'!p1win*T_p12135[[#This Row],[stack]]</f>
        <v>494</v>
      </c>
      <c r="AU17" s="2">
        <f>T_EV3340[[#This Row],[chipEV]]-T_fact2939[[#This Row],[stack]]</f>
        <v>0</v>
      </c>
      <c r="AV17" s="2">
        <f>T_EV3340[[#This Row],[EV]]-(T_fact2939[[#This Row],[ICM]]+bounty*T_fact2939[[#This Row],[KO]])</f>
        <v>0</v>
      </c>
    </row>
    <row r="18" spans="1:48" x14ac:dyDescent="0.25">
      <c r="A18">
        <v>1</v>
      </c>
      <c r="B18">
        <v>992</v>
      </c>
      <c r="C18" t="s">
        <v>445</v>
      </c>
      <c r="F18" s="5">
        <f>COUNTIF(T_p12135[stack],"&gt;0")</f>
        <v>4</v>
      </c>
      <c r="G18">
        <f>IF(T_init2034[[#This Row],[p]]=1,mainpot+sidepot1+sidepot2+uncalled,IF(T_init2034[[#This Row],[p]]&gt;1,0,T_init2034[[#This Row],[stack]]))</f>
        <v>1590</v>
      </c>
      <c r="H18">
        <v>0.4128</v>
      </c>
      <c r="I18" s="2">
        <f>T_p12135[[#This Row],[EQ]]*prize</f>
        <v>0</v>
      </c>
      <c r="J18" s="66">
        <f>IF(T_init2034[[#This Row],[p]]=1,T_p12135[[#This Row],[players]]*T_p12135[[#This Row],[stack]]/chips+COUNTIF(T_p12135[stack],0),T_p12135[[#This Row],[players]]*T_p12135[[#This Row],[stack]]/chips)</f>
        <v>4.12</v>
      </c>
      <c r="K18" s="66">
        <f>T_p12135[[#This Row],[ICM]]+bounty*T_p12135[[#This Row],[KO]]</f>
        <v>0</v>
      </c>
      <c r="M18" s="10">
        <f>COUNTIF(T_p22236[stack],"&gt;0")</f>
        <v>5</v>
      </c>
      <c r="N18" s="26">
        <f>IF(T_init2034[[#This Row],[p]]=1,uncalled,IF(T_init2034[[#This Row],[p]]=2,mainpot+sidepot1+sidepot2,IF(T_init2034[[#This Row],[p]]&gt;2,0,T_init2034[[#This Row],[stack]])))</f>
        <v>498</v>
      </c>
      <c r="O18">
        <v>0.17680000000000001</v>
      </c>
      <c r="P18" s="2">
        <f>T_p22236[[#This Row],[EQ]]*prize</f>
        <v>0</v>
      </c>
      <c r="Q18" s="66">
        <f>IF(T_init2034[[#This Row],[p]]=2,T_p22236[[#This Row],[players]]*T_p22236[[#This Row],[stack]]/chips+COUNTIF(T_p22236[stack],0),T_p22236[[#This Row],[players]]*T_p22236[[#This Row],[stack]]/chips)</f>
        <v>0.83</v>
      </c>
      <c r="R18" s="66">
        <f>T_p22236[[#This Row],[ICM]]+bounty*T_p22236[[#This Row],[KO]]</f>
        <v>0</v>
      </c>
      <c r="T18" s="5">
        <f>COUNTIF(T_p3p12337[stack],"&gt;0")</f>
        <v>5</v>
      </c>
      <c r="U18" s="26">
        <f>IF(T_init2034[[#This Row],[p]]=1,sidepot1+uncalled,IF(T_init2034[[#This Row],[p]]=3,mainpot,IF(ISBLANK(T_init2034[[#This Row],[p]]),T_init2034[[#This Row],[stack]],0)))</f>
        <v>1342</v>
      </c>
      <c r="V18">
        <v>0.36849999999999999</v>
      </c>
      <c r="W18" s="2">
        <f>T_p3p12337[[#This Row],[EQ]]*prize</f>
        <v>0</v>
      </c>
      <c r="X18" s="66">
        <f>IF(T_init2034[[#This Row],[p]]=1,T_p3p12337[[#This Row],[players]]*T_p3p12337[[#This Row],[stack]]/chips+COUNTIF(T_p3p12337[stack],0),T_p3p12337[[#This Row],[players]]*T_p3p12337[[#This Row],[stack]]/chips)</f>
        <v>3.2366666666666668</v>
      </c>
      <c r="Y18" s="66">
        <f>T_p3p12337[[#This Row],[ICM]]+bounty*T_p3p12337[[#This Row],[KO]]</f>
        <v>0</v>
      </c>
      <c r="AA18" s="5">
        <f>COUNTIF(T_p3p22438[stack],"&gt;0")</f>
        <v>6</v>
      </c>
      <c r="AB18">
        <f>IF(T_init2034[[#This Row],[p]]=1,uncalled,IF(T_init2034[[#This Row],[p]]=2,sidepot1,IF(T_init2034[[#This Row],[p]]=3,mainpot,IF(ISBLANK(T_init2034[[#This Row],[p]]),T_init2034[[#This Row],[stack]],0))))</f>
        <v>498</v>
      </c>
      <c r="AC18">
        <v>0.16919999999999999</v>
      </c>
      <c r="AD18" s="2">
        <f>T_p3p22438[[#This Row],[EQ]]*prize</f>
        <v>0</v>
      </c>
      <c r="AE18" s="66">
        <f>IF(T_init2034[[#This Row],[p]]=2,T_p3p22438[[#This Row],[players]]*T_p3p22438[[#This Row],[stack]]/chips+COUNTIF(T_p3p22438[stack],0),T_p3p22438[[#This Row],[players]]*T_p3p22438[[#This Row],[stack]]/chips)</f>
        <v>0.996</v>
      </c>
      <c r="AF18" s="16">
        <f>T_p3p22438[[#This Row],[ICM]]+bounty*T_p3p22438[[#This Row],[KO]]</f>
        <v>0</v>
      </c>
      <c r="AI18" s="73">
        <f>COUNTIF(T_fact2939[stack],"&gt;0")</f>
        <v>6</v>
      </c>
      <c r="AJ18" s="26">
        <v>498</v>
      </c>
      <c r="AK18">
        <v>0.1724</v>
      </c>
      <c r="AL18" s="2">
        <f>T_fact2939[[#This Row],[EQ]]*prize</f>
        <v>0</v>
      </c>
      <c r="AM18" s="66">
        <f>IF(T_init2034[[#This Row],[p]]=1,T_fact2939[[#This Row],[players]]*T_fact2939[[#This Row],[stack]]/chips+COUNTIF(T_fact2939[stack],0),T_fact2939[[#This Row],[players]]*T_fact2939[[#This Row],[stack]]/chips)</f>
        <v>0.996</v>
      </c>
      <c r="AN18" s="16">
        <f>T_fact2939[[#This Row],[ICM]]+bounty*T_fact2939[[#This Row],[KO]]</f>
        <v>0</v>
      </c>
      <c r="AQ18" s="68">
        <f>'3wKhQs'!p3win* ('3wKhQs'!p1sp1win*T_p3p12337[[#This Row],[ICM]] + '3wKhQs'!p2sp1win*T_p3p22438[[#This Row],[ICM]])
+'3wKhQs'!p2win*T_p22236[[#This Row],[ICM]]
+'3wKhQs'!p1win*T_p12135[[#This Row],[ICM]]</f>
        <v>0</v>
      </c>
      <c r="AR18" s="68">
        <f>('3wKhQs'!p3win* ('3wKhQs'!p1sp1win*T_p3p12337[[#This Row],[KO]] + '3wKhQs'!p2sp1win*T_p3p22438[[#This Row],[KO]])
+'3wKhQs'!p2win*T_p22236[[#This Row],[KO]]
+'3wKhQs'!p1win*T_p12135[[#This Row],[KO]])*bounty</f>
        <v>0</v>
      </c>
      <c r="AS18" s="68">
        <f>'3wKhQs'!p3win* ('3wKhQs'!p1sp1win*T_p3p12337[[#This Row],[$stack]] + '3wKhQs'!p2sp1win*T_p3p22438[[#This Row],[$stack]])
+'3wKhQs'!p2win*T_p22236[[#This Row],[$stack]]
+'3wKhQs'!p1win*T_p12135[[#This Row],[$stack]]</f>
        <v>0</v>
      </c>
      <c r="AT18" s="68">
        <f>'3wKhQs'!p3win* ('3wKhQs'!p1sp1win*T_p3p12337[[#This Row],[stack]] + '3wKhQs'!p2sp1win*T_p3p22438[[#This Row],[stack]])
+'3wKhQs'!p2win*T_p22236[[#This Row],[stack]]
+'3wKhQs'!p1win*T_p12135[[#This Row],[stack]]</f>
        <v>1322.4763296000001</v>
      </c>
      <c r="AU18" s="2">
        <f>T_EV3340[[#This Row],[chipEV]]-T_fact2939[[#This Row],[stack]]</f>
        <v>824.4763296000001</v>
      </c>
      <c r="AV18" s="2">
        <f>T_EV3340[[#This Row],[EV]]-(T_fact2939[[#This Row],[ICM]]+bounty*T_fact2939[[#This Row],[KO]])</f>
        <v>0</v>
      </c>
    </row>
    <row r="19" spans="1:48" x14ac:dyDescent="0.25">
      <c r="A19" s="26"/>
      <c r="B19" s="26">
        <v>442</v>
      </c>
      <c r="C19" s="26"/>
      <c r="D19" s="26"/>
      <c r="F19" s="73">
        <f>COUNTIF(T_p12135[stack],"&gt;0")</f>
        <v>4</v>
      </c>
      <c r="G19" s="26">
        <f>IF(T_init2034[[#This Row],[p]]=1,mainpot+sidepot1+sidepot2+uncalled,IF(T_init2034[[#This Row],[p]]&gt;1,0,T_init2034[[#This Row],[stack]]))</f>
        <v>442</v>
      </c>
      <c r="H19" s="26">
        <v>0.18509999999999999</v>
      </c>
      <c r="I19" s="27">
        <f>T_p12135[[#This Row],[EQ]]*prize</f>
        <v>0</v>
      </c>
      <c r="J19" s="71">
        <f>IF(T_init2034[[#This Row],[p]]=1,T_p12135[[#This Row],[players]]*T_p12135[[#This Row],[stack]]/chips+COUNTIF(T_p12135[stack],0),T_p12135[[#This Row],[players]]*T_p12135[[#This Row],[stack]]/chips)</f>
        <v>0.58933333333333338</v>
      </c>
      <c r="K19" s="71">
        <f>T_p12135[[#This Row],[ICM]]+bounty*T_p12135[[#This Row],[KO]]</f>
        <v>0</v>
      </c>
      <c r="M19" s="29">
        <f>COUNTIF(T_p22236[stack],"&gt;0")</f>
        <v>5</v>
      </c>
      <c r="N19" s="26">
        <f>IF(T_init2034[[#This Row],[p]]=1,uncalled,IF(T_init2034[[#This Row],[p]]=2,mainpot+sidepot1+sidepot2,IF(T_init2034[[#This Row],[p]]&gt;2,0,T_init2034[[#This Row],[stack]])))</f>
        <v>442</v>
      </c>
      <c r="O19" s="26">
        <v>0.1588</v>
      </c>
      <c r="P19" s="27">
        <f>T_p22236[[#This Row],[EQ]]*prize</f>
        <v>0</v>
      </c>
      <c r="Q19" s="71">
        <f>IF(T_init2034[[#This Row],[p]]=2,T_p22236[[#This Row],[players]]*T_p22236[[#This Row],[stack]]/chips+COUNTIF(T_p22236[stack],0),T_p22236[[#This Row],[players]]*T_p22236[[#This Row],[stack]]/chips)</f>
        <v>0.73666666666666669</v>
      </c>
      <c r="R19" s="71">
        <f>T_p22236[[#This Row],[ICM]]+bounty*T_p22236[[#This Row],[KO]]</f>
        <v>0</v>
      </c>
      <c r="T19" s="73">
        <f>COUNTIF(T_p3p12337[stack],"&gt;0")</f>
        <v>5</v>
      </c>
      <c r="U19" s="26">
        <f>IF(T_init2034[[#This Row],[p]]=1,sidepot1+uncalled,IF(T_init2034[[#This Row],[p]]=3,mainpot,IF(ISBLANK(T_init2034[[#This Row],[p]]),T_init2034[[#This Row],[stack]],0)))</f>
        <v>442</v>
      </c>
      <c r="V19" s="26">
        <v>0.16830000000000001</v>
      </c>
      <c r="W19" s="27">
        <f>T_p3p12337[[#This Row],[EQ]]*prize</f>
        <v>0</v>
      </c>
      <c r="X19" s="71">
        <f>IF(T_init2034[[#This Row],[p]]=1,T_p3p12337[[#This Row],[players]]*T_p3p12337[[#This Row],[stack]]/chips+COUNTIF(T_p3p12337[stack],0),T_p3p12337[[#This Row],[players]]*T_p3p12337[[#This Row],[stack]]/chips)</f>
        <v>0.73666666666666669</v>
      </c>
      <c r="Y19" s="71">
        <f>T_p3p12337[[#This Row],[ICM]]+bounty*T_p3p12337[[#This Row],[KO]]</f>
        <v>0</v>
      </c>
      <c r="AA19" s="73">
        <f>COUNTIF(T_p3p22438[stack],"&gt;0")</f>
        <v>6</v>
      </c>
      <c r="AB19" s="26">
        <f>IF(T_init2034[[#This Row],[p]]=1,uncalled,IF(T_init2034[[#This Row],[p]]=2,sidepot1,IF(T_init2034[[#This Row],[p]]=3,mainpot,IF(ISBLANK(T_init2034[[#This Row],[p]]),T_init2034[[#This Row],[stack]],0))))</f>
        <v>442</v>
      </c>
      <c r="AC19" s="26">
        <v>0.1522</v>
      </c>
      <c r="AD19" s="27">
        <f>T_p3p22438[[#This Row],[EQ]]*prize</f>
        <v>0</v>
      </c>
      <c r="AE19" s="71">
        <f>IF(T_init2034[[#This Row],[p]]=2,T_p3p22438[[#This Row],[players]]*T_p3p22438[[#This Row],[stack]]/chips+COUNTIF(T_p3p22438[stack],0),T_p3p22438[[#This Row],[players]]*T_p3p22438[[#This Row],[stack]]/chips)</f>
        <v>0.88400000000000001</v>
      </c>
      <c r="AF19" s="16">
        <f>T_p3p22438[[#This Row],[ICM]]+bounty*T_p3p22438[[#This Row],[KO]]</f>
        <v>0</v>
      </c>
      <c r="AI19" s="73">
        <f>COUNTIF(T_fact2939[stack],"&gt;0")</f>
        <v>6</v>
      </c>
      <c r="AJ19" s="26">
        <v>442</v>
      </c>
      <c r="AK19" s="26">
        <v>0.15490000000000001</v>
      </c>
      <c r="AL19" s="27">
        <f>T_fact2939[[#This Row],[EQ]]*prize</f>
        <v>0</v>
      </c>
      <c r="AM19" s="71">
        <f>IF(T_init2034[[#This Row],[p]]=1,T_fact2939[[#This Row],[players]]*T_fact2939[[#This Row],[stack]]/chips+COUNTIF(T_fact2939[stack],0),T_fact2939[[#This Row],[players]]*T_fact2939[[#This Row],[stack]]/chips)</f>
        <v>0.88400000000000001</v>
      </c>
      <c r="AN19" s="16">
        <f>T_fact2939[[#This Row],[ICM]]+bounty*T_fact2939[[#This Row],[KO]]</f>
        <v>0</v>
      </c>
      <c r="AQ19" s="68">
        <f>'3wKhQs'!p3win* ('3wKhQs'!p1sp1win*T_p3p12337[[#This Row],[ICM]] + '3wKhQs'!p2sp1win*T_p3p22438[[#This Row],[ICM]])
+'3wKhQs'!p2win*T_p22236[[#This Row],[ICM]]
+'3wKhQs'!p1win*T_p12135[[#This Row],[ICM]]</f>
        <v>0</v>
      </c>
      <c r="AR19" s="72">
        <f>('3wKhQs'!p3win* ('3wKhQs'!p1sp1win*T_p3p12337[[#This Row],[KO]] + '3wKhQs'!p2sp1win*T_p3p22438[[#This Row],[KO]])
+'3wKhQs'!p2win*T_p22236[[#This Row],[KO]]
+'3wKhQs'!p1win*T_p12135[[#This Row],[KO]])*bounty</f>
        <v>0</v>
      </c>
      <c r="AS19" s="72">
        <f>'3wKhQs'!p3win* ('3wKhQs'!p1sp1win*T_p3p12337[[#This Row],[$stack]] + '3wKhQs'!p2sp1win*T_p3p22438[[#This Row],[$stack]])
+'3wKhQs'!p2win*T_p22236[[#This Row],[$stack]]
+'3wKhQs'!p1win*T_p12135[[#This Row],[$stack]]</f>
        <v>0</v>
      </c>
      <c r="AT19" s="72">
        <f>'3wKhQs'!p3win* ('3wKhQs'!p1sp1win*T_p3p12337[[#This Row],[stack]] + '3wKhQs'!p2sp1win*T_p3p22438[[#This Row],[stack]])
+'3wKhQs'!p2win*T_p22236[[#This Row],[stack]]
+'3wKhQs'!p1win*T_p12135[[#This Row],[stack]]</f>
        <v>442</v>
      </c>
      <c r="AU19" s="2">
        <f>T_EV3340[[#This Row],[chipEV]]-T_fact2939[[#This Row],[stack]]</f>
        <v>0</v>
      </c>
      <c r="AV19" s="2">
        <f>T_EV3340[[#This Row],[EV]]-(T_fact2939[[#This Row],[ICM]]+bounty*T_fact2939[[#This Row],[KO]])</f>
        <v>0</v>
      </c>
    </row>
    <row r="20" spans="1:48" x14ac:dyDescent="0.25">
      <c r="A20">
        <v>3</v>
      </c>
      <c r="B20">
        <v>62</v>
      </c>
      <c r="C20" s="26" t="s">
        <v>446</v>
      </c>
      <c r="F20" s="5">
        <f>COUNTIF(T_p12135[stack],"&gt;0")</f>
        <v>4</v>
      </c>
      <c r="G20">
        <f>IF(T_init2034[[#This Row],[p]]=1,mainpot+sidepot1+sidepot2+uncalled,IF(T_init2034[[#This Row],[p]]&gt;1,0,T_init2034[[#This Row],[stack]]))</f>
        <v>0</v>
      </c>
      <c r="H20">
        <v>0</v>
      </c>
      <c r="I20" s="2">
        <f>T_p12135[[#This Row],[EQ]]*prize</f>
        <v>0</v>
      </c>
      <c r="J20" s="66">
        <f>IF(T_init2034[[#This Row],[p]]=1,T_p12135[[#This Row],[players]]*T_p12135[[#This Row],[stack]]/chips+COUNTIF(T_p12135[stack],0),T_p12135[[#This Row],[players]]*T_p12135[[#This Row],[stack]]/chips)</f>
        <v>0</v>
      </c>
      <c r="K20" s="66">
        <f>T_p12135[[#This Row],[ICM]]+bounty*T_p12135[[#This Row],[KO]]</f>
        <v>0</v>
      </c>
      <c r="M20" s="10">
        <f>COUNTIF(T_p22236[stack],"&gt;0")</f>
        <v>5</v>
      </c>
      <c r="N20" s="26">
        <f>IF(T_init2034[[#This Row],[p]]=1,uncalled,IF(T_init2034[[#This Row],[p]]=2,mainpot+sidepot1+sidepot2,IF(T_init2034[[#This Row],[p]]&gt;2,0,T_init2034[[#This Row],[stack]])))</f>
        <v>0</v>
      </c>
      <c r="O20">
        <v>0</v>
      </c>
      <c r="P20" s="2">
        <f>T_p22236[[#This Row],[EQ]]*prize</f>
        <v>0</v>
      </c>
      <c r="Q20" s="66">
        <f>IF(T_init2034[[#This Row],[p]]=2,T_p22236[[#This Row],[players]]*T_p22236[[#This Row],[stack]]/chips+COUNTIF(T_p22236[stack],0),T_p22236[[#This Row],[players]]*T_p22236[[#This Row],[stack]]/chips)</f>
        <v>0</v>
      </c>
      <c r="R20" s="66">
        <f>T_p22236[[#This Row],[ICM]]+bounty*T_p22236[[#This Row],[KO]]</f>
        <v>0</v>
      </c>
      <c r="T20" s="5">
        <f>COUNTIF(T_p3p12337[stack],"&gt;0")</f>
        <v>5</v>
      </c>
      <c r="U20" s="26">
        <f>IF(T_init2034[[#This Row],[p]]=1,sidepot1+uncalled,IF(T_init2034[[#This Row],[p]]=3,mainpot,IF(ISBLANK(T_init2034[[#This Row],[p]]),T_init2034[[#This Row],[stack]],0)))</f>
        <v>248</v>
      </c>
      <c r="V20">
        <v>9.7799999999999998E-2</v>
      </c>
      <c r="W20" s="2">
        <f>T_p3p12337[[#This Row],[EQ]]*prize</f>
        <v>0</v>
      </c>
      <c r="X20" s="66">
        <f>IF(T_init2034[[#This Row],[p]]=1,T_p3p12337[[#This Row],[players]]*T_p3p12337[[#This Row],[stack]]/chips+COUNTIF(T_p3p12337[stack],0),T_p3p12337[[#This Row],[players]]*T_p3p12337[[#This Row],[stack]]/chips)</f>
        <v>0.41333333333333333</v>
      </c>
      <c r="Y20" s="66">
        <f>T_p3p12337[[#This Row],[ICM]]+bounty*T_p3p12337[[#This Row],[KO]]</f>
        <v>0</v>
      </c>
      <c r="AA20" s="5">
        <f>COUNTIF(T_p3p22438[stack],"&gt;0")</f>
        <v>6</v>
      </c>
      <c r="AB20">
        <f>IF(T_init2034[[#This Row],[p]]=1,uncalled,IF(T_init2034[[#This Row],[p]]=2,sidepot1,IF(T_init2034[[#This Row],[p]]=3,mainpot,IF(ISBLANK(T_init2034[[#This Row],[p]]),T_init2034[[#This Row],[stack]],0))))</f>
        <v>248</v>
      </c>
      <c r="AC20">
        <v>8.8800000000000004E-2</v>
      </c>
      <c r="AD20" s="2">
        <f>T_p3p22438[[#This Row],[EQ]]*prize</f>
        <v>0</v>
      </c>
      <c r="AE20" s="66">
        <f>IF(T_init2034[[#This Row],[p]]=2,T_p3p22438[[#This Row],[players]]*T_p3p22438[[#This Row],[stack]]/chips+COUNTIF(T_p3p22438[stack],0),T_p3p22438[[#This Row],[players]]*T_p3p22438[[#This Row],[stack]]/chips)</f>
        <v>0.496</v>
      </c>
      <c r="AF20" s="16">
        <f>T_p3p22438[[#This Row],[ICM]]+bounty*T_p3p22438[[#This Row],[KO]]</f>
        <v>0</v>
      </c>
      <c r="AI20" s="73">
        <f>COUNTIF(T_fact2939[stack],"&gt;0")</f>
        <v>6</v>
      </c>
      <c r="AJ20" s="26">
        <v>124</v>
      </c>
      <c r="AK20">
        <v>4.6100000000000002E-2</v>
      </c>
      <c r="AL20" s="2">
        <f>T_fact2939[[#This Row],[EQ]]*prize</f>
        <v>0</v>
      </c>
      <c r="AM20" s="66">
        <f>IF(T_init2034[[#This Row],[p]]=1,T_fact2939[[#This Row],[players]]*T_fact2939[[#This Row],[stack]]/chips+COUNTIF(T_fact2939[stack],0),T_fact2939[[#This Row],[players]]*T_fact2939[[#This Row],[stack]]/chips)</f>
        <v>0.248</v>
      </c>
      <c r="AN20" s="16">
        <f>T_fact2939[[#This Row],[ICM]]+bounty*T_fact2939[[#This Row],[KO]]</f>
        <v>0</v>
      </c>
      <c r="AQ20" s="68">
        <f>'3wKhQs'!p3win* ('3wKhQs'!p1sp1win*T_p3p12337[[#This Row],[ICM]] + '3wKhQs'!p2sp1win*T_p3p22438[[#This Row],[ICM]])
+'3wKhQs'!p2win*T_p22236[[#This Row],[ICM]]
+'3wKhQs'!p1win*T_p12135[[#This Row],[ICM]]</f>
        <v>0</v>
      </c>
      <c r="AR20" s="68">
        <f>('3wKhQs'!p3win* ('3wKhQs'!p1sp1win*T_p3p12337[[#This Row],[KO]] + '3wKhQs'!p2sp1win*T_p3p22438[[#This Row],[KO]])
+'3wKhQs'!p2win*T_p22236[[#This Row],[KO]]
+'3wKhQs'!p1win*T_p12135[[#This Row],[KO]])*bounty</f>
        <v>0</v>
      </c>
      <c r="AS20" s="68">
        <f>'3wKhQs'!p3win* ('3wKhQs'!p1sp1win*T_p3p12337[[#This Row],[$stack]] + '3wKhQs'!p2sp1win*T_p3p22438[[#This Row],[$stack]])
+'3wKhQs'!p2win*T_p22236[[#This Row],[$stack]]
+'3wKhQs'!p1win*T_p12135[[#This Row],[$stack]]</f>
        <v>0</v>
      </c>
      <c r="AT20" s="68">
        <f>'3wKhQs'!p3win* ('3wKhQs'!p1sp1win*T_p3p12337[[#This Row],[stack]] + '3wKhQs'!p2sp1win*T_p3p22438[[#This Row],[stack]])
+'3wKhQs'!p2win*T_p22236[[#This Row],[stack]]
+'3wKhQs'!p1win*T_p12135[[#This Row],[stack]]</f>
        <v>52.278399999999998</v>
      </c>
      <c r="AU20" s="2">
        <f>T_EV3340[[#This Row],[chipEV]]-T_fact2939[[#This Row],[stack]]</f>
        <v>-71.721599999999995</v>
      </c>
      <c r="AV20" s="2">
        <f>T_EV3340[[#This Row],[EV]]-(T_fact2939[[#This Row],[ICM]]+bounty*T_fact2939[[#This Row],[KO]])</f>
        <v>0</v>
      </c>
    </row>
    <row r="21" spans="1:48" x14ac:dyDescent="0.25">
      <c r="B21">
        <v>474</v>
      </c>
      <c r="F21" s="5">
        <f>COUNTIF(T_p12135[stack],"&gt;0")</f>
        <v>4</v>
      </c>
      <c r="G21">
        <f>IF(T_init2034[[#This Row],[p]]=1,mainpot+sidepot1+sidepot2+uncalled,IF(T_init2034[[#This Row],[p]]&gt;1,0,T_init2034[[#This Row],[stack]]))</f>
        <v>474</v>
      </c>
      <c r="H21">
        <v>0.1973</v>
      </c>
      <c r="I21" s="2">
        <f>T_p12135[[#This Row],[EQ]]*prize</f>
        <v>0</v>
      </c>
      <c r="J21" s="66">
        <f>IF(T_init2034[[#This Row],[p]]=1,T_p12135[[#This Row],[players]]*T_p12135[[#This Row],[stack]]/chips+COUNTIF(T_p12135[stack],0),T_p12135[[#This Row],[players]]*T_p12135[[#This Row],[stack]]/chips)</f>
        <v>0.63200000000000001</v>
      </c>
      <c r="K21" s="66">
        <f>T_p12135[[#This Row],[ICM]]+bounty*T_p12135[[#This Row],[KO]]</f>
        <v>0</v>
      </c>
      <c r="M21" s="10">
        <f>COUNTIF(T_p22236[stack],"&gt;0")</f>
        <v>5</v>
      </c>
      <c r="N21" s="26">
        <f>IF(T_init2034[[#This Row],[p]]=1,uncalled,IF(T_init2034[[#This Row],[p]]=2,mainpot+sidepot1+sidepot2,IF(T_init2034[[#This Row],[p]]&gt;2,0,T_init2034[[#This Row],[stack]])))</f>
        <v>474</v>
      </c>
      <c r="O21">
        <v>0.16919999999999999</v>
      </c>
      <c r="P21" s="2">
        <f>T_p22236[[#This Row],[EQ]]*prize</f>
        <v>0</v>
      </c>
      <c r="Q21" s="66">
        <f>IF(T_init2034[[#This Row],[p]]=2,T_p22236[[#This Row],[players]]*T_p22236[[#This Row],[stack]]/chips+COUNTIF(T_p22236[stack],0),T_p22236[[#This Row],[players]]*T_p22236[[#This Row],[stack]]/chips)</f>
        <v>0.79</v>
      </c>
      <c r="R21" s="66">
        <f>T_p22236[[#This Row],[ICM]]+bounty*T_p22236[[#This Row],[KO]]</f>
        <v>0</v>
      </c>
      <c r="T21" s="5">
        <f>COUNTIF(T_p3p12337[stack],"&gt;0")</f>
        <v>5</v>
      </c>
      <c r="U21" s="26">
        <f>IF(T_init2034[[#This Row],[p]]=1,sidepot1+uncalled,IF(T_init2034[[#This Row],[p]]=3,mainpot,IF(ISBLANK(T_init2034[[#This Row],[p]]),T_init2034[[#This Row],[stack]],0)))</f>
        <v>474</v>
      </c>
      <c r="V21">
        <v>0.17929999999999999</v>
      </c>
      <c r="W21" s="2">
        <f>T_p3p12337[[#This Row],[EQ]]*prize</f>
        <v>0</v>
      </c>
      <c r="X21" s="66">
        <f>IF(T_init2034[[#This Row],[p]]=1,T_p3p12337[[#This Row],[players]]*T_p3p12337[[#This Row],[stack]]/chips+COUNTIF(T_p3p12337[stack],0),T_p3p12337[[#This Row],[players]]*T_p3p12337[[#This Row],[stack]]/chips)</f>
        <v>0.79</v>
      </c>
      <c r="Y21" s="66">
        <f>T_p3p12337[[#This Row],[ICM]]+bounty*T_p3p12337[[#This Row],[KO]]</f>
        <v>0</v>
      </c>
      <c r="AA21" s="5">
        <f>COUNTIF(T_p3p22438[stack],"&gt;0")</f>
        <v>6</v>
      </c>
      <c r="AB21">
        <f>IF(T_init2034[[#This Row],[p]]=1,uncalled,IF(T_init2034[[#This Row],[p]]=2,sidepot1,IF(T_init2034[[#This Row],[p]]=3,mainpot,IF(ISBLANK(T_init2034[[#This Row],[p]]),T_init2034[[#This Row],[stack]],0))))</f>
        <v>474</v>
      </c>
      <c r="AC21">
        <v>0.16200000000000001</v>
      </c>
      <c r="AD21" s="2">
        <f>T_p3p22438[[#This Row],[EQ]]*prize</f>
        <v>0</v>
      </c>
      <c r="AE21" s="66">
        <f>IF(T_init2034[[#This Row],[p]]=2,T_p3p22438[[#This Row],[players]]*T_p3p22438[[#This Row],[stack]]/chips+COUNTIF(T_p3p22438[stack],0),T_p3p22438[[#This Row],[players]]*T_p3p22438[[#This Row],[stack]]/chips)</f>
        <v>0.94799999999999995</v>
      </c>
      <c r="AF21" s="16">
        <f>T_p3p22438[[#This Row],[ICM]]+bounty*T_p3p22438[[#This Row],[KO]]</f>
        <v>0</v>
      </c>
      <c r="AI21" s="73">
        <f>COUNTIF(T_fact2939[stack],"&gt;0")</f>
        <v>6</v>
      </c>
      <c r="AJ21" s="26">
        <v>474</v>
      </c>
      <c r="AK21">
        <v>0.16500000000000001</v>
      </c>
      <c r="AL21" s="2">
        <f>T_fact2939[[#This Row],[EQ]]*prize</f>
        <v>0</v>
      </c>
      <c r="AM21" s="66">
        <f>IF(T_init2034[[#This Row],[p]]=1,T_fact2939[[#This Row],[players]]*T_fact2939[[#This Row],[stack]]/chips+COUNTIF(T_fact2939[stack],0),T_fact2939[[#This Row],[players]]*T_fact2939[[#This Row],[stack]]/chips)</f>
        <v>0.94799999999999995</v>
      </c>
      <c r="AN21" s="16">
        <f>T_fact2939[[#This Row],[ICM]]+bounty*T_fact2939[[#This Row],[KO]]</f>
        <v>0</v>
      </c>
      <c r="AQ21" s="68">
        <f>'3wKhQs'!p3win* ('3wKhQs'!p1sp1win*T_p3p12337[[#This Row],[ICM]] + '3wKhQs'!p2sp1win*T_p3p22438[[#This Row],[ICM]])
+'3wKhQs'!p2win*T_p22236[[#This Row],[ICM]]
+'3wKhQs'!p1win*T_p12135[[#This Row],[ICM]]</f>
        <v>0</v>
      </c>
      <c r="AR21" s="68">
        <f>('3wKhQs'!p3win* ('3wKhQs'!p1sp1win*T_p3p12337[[#This Row],[KO]] + '3wKhQs'!p2sp1win*T_p3p22438[[#This Row],[KO]])
+'3wKhQs'!p2win*T_p22236[[#This Row],[KO]]
+'3wKhQs'!p1win*T_p12135[[#This Row],[KO]])*bounty</f>
        <v>0</v>
      </c>
      <c r="AS21" s="68">
        <f>'3wKhQs'!p3win* ('3wKhQs'!p1sp1win*T_p3p12337[[#This Row],[$stack]] + '3wKhQs'!p2sp1win*T_p3p22438[[#This Row],[$stack]])
+'3wKhQs'!p2win*T_p22236[[#This Row],[$stack]]
+'3wKhQs'!p1win*T_p12135[[#This Row],[$stack]]</f>
        <v>0</v>
      </c>
      <c r="AT21" s="68">
        <f>'3wKhQs'!p3win* ('3wKhQs'!p1sp1win*T_p3p12337[[#This Row],[stack]] + '3wKhQs'!p2sp1win*T_p3p22438[[#This Row],[stack]])
+'3wKhQs'!p2win*T_p22236[[#This Row],[stack]]
+'3wKhQs'!p1win*T_p12135[[#This Row],[stack]]</f>
        <v>474</v>
      </c>
      <c r="AU21" s="2">
        <f>T_EV3340[[#This Row],[chipEV]]-T_fact2939[[#This Row],[stack]]</f>
        <v>0</v>
      </c>
      <c r="AV21" s="2">
        <f>T_EV3340[[#This Row],[EV]]-(T_fact2939[[#This Row],[ICM]]+bounty*T_fact2939[[#This Row],[KO]])</f>
        <v>0</v>
      </c>
    </row>
    <row r="22" spans="1:48" x14ac:dyDescent="0.25">
      <c r="A22" t="s">
        <v>95</v>
      </c>
      <c r="D22">
        <f>SUBTOTAL(109,T_init2034[pWin])</f>
        <v>0</v>
      </c>
      <c r="F22" s="53"/>
      <c r="G22" s="50">
        <f>SUM(T_p12135[stack])</f>
        <v>3000</v>
      </c>
      <c r="H22" s="50">
        <f>SUM(T_p12135[EQ])</f>
        <v>1.0001</v>
      </c>
      <c r="I22" s="50">
        <f>SUM(T_p12135[ICM])</f>
        <v>0</v>
      </c>
      <c r="J22" s="50">
        <f>SUM(T_p12135[KO])</f>
        <v>6</v>
      </c>
      <c r="K22" s="50">
        <f>SUM(T_p12135[$stack])</f>
        <v>0</v>
      </c>
      <c r="M22" s="53"/>
      <c r="N22" s="55">
        <f>SUM(T_p22236[stack])</f>
        <v>3000</v>
      </c>
      <c r="O22" s="50">
        <f>SUM(T_p22236[EQ])</f>
        <v>1</v>
      </c>
      <c r="P22" s="51">
        <f>SUM(T_p22236[ICM])</f>
        <v>0</v>
      </c>
      <c r="Q22" s="52">
        <f>SUM(T_p22236[KO])</f>
        <v>6</v>
      </c>
      <c r="R22" s="50">
        <f>SUM(T_p22236[$stack])</f>
        <v>0</v>
      </c>
      <c r="T22" s="53"/>
      <c r="U22" s="55">
        <f>SUM(T_p3p12337[stack])</f>
        <v>3000</v>
      </c>
      <c r="V22" s="50">
        <f>SUM(T_p3p12337[EQ])</f>
        <v>1</v>
      </c>
      <c r="W22" s="51">
        <f>SUM(T_p3p12337[ICM])</f>
        <v>0</v>
      </c>
      <c r="X22" s="52">
        <f>SUM(T_p3p12337[KO])</f>
        <v>6</v>
      </c>
      <c r="Y22" s="50">
        <f>SUM(T_p3p12337[$stack])</f>
        <v>0</v>
      </c>
      <c r="AA22" s="53"/>
      <c r="AB22" s="55">
        <f>SUM(T_p3p22438[stack])</f>
        <v>3000</v>
      </c>
      <c r="AC22" s="50">
        <f>SUM(T_p3p22438[EQ])</f>
        <v>1</v>
      </c>
      <c r="AD22" s="51">
        <f>SUM(T_p3p22438[ICM])</f>
        <v>0</v>
      </c>
      <c r="AE22" s="52">
        <f>SUM(T_p3p22438[KO])</f>
        <v>6</v>
      </c>
      <c r="AF22" s="50">
        <f>SUM(T_p3p12337[$stack])</f>
        <v>0</v>
      </c>
      <c r="AI22" s="53"/>
      <c r="AJ22" s="55">
        <f>SUM(T_fact2939[stack])</f>
        <v>3000</v>
      </c>
      <c r="AK22" s="50">
        <f>SUM(T_fact2939[EQ])</f>
        <v>1</v>
      </c>
      <c r="AL22" s="51">
        <f>SUM(T_fact2939[ICM])</f>
        <v>0</v>
      </c>
      <c r="AM22" s="52">
        <f>SUM(T_fact2939[KO])</f>
        <v>6</v>
      </c>
      <c r="AN22" s="51">
        <f>SUM(T_fact2939[$stack])</f>
        <v>0</v>
      </c>
      <c r="AQ22" s="52">
        <f>SUM(T_EV3340[ICM])</f>
        <v>0</v>
      </c>
      <c r="AR22" s="52">
        <f>SUM(T_EV3340[KO])</f>
        <v>0</v>
      </c>
      <c r="AS22" s="52">
        <f>SUM(T_EV3340[EV])</f>
        <v>0</v>
      </c>
      <c r="AT22" s="50">
        <f>SUM(T_EV3340[chipEV])</f>
        <v>3000</v>
      </c>
    </row>
    <row r="38" spans="2:4" x14ac:dyDescent="0.25">
      <c r="C38" t="s">
        <v>118</v>
      </c>
    </row>
    <row r="39" spans="2:4" x14ac:dyDescent="0.25">
      <c r="C39" t="s">
        <v>120</v>
      </c>
    </row>
    <row r="40" spans="2:4" x14ac:dyDescent="0.25">
      <c r="C40" t="s">
        <v>122</v>
      </c>
    </row>
    <row r="43" spans="2:4" x14ac:dyDescent="0.25">
      <c r="C43" t="s">
        <v>126</v>
      </c>
    </row>
    <row r="45" spans="2:4" x14ac:dyDescent="0.25">
      <c r="B45" t="s">
        <v>129</v>
      </c>
    </row>
    <row r="46" spans="2:4" x14ac:dyDescent="0.25">
      <c r="B46" t="s">
        <v>131</v>
      </c>
    </row>
    <row r="47" spans="2:4" x14ac:dyDescent="0.25">
      <c r="C47" t="s">
        <v>133</v>
      </c>
    </row>
    <row r="48" spans="2:4" x14ac:dyDescent="0.25">
      <c r="D48" t="s">
        <v>135</v>
      </c>
    </row>
    <row r="49" spans="3:6" x14ac:dyDescent="0.25">
      <c r="C49" t="s">
        <v>137</v>
      </c>
    </row>
    <row r="50" spans="3:6" x14ac:dyDescent="0.25">
      <c r="D50" t="s">
        <v>135</v>
      </c>
    </row>
    <row r="51" spans="3:6" x14ac:dyDescent="0.25">
      <c r="C51" t="s">
        <v>140</v>
      </c>
    </row>
    <row r="52" spans="3:6" x14ac:dyDescent="0.25">
      <c r="D52" t="s">
        <v>142</v>
      </c>
    </row>
    <row r="53" spans="3:6" x14ac:dyDescent="0.25">
      <c r="D53" t="s">
        <v>144</v>
      </c>
      <c r="E53" t="s">
        <v>145</v>
      </c>
    </row>
    <row r="54" spans="3:6" x14ac:dyDescent="0.25">
      <c r="F54" t="s">
        <v>147</v>
      </c>
    </row>
    <row r="55" spans="3:6" x14ac:dyDescent="0.25">
      <c r="E55" t="s">
        <v>149</v>
      </c>
    </row>
    <row r="56" spans="3:6" x14ac:dyDescent="0.25">
      <c r="F56" t="s">
        <v>151</v>
      </c>
    </row>
    <row r="58" spans="3:6" x14ac:dyDescent="0.25">
      <c r="C58" t="s">
        <v>154</v>
      </c>
    </row>
    <row r="59" spans="3:6" x14ac:dyDescent="0.25">
      <c r="D59" t="s">
        <v>156</v>
      </c>
    </row>
    <row r="60" spans="3:6" x14ac:dyDescent="0.25">
      <c r="D60" t="s">
        <v>158</v>
      </c>
      <c r="E60" t="s">
        <v>145</v>
      </c>
    </row>
    <row r="61" spans="3:6" x14ac:dyDescent="0.25">
      <c r="F61" t="s">
        <v>160</v>
      </c>
    </row>
    <row r="62" spans="3:6" x14ac:dyDescent="0.25">
      <c r="E62" t="s">
        <v>149</v>
      </c>
    </row>
    <row r="63" spans="3:6" x14ac:dyDescent="0.25">
      <c r="F63" t="s">
        <v>163</v>
      </c>
    </row>
    <row r="64" spans="3:6" x14ac:dyDescent="0.25">
      <c r="E64" t="s">
        <v>165</v>
      </c>
    </row>
    <row r="65" spans="6:8" x14ac:dyDescent="0.25">
      <c r="F65" t="s">
        <v>167</v>
      </c>
    </row>
    <row r="66" spans="6:8" x14ac:dyDescent="0.25">
      <c r="F66" t="s">
        <v>144</v>
      </c>
    </row>
    <row r="67" spans="6:8" x14ac:dyDescent="0.25">
      <c r="G67" t="s">
        <v>145</v>
      </c>
    </row>
    <row r="68" spans="6:8" x14ac:dyDescent="0.25">
      <c r="H68" t="s">
        <v>147</v>
      </c>
    </row>
    <row r="69" spans="6:8" x14ac:dyDescent="0.25">
      <c r="G69" t="s">
        <v>149</v>
      </c>
    </row>
    <row r="70" spans="6:8" x14ac:dyDescent="0.25">
      <c r="H70" t="s">
        <v>151</v>
      </c>
    </row>
  </sheetData>
  <mergeCells count="10">
    <mergeCell ref="T12:AE12"/>
    <mergeCell ref="AQ12:AT12"/>
    <mergeCell ref="T13:AE13"/>
    <mergeCell ref="AQ13:AT13"/>
    <mergeCell ref="F14:J14"/>
    <mergeCell ref="M14:Q14"/>
    <mergeCell ref="T14:X14"/>
    <mergeCell ref="AA14:AE14"/>
    <mergeCell ref="AI14:AM14"/>
    <mergeCell ref="AQ14:AT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70"/>
  <sheetViews>
    <sheetView workbookViewId="0">
      <selection activeCell="J56" sqref="J56:J57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5" max="35" width="10" customWidth="1"/>
    <col min="39" max="39" width="10.5703125" customWidth="1"/>
  </cols>
  <sheetData>
    <row r="1" spans="1:48" x14ac:dyDescent="0.25">
      <c r="C1" t="s">
        <v>0</v>
      </c>
      <c r="D1">
        <f>bounty*6</f>
        <v>0</v>
      </c>
      <c r="F1" t="s">
        <v>71</v>
      </c>
      <c r="G1">
        <v>0.34510000000000002</v>
      </c>
      <c r="I1" t="s">
        <v>72</v>
      </c>
      <c r="J1">
        <v>0.52800000000000002</v>
      </c>
      <c r="O1" s="75"/>
      <c r="S1" t="s">
        <v>73</v>
      </c>
      <c r="T1">
        <v>1404</v>
      </c>
    </row>
    <row r="2" spans="1:48" x14ac:dyDescent="0.25">
      <c r="C2" t="s">
        <v>1</v>
      </c>
      <c r="D2">
        <f>bounty</f>
        <v>0</v>
      </c>
      <c r="F2" t="s">
        <v>74</v>
      </c>
      <c r="G2">
        <v>0.17469999999999999</v>
      </c>
      <c r="I2" t="s">
        <v>75</v>
      </c>
      <c r="J2">
        <v>0.47199999999999998</v>
      </c>
      <c r="S2" t="s">
        <v>76</v>
      </c>
      <c r="T2">
        <v>144</v>
      </c>
    </row>
    <row r="3" spans="1:48" x14ac:dyDescent="0.25">
      <c r="C3" t="s">
        <v>77</v>
      </c>
      <c r="D3">
        <v>3000</v>
      </c>
      <c r="F3" t="s">
        <v>78</v>
      </c>
      <c r="G3">
        <v>0.48020000000000002</v>
      </c>
      <c r="S3" t="s">
        <v>79</v>
      </c>
      <c r="T3">
        <v>0</v>
      </c>
    </row>
    <row r="4" spans="1:48" x14ac:dyDescent="0.25">
      <c r="F4" t="s">
        <v>80</v>
      </c>
      <c r="G4">
        <v>0</v>
      </c>
      <c r="S4" t="s">
        <v>81</v>
      </c>
      <c r="T4">
        <v>20</v>
      </c>
    </row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10" spans="1:48" ht="18.75" x14ac:dyDescent="0.3">
      <c r="F10" s="84"/>
      <c r="G10" s="84"/>
      <c r="H10" s="84"/>
      <c r="I10" s="84"/>
      <c r="J10" s="84"/>
      <c r="K10" s="84"/>
    </row>
    <row r="11" spans="1:48" ht="19.5" thickBot="1" x14ac:dyDescent="0.35">
      <c r="F11" s="84"/>
      <c r="G11" s="84"/>
      <c r="H11" s="84"/>
      <c r="I11" s="84"/>
      <c r="J11" s="84"/>
      <c r="K11" s="84"/>
      <c r="V11" t="s">
        <v>92</v>
      </c>
      <c r="AC11" t="s">
        <v>93</v>
      </c>
    </row>
    <row r="12" spans="1:48" ht="20.25" thickTop="1" thickBot="1" x14ac:dyDescent="0.35">
      <c r="F12" s="84"/>
      <c r="G12" s="84"/>
      <c r="H12" s="84"/>
      <c r="I12" s="84"/>
      <c r="J12" s="84"/>
      <c r="K12" s="84"/>
      <c r="T12" s="132" t="s">
        <v>94</v>
      </c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41"/>
      <c r="AQ12" s="132" t="s">
        <v>95</v>
      </c>
      <c r="AR12" s="133"/>
      <c r="AS12" s="133"/>
      <c r="AT12" s="133"/>
    </row>
    <row r="13" spans="1:48" ht="20.25" thickTop="1" thickBot="1" x14ac:dyDescent="0.35">
      <c r="F13" s="84"/>
      <c r="G13" s="84"/>
      <c r="H13" s="84" t="s">
        <v>96</v>
      </c>
      <c r="I13" s="84"/>
      <c r="J13" s="84"/>
      <c r="K13" s="84"/>
      <c r="O13" t="s">
        <v>97</v>
      </c>
      <c r="T13" s="132" t="s">
        <v>98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K13" t="s">
        <v>99</v>
      </c>
      <c r="AQ13" s="132"/>
      <c r="AR13" s="133"/>
      <c r="AS13" s="133"/>
      <c r="AT13" s="133"/>
    </row>
    <row r="14" spans="1:48" ht="19.5" thickTop="1" x14ac:dyDescent="0.3">
      <c r="F14" s="134" t="s">
        <v>100</v>
      </c>
      <c r="G14" s="135"/>
      <c r="H14" s="135"/>
      <c r="I14" s="135"/>
      <c r="J14" s="136"/>
      <c r="K14" s="84"/>
      <c r="M14" s="134" t="s">
        <v>101</v>
      </c>
      <c r="N14" s="135"/>
      <c r="O14" s="135"/>
      <c r="P14" s="135"/>
      <c r="Q14" s="136"/>
      <c r="R14" s="84"/>
      <c r="T14" s="118" t="s">
        <v>102</v>
      </c>
      <c r="U14" s="119"/>
      <c r="V14" s="119"/>
      <c r="W14" s="119"/>
      <c r="X14" s="120"/>
      <c r="Y14" s="84"/>
      <c r="AA14" s="118" t="s">
        <v>103</v>
      </c>
      <c r="AB14" s="119"/>
      <c r="AC14" s="119"/>
      <c r="AD14" s="119"/>
      <c r="AE14" s="120"/>
      <c r="AG14">
        <f>'3wAdKd'!p3win*'3wAdKd'!mainpot</f>
        <v>674.20080000000007</v>
      </c>
      <c r="AI14" s="121" t="s">
        <v>10</v>
      </c>
      <c r="AJ14" s="122"/>
      <c r="AK14" s="122"/>
      <c r="AL14" s="122"/>
      <c r="AM14" s="123"/>
      <c r="AQ14" s="124" t="s">
        <v>104</v>
      </c>
      <c r="AR14" s="125"/>
      <c r="AS14" s="125"/>
      <c r="AT14" s="126"/>
    </row>
    <row r="15" spans="1:48" x14ac:dyDescent="0.25">
      <c r="A15" t="s">
        <v>105</v>
      </c>
      <c r="B15" t="s">
        <v>12</v>
      </c>
      <c r="C15" t="s">
        <v>13</v>
      </c>
      <c r="D15" t="s">
        <v>14</v>
      </c>
      <c r="F15" s="5" t="s">
        <v>107</v>
      </c>
      <c r="G15" t="s">
        <v>12</v>
      </c>
      <c r="H15" t="s">
        <v>108</v>
      </c>
      <c r="I15" t="s">
        <v>109</v>
      </c>
      <c r="J15" s="5" t="s">
        <v>1</v>
      </c>
      <c r="K15" s="5" t="s">
        <v>110</v>
      </c>
      <c r="M15" s="5" t="s">
        <v>107</v>
      </c>
      <c r="N15" s="5" t="s">
        <v>12</v>
      </c>
      <c r="O15" s="5" t="s">
        <v>108</v>
      </c>
      <c r="P15" s="5" t="s">
        <v>109</v>
      </c>
      <c r="Q15" s="5" t="s">
        <v>1</v>
      </c>
      <c r="R15" s="5" t="s">
        <v>110</v>
      </c>
      <c r="T15" s="5" t="s">
        <v>107</v>
      </c>
      <c r="U15" s="5" t="s">
        <v>12</v>
      </c>
      <c r="V15" s="5" t="s">
        <v>108</v>
      </c>
      <c r="W15" s="5" t="s">
        <v>109</v>
      </c>
      <c r="X15" s="5" t="s">
        <v>1</v>
      </c>
      <c r="Y15" s="5" t="s">
        <v>110</v>
      </c>
      <c r="AA15" s="5" t="s">
        <v>107</v>
      </c>
      <c r="AB15" s="5" t="s">
        <v>12</v>
      </c>
      <c r="AC15" s="5" t="s">
        <v>108</v>
      </c>
      <c r="AD15" s="5" t="s">
        <v>109</v>
      </c>
      <c r="AE15" s="5" t="s">
        <v>1</v>
      </c>
      <c r="AF15" t="s">
        <v>110</v>
      </c>
      <c r="AG15" t="s">
        <v>104</v>
      </c>
      <c r="AI15" s="5" t="s">
        <v>107</v>
      </c>
      <c r="AJ15" s="5" t="s">
        <v>12</v>
      </c>
      <c r="AK15" s="5" t="s">
        <v>108</v>
      </c>
      <c r="AL15" s="5" t="s">
        <v>109</v>
      </c>
      <c r="AM15" s="5" t="s">
        <v>1</v>
      </c>
      <c r="AN15" t="s">
        <v>110</v>
      </c>
      <c r="AQ15" s="5" t="s">
        <v>109</v>
      </c>
      <c r="AR15" s="5" t="s">
        <v>1</v>
      </c>
      <c r="AS15" s="5" t="s">
        <v>104</v>
      </c>
      <c r="AT15" s="5" t="s">
        <v>111</v>
      </c>
      <c r="AU15" t="s">
        <v>112</v>
      </c>
      <c r="AV15" t="s">
        <v>113</v>
      </c>
    </row>
    <row r="16" spans="1:48" x14ac:dyDescent="0.25">
      <c r="A16" s="26">
        <v>3</v>
      </c>
      <c r="B16" s="26">
        <v>454</v>
      </c>
      <c r="C16" s="26" t="s">
        <v>447</v>
      </c>
      <c r="D16" s="26"/>
      <c r="F16" s="73">
        <f>COUNTIF(T_p121[stack],"&gt;0")</f>
        <v>4</v>
      </c>
      <c r="G16" s="26">
        <f>IF(T_init20[[#This Row],[p]]=1,mainpot+sidepot1+sidepot2+uncalled,IF(T_init20[[#This Row],[p]]&gt;1,0,T_init20[[#This Row],[stack]]))</f>
        <v>0</v>
      </c>
      <c r="H16" s="26">
        <v>0.27529999999999999</v>
      </c>
      <c r="I16" s="27">
        <f>T_p121[[#This Row],[EQ]]*prize</f>
        <v>0</v>
      </c>
      <c r="J16" s="71">
        <f>IF(T_init20[[#This Row],[p]]=1,T_p121[[#This Row],[players]]*T_p121[[#This Row],[stack]]/chips+COUNTIF(T_p121[stack],0),T_p121[[#This Row],[players]]*T_p121[[#This Row],[stack]]/chips)</f>
        <v>0</v>
      </c>
      <c r="K16" s="71">
        <f>T_p121[[#This Row],[ICM]]+bounty*T_p121[[#This Row],[KO]]</f>
        <v>0</v>
      </c>
      <c r="M16" s="29">
        <f>COUNTIF(T_p222[stack],"&gt;0")</f>
        <v>5</v>
      </c>
      <c r="N16" s="26">
        <f>IF(T_init20[[#This Row],[p]]=1,uncalled,IF(T_init20[[#This Row],[p]]=2,mainpot+sidepot1+sidepot2,IF(T_init20[[#This Row],[p]]&gt;2,0,T_init20[[#This Row],[stack]])))</f>
        <v>0</v>
      </c>
      <c r="O16" s="26">
        <v>0.19750000000000001</v>
      </c>
      <c r="P16" s="27">
        <f>T_p222[[#This Row],[EQ]]*prize</f>
        <v>0</v>
      </c>
      <c r="Q16" s="71">
        <f>IF(T_init20[[#This Row],[p]]=2,T_p222[[#This Row],[players]]*T_p222[[#This Row],[stack]]/chips+COUNTIF(T_p222[stack],0),T_p222[[#This Row],[players]]*T_p222[[#This Row],[stack]]/chips)</f>
        <v>0</v>
      </c>
      <c r="R16" s="71">
        <f>T_p222[[#This Row],[ICM]]+bounty*T_p222[[#This Row],[KO]]</f>
        <v>0</v>
      </c>
      <c r="T16" s="73">
        <f>COUNTIF(T_p3p123[stack],"&gt;0")</f>
        <v>5</v>
      </c>
      <c r="U16" s="26">
        <f>IF(T_init20[[#This Row],[p]]=1,sidepot1+uncalled,IF(T_init20[[#This Row],[p]]=3,mainpot,IF(ISBLANK(T_init20[[#This Row],[p]]),T_init20[[#This Row],[stack]],0)))</f>
        <v>1404</v>
      </c>
      <c r="V16" s="26">
        <v>0.19489999999999999</v>
      </c>
      <c r="W16" s="27">
        <f>T_p3p123[[#This Row],[EQ]]*prize</f>
        <v>0</v>
      </c>
      <c r="X16" s="71">
        <f>IF(T_init20[[#This Row],[p]]=1,T_p3p123[[#This Row],[players]]*T_p3p123[[#This Row],[stack]]/chips+COUNTIF(T_p3p123[stack],0),T_p3p123[[#This Row],[players]]*T_p3p123[[#This Row],[stack]]/chips)</f>
        <v>2.34</v>
      </c>
      <c r="Y16" s="71">
        <f>T_p3p123[[#This Row],[ICM]]+bounty*T_p3p123[[#This Row],[KO]]</f>
        <v>0</v>
      </c>
      <c r="AA16" s="73">
        <f>COUNTIF(T_p3p224[stack],"&gt;0")</f>
        <v>6</v>
      </c>
      <c r="AB16" s="26">
        <f>IF(T_init20[[#This Row],[p]]=1,uncalled,IF(T_init20[[#This Row],[p]]=2,sidepot1,IF(T_init20[[#This Row],[p]]=3,mainpot,IF(ISBLANK(T_init20[[#This Row],[p]]),T_init20[[#This Row],[stack]],0))))</f>
        <v>1404</v>
      </c>
      <c r="AC16" s="26">
        <v>0.1943</v>
      </c>
      <c r="AD16" s="27">
        <f>T_p3p224[[#This Row],[EQ]]*prize</f>
        <v>0</v>
      </c>
      <c r="AE16" s="71">
        <f>IF(T_init20[[#This Row],[p]]=2,T_p3p224[[#This Row],[players]]*T_p3p224[[#This Row],[stack]]/chips+COUNTIF(T_p3p224[stack],0),T_p3p224[[#This Row],[players]]*T_p3p224[[#This Row],[stack]]/chips)</f>
        <v>2.8079999999999998</v>
      </c>
      <c r="AF16" s="71">
        <f>T_p3p224[[#This Row],[ICM]]+bounty*T_p3p224[[#This Row],[KO]]</f>
        <v>0</v>
      </c>
      <c r="AG16">
        <f>'3wAdKd'!p1win*T_p121[[#This Row],[stack]]
+'3wAdKd'!p2win*T_p222[[#This Row],[stack]]
+'3wAdKd'!p3win*(T_p3p123[[#This Row],[stack]]*'3wAdKd'!p1sp2win+'3wAdKd'!p2sp2win*T_p3p224[[#This Row],[stack]])-T_fact29[[#This Row],[stack]]</f>
        <v>0</v>
      </c>
      <c r="AI16" s="73">
        <f>COUNTIF(T_fact29[stack],"&gt;0")</f>
        <v>4</v>
      </c>
      <c r="AJ16" s="26">
        <f>IF(T_init20[[#This Row],[p]]=1,mainpot+sidepot1+sidepot2+uncalled,IF(T_init20[[#This Row],[p]]&gt;1,0,T_init20[[#This Row],[stack]]))</f>
        <v>0</v>
      </c>
      <c r="AK16" s="26">
        <v>0.19489999999999999</v>
      </c>
      <c r="AL16" s="27">
        <f>T_fact29[[#This Row],[EQ]]*prize</f>
        <v>0</v>
      </c>
      <c r="AM16" s="71">
        <f>IF(T_init20[[#This Row],[p]]=1,T_fact29[[#This Row],[players]]*T_fact29[[#This Row],[stack]]/chips+COUNTIF(T_fact29[stack],0),T_fact29[[#This Row],[players]]*T_fact29[[#This Row],[stack]]/chips)</f>
        <v>0</v>
      </c>
      <c r="AN16" s="71">
        <f>T_fact29[[#This Row],[ICM]]+bounty*T_fact29[[#This Row],[KO]]</f>
        <v>0</v>
      </c>
      <c r="AQ16" s="72">
        <f>'3wAdKd'!p3win* ('3wAdKd'!p1sp1win*T_p3p123[[#This Row],[ICM]] + '3wAdKd'!p2sp1win*T_p3p224[[#This Row],[ICM]])
+'3wAdKd'!p2win*T_p222[[#This Row],[ICM]]
+'3wAdKd'!p1win*T_p121[[#This Row],[ICM]]</f>
        <v>0</v>
      </c>
      <c r="AR16" s="33">
        <f>('3wAdKd'!p3win* ('3wAdKd'!p1sp1win*T_p3p123[[#This Row],[KO]] + '3wAdKd'!p2sp1win*T_p3p224[[#This Row],[KO]])
+'3wAdKd'!p2win*T_p222[[#This Row],[KO]]
+'3wAdKd'!p1win*T_p121[[#This Row],[KO]])*bounty</f>
        <v>0</v>
      </c>
      <c r="AS16" s="72">
        <f>'3wAdKd'!p3win* ('3wAdKd'!p1sp1win*T_p3p123[[#This Row],[$stack]] + '3wAdKd'!p2sp1win*T_p3p224[[#This Row],[$stack]])
+'3wAdKd'!p2win*T_p222[[#This Row],[$stack]]
+'3wAdKd'!p1win*T_p121[[#This Row],[$stack]]</f>
        <v>0</v>
      </c>
      <c r="AT16" s="33">
        <f>'3wAdKd'!p3win* ('3wAdKd'!p1sp1win*T_p3p123[[#This Row],[stack]] + '3wAdKd'!p2sp1win*T_p3p224[[#This Row],[stack]])
+'3wAdKd'!p2win*T_p222[[#This Row],[stack]]
+'3wAdKd'!p1win*T_p121[[#This Row],[stack]]</f>
        <v>674.20080000000007</v>
      </c>
      <c r="AU16" s="2">
        <f>T_EV33[[#This Row],[chipEV]]-T_fact29[[#This Row],[stack]]</f>
        <v>674.20080000000007</v>
      </c>
      <c r="AV16" s="2">
        <f>T_EV33[[#This Row],[EV]]-(T_fact29[[#This Row],[ICM]]+bounty*T_fact29[[#This Row],[KO]])</f>
        <v>0</v>
      </c>
    </row>
    <row r="17" spans="1:48" x14ac:dyDescent="0.25">
      <c r="B17">
        <v>494</v>
      </c>
      <c r="F17" s="5">
        <f>COUNTIF(T_p121[stack],"&gt;0")</f>
        <v>4</v>
      </c>
      <c r="G17">
        <f>IF(T_init20[[#This Row],[p]]=1,mainpot+sidepot1+sidepot2+uncalled,IF(T_init20[[#This Row],[p]]&gt;1,0,T_init20[[#This Row],[stack]]))</f>
        <v>494</v>
      </c>
      <c r="I17" s="2">
        <f>T_p121[[#This Row],[EQ]]*prize</f>
        <v>0</v>
      </c>
      <c r="J17" s="66">
        <f>IF(T_init20[[#This Row],[p]]=1,T_p121[[#This Row],[players]]*T_p121[[#This Row],[stack]]/chips+COUNTIF(T_p121[stack],0),T_p121[[#This Row],[players]]*T_p121[[#This Row],[stack]]/chips)</f>
        <v>0.65866666666666662</v>
      </c>
      <c r="K17" s="66">
        <f>T_p121[[#This Row],[ICM]]+bounty*T_p121[[#This Row],[KO]]</f>
        <v>0</v>
      </c>
      <c r="M17" s="10">
        <f>COUNTIF(T_p222[stack],"&gt;0")</f>
        <v>5</v>
      </c>
      <c r="N17" s="26">
        <f>IF(T_init20[[#This Row],[p]]=1,uncalled,IF(T_init20[[#This Row],[p]]=2,mainpot+sidepot1+sidepot2,IF(T_init20[[#This Row],[p]]&gt;2,0,T_init20[[#This Row],[stack]])))</f>
        <v>494</v>
      </c>
      <c r="P17" s="2">
        <f>T_p222[[#This Row],[EQ]]*prize</f>
        <v>0</v>
      </c>
      <c r="Q17" s="66">
        <f>IF(T_init20[[#This Row],[p]]=2,T_p222[[#This Row],[players]]*T_p222[[#This Row],[stack]]/chips+COUNTIF(T_p222[stack],0),T_p222[[#This Row],[players]]*T_p222[[#This Row],[stack]]/chips)</f>
        <v>0.82333333333333336</v>
      </c>
      <c r="R17" s="66">
        <f>T_p222[[#This Row],[ICM]]+bounty*T_p222[[#This Row],[KO]]</f>
        <v>0</v>
      </c>
      <c r="T17" s="5">
        <f>COUNTIF(T_p3p123[stack],"&gt;0")</f>
        <v>5</v>
      </c>
      <c r="U17" s="26">
        <f>IF(T_init20[[#This Row],[p]]=1,sidepot1+uncalled,IF(T_init20[[#This Row],[p]]=3,mainpot,IF(ISBLANK(T_init20[[#This Row],[p]]),T_init20[[#This Row],[stack]],0)))</f>
        <v>494</v>
      </c>
      <c r="V17">
        <v>0</v>
      </c>
      <c r="W17" s="2">
        <f>T_p3p123[[#This Row],[EQ]]*prize</f>
        <v>0</v>
      </c>
      <c r="X17" s="66">
        <f>IF(T_init20[[#This Row],[p]]=1,T_p3p123[[#This Row],[players]]*T_p3p123[[#This Row],[stack]]/chips+COUNTIF(T_p3p123[stack],0),T_p3p123[[#This Row],[players]]*T_p3p123[[#This Row],[stack]]/chips)</f>
        <v>0.82333333333333336</v>
      </c>
      <c r="Y17" s="66">
        <f>T_p3p123[[#This Row],[ICM]]+bounty*T_p3p123[[#This Row],[KO]]</f>
        <v>0</v>
      </c>
      <c r="AA17" s="5">
        <f>COUNTIF(T_p3p224[stack],"&gt;0")</f>
        <v>6</v>
      </c>
      <c r="AB17">
        <f>IF(T_init20[[#This Row],[p]]=1,uncalled,IF(T_init20[[#This Row],[p]]=2,sidepot1,IF(T_init20[[#This Row],[p]]=3,mainpot,IF(ISBLANK(T_init20[[#This Row],[p]]),T_init20[[#This Row],[stack]],0))))</f>
        <v>494</v>
      </c>
      <c r="AC17">
        <v>0</v>
      </c>
      <c r="AD17" s="2">
        <f>T_p3p224[[#This Row],[EQ]]*prize</f>
        <v>0</v>
      </c>
      <c r="AE17" s="66">
        <f>IF(T_init20[[#This Row],[p]]=2,T_p3p224[[#This Row],[players]]*T_p3p224[[#This Row],[stack]]/chips+COUNTIF(T_p3p224[stack],0),T_p3p224[[#This Row],[players]]*T_p3p224[[#This Row],[stack]]/chips)</f>
        <v>0.98799999999999999</v>
      </c>
      <c r="AF17" s="16">
        <f>T_p3p224[[#This Row],[ICM]]+bounty*T_p3p224[[#This Row],[KO]]</f>
        <v>0</v>
      </c>
      <c r="AG17">
        <f>'3wAdKd'!p1win*T_p121[[#This Row],[stack]]
+'3wAdKd'!p2win*T_p222[[#This Row],[stack]]
+'3wAdKd'!p3win*(T_p3p123[[#This Row],[stack]]*'3wAdKd'!p1sp2win+'3wAdKd'!p2sp2win*T_p3p224[[#This Row],[stack]])-T_fact29[[#This Row],[stack]]</f>
        <v>-237.21879999999999</v>
      </c>
      <c r="AI17" s="73">
        <f>COUNTIF(T_fact29[stack],"&gt;0")</f>
        <v>4</v>
      </c>
      <c r="AJ17" s="26">
        <f>IF(T_init20[[#This Row],[p]]=1,mainpot+sidepot1+sidepot2+uncalled,IF(T_init20[[#This Row],[p]]&gt;1,0,T_init20[[#This Row],[stack]]))</f>
        <v>494</v>
      </c>
      <c r="AK17">
        <v>0</v>
      </c>
      <c r="AL17" s="2">
        <f>T_fact29[[#This Row],[EQ]]*prize</f>
        <v>0</v>
      </c>
      <c r="AM17" s="66">
        <f>IF(T_init20[[#This Row],[p]]=1,T_fact29[[#This Row],[players]]*T_fact29[[#This Row],[stack]]/chips+COUNTIF(T_fact29[stack],0),T_fact29[[#This Row],[players]]*T_fact29[[#This Row],[stack]]/chips)</f>
        <v>0.65866666666666662</v>
      </c>
      <c r="AN17" s="16">
        <f>T_fact29[[#This Row],[ICM]]+bounty*T_fact29[[#This Row],[KO]]</f>
        <v>0</v>
      </c>
      <c r="AQ17" s="68">
        <f>'3wAdKd'!p3win* ('3wAdKd'!p1sp1win*T_p3p123[[#This Row],[ICM]] + '3wAdKd'!p2sp1win*T_p3p224[[#This Row],[ICM]])
+'3wAdKd'!p2win*T_p222[[#This Row],[ICM]]
+'3wAdKd'!p1win*T_p121[[#This Row],[ICM]]</f>
        <v>0</v>
      </c>
      <c r="AR17" s="68">
        <f>('3wAdKd'!p3win* ('3wAdKd'!p1sp1win*T_p3p123[[#This Row],[KO]] + '3wAdKd'!p2sp1win*T_p3p224[[#This Row],[KO]])
+'3wAdKd'!p2win*T_p222[[#This Row],[KO]]
+'3wAdKd'!p1win*T_p121[[#This Row],[KO]])*bounty</f>
        <v>0</v>
      </c>
      <c r="AS17" s="68">
        <f>'3wAdKd'!p3win* ('3wAdKd'!p1sp1win*T_p3p123[[#This Row],[$stack]] + '3wAdKd'!p2sp1win*T_p3p224[[#This Row],[$stack]])
+'3wAdKd'!p2win*T_p222[[#This Row],[$stack]]
+'3wAdKd'!p1win*T_p121[[#This Row],[$stack]]</f>
        <v>0</v>
      </c>
      <c r="AT17" s="68">
        <f>'3wAdKd'!p3win* ('3wAdKd'!p1sp1win*T_p3p123[[#This Row],[stack]] + '3wAdKd'!p2sp1win*T_p3p224[[#This Row],[stack]])
+'3wAdKd'!p2win*T_p222[[#This Row],[stack]]
+'3wAdKd'!p1win*T_p121[[#This Row],[stack]]</f>
        <v>494</v>
      </c>
      <c r="AU17" s="2">
        <f>T_EV33[[#This Row],[chipEV]]-T_fact29[[#This Row],[stack]]</f>
        <v>0</v>
      </c>
      <c r="AV17" s="2">
        <f>T_EV33[[#This Row],[EV]]-(T_fact29[[#This Row],[ICM]]+bounty*T_fact29[[#This Row],[KO]])</f>
        <v>0</v>
      </c>
    </row>
    <row r="18" spans="1:48" x14ac:dyDescent="0.25">
      <c r="A18">
        <v>2</v>
      </c>
      <c r="B18">
        <v>526</v>
      </c>
      <c r="C18" t="s">
        <v>448</v>
      </c>
      <c r="F18" s="5">
        <f>COUNTIF(T_p121[stack],"&gt;0")</f>
        <v>4</v>
      </c>
      <c r="G18">
        <f>IF(T_init20[[#This Row],[p]]=1,mainpot+sidepot1+sidepot2+uncalled,IF(T_init20[[#This Row],[p]]&gt;1,0,T_init20[[#This Row],[stack]]))</f>
        <v>0</v>
      </c>
      <c r="I18" s="2">
        <f>T_p121[[#This Row],[EQ]]*prize</f>
        <v>0</v>
      </c>
      <c r="J18" s="66">
        <f>IF(T_init20[[#This Row],[p]]=1,T_p121[[#This Row],[players]]*T_p121[[#This Row],[stack]]/chips+COUNTIF(T_p121[stack],0),T_p121[[#This Row],[players]]*T_p121[[#This Row],[stack]]/chips)</f>
        <v>0</v>
      </c>
      <c r="K18" s="66">
        <f>T_p121[[#This Row],[ICM]]+bounty*T_p121[[#This Row],[KO]]</f>
        <v>0</v>
      </c>
      <c r="M18" s="10">
        <f>COUNTIF(T_p222[stack],"&gt;0")</f>
        <v>5</v>
      </c>
      <c r="N18" s="26">
        <f>IF(T_init20[[#This Row],[p]]=1,uncalled,IF(T_init20[[#This Row],[p]]=2,mainpot+sidepot1+sidepot2,IF(T_init20[[#This Row],[p]]&gt;2,0,T_init20[[#This Row],[stack]])))</f>
        <v>1548</v>
      </c>
      <c r="O18">
        <v>0.39929999999999999</v>
      </c>
      <c r="P18" s="2">
        <f>T_p222[[#This Row],[EQ]]*prize</f>
        <v>0</v>
      </c>
      <c r="Q18" s="66">
        <f>IF(T_init20[[#This Row],[p]]=2,T_p222[[#This Row],[players]]*T_p222[[#This Row],[stack]]/chips+COUNTIF(T_p222[stack],0),T_p222[[#This Row],[players]]*T_p222[[#This Row],[stack]]/chips)</f>
        <v>3.58</v>
      </c>
      <c r="R18" s="66">
        <f>T_p222[[#This Row],[ICM]]+bounty*T_p222[[#This Row],[KO]]</f>
        <v>0</v>
      </c>
      <c r="T18" s="5">
        <f>COUNTIF(T_p3p123[stack],"&gt;0")</f>
        <v>5</v>
      </c>
      <c r="U18" s="26">
        <f>IF(T_init20[[#This Row],[p]]=1,sidepot1+uncalled,IF(T_init20[[#This Row],[p]]=3,mainpot,IF(ISBLANK(T_init20[[#This Row],[p]]),T_init20[[#This Row],[stack]],0)))</f>
        <v>0</v>
      </c>
      <c r="V18">
        <v>0</v>
      </c>
      <c r="W18" s="2">
        <f>T_p3p123[[#This Row],[EQ]]*prize</f>
        <v>0</v>
      </c>
      <c r="X18" s="66">
        <f>IF(T_init20[[#This Row],[p]]=1,T_p3p123[[#This Row],[players]]*T_p3p123[[#This Row],[stack]]/chips+COUNTIF(T_p3p123[stack],0),T_p3p123[[#This Row],[players]]*T_p3p123[[#This Row],[stack]]/chips)</f>
        <v>0</v>
      </c>
      <c r="Y18" s="66">
        <f>T_p3p123[[#This Row],[ICM]]+bounty*T_p3p123[[#This Row],[KO]]</f>
        <v>0</v>
      </c>
      <c r="AA18" s="5">
        <f>COUNTIF(T_p3p224[stack],"&gt;0")</f>
        <v>6</v>
      </c>
      <c r="AB18">
        <f>IF(T_init20[[#This Row],[p]]=1,uncalled,IF(T_init20[[#This Row],[p]]=2,sidepot1,IF(T_init20[[#This Row],[p]]=3,mainpot,IF(ISBLANK(T_init20[[#This Row],[p]]),T_init20[[#This Row],[stack]],0))))</f>
        <v>144</v>
      </c>
      <c r="AC18">
        <v>1.7000000000000001E-2</v>
      </c>
      <c r="AD18" s="2">
        <f>T_p3p224[[#This Row],[EQ]]*prize</f>
        <v>0</v>
      </c>
      <c r="AE18" s="66">
        <f>IF(T_init20[[#This Row],[p]]=2,T_p3p224[[#This Row],[players]]*T_p3p224[[#This Row],[stack]]/chips+COUNTIF(T_p3p224[stack],0),T_p3p224[[#This Row],[players]]*T_p3p224[[#This Row],[stack]]/chips)</f>
        <v>0.28799999999999998</v>
      </c>
      <c r="AF18" s="16">
        <f>T_p3p224[[#This Row],[ICM]]+bounty*T_p3p224[[#This Row],[KO]]</f>
        <v>0</v>
      </c>
      <c r="AG18">
        <f>'3wAdKd'!p1win*T_p121[[#This Row],[stack]]
+'3wAdKd'!p2win*T_p222[[#This Row],[stack]]
+'3wAdKd'!p3win*(T_p3p123[[#This Row],[stack]]*'3wAdKd'!p1sp2win+'3wAdKd'!p2sp2win*T_p3p224[[#This Row],[stack]])-T_fact29[[#This Row],[stack]]</f>
        <v>270.43559999999997</v>
      </c>
      <c r="AI18" s="73">
        <f>COUNTIF(T_fact29[stack],"&gt;0")</f>
        <v>4</v>
      </c>
      <c r="AJ18" s="26">
        <f>IF(T_init20[[#This Row],[p]]=1,mainpot+sidepot1+sidepot2+uncalled,IF(T_init20[[#This Row],[p]]&gt;1,0,T_init20[[#This Row],[stack]]))</f>
        <v>0</v>
      </c>
      <c r="AK18">
        <v>0</v>
      </c>
      <c r="AL18" s="2">
        <f>T_fact29[[#This Row],[EQ]]*prize</f>
        <v>0</v>
      </c>
      <c r="AM18" s="66">
        <f>IF(T_init20[[#This Row],[p]]=1,T_fact29[[#This Row],[players]]*T_fact29[[#This Row],[stack]]/chips+COUNTIF(T_fact29[stack],0),T_fact29[[#This Row],[players]]*T_fact29[[#This Row],[stack]]/chips)</f>
        <v>0</v>
      </c>
      <c r="AN18" s="16">
        <f>T_fact29[[#This Row],[ICM]]+bounty*T_fact29[[#This Row],[KO]]</f>
        <v>0</v>
      </c>
      <c r="AQ18" s="68">
        <f>'3wAdKd'!p3win* ('3wAdKd'!p1sp1win*T_p3p123[[#This Row],[ICM]] + '3wAdKd'!p2sp1win*T_p3p224[[#This Row],[ICM]])
+'3wAdKd'!p2win*T_p222[[#This Row],[ICM]]
+'3wAdKd'!p1win*T_p121[[#This Row],[ICM]]</f>
        <v>0</v>
      </c>
      <c r="AR18" s="68">
        <f>('3wAdKd'!p3win* ('3wAdKd'!p1sp1win*T_p3p123[[#This Row],[KO]] + '3wAdKd'!p2sp1win*T_p3p224[[#This Row],[KO]])
+'3wAdKd'!p2win*T_p222[[#This Row],[KO]]
+'3wAdKd'!p1win*T_p121[[#This Row],[KO]])*bounty</f>
        <v>0</v>
      </c>
      <c r="AS18" s="68">
        <f>'3wAdKd'!p3win* ('3wAdKd'!p1sp1win*T_p3p123[[#This Row],[$stack]] + '3wAdKd'!p2sp1win*T_p3p224[[#This Row],[$stack]])
+'3wAdKd'!p2win*T_p222[[#This Row],[$stack]]
+'3wAdKd'!p1win*T_p121[[#This Row],[$stack]]</f>
        <v>0</v>
      </c>
      <c r="AT18" s="68">
        <f>'3wAdKd'!p3win* ('3wAdKd'!p1sp1win*T_p3p123[[#This Row],[stack]] + '3wAdKd'!p2sp1win*T_p3p224[[#This Row],[stack]])
+'3wAdKd'!p2win*T_p222[[#This Row],[stack]]
+'3wAdKd'!p1win*T_p121[[#This Row],[stack]]</f>
        <v>303.07383359999994</v>
      </c>
      <c r="AU18" s="2">
        <f>T_EV33[[#This Row],[chipEV]]-T_fact29[[#This Row],[stack]]</f>
        <v>303.07383359999994</v>
      </c>
      <c r="AV18" s="2">
        <f>T_EV33[[#This Row],[EV]]-(T_fact29[[#This Row],[ICM]]+bounty*T_fact29[[#This Row],[KO]])</f>
        <v>0</v>
      </c>
    </row>
    <row r="19" spans="1:48" x14ac:dyDescent="0.25">
      <c r="A19" s="26">
        <v>1</v>
      </c>
      <c r="B19" s="26">
        <v>546</v>
      </c>
      <c r="C19" s="26" t="s">
        <v>449</v>
      </c>
      <c r="D19" s="26"/>
      <c r="F19" s="73">
        <f>COUNTIF(T_p121[stack],"&gt;0")</f>
        <v>4</v>
      </c>
      <c r="G19" s="26">
        <f>IF(T_init20[[#This Row],[p]]=1,mainpot+sidepot1+sidepot2+uncalled,IF(T_init20[[#This Row],[p]]&gt;1,0,T_init20[[#This Row],[stack]]))</f>
        <v>1568</v>
      </c>
      <c r="H19" s="26"/>
      <c r="I19" s="27">
        <f>T_p121[[#This Row],[EQ]]*prize</f>
        <v>0</v>
      </c>
      <c r="J19" s="71">
        <f>IF(T_init20[[#This Row],[p]]=1,T_p121[[#This Row],[players]]*T_p121[[#This Row],[stack]]/chips+COUNTIF(T_p121[stack],0),T_p121[[#This Row],[players]]*T_p121[[#This Row],[stack]]/chips)</f>
        <v>4.0906666666666665</v>
      </c>
      <c r="K19" s="71">
        <f>T_p121[[#This Row],[ICM]]+bounty*T_p121[[#This Row],[KO]]</f>
        <v>0</v>
      </c>
      <c r="M19" s="29">
        <f>COUNTIF(T_p222[stack],"&gt;0")</f>
        <v>5</v>
      </c>
      <c r="N19" s="26">
        <f>IF(T_init20[[#This Row],[p]]=1,uncalled,IF(T_init20[[#This Row],[p]]=2,mainpot+sidepot1+sidepot2,IF(T_init20[[#This Row],[p]]&gt;2,0,T_init20[[#This Row],[stack]])))</f>
        <v>20</v>
      </c>
      <c r="O19" s="26"/>
      <c r="P19" s="27">
        <f>T_p222[[#This Row],[EQ]]*prize</f>
        <v>0</v>
      </c>
      <c r="Q19" s="71">
        <f>IF(T_init20[[#This Row],[p]]=2,T_p222[[#This Row],[players]]*T_p222[[#This Row],[stack]]/chips+COUNTIF(T_p222[stack],0),T_p222[[#This Row],[players]]*T_p222[[#This Row],[stack]]/chips)</f>
        <v>3.3333333333333333E-2</v>
      </c>
      <c r="R19" s="71">
        <f>T_p222[[#This Row],[ICM]]+bounty*T_p222[[#This Row],[KO]]</f>
        <v>0</v>
      </c>
      <c r="T19" s="73">
        <f>COUNTIF(T_p3p123[stack],"&gt;0")</f>
        <v>5</v>
      </c>
      <c r="U19" s="26">
        <f>IF(T_init20[[#This Row],[p]]=1,sidepot1+uncalled,IF(T_init20[[#This Row],[p]]=3,mainpot,IF(ISBLANK(T_init20[[#This Row],[p]]),T_init20[[#This Row],[stack]],0)))</f>
        <v>164</v>
      </c>
      <c r="V19" s="26">
        <v>0.39350000000000002</v>
      </c>
      <c r="W19" s="27">
        <f>T_p3p123[[#This Row],[EQ]]*prize</f>
        <v>0</v>
      </c>
      <c r="X19" s="71">
        <f>IF(T_init20[[#This Row],[p]]=1,T_p3p123[[#This Row],[players]]*T_p3p123[[#This Row],[stack]]/chips+COUNTIF(T_p3p123[stack],0),T_p3p123[[#This Row],[players]]*T_p3p123[[#This Row],[stack]]/chips)</f>
        <v>1.2733333333333334</v>
      </c>
      <c r="Y19" s="71">
        <f>T_p3p123[[#This Row],[ICM]]+bounty*T_p3p123[[#This Row],[KO]]</f>
        <v>0</v>
      </c>
      <c r="AA19" s="73">
        <f>COUNTIF(T_p3p224[stack],"&gt;0")</f>
        <v>6</v>
      </c>
      <c r="AB19" s="26">
        <f>IF(T_init20[[#This Row],[p]]=1,uncalled,IF(T_init20[[#This Row],[p]]=2,sidepot1,IF(T_init20[[#This Row],[p]]=3,mainpot,IF(ISBLANK(T_init20[[#This Row],[p]]),T_init20[[#This Row],[stack]],0))))</f>
        <v>20</v>
      </c>
      <c r="AC19" s="26">
        <v>0.39190000000000003</v>
      </c>
      <c r="AD19" s="27">
        <f>T_p3p224[[#This Row],[EQ]]*prize</f>
        <v>0</v>
      </c>
      <c r="AE19" s="71">
        <f>IF(T_init20[[#This Row],[p]]=2,T_p3p224[[#This Row],[players]]*T_p3p224[[#This Row],[stack]]/chips+COUNTIF(T_p3p224[stack],0),T_p3p224[[#This Row],[players]]*T_p3p224[[#This Row],[stack]]/chips)</f>
        <v>0.04</v>
      </c>
      <c r="AF19" s="16">
        <f>T_p3p224[[#This Row],[ICM]]+bounty*T_p3p224[[#This Row],[KO]]</f>
        <v>0</v>
      </c>
      <c r="AG19">
        <f>'3wAdKd'!p1win*T_p121[[#This Row],[stack]]
+'3wAdKd'!p2win*T_p222[[#This Row],[stack]]
+'3wAdKd'!p3win*(T_p3p123[[#This Row],[stack]]*'3wAdKd'!p1sp2win+'3wAdKd'!p2sp2win*T_p3p224[[#This Row],[stack]])-T_fact29[[#This Row],[stack]]</f>
        <v>-1023.3892</v>
      </c>
      <c r="AI19" s="73">
        <f>COUNTIF(T_fact29[stack],"&gt;0")</f>
        <v>4</v>
      </c>
      <c r="AJ19" s="26">
        <f>IF(T_init20[[#This Row],[p]]=1,mainpot+sidepot1+sidepot2+uncalled,IF(T_init20[[#This Row],[p]]&gt;1,0,T_init20[[#This Row],[stack]]))</f>
        <v>1568</v>
      </c>
      <c r="AK19" s="26">
        <v>0.39350000000000002</v>
      </c>
      <c r="AL19" s="27">
        <f>T_fact29[[#This Row],[EQ]]*prize</f>
        <v>0</v>
      </c>
      <c r="AM19" s="71">
        <f>IF(T_init20[[#This Row],[p]]=1,T_fact29[[#This Row],[players]]*T_fact29[[#This Row],[stack]]/chips+COUNTIF(T_fact29[stack],0),T_fact29[[#This Row],[players]]*T_fact29[[#This Row],[stack]]/chips)</f>
        <v>4.0906666666666665</v>
      </c>
      <c r="AN19" s="16">
        <f>T_fact29[[#This Row],[ICM]]+bounty*T_fact29[[#This Row],[KO]]</f>
        <v>0</v>
      </c>
      <c r="AQ19" s="68">
        <f>'3wAdKd'!p3win* ('3wAdKd'!p1sp1win*T_p3p123[[#This Row],[ICM]] + '3wAdKd'!p2sp1win*T_p3p224[[#This Row],[ICM]])
+'3wAdKd'!p2win*T_p222[[#This Row],[ICM]]
+'3wAdKd'!p1win*T_p121[[#This Row],[ICM]]</f>
        <v>0</v>
      </c>
      <c r="AR19" s="72">
        <f>('3wAdKd'!p3win* ('3wAdKd'!p1sp1win*T_p3p123[[#This Row],[KO]] + '3wAdKd'!p2sp1win*T_p3p224[[#This Row],[KO]])
+'3wAdKd'!p2win*T_p222[[#This Row],[KO]]
+'3wAdKd'!p1win*T_p121[[#This Row],[KO]])*bounty</f>
        <v>0</v>
      </c>
      <c r="AS19" s="72">
        <f>'3wAdKd'!p3win* ('3wAdKd'!p1sp1win*T_p3p123[[#This Row],[$stack]] + '3wAdKd'!p2sp1win*T_p3p224[[#This Row],[$stack]])
+'3wAdKd'!p2win*T_p222[[#This Row],[$stack]]
+'3wAdKd'!p1win*T_p121[[#This Row],[$stack]]</f>
        <v>0</v>
      </c>
      <c r="AT19" s="72">
        <f>'3wAdKd'!p3win* ('3wAdKd'!p1sp1win*T_p3p123[[#This Row],[stack]] + '3wAdKd'!p2sp1win*T_p3p224[[#This Row],[stack]])
+'3wAdKd'!p2win*T_p222[[#This Row],[stack]]
+'3wAdKd'!p1win*T_p121[[#This Row],[stack]]</f>
        <v>590.72536639999998</v>
      </c>
      <c r="AU19" s="2">
        <f>T_EV33[[#This Row],[chipEV]]-T_fact29[[#This Row],[stack]]</f>
        <v>-977.27463360000002</v>
      </c>
      <c r="AV19" s="2">
        <f>T_EV33[[#This Row],[EV]]-(T_fact29[[#This Row],[ICM]]+bounty*T_fact29[[#This Row],[KO]])</f>
        <v>0</v>
      </c>
    </row>
    <row r="20" spans="1:48" x14ac:dyDescent="0.25">
      <c r="B20">
        <v>464</v>
      </c>
      <c r="F20" s="5">
        <f>COUNTIF(T_p121[stack],"&gt;0")</f>
        <v>4</v>
      </c>
      <c r="G20">
        <f>IF(T_init20[[#This Row],[p]]=1,mainpot+sidepot1+sidepot2+uncalled,IF(T_init20[[#This Row],[p]]&gt;1,0,T_init20[[#This Row],[stack]]))</f>
        <v>464</v>
      </c>
      <c r="H20">
        <v>0.25459999999999999</v>
      </c>
      <c r="I20" s="2">
        <f>T_p121[[#This Row],[EQ]]*prize</f>
        <v>0</v>
      </c>
      <c r="J20" s="66">
        <f>IF(T_init20[[#This Row],[p]]=1,T_p121[[#This Row],[players]]*T_p121[[#This Row],[stack]]/chips+COUNTIF(T_p121[stack],0),T_p121[[#This Row],[players]]*T_p121[[#This Row],[stack]]/chips)</f>
        <v>0.6186666666666667</v>
      </c>
      <c r="K20" s="66">
        <f>T_p121[[#This Row],[ICM]]+bounty*T_p121[[#This Row],[KO]]</f>
        <v>0</v>
      </c>
      <c r="M20" s="10">
        <f>COUNTIF(T_p222[stack],"&gt;0")</f>
        <v>5</v>
      </c>
      <c r="N20" s="26">
        <f>IF(T_init20[[#This Row],[p]]=1,uncalled,IF(T_init20[[#This Row],[p]]=2,mainpot+sidepot1+sidepot2,IF(T_init20[[#This Row],[p]]&gt;2,0,T_init20[[#This Row],[stack]])))</f>
        <v>464</v>
      </c>
      <c r="O20">
        <v>0.18659999999999999</v>
      </c>
      <c r="P20" s="2">
        <f>T_p222[[#This Row],[EQ]]*prize</f>
        <v>0</v>
      </c>
      <c r="Q20" s="66">
        <f>IF(T_init20[[#This Row],[p]]=2,T_p222[[#This Row],[players]]*T_p222[[#This Row],[stack]]/chips+COUNTIF(T_p222[stack],0),T_p222[[#This Row],[players]]*T_p222[[#This Row],[stack]]/chips)</f>
        <v>0.77333333333333332</v>
      </c>
      <c r="R20" s="66">
        <f>T_p222[[#This Row],[ICM]]+bounty*T_p222[[#This Row],[KO]]</f>
        <v>0</v>
      </c>
      <c r="T20" s="5">
        <f>COUNTIF(T_p3p123[stack],"&gt;0")</f>
        <v>5</v>
      </c>
      <c r="U20" s="26">
        <f>IF(T_init20[[#This Row],[p]]=1,sidepot1+uncalled,IF(T_init20[[#This Row],[p]]=3,mainpot,IF(ISBLANK(T_init20[[#This Row],[p]]),T_init20[[#This Row],[stack]],0)))</f>
        <v>464</v>
      </c>
      <c r="V20">
        <v>0.1842</v>
      </c>
      <c r="W20" s="2">
        <f>T_p3p123[[#This Row],[EQ]]*prize</f>
        <v>0</v>
      </c>
      <c r="X20" s="66">
        <f>IF(T_init20[[#This Row],[p]]=1,T_p3p123[[#This Row],[players]]*T_p3p123[[#This Row],[stack]]/chips+COUNTIF(T_p3p123[stack],0),T_p3p123[[#This Row],[players]]*T_p3p123[[#This Row],[stack]]/chips)</f>
        <v>0.77333333333333332</v>
      </c>
      <c r="Y20" s="66">
        <f>T_p3p123[[#This Row],[ICM]]+bounty*T_p3p123[[#This Row],[KO]]</f>
        <v>0</v>
      </c>
      <c r="AA20" s="5">
        <f>COUNTIF(T_p3p224[stack],"&gt;0")</f>
        <v>6</v>
      </c>
      <c r="AB20">
        <f>IF(T_init20[[#This Row],[p]]=1,uncalled,IF(T_init20[[#This Row],[p]]=2,sidepot1,IF(T_init20[[#This Row],[p]]=3,mainpot,IF(ISBLANK(T_init20[[#This Row],[p]]),T_init20[[#This Row],[stack]],0))))</f>
        <v>464</v>
      </c>
      <c r="AC20">
        <v>0.18360000000000001</v>
      </c>
      <c r="AD20" s="2">
        <f>T_p3p224[[#This Row],[EQ]]*prize</f>
        <v>0</v>
      </c>
      <c r="AE20" s="66">
        <f>IF(T_init20[[#This Row],[p]]=2,T_p3p224[[#This Row],[players]]*T_p3p224[[#This Row],[stack]]/chips+COUNTIF(T_p3p224[stack],0),T_p3p224[[#This Row],[players]]*T_p3p224[[#This Row],[stack]]/chips)</f>
        <v>0.92800000000000005</v>
      </c>
      <c r="AF20" s="16">
        <f>T_p3p224[[#This Row],[ICM]]+bounty*T_p3p224[[#This Row],[KO]]</f>
        <v>0</v>
      </c>
      <c r="AG20">
        <f>'3wAdKd'!p1win*T_p121[[#This Row],[stack]]
+'3wAdKd'!p2win*T_p222[[#This Row],[stack]]
+'3wAdKd'!p3win*(T_p3p123[[#This Row],[stack]]*'3wAdKd'!p1sp2win+'3wAdKd'!p2sp2win*T_p3p224[[#This Row],[stack]])-T_fact29[[#This Row],[stack]]</f>
        <v>-222.81279999999998</v>
      </c>
      <c r="AI20" s="73">
        <f>COUNTIF(T_fact29[stack],"&gt;0")</f>
        <v>4</v>
      </c>
      <c r="AJ20" s="26">
        <f>IF(T_init20[[#This Row],[p]]=1,mainpot+sidepot1+sidepot2+uncalled,IF(T_init20[[#This Row],[p]]&gt;1,0,T_init20[[#This Row],[stack]]))</f>
        <v>464</v>
      </c>
      <c r="AK20">
        <v>0.1842</v>
      </c>
      <c r="AL20" s="2">
        <f>T_fact29[[#This Row],[EQ]]*prize</f>
        <v>0</v>
      </c>
      <c r="AM20" s="66">
        <f>IF(T_init20[[#This Row],[p]]=1,T_fact29[[#This Row],[players]]*T_fact29[[#This Row],[stack]]/chips+COUNTIF(T_fact29[stack],0),T_fact29[[#This Row],[players]]*T_fact29[[#This Row],[stack]]/chips)</f>
        <v>0.6186666666666667</v>
      </c>
      <c r="AN20" s="16">
        <f>T_fact29[[#This Row],[ICM]]+bounty*T_fact29[[#This Row],[KO]]</f>
        <v>0</v>
      </c>
      <c r="AQ20" s="68">
        <f>'3wAdKd'!p3win* ('3wAdKd'!p1sp1win*T_p3p123[[#This Row],[ICM]] + '3wAdKd'!p2sp1win*T_p3p224[[#This Row],[ICM]])
+'3wAdKd'!p2win*T_p222[[#This Row],[ICM]]
+'3wAdKd'!p1win*T_p121[[#This Row],[ICM]]</f>
        <v>0</v>
      </c>
      <c r="AR20" s="68">
        <f>('3wAdKd'!p3win* ('3wAdKd'!p1sp1win*T_p3p123[[#This Row],[KO]] + '3wAdKd'!p2sp1win*T_p3p224[[#This Row],[KO]])
+'3wAdKd'!p2win*T_p222[[#This Row],[KO]]
+'3wAdKd'!p1win*T_p121[[#This Row],[KO]])*bounty</f>
        <v>0</v>
      </c>
      <c r="AS20" s="68">
        <f>'3wAdKd'!p3win* ('3wAdKd'!p1sp1win*T_p3p123[[#This Row],[$stack]] + '3wAdKd'!p2sp1win*T_p3p224[[#This Row],[$stack]])
+'3wAdKd'!p2win*T_p222[[#This Row],[$stack]]
+'3wAdKd'!p1win*T_p121[[#This Row],[$stack]]</f>
        <v>0</v>
      </c>
      <c r="AT20" s="68">
        <f>'3wAdKd'!p3win* ('3wAdKd'!p1sp1win*T_p3p123[[#This Row],[stack]] + '3wAdKd'!p2sp1win*T_p3p224[[#This Row],[stack]])
+'3wAdKd'!p2win*T_p222[[#This Row],[stack]]
+'3wAdKd'!p1win*T_p121[[#This Row],[stack]]</f>
        <v>464</v>
      </c>
      <c r="AU20" s="2">
        <f>T_EV33[[#This Row],[chipEV]]-T_fact29[[#This Row],[stack]]</f>
        <v>0</v>
      </c>
      <c r="AV20" s="2">
        <f>T_EV33[[#This Row],[EV]]-(T_fact29[[#This Row],[ICM]]+bounty*T_fact29[[#This Row],[KO]])</f>
        <v>0</v>
      </c>
    </row>
    <row r="21" spans="1:48" x14ac:dyDescent="0.25">
      <c r="B21">
        <v>474</v>
      </c>
      <c r="F21" s="5">
        <f>COUNTIF(T_p121[stack],"&gt;0")</f>
        <v>4</v>
      </c>
      <c r="G21">
        <f>IF(T_init20[[#This Row],[p]]=1,mainpot+sidepot1+sidepot2+uncalled,IF(T_init20[[#This Row],[p]]&gt;1,0,T_init20[[#This Row],[stack]]))</f>
        <v>474</v>
      </c>
      <c r="H21">
        <v>0.47010000000000002</v>
      </c>
      <c r="I21" s="2">
        <f>T_p121[[#This Row],[EQ]]*prize</f>
        <v>0</v>
      </c>
      <c r="J21" s="66">
        <f>IF(T_init20[[#This Row],[p]]=1,T_p121[[#This Row],[players]]*T_p121[[#This Row],[stack]]/chips+COUNTIF(T_p121[stack],0),T_p121[[#This Row],[players]]*T_p121[[#This Row],[stack]]/chips)</f>
        <v>0.63200000000000001</v>
      </c>
      <c r="K21" s="66">
        <f>T_p121[[#This Row],[ICM]]+bounty*T_p121[[#This Row],[KO]]</f>
        <v>0</v>
      </c>
      <c r="M21" s="10">
        <f>COUNTIF(T_p222[stack],"&gt;0")</f>
        <v>5</v>
      </c>
      <c r="N21" s="26">
        <f>IF(T_init20[[#This Row],[p]]=1,uncalled,IF(T_init20[[#This Row],[p]]=2,mainpot+sidepot1+sidepot2,IF(T_init20[[#This Row],[p]]&gt;2,0,T_init20[[#This Row],[stack]])))</f>
        <v>474</v>
      </c>
      <c r="O21">
        <v>0.2167</v>
      </c>
      <c r="P21" s="2">
        <f>T_p222[[#This Row],[EQ]]*prize</f>
        <v>0</v>
      </c>
      <c r="Q21" s="66">
        <f>IF(T_init20[[#This Row],[p]]=2,T_p222[[#This Row],[players]]*T_p222[[#This Row],[stack]]/chips+COUNTIF(T_p222[stack],0),T_p222[[#This Row],[players]]*T_p222[[#This Row],[stack]]/chips)</f>
        <v>0.79</v>
      </c>
      <c r="R21" s="66">
        <f>T_p222[[#This Row],[ICM]]+bounty*T_p222[[#This Row],[KO]]</f>
        <v>0</v>
      </c>
      <c r="T21" s="5">
        <f>COUNTIF(T_p3p123[stack],"&gt;0")</f>
        <v>5</v>
      </c>
      <c r="U21" s="26">
        <f>IF(T_init20[[#This Row],[p]]=1,sidepot1+uncalled,IF(T_init20[[#This Row],[p]]=3,mainpot,IF(ISBLANK(T_init20[[#This Row],[p]]),T_init20[[#This Row],[stack]],0)))</f>
        <v>474</v>
      </c>
      <c r="V21">
        <v>0.22739999999999999</v>
      </c>
      <c r="W21" s="2">
        <f>T_p3p123[[#This Row],[EQ]]*prize</f>
        <v>0</v>
      </c>
      <c r="X21" s="66">
        <f>IF(T_init20[[#This Row],[p]]=1,T_p3p123[[#This Row],[players]]*T_p3p123[[#This Row],[stack]]/chips+COUNTIF(T_p3p123[stack],0),T_p3p123[[#This Row],[players]]*T_p3p123[[#This Row],[stack]]/chips)</f>
        <v>0.79</v>
      </c>
      <c r="Y21" s="66">
        <f>T_p3p123[[#This Row],[ICM]]+bounty*T_p3p123[[#This Row],[KO]]</f>
        <v>0</v>
      </c>
      <c r="AA21" s="5">
        <f>COUNTIF(T_p3p224[stack],"&gt;0")</f>
        <v>6</v>
      </c>
      <c r="AB21">
        <f>IF(T_init20[[#This Row],[p]]=1,uncalled,IF(T_init20[[#This Row],[p]]=2,sidepot1,IF(T_init20[[#This Row],[p]]=3,mainpot,IF(ISBLANK(T_init20[[#This Row],[p]]),T_init20[[#This Row],[stack]],0))))</f>
        <v>474</v>
      </c>
      <c r="AC21">
        <v>0.2132</v>
      </c>
      <c r="AD21" s="2">
        <f>T_p3p224[[#This Row],[EQ]]*prize</f>
        <v>0</v>
      </c>
      <c r="AE21" s="66">
        <f>IF(T_init20[[#This Row],[p]]=2,T_p3p224[[#This Row],[players]]*T_p3p224[[#This Row],[stack]]/chips+COUNTIF(T_p3p224[stack],0),T_p3p224[[#This Row],[players]]*T_p3p224[[#This Row],[stack]]/chips)</f>
        <v>0.94799999999999995</v>
      </c>
      <c r="AF21" s="16">
        <f>T_p3p224[[#This Row],[ICM]]+bounty*T_p3p224[[#This Row],[KO]]</f>
        <v>0</v>
      </c>
      <c r="AG21">
        <f>'3wAdKd'!p1win*T_p121[[#This Row],[stack]]
+'3wAdKd'!p2win*T_p222[[#This Row],[stack]]
+'3wAdKd'!p3win*(T_p3p123[[#This Row],[stack]]*'3wAdKd'!p1sp2win+'3wAdKd'!p2sp2win*T_p3p224[[#This Row],[stack]])-T_fact29[[#This Row],[stack]]</f>
        <v>-227.6148</v>
      </c>
      <c r="AI21" s="73">
        <f>COUNTIF(T_fact29[stack],"&gt;0")</f>
        <v>4</v>
      </c>
      <c r="AJ21" s="26">
        <f>IF(T_init20[[#This Row],[p]]=1,mainpot+sidepot1+sidepot2+uncalled,IF(T_init20[[#This Row],[p]]&gt;1,0,T_init20[[#This Row],[stack]]))</f>
        <v>474</v>
      </c>
      <c r="AK21">
        <v>0.22739999999999999</v>
      </c>
      <c r="AL21" s="2">
        <f>T_fact29[[#This Row],[EQ]]*prize</f>
        <v>0</v>
      </c>
      <c r="AM21" s="66">
        <f>IF(T_init20[[#This Row],[p]]=1,T_fact29[[#This Row],[players]]*T_fact29[[#This Row],[stack]]/chips+COUNTIF(T_fact29[stack],0),T_fact29[[#This Row],[players]]*T_fact29[[#This Row],[stack]]/chips)</f>
        <v>0.63200000000000001</v>
      </c>
      <c r="AN21" s="16">
        <f>T_fact29[[#This Row],[ICM]]+bounty*T_fact29[[#This Row],[KO]]</f>
        <v>0</v>
      </c>
      <c r="AQ21" s="68">
        <f>'3wAdKd'!p3win* ('3wAdKd'!p1sp1win*T_p3p123[[#This Row],[ICM]] + '3wAdKd'!p2sp1win*T_p3p224[[#This Row],[ICM]])
+'3wAdKd'!p2win*T_p222[[#This Row],[ICM]]
+'3wAdKd'!p1win*T_p121[[#This Row],[ICM]]</f>
        <v>0</v>
      </c>
      <c r="AR21" s="68">
        <f>('3wAdKd'!p3win* ('3wAdKd'!p1sp1win*T_p3p123[[#This Row],[KO]] + '3wAdKd'!p2sp1win*T_p3p224[[#This Row],[KO]])
+'3wAdKd'!p2win*T_p222[[#This Row],[KO]]
+'3wAdKd'!p1win*T_p121[[#This Row],[KO]])*bounty</f>
        <v>0</v>
      </c>
      <c r="AS21" s="68">
        <f>'3wAdKd'!p3win* ('3wAdKd'!p1sp1win*T_p3p123[[#This Row],[$stack]] + '3wAdKd'!p2sp1win*T_p3p224[[#This Row],[$stack]])
+'3wAdKd'!p2win*T_p222[[#This Row],[$stack]]
+'3wAdKd'!p1win*T_p121[[#This Row],[$stack]]</f>
        <v>0</v>
      </c>
      <c r="AT21" s="68">
        <f>'3wAdKd'!p3win* ('3wAdKd'!p1sp1win*T_p3p123[[#This Row],[stack]] + '3wAdKd'!p2sp1win*T_p3p224[[#This Row],[stack]])
+'3wAdKd'!p2win*T_p222[[#This Row],[stack]]
+'3wAdKd'!p1win*T_p121[[#This Row],[stack]]</f>
        <v>474</v>
      </c>
      <c r="AU21" s="2">
        <f>T_EV33[[#This Row],[chipEV]]-T_fact29[[#This Row],[stack]]</f>
        <v>0</v>
      </c>
      <c r="AV21" s="2">
        <f>T_EV33[[#This Row],[EV]]-(T_fact29[[#This Row],[ICM]]+bounty*T_fact29[[#This Row],[KO]])</f>
        <v>0</v>
      </c>
    </row>
    <row r="22" spans="1:48" x14ac:dyDescent="0.25">
      <c r="A22" t="s">
        <v>95</v>
      </c>
      <c r="D22">
        <f>SUBTOTAL(109,T_init20[pWin])</f>
        <v>0</v>
      </c>
      <c r="F22" s="53"/>
      <c r="G22" s="50">
        <f>SUM(T_p121[stack])</f>
        <v>3000</v>
      </c>
      <c r="H22" s="50">
        <f>SUM(T_p121[EQ])</f>
        <v>1</v>
      </c>
      <c r="I22" s="50">
        <f>SUM(T_p121[ICM])</f>
        <v>0</v>
      </c>
      <c r="J22" s="50">
        <f>SUM(T_p121[KO])</f>
        <v>6</v>
      </c>
      <c r="K22" s="50">
        <f>SUM(T_p121[$stack])</f>
        <v>0</v>
      </c>
      <c r="M22" s="53"/>
      <c r="N22" s="55">
        <f>SUM(T_p222[stack])</f>
        <v>3000</v>
      </c>
      <c r="O22" s="50">
        <f>SUM(T_p222[EQ])</f>
        <v>1.0001</v>
      </c>
      <c r="P22" s="51">
        <f>SUM(T_p222[ICM])</f>
        <v>0</v>
      </c>
      <c r="Q22" s="52">
        <f>SUM(T_p222[KO])</f>
        <v>6</v>
      </c>
      <c r="R22" s="50">
        <f>SUM(T_p222[$stack])</f>
        <v>0</v>
      </c>
      <c r="T22" s="53"/>
      <c r="U22" s="55">
        <f>SUM(T_p3p123[stack])</f>
        <v>3000</v>
      </c>
      <c r="V22" s="50">
        <f>SUM(T_p3p123[EQ])</f>
        <v>1</v>
      </c>
      <c r="W22" s="51">
        <f>SUM(T_p3p123[ICM])</f>
        <v>0</v>
      </c>
      <c r="X22" s="52">
        <f>SUM(T_p3p123[KO])</f>
        <v>6</v>
      </c>
      <c r="Y22" s="50">
        <f>SUM(T_p3p123[$stack])</f>
        <v>0</v>
      </c>
      <c r="AA22" s="53"/>
      <c r="AB22" s="55">
        <f>SUM(T_p3p224[stack])</f>
        <v>3000</v>
      </c>
      <c r="AC22" s="50">
        <f>SUM(T_p3p224[EQ])</f>
        <v>1</v>
      </c>
      <c r="AD22" s="51">
        <f>SUM(T_p3p224[ICM])</f>
        <v>0</v>
      </c>
      <c r="AE22" s="52">
        <f>SUM(T_p3p224[KO])</f>
        <v>6</v>
      </c>
      <c r="AF22" s="50">
        <f>SUM(T_p3p123[$stack])</f>
        <v>0</v>
      </c>
      <c r="AI22" s="53"/>
      <c r="AJ22" s="55">
        <f>SUM(T_fact29[stack])</f>
        <v>3000</v>
      </c>
      <c r="AK22" s="50">
        <f>SUM(T_fact29[EQ])</f>
        <v>1</v>
      </c>
      <c r="AL22" s="51">
        <f>SUM(T_fact29[ICM])</f>
        <v>0</v>
      </c>
      <c r="AM22" s="52">
        <f>SUM(T_fact29[KO])</f>
        <v>6</v>
      </c>
      <c r="AN22" s="51">
        <f>SUM(T_fact29[$stack])</f>
        <v>0</v>
      </c>
      <c r="AQ22" s="52">
        <f>SUM(T_EV33[ICM])</f>
        <v>0</v>
      </c>
      <c r="AR22" s="52">
        <f>SUM(T_EV33[KO])</f>
        <v>0</v>
      </c>
      <c r="AS22" s="52">
        <f>SUM(T_EV33[EV])</f>
        <v>0</v>
      </c>
      <c r="AT22" s="50">
        <f>SUM(T_EV33[chipEV])</f>
        <v>3000</v>
      </c>
    </row>
    <row r="38" spans="2:4" x14ac:dyDescent="0.25">
      <c r="C38" t="s">
        <v>118</v>
      </c>
    </row>
    <row r="39" spans="2:4" x14ac:dyDescent="0.25">
      <c r="C39" t="s">
        <v>120</v>
      </c>
    </row>
    <row r="40" spans="2:4" x14ac:dyDescent="0.25">
      <c r="C40" t="s">
        <v>122</v>
      </c>
    </row>
    <row r="43" spans="2:4" x14ac:dyDescent="0.25">
      <c r="C43" t="s">
        <v>126</v>
      </c>
    </row>
    <row r="45" spans="2:4" x14ac:dyDescent="0.25">
      <c r="B45" t="s">
        <v>129</v>
      </c>
    </row>
    <row r="46" spans="2:4" x14ac:dyDescent="0.25">
      <c r="B46" t="s">
        <v>131</v>
      </c>
    </row>
    <row r="47" spans="2:4" x14ac:dyDescent="0.25">
      <c r="C47" t="s">
        <v>133</v>
      </c>
    </row>
    <row r="48" spans="2:4" x14ac:dyDescent="0.25">
      <c r="D48" t="s">
        <v>135</v>
      </c>
    </row>
    <row r="49" spans="3:6" x14ac:dyDescent="0.25">
      <c r="C49" t="s">
        <v>137</v>
      </c>
    </row>
    <row r="50" spans="3:6" x14ac:dyDescent="0.25">
      <c r="D50" t="s">
        <v>135</v>
      </c>
    </row>
    <row r="51" spans="3:6" x14ac:dyDescent="0.25">
      <c r="C51" t="s">
        <v>140</v>
      </c>
    </row>
    <row r="52" spans="3:6" x14ac:dyDescent="0.25">
      <c r="D52" t="s">
        <v>142</v>
      </c>
    </row>
    <row r="53" spans="3:6" x14ac:dyDescent="0.25">
      <c r="D53" t="s">
        <v>144</v>
      </c>
    </row>
    <row r="54" spans="3:6" x14ac:dyDescent="0.25">
      <c r="E54" t="s">
        <v>145</v>
      </c>
    </row>
    <row r="55" spans="3:6" x14ac:dyDescent="0.25">
      <c r="F55" t="s">
        <v>147</v>
      </c>
    </row>
    <row r="56" spans="3:6" x14ac:dyDescent="0.25">
      <c r="E56" t="s">
        <v>149</v>
      </c>
    </row>
    <row r="57" spans="3:6" x14ac:dyDescent="0.25">
      <c r="F57" t="s">
        <v>151</v>
      </c>
    </row>
    <row r="58" spans="3:6" x14ac:dyDescent="0.25">
      <c r="C58" t="s">
        <v>154</v>
      </c>
    </row>
    <row r="59" spans="3:6" x14ac:dyDescent="0.25">
      <c r="D59" t="s">
        <v>156</v>
      </c>
    </row>
    <row r="60" spans="3:6" x14ac:dyDescent="0.25">
      <c r="D60" t="s">
        <v>158</v>
      </c>
      <c r="E60" t="s">
        <v>145</v>
      </c>
    </row>
    <row r="61" spans="3:6" x14ac:dyDescent="0.25">
      <c r="F61" t="s">
        <v>160</v>
      </c>
    </row>
    <row r="62" spans="3:6" x14ac:dyDescent="0.25">
      <c r="E62" t="s">
        <v>149</v>
      </c>
    </row>
    <row r="63" spans="3:6" x14ac:dyDescent="0.25">
      <c r="F63" t="s">
        <v>163</v>
      </c>
    </row>
    <row r="64" spans="3:6" x14ac:dyDescent="0.25">
      <c r="E64" t="s">
        <v>165</v>
      </c>
    </row>
    <row r="65" spans="6:8" x14ac:dyDescent="0.25">
      <c r="F65" t="s">
        <v>167</v>
      </c>
    </row>
    <row r="66" spans="6:8" x14ac:dyDescent="0.25">
      <c r="F66" t="s">
        <v>144</v>
      </c>
    </row>
    <row r="67" spans="6:8" x14ac:dyDescent="0.25">
      <c r="G67" t="s">
        <v>145</v>
      </c>
    </row>
    <row r="68" spans="6:8" x14ac:dyDescent="0.25">
      <c r="H68" t="s">
        <v>147</v>
      </c>
    </row>
    <row r="69" spans="6:8" x14ac:dyDescent="0.25">
      <c r="G69" t="s">
        <v>149</v>
      </c>
    </row>
    <row r="70" spans="6:8" x14ac:dyDescent="0.25">
      <c r="H70" t="s">
        <v>151</v>
      </c>
    </row>
  </sheetData>
  <mergeCells count="10">
    <mergeCell ref="F14:J14"/>
    <mergeCell ref="M14:Q14"/>
    <mergeCell ref="T14:X14"/>
    <mergeCell ref="AA14:AE14"/>
    <mergeCell ref="AQ12:AT12"/>
    <mergeCell ref="T13:AE13"/>
    <mergeCell ref="AQ13:AT13"/>
    <mergeCell ref="T12:AE12"/>
    <mergeCell ref="AQ14:AT14"/>
    <mergeCell ref="AI14:AM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67"/>
  <sheetViews>
    <sheetView workbookViewId="0">
      <selection activeCell="AQ16" sqref="AQ16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5" max="35" width="10" customWidth="1"/>
    <col min="39" max="39" width="10.5703125" customWidth="1"/>
    <col min="46" max="46" width="9.85546875" customWidth="1"/>
  </cols>
  <sheetData>
    <row r="1" spans="1:48" x14ac:dyDescent="0.25">
      <c r="C1" t="s">
        <v>0</v>
      </c>
      <c r="D1">
        <f>bounty*6</f>
        <v>0</v>
      </c>
      <c r="F1" t="s">
        <v>71</v>
      </c>
      <c r="G1">
        <v>0.37340000000000001</v>
      </c>
      <c r="I1" t="s">
        <v>72</v>
      </c>
      <c r="J1">
        <v>0.71519999999999995</v>
      </c>
      <c r="O1" s="75"/>
      <c r="S1" t="s">
        <v>73</v>
      </c>
      <c r="T1">
        <v>1389</v>
      </c>
    </row>
    <row r="2" spans="1:48" x14ac:dyDescent="0.25">
      <c r="C2" t="s">
        <v>1</v>
      </c>
      <c r="D2">
        <f>bounty</f>
        <v>0</v>
      </c>
      <c r="F2" t="s">
        <v>74</v>
      </c>
      <c r="G2">
        <v>0.24429999999999999</v>
      </c>
      <c r="I2" t="s">
        <v>75</v>
      </c>
      <c r="J2">
        <v>0.2848</v>
      </c>
      <c r="S2" t="s">
        <v>76</v>
      </c>
      <c r="T2">
        <v>792</v>
      </c>
    </row>
    <row r="3" spans="1:48" x14ac:dyDescent="0.25">
      <c r="C3" t="s">
        <v>77</v>
      </c>
      <c r="D3">
        <v>3000</v>
      </c>
      <c r="F3" t="s">
        <v>78</v>
      </c>
      <c r="G3">
        <v>0.38229999999999997</v>
      </c>
      <c r="S3" t="s">
        <v>79</v>
      </c>
      <c r="T3">
        <v>0</v>
      </c>
    </row>
    <row r="4" spans="1:48" x14ac:dyDescent="0.25">
      <c r="F4" t="s">
        <v>80</v>
      </c>
      <c r="G4">
        <v>0</v>
      </c>
      <c r="S4" t="s">
        <v>81</v>
      </c>
      <c r="T4">
        <v>819</v>
      </c>
    </row>
    <row r="6" spans="1:48" x14ac:dyDescent="0.25">
      <c r="C6" t="s">
        <v>82</v>
      </c>
      <c r="D6" t="s">
        <v>83</v>
      </c>
    </row>
    <row r="7" spans="1:48" x14ac:dyDescent="0.25">
      <c r="C7" t="s">
        <v>84</v>
      </c>
      <c r="D7" t="s">
        <v>85</v>
      </c>
    </row>
    <row r="8" spans="1:48" x14ac:dyDescent="0.25">
      <c r="C8" t="s">
        <v>86</v>
      </c>
      <c r="D8" t="s">
        <v>87</v>
      </c>
    </row>
    <row r="10" spans="1:48" ht="18.75" x14ac:dyDescent="0.3">
      <c r="F10" s="84"/>
      <c r="G10" s="84"/>
      <c r="H10" s="84"/>
      <c r="I10" s="84"/>
      <c r="J10" s="84"/>
      <c r="K10" s="84"/>
    </row>
    <row r="11" spans="1:48" ht="19.5" thickBot="1" x14ac:dyDescent="0.35">
      <c r="F11" s="84"/>
      <c r="G11" s="84"/>
      <c r="H11" s="84"/>
      <c r="I11" s="84"/>
      <c r="J11" s="84"/>
      <c r="K11" s="84"/>
      <c r="V11" t="s">
        <v>92</v>
      </c>
      <c r="AC11" t="s">
        <v>93</v>
      </c>
    </row>
    <row r="12" spans="1:48" ht="20.25" thickTop="1" thickBot="1" x14ac:dyDescent="0.35">
      <c r="F12" s="84"/>
      <c r="G12" s="84"/>
      <c r="H12" s="84"/>
      <c r="I12" s="84"/>
      <c r="J12" s="84"/>
      <c r="K12" s="84"/>
      <c r="T12" s="132" t="s">
        <v>94</v>
      </c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41"/>
      <c r="AQ12" s="132" t="s">
        <v>95</v>
      </c>
      <c r="AR12" s="133"/>
      <c r="AS12" s="133"/>
      <c r="AT12" s="133"/>
    </row>
    <row r="13" spans="1:48" ht="20.25" thickTop="1" thickBot="1" x14ac:dyDescent="0.35">
      <c r="F13" s="84"/>
      <c r="G13" s="84"/>
      <c r="H13" s="84" t="s">
        <v>96</v>
      </c>
      <c r="I13" s="84"/>
      <c r="J13" s="84"/>
      <c r="K13" s="84"/>
      <c r="O13" t="s">
        <v>97</v>
      </c>
      <c r="T13" s="132" t="s">
        <v>98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K13" t="s">
        <v>99</v>
      </c>
      <c r="AQ13" s="132"/>
      <c r="AR13" s="133"/>
      <c r="AS13" s="133"/>
      <c r="AT13" s="133"/>
    </row>
    <row r="14" spans="1:48" ht="19.5" thickTop="1" x14ac:dyDescent="0.3">
      <c r="F14" s="134" t="s">
        <v>100</v>
      </c>
      <c r="G14" s="135"/>
      <c r="H14" s="135"/>
      <c r="I14" s="135"/>
      <c r="J14" s="136"/>
      <c r="K14" s="84"/>
      <c r="M14" s="134" t="s">
        <v>101</v>
      </c>
      <c r="N14" s="135"/>
      <c r="O14" s="135"/>
      <c r="P14" s="135"/>
      <c r="Q14" s="136"/>
      <c r="R14" s="84"/>
      <c r="T14" s="118" t="s">
        <v>102</v>
      </c>
      <c r="U14" s="119"/>
      <c r="V14" s="119"/>
      <c r="W14" s="119"/>
      <c r="X14" s="120"/>
      <c r="Y14" s="84"/>
      <c r="AA14" s="118" t="s">
        <v>103</v>
      </c>
      <c r="AB14" s="119"/>
      <c r="AC14" s="119"/>
      <c r="AD14" s="119"/>
      <c r="AE14" s="120"/>
      <c r="AI14" s="121" t="s">
        <v>10</v>
      </c>
      <c r="AJ14" s="122"/>
      <c r="AK14" s="122"/>
      <c r="AL14" s="122"/>
      <c r="AM14" s="123"/>
      <c r="AQ14" s="124" t="s">
        <v>104</v>
      </c>
      <c r="AR14" s="125"/>
      <c r="AS14" s="125"/>
      <c r="AT14" s="126"/>
    </row>
    <row r="15" spans="1:48" x14ac:dyDescent="0.25">
      <c r="A15" t="s">
        <v>105</v>
      </c>
      <c r="B15" t="s">
        <v>12</v>
      </c>
      <c r="C15" t="s">
        <v>13</v>
      </c>
      <c r="D15" t="s">
        <v>14</v>
      </c>
      <c r="F15" s="5" t="s">
        <v>107</v>
      </c>
      <c r="G15" t="s">
        <v>12</v>
      </c>
      <c r="H15" t="s">
        <v>108</v>
      </c>
      <c r="I15" t="s">
        <v>109</v>
      </c>
      <c r="J15" s="5" t="s">
        <v>1</v>
      </c>
      <c r="K15" s="5" t="s">
        <v>110</v>
      </c>
      <c r="M15" s="5" t="s">
        <v>107</v>
      </c>
      <c r="N15" s="5" t="s">
        <v>12</v>
      </c>
      <c r="O15" s="5" t="s">
        <v>108</v>
      </c>
      <c r="P15" s="5" t="s">
        <v>109</v>
      </c>
      <c r="Q15" s="5" t="s">
        <v>1</v>
      </c>
      <c r="R15" s="5" t="s">
        <v>110</v>
      </c>
      <c r="T15" s="5" t="s">
        <v>107</v>
      </c>
      <c r="U15" s="5" t="s">
        <v>12</v>
      </c>
      <c r="V15" s="5" t="s">
        <v>108</v>
      </c>
      <c r="W15" s="5" t="s">
        <v>109</v>
      </c>
      <c r="X15" s="5" t="s">
        <v>1</v>
      </c>
      <c r="Y15" s="5" t="s">
        <v>110</v>
      </c>
      <c r="AA15" s="5" t="s">
        <v>107</v>
      </c>
      <c r="AB15" s="5" t="s">
        <v>12</v>
      </c>
      <c r="AC15" s="5" t="s">
        <v>108</v>
      </c>
      <c r="AD15" s="5" t="s">
        <v>109</v>
      </c>
      <c r="AE15" s="5" t="s">
        <v>1</v>
      </c>
      <c r="AF15" t="s">
        <v>110</v>
      </c>
      <c r="AI15" s="5" t="s">
        <v>107</v>
      </c>
      <c r="AJ15" s="5" t="s">
        <v>12</v>
      </c>
      <c r="AK15" s="5" t="s">
        <v>108</v>
      </c>
      <c r="AL15" s="5" t="s">
        <v>109</v>
      </c>
      <c r="AM15" s="5" t="s">
        <v>1</v>
      </c>
      <c r="AN15" t="s">
        <v>110</v>
      </c>
      <c r="AQ15" s="5" t="s">
        <v>109</v>
      </c>
      <c r="AR15" s="5" t="s">
        <v>1</v>
      </c>
      <c r="AS15" s="5" t="s">
        <v>104</v>
      </c>
      <c r="AT15" s="5" t="s">
        <v>111</v>
      </c>
      <c r="AU15" t="s">
        <v>112</v>
      </c>
      <c r="AV15" t="s">
        <v>113</v>
      </c>
    </row>
    <row r="16" spans="1:48" x14ac:dyDescent="0.25">
      <c r="A16" s="26">
        <v>3</v>
      </c>
      <c r="B16" s="26">
        <f>463-4</f>
        <v>459</v>
      </c>
      <c r="C16" s="26" t="s">
        <v>450</v>
      </c>
      <c r="D16" s="26"/>
      <c r="F16" s="73">
        <f>COUNTIF(T_p12142[stack],"&gt;0")</f>
        <v>1</v>
      </c>
      <c r="G16" s="26">
        <f>IF(T_init2041[[#This Row],[p]]=1,mainpot+sidepot1+sidepot2+uncalled,IF(T_init2041[[#This Row],[p]]&gt;1,0,T_init2041[[#This Row],[stack]]))</f>
        <v>0</v>
      </c>
      <c r="H16" s="26">
        <v>0</v>
      </c>
      <c r="I16" s="27">
        <f>T_p12142[[#This Row],[EQ]]*prize</f>
        <v>0</v>
      </c>
      <c r="J16" s="71">
        <f>IF(T_init2041[[#This Row],[p]]=1,T_p12142[[#This Row],[players]]*T_p12142[[#This Row],[stack]]/chips+COUNTIF(T_p12142[stack],0),T_p12142[[#This Row],[players]]*T_p12142[[#This Row],[stack]]/chips)</f>
        <v>0</v>
      </c>
      <c r="K16" s="71">
        <f>T_p12142[[#This Row],[ICM]]+bounty*T_p12142[[#This Row],[KO]]</f>
        <v>0</v>
      </c>
      <c r="M16" s="29">
        <f>COUNTIF(T_p22243[stack],"&gt;0")</f>
        <v>2</v>
      </c>
      <c r="N16" s="26">
        <f>IF(T_init2041[[#This Row],[p]]=1,uncalled,IF(T_init2041[[#This Row],[p]]=2,mainpot+sidepot1+sidepot2,IF(T_init2041[[#This Row],[p]]&gt;2,0,T_init2041[[#This Row],[stack]])))</f>
        <v>0</v>
      </c>
      <c r="O16" s="26">
        <v>0</v>
      </c>
      <c r="P16" s="27">
        <f>T_p22243[[#This Row],[EQ]]*prize</f>
        <v>0</v>
      </c>
      <c r="Q16" s="71">
        <f>IF(T_init2041[[#This Row],[p]]=2,T_p22243[[#This Row],[players]]*T_p22243[[#This Row],[stack]]/chips+COUNTIF(T_p22243[stack],0),T_p22243[[#This Row],[players]]*T_p22243[[#This Row],[stack]]/chips)</f>
        <v>0</v>
      </c>
      <c r="R16" s="71">
        <f>T_p22243[[#This Row],[ICM]]+bounty*T_p22243[[#This Row],[KO]]</f>
        <v>0</v>
      </c>
      <c r="T16" s="73">
        <f>COUNTIF(T_p3p12344[stack],"&gt;0")</f>
        <v>2</v>
      </c>
      <c r="U16" s="26">
        <f>IF(T_init2041[[#This Row],[p]]=1,sidepot1+uncalled,IF(T_init2041[[#This Row],[p]]=3,mainpot,IF(ISBLANK(T_init2041[[#This Row],[p]]),T_init2041[[#This Row],[stack]],0)))</f>
        <v>1389</v>
      </c>
      <c r="V16" s="26">
        <v>0.5</v>
      </c>
      <c r="W16" s="27">
        <f>T_p3p12344[[#This Row],[EQ]]*prize</f>
        <v>0</v>
      </c>
      <c r="X16" s="71">
        <f>IF(T_init2041[[#This Row],[p]]=1,T_p3p12344[[#This Row],[players]]*T_p3p12344[[#This Row],[stack]]/chips+COUNTIF(T_p3p12344[stack],0),T_p3p12344[[#This Row],[players]]*T_p3p12344[[#This Row],[stack]]/chips)</f>
        <v>0.92600000000000005</v>
      </c>
      <c r="Y16" s="71">
        <f>T_p3p12344[[#This Row],[ICM]]+bounty*T_p3p12344[[#This Row],[KO]]</f>
        <v>0</v>
      </c>
      <c r="AA16" s="73">
        <f>COUNTIF(T_p3p22445[stack],"&gt;0")</f>
        <v>3</v>
      </c>
      <c r="AB16" s="26">
        <f>IF(T_init2041[[#This Row],[p]]=1,uncalled,IF(T_init2041[[#This Row],[p]]=2,sidepot1,IF(T_init2041[[#This Row],[p]]=3,mainpot,IF(ISBLANK(T_init2041[[#This Row],[p]]),T_init2041[[#This Row],[stack]],0))))</f>
        <v>1389</v>
      </c>
      <c r="AC16" s="26">
        <v>0.40150000000000002</v>
      </c>
      <c r="AD16" s="27">
        <f>T_p3p22445[[#This Row],[EQ]]*prize</f>
        <v>0</v>
      </c>
      <c r="AE16" s="71">
        <f>IF(T_init2041[[#This Row],[p]]=2,T_p3p22445[[#This Row],[players]]*T_p3p22445[[#This Row],[stack]]/chips+COUNTIF(T_p3p22445[stack],0),T_p3p22445[[#This Row],[players]]*T_p3p22445[[#This Row],[stack]]/chips)</f>
        <v>1.389</v>
      </c>
      <c r="AF16" s="71">
        <f>T_p3p22445[[#This Row],[ICM]]+bounty*T_p3p22445[[#This Row],[KO]]</f>
        <v>0</v>
      </c>
      <c r="AI16" s="73">
        <f>COUNTIF(T_fact2946[stack],"&gt;0")</f>
        <v>2</v>
      </c>
      <c r="AJ16" s="26">
        <f>IF(T_init2041[[#This Row],[p]]=1,sidepot1+uncalled,IF(T_init2041[[#This Row],[p]]=3,mainpot,IF(ISBLANK(T_init2041[[#This Row],[p]]),T_init2041[[#This Row],[stack]],0)))</f>
        <v>1389</v>
      </c>
      <c r="AK16" s="26">
        <v>0.5</v>
      </c>
      <c r="AL16" s="27">
        <f>T_fact2946[[#This Row],[EQ]]*prize</f>
        <v>0</v>
      </c>
      <c r="AM16" s="71">
        <f>IF(T_init2041[[#This Row],[p]]=1,T_fact2946[[#This Row],[players]]*T_fact2946[[#This Row],[stack]]/chips+COUNTIF(T_fact2946[stack],0),T_fact2946[[#This Row],[players]]*T_fact2946[[#This Row],[stack]]/chips)</f>
        <v>0.92600000000000005</v>
      </c>
      <c r="AN16" s="71">
        <f>T_fact2946[[#This Row],[ICM]]+bounty*T_fact2946[[#This Row],[KO]]</f>
        <v>0</v>
      </c>
      <c r="AQ16" s="72">
        <f>'3wAh9s'!p3win* ('3wAh9s'!p1sp1win*T_p3p12344[[#This Row],[ICM]] + '3wAh9s'!p2sp1win*T_p3p22445[[#This Row],[ICM]])
+'3wAh9s'!p2win*T_p22243[[#This Row],[ICM]]
+'3wAh9s'!p1win*T_p12142[[#This Row],[ICM]]</f>
        <v>0</v>
      </c>
      <c r="AR16" s="33">
        <f>('3wAh9s'!p3win* ('3wAh9s'!p1sp1win*T_p3p12344[[#This Row],[KO]] + '3wAh9s'!p2sp1win*T_p3p22445[[#This Row],[KO]])
+'3wAh9s'!p2win*T_p22243[[#This Row],[KO]]
+'3wAh9s'!p1win*T_p12142[[#This Row],[KO]])*bounty</f>
        <v>0</v>
      </c>
      <c r="AS16" s="72">
        <f>'3wAh9s'!p3win* ('3wAh9s'!p1sp1win*T_p3p12344[[#This Row],[$stack]] + '3wAh9s'!p2sp1win*T_p3p22445[[#This Row],[$stack]])
+'3wAh9s'!p2win*T_p22243[[#This Row],[$stack]]
+'3wAh9s'!p1win*T_p12142[[#This Row],[$stack]]</f>
        <v>0</v>
      </c>
      <c r="AT16" s="33">
        <f>'3wAh9s'!p3win* ('3wAh9s'!p1sp1win*T_p3p12344[[#This Row],[stack]] + '3wAh9s'!p2sp1win*T_p3p22445[[#This Row],[stack]])
+'3wAh9s'!p2win*T_p22243[[#This Row],[stack]]
+'3wAh9s'!p1win*T_p12142[[#This Row],[stack]]</f>
        <v>531.01469999999995</v>
      </c>
      <c r="AU16" s="2">
        <f>T_EV3347[[#This Row],[chipEV]]-T_fact2946[[#This Row],[stack]]</f>
        <v>-857.98530000000005</v>
      </c>
      <c r="AV16" s="2">
        <f>T_EV3347[[#This Row],[EV]]-(T_fact2946[[#This Row],[ICM]]+bounty*T_fact2946[[#This Row],[KO]])</f>
        <v>0</v>
      </c>
    </row>
    <row r="17" spans="1:48" x14ac:dyDescent="0.25">
      <c r="A17">
        <v>2</v>
      </c>
      <c r="B17">
        <f>859-4-20</f>
        <v>835</v>
      </c>
      <c r="C17" t="s">
        <v>451</v>
      </c>
      <c r="F17" s="5">
        <f>COUNTIF(T_p12142[stack],"&gt;0")</f>
        <v>1</v>
      </c>
      <c r="G17">
        <f>IF(T_init2041[[#This Row],[p]]=1,mainpot+sidepot1+sidepot2+uncalled,IF(T_init2041[[#This Row],[p]]&gt;1,0,T_init2041[[#This Row],[stack]]))</f>
        <v>0</v>
      </c>
      <c r="H17">
        <v>0.5</v>
      </c>
      <c r="I17" s="2">
        <f>T_p12142[[#This Row],[EQ]]*prize</f>
        <v>0</v>
      </c>
      <c r="J17" s="66">
        <f>IF(T_init2041[[#This Row],[p]]=1,T_p12142[[#This Row],[players]]*T_p12142[[#This Row],[stack]]/chips+COUNTIF(T_p12142[stack],0),T_p12142[[#This Row],[players]]*T_p12142[[#This Row],[stack]]/chips)</f>
        <v>0</v>
      </c>
      <c r="K17" s="66">
        <f>T_p12142[[#This Row],[ICM]]+bounty*T_p12142[[#This Row],[KO]]</f>
        <v>0</v>
      </c>
      <c r="M17" s="10">
        <f>COUNTIF(T_p22243[stack],"&gt;0")</f>
        <v>2</v>
      </c>
      <c r="N17" s="26">
        <f>IF(T_init2041[[#This Row],[p]]=1,uncalled,IF(T_init2041[[#This Row],[p]]=2,mainpot+sidepot1+sidepot2,IF(T_init2041[[#This Row],[p]]&gt;2,0,T_init2041[[#This Row],[stack]])))</f>
        <v>2181</v>
      </c>
      <c r="O17">
        <v>0.5</v>
      </c>
      <c r="P17" s="2">
        <f>T_p22243[[#This Row],[EQ]]*prize</f>
        <v>0</v>
      </c>
      <c r="Q17" s="66">
        <f>IF(T_init2041[[#This Row],[p]]=2,T_p22243[[#This Row],[players]]*T_p22243[[#This Row],[stack]]/chips+COUNTIF(T_p22243[stack],0),T_p22243[[#This Row],[players]]*T_p22243[[#This Row],[stack]]/chips)</f>
        <v>2.4539999999999997</v>
      </c>
      <c r="R17" s="66">
        <f>T_p22243[[#This Row],[ICM]]+bounty*T_p22243[[#This Row],[KO]]</f>
        <v>0</v>
      </c>
      <c r="T17" s="5">
        <f>COUNTIF(T_p3p12344[stack],"&gt;0")</f>
        <v>2</v>
      </c>
      <c r="U17" s="26">
        <f>IF(T_init2041[[#This Row],[p]]=1,sidepot1+uncalled,IF(T_init2041[[#This Row],[p]]=3,mainpot,IF(ISBLANK(T_init2041[[#This Row],[p]]),T_init2041[[#This Row],[stack]],0)))</f>
        <v>0</v>
      </c>
      <c r="V17">
        <v>0</v>
      </c>
      <c r="W17" s="2">
        <f>T_p3p12344[[#This Row],[EQ]]*prize</f>
        <v>0</v>
      </c>
      <c r="X17" s="66">
        <f>IF(T_init2041[[#This Row],[p]]=1,T_p3p12344[[#This Row],[players]]*T_p3p12344[[#This Row],[stack]]/chips+COUNTIF(T_p3p12344[stack],0),T_p3p12344[[#This Row],[players]]*T_p3p12344[[#This Row],[stack]]/chips)</f>
        <v>0</v>
      </c>
      <c r="Y17" s="66">
        <f>T_p3p12344[[#This Row],[ICM]]+bounty*T_p3p12344[[#This Row],[KO]]</f>
        <v>0</v>
      </c>
      <c r="AA17" s="5">
        <f>COUNTIF(T_p3p22445[stack],"&gt;0")</f>
        <v>3</v>
      </c>
      <c r="AB17">
        <f>IF(T_init2041[[#This Row],[p]]=1,uncalled,IF(T_init2041[[#This Row],[p]]=2,sidepot1,IF(T_init2041[[#This Row],[p]]=3,mainpot,IF(ISBLANK(T_init2041[[#This Row],[p]]),T_init2041[[#This Row],[stack]],0))))</f>
        <v>792</v>
      </c>
      <c r="AC17">
        <v>0.2954</v>
      </c>
      <c r="AD17" s="2">
        <f>T_p3p22445[[#This Row],[EQ]]*prize</f>
        <v>0</v>
      </c>
      <c r="AE17" s="66">
        <f>IF(T_init2041[[#This Row],[p]]=2,T_p3p22445[[#This Row],[players]]*T_p3p22445[[#This Row],[stack]]/chips+COUNTIF(T_p3p22445[stack],0),T_p3p22445[[#This Row],[players]]*T_p3p22445[[#This Row],[stack]]/chips)</f>
        <v>0.79200000000000004</v>
      </c>
      <c r="AF17" s="16">
        <f>T_p3p22445[[#This Row],[ICM]]+bounty*T_p3p22445[[#This Row],[KO]]</f>
        <v>0</v>
      </c>
      <c r="AI17" s="73">
        <f>COUNTIF(T_fact2946[stack],"&gt;0")</f>
        <v>2</v>
      </c>
      <c r="AJ17" s="26">
        <f>IF(T_init2041[[#This Row],[p]]=1,sidepot1+uncalled,IF(T_init2041[[#This Row],[p]]=3,mainpot,IF(ISBLANK(T_init2041[[#This Row],[p]]),T_init2041[[#This Row],[stack]],0)))</f>
        <v>0</v>
      </c>
      <c r="AK17">
        <v>0</v>
      </c>
      <c r="AL17" s="2">
        <f>T_fact2946[[#This Row],[EQ]]*prize</f>
        <v>0</v>
      </c>
      <c r="AM17" s="66">
        <f>IF(T_init2041[[#This Row],[p]]=1,T_fact2946[[#This Row],[players]]*T_fact2946[[#This Row],[stack]]/chips+COUNTIF(T_fact2946[stack],0),T_fact2946[[#This Row],[players]]*T_fact2946[[#This Row],[stack]]/chips)</f>
        <v>0</v>
      </c>
      <c r="AN17" s="16">
        <f>T_fact2946[[#This Row],[ICM]]+bounty*T_fact2946[[#This Row],[KO]]</f>
        <v>0</v>
      </c>
      <c r="AQ17" s="68">
        <f>'3wAh9s'!p3win* ('3wAh9s'!p1sp1win*T_p3p12344[[#This Row],[ICM]] + '3wAh9s'!p2sp1win*T_p3p22445[[#This Row],[ICM]])
+'3wAh9s'!p2win*T_p22243[[#This Row],[ICM]]
+'3wAh9s'!p1win*T_p12142[[#This Row],[ICM]]</f>
        <v>0</v>
      </c>
      <c r="AR17" s="68">
        <f>('3wAh9s'!p3win* ('3wAh9s'!p1sp1win*T_p3p12344[[#This Row],[KO]] + '3wAh9s'!p2sp1win*T_p3p22445[[#This Row],[KO]])
+'3wAh9s'!p2win*T_p22243[[#This Row],[KO]]
+'3wAh9s'!p1win*T_p12142[[#This Row],[KO]])*bounty</f>
        <v>0</v>
      </c>
      <c r="AS17" s="68">
        <f>'3wAh9s'!p3win* ('3wAh9s'!p1sp1win*T_p3p12344[[#This Row],[$stack]] + '3wAh9s'!p2sp1win*T_p3p22445[[#This Row],[$stack]])
+'3wAh9s'!p2win*T_p22243[[#This Row],[$stack]]
+'3wAh9s'!p1win*T_p12142[[#This Row],[$stack]]</f>
        <v>0</v>
      </c>
      <c r="AT17" s="68">
        <f>'3wAh9s'!p3win* ('3wAh9s'!p1sp1win*T_p3p12344[[#This Row],[stack]] + '3wAh9s'!p2sp1win*T_p3p22445[[#This Row],[stack]])
+'3wAh9s'!p2win*T_p22243[[#This Row],[stack]]
+'3wAh9s'!p1win*T_p12142[[#This Row],[stack]]</f>
        <v>619.05049968000003</v>
      </c>
      <c r="AU17" s="2">
        <f>T_EV3347[[#This Row],[chipEV]]-T_fact2946[[#This Row],[stack]]</f>
        <v>619.05049968000003</v>
      </c>
      <c r="AV17" s="2">
        <f>T_EV3347[[#This Row],[EV]]-(T_fact2946[[#This Row],[ICM]]+bounty*T_fact2946[[#This Row],[KO]])</f>
        <v>0</v>
      </c>
    </row>
    <row r="18" spans="1:48" x14ac:dyDescent="0.25">
      <c r="A18">
        <v>1</v>
      </c>
      <c r="B18">
        <f>1678-4-40</f>
        <v>1634</v>
      </c>
      <c r="C18" t="s">
        <v>452</v>
      </c>
      <c r="F18" s="5">
        <f>COUNTIF(T_p12142[stack],"&gt;0")</f>
        <v>1</v>
      </c>
      <c r="G18">
        <f>IF(T_init2041[[#This Row],[p]]=1,mainpot+sidepot1+sidepot2+uncalled,IF(T_init2041[[#This Row],[p]]&gt;1,0,T_init2041[[#This Row],[stack]]))</f>
        <v>3000</v>
      </c>
      <c r="H18">
        <v>0.5</v>
      </c>
      <c r="I18" s="2">
        <f>T_p12142[[#This Row],[EQ]]*prize</f>
        <v>0</v>
      </c>
      <c r="J18" s="66">
        <f>IF(T_init2041[[#This Row],[p]]=1,T_p12142[[#This Row],[players]]*T_p12142[[#This Row],[stack]]/chips+COUNTIF(T_p12142[stack],0),T_p12142[[#This Row],[players]]*T_p12142[[#This Row],[stack]]/chips)</f>
        <v>3</v>
      </c>
      <c r="K18" s="66">
        <f>T_p12142[[#This Row],[ICM]]+bounty*T_p12142[[#This Row],[KO]]</f>
        <v>0</v>
      </c>
      <c r="M18" s="10">
        <f>COUNTIF(T_p22243[stack],"&gt;0")</f>
        <v>2</v>
      </c>
      <c r="N18" s="26">
        <f>IF(T_init2041[[#This Row],[p]]=1,uncalled,IF(T_init2041[[#This Row],[p]]=2,mainpot+sidepot1+sidepot2,IF(T_init2041[[#This Row],[p]]&gt;2,0,T_init2041[[#This Row],[stack]])))</f>
        <v>819</v>
      </c>
      <c r="O18">
        <v>0.5</v>
      </c>
      <c r="P18" s="2">
        <f>T_p22243[[#This Row],[EQ]]*prize</f>
        <v>0</v>
      </c>
      <c r="Q18" s="66">
        <f>IF(T_init2041[[#This Row],[p]]=2,T_p22243[[#This Row],[players]]*T_p22243[[#This Row],[stack]]/chips+COUNTIF(T_p22243[stack],0),T_p22243[[#This Row],[players]]*T_p22243[[#This Row],[stack]]/chips)</f>
        <v>0.54600000000000004</v>
      </c>
      <c r="R18" s="66">
        <f>T_p22243[[#This Row],[ICM]]+bounty*T_p22243[[#This Row],[KO]]</f>
        <v>0</v>
      </c>
      <c r="T18" s="5">
        <f>COUNTIF(T_p3p12344[stack],"&gt;0")</f>
        <v>2</v>
      </c>
      <c r="U18" s="26">
        <f>IF(T_init2041[[#This Row],[p]]=1,sidepot1+uncalled,IF(T_init2041[[#This Row],[p]]=3,mainpot,IF(ISBLANK(T_init2041[[#This Row],[p]]),T_init2041[[#This Row],[stack]],0)))</f>
        <v>1611</v>
      </c>
      <c r="V18">
        <v>0.5</v>
      </c>
      <c r="W18" s="2">
        <f>T_p3p12344[[#This Row],[EQ]]*prize</f>
        <v>0</v>
      </c>
      <c r="X18" s="66">
        <f>IF(T_init2041[[#This Row],[p]]=1,T_p3p12344[[#This Row],[players]]*T_p3p12344[[#This Row],[stack]]/chips+COUNTIF(T_p3p12344[stack],0),T_p3p12344[[#This Row],[players]]*T_p3p12344[[#This Row],[stack]]/chips)</f>
        <v>2.0739999999999998</v>
      </c>
      <c r="Y18" s="66">
        <f>T_p3p12344[[#This Row],[ICM]]+bounty*T_p3p12344[[#This Row],[KO]]</f>
        <v>0</v>
      </c>
      <c r="AA18" s="5">
        <f>COUNTIF(T_p3p22445[stack],"&gt;0")</f>
        <v>3</v>
      </c>
      <c r="AB18">
        <f>IF(T_init2041[[#This Row],[p]]=1,uncalled,IF(T_init2041[[#This Row],[p]]=2,sidepot1,IF(T_init2041[[#This Row],[p]]=3,mainpot,IF(ISBLANK(T_init2041[[#This Row],[p]]),T_init2041[[#This Row],[stack]],0))))</f>
        <v>819</v>
      </c>
      <c r="AC18">
        <v>0.30320000000000003</v>
      </c>
      <c r="AD18" s="2">
        <f>T_p3p22445[[#This Row],[EQ]]*prize</f>
        <v>0</v>
      </c>
      <c r="AE18" s="66">
        <f>IF(T_init2041[[#This Row],[p]]=2,T_p3p22445[[#This Row],[players]]*T_p3p22445[[#This Row],[stack]]/chips+COUNTIF(T_p3p22445[stack],0),T_p3p22445[[#This Row],[players]]*T_p3p22445[[#This Row],[stack]]/chips)</f>
        <v>0.81899999999999995</v>
      </c>
      <c r="AF18" s="16">
        <f>T_p3p22445[[#This Row],[ICM]]+bounty*T_p3p22445[[#This Row],[KO]]</f>
        <v>0</v>
      </c>
      <c r="AI18" s="73">
        <f>COUNTIF(T_fact2946[stack],"&gt;0")</f>
        <v>2</v>
      </c>
      <c r="AJ18" s="26">
        <f>IF(T_init2041[[#This Row],[p]]=1,sidepot1+uncalled,IF(T_init2041[[#This Row],[p]]=3,mainpot,IF(ISBLANK(T_init2041[[#This Row],[p]]),T_init2041[[#This Row],[stack]],0)))</f>
        <v>1611</v>
      </c>
      <c r="AK18">
        <v>0.5</v>
      </c>
      <c r="AL18" s="2">
        <f>T_fact2946[[#This Row],[EQ]]*prize</f>
        <v>0</v>
      </c>
      <c r="AM18" s="66">
        <f>IF(T_init2041[[#This Row],[p]]=1,T_fact2946[[#This Row],[players]]*T_fact2946[[#This Row],[stack]]/chips+COUNTIF(T_fact2946[stack],0),T_fact2946[[#This Row],[players]]*T_fact2946[[#This Row],[stack]]/chips)</f>
        <v>2.0739999999999998</v>
      </c>
      <c r="AN18" s="16">
        <f>T_fact2946[[#This Row],[ICM]]+bounty*T_fact2946[[#This Row],[KO]]</f>
        <v>0</v>
      </c>
      <c r="AQ18" s="68">
        <f>'3wAh9s'!p3win* ('3wAh9s'!p1sp1win*T_p3p12344[[#This Row],[ICM]] + '3wAh9s'!p2sp1win*T_p3p22445[[#This Row],[ICM]])
+'3wAh9s'!p2win*T_p22243[[#This Row],[ICM]]
+'3wAh9s'!p1win*T_p12142[[#This Row],[ICM]]</f>
        <v>0</v>
      </c>
      <c r="AR18" s="68">
        <f>('3wAh9s'!p3win* ('3wAh9s'!p1sp1win*T_p3p12344[[#This Row],[KO]] + '3wAh9s'!p2sp1win*T_p3p22445[[#This Row],[KO]])
+'3wAh9s'!p2win*T_p22243[[#This Row],[KO]]
+'3wAh9s'!p1win*T_p12142[[#This Row],[KO]])*bounty</f>
        <v>0</v>
      </c>
      <c r="AS18" s="68">
        <f>'3wAh9s'!p3win* ('3wAh9s'!p1sp1win*T_p3p12344[[#This Row],[$stack]] + '3wAh9s'!p2sp1win*T_p3p22445[[#This Row],[$stack]])
+'3wAh9s'!p2win*T_p22243[[#This Row],[$stack]]
+'3wAh9s'!p1win*T_p12142[[#This Row],[$stack]]</f>
        <v>0</v>
      </c>
      <c r="AT18" s="68">
        <f>'3wAh9s'!p3win* ('3wAh9s'!p1sp1win*T_p3p12344[[#This Row],[stack]] + '3wAh9s'!p2sp1win*T_p3p22445[[#This Row],[stack]])
+'3wAh9s'!p2win*T_p22243[[#This Row],[stack]]
+'3wAh9s'!p1win*T_p12142[[#This Row],[stack]]</f>
        <v>1849.9348003199998</v>
      </c>
      <c r="AU18" s="2">
        <f>T_EV3347[[#This Row],[chipEV]]-T_fact2946[[#This Row],[stack]]</f>
        <v>238.93480031999979</v>
      </c>
      <c r="AV18" s="2">
        <f>T_EV3347[[#This Row],[EV]]-(T_fact2946[[#This Row],[ICM]]+bounty*T_fact2946[[#This Row],[KO]])</f>
        <v>0</v>
      </c>
    </row>
    <row r="19" spans="1:48" x14ac:dyDescent="0.25">
      <c r="A19" t="s">
        <v>95</v>
      </c>
      <c r="D19">
        <f>SUBTOTAL(109,T_init2041[pWin])</f>
        <v>0</v>
      </c>
      <c r="F19" s="53"/>
      <c r="G19" s="50">
        <f>SUM(T_p12142[stack])</f>
        <v>3000</v>
      </c>
      <c r="H19" s="50">
        <f>SUM(T_p12142[EQ])</f>
        <v>1</v>
      </c>
      <c r="I19" s="50">
        <f>SUM(T_p12142[ICM])</f>
        <v>0</v>
      </c>
      <c r="J19" s="50">
        <f>SUM(T_p12142[KO])</f>
        <v>3</v>
      </c>
      <c r="K19" s="50">
        <f>SUM(T_p12142[$stack])</f>
        <v>0</v>
      </c>
      <c r="M19" s="53"/>
      <c r="N19" s="55">
        <f>SUM(T_p22243[stack])</f>
        <v>3000</v>
      </c>
      <c r="O19" s="50">
        <f>SUM(T_p22243[EQ])</f>
        <v>1</v>
      </c>
      <c r="P19" s="51">
        <f>SUM(T_p22243[ICM])</f>
        <v>0</v>
      </c>
      <c r="Q19" s="52">
        <f>SUM(T_p22243[KO])</f>
        <v>3</v>
      </c>
      <c r="R19" s="50">
        <f>SUM(T_p22243[$stack])</f>
        <v>0</v>
      </c>
      <c r="T19" s="53"/>
      <c r="U19" s="55">
        <f>SUM(T_p3p12344[stack])</f>
        <v>3000</v>
      </c>
      <c r="V19" s="50">
        <f>SUM(T_p3p12344[EQ])</f>
        <v>1</v>
      </c>
      <c r="W19" s="51">
        <f>SUM(T_p3p12344[ICM])</f>
        <v>0</v>
      </c>
      <c r="X19" s="52">
        <f>SUM(T_p3p12344[KO])</f>
        <v>3</v>
      </c>
      <c r="Y19" s="50">
        <f>SUM(T_p3p12344[$stack])</f>
        <v>0</v>
      </c>
      <c r="AA19" s="53"/>
      <c r="AB19" s="55">
        <f>SUM(T_p3p22445[stack])</f>
        <v>3000</v>
      </c>
      <c r="AC19" s="50">
        <f>SUM(T_p3p22445[EQ])</f>
        <v>1.0001000000000002</v>
      </c>
      <c r="AD19" s="51">
        <f>SUM(T_p3p22445[ICM])</f>
        <v>0</v>
      </c>
      <c r="AE19" s="52">
        <f>SUM(T_p3p22445[KO])</f>
        <v>3</v>
      </c>
      <c r="AF19" s="50">
        <f>SUM(T_p3p12344[$stack])</f>
        <v>0</v>
      </c>
      <c r="AI19" s="53"/>
      <c r="AJ19" s="55">
        <f>SUM(T_fact2946[stack])</f>
        <v>3000</v>
      </c>
      <c r="AK19" s="50">
        <f>SUM(T_fact2946[EQ])</f>
        <v>1</v>
      </c>
      <c r="AL19" s="51">
        <f>SUM(T_fact2946[ICM])</f>
        <v>0</v>
      </c>
      <c r="AM19" s="52">
        <f>SUM(T_fact2946[KO])</f>
        <v>3</v>
      </c>
      <c r="AN19" s="51">
        <f>SUM(T_fact2946[$stack])</f>
        <v>0</v>
      </c>
      <c r="AQ19" s="52">
        <f>SUM(T_EV3347[ICM])</f>
        <v>0</v>
      </c>
      <c r="AR19" s="52">
        <f>SUM(T_EV3347[KO])</f>
        <v>0</v>
      </c>
      <c r="AS19" s="52">
        <f>SUM(T_EV3347[EV])</f>
        <v>0</v>
      </c>
      <c r="AT19" s="50">
        <f>SUM(T_EV3347[chipEV])</f>
        <v>3000</v>
      </c>
    </row>
    <row r="35" spans="2:4" x14ac:dyDescent="0.25">
      <c r="C35" t="s">
        <v>118</v>
      </c>
    </row>
    <row r="36" spans="2:4" x14ac:dyDescent="0.25">
      <c r="C36" t="s">
        <v>120</v>
      </c>
    </row>
    <row r="37" spans="2:4" x14ac:dyDescent="0.25">
      <c r="C37" t="s">
        <v>122</v>
      </c>
    </row>
    <row r="40" spans="2:4" x14ac:dyDescent="0.25">
      <c r="C40" t="s">
        <v>126</v>
      </c>
    </row>
    <row r="42" spans="2:4" x14ac:dyDescent="0.25">
      <c r="B42" t="s">
        <v>129</v>
      </c>
    </row>
    <row r="43" spans="2:4" x14ac:dyDescent="0.25">
      <c r="B43" t="s">
        <v>131</v>
      </c>
    </row>
    <row r="44" spans="2:4" x14ac:dyDescent="0.25">
      <c r="C44" t="s">
        <v>133</v>
      </c>
    </row>
    <row r="45" spans="2:4" x14ac:dyDescent="0.25">
      <c r="D45" t="s">
        <v>135</v>
      </c>
    </row>
    <row r="46" spans="2:4" x14ac:dyDescent="0.25">
      <c r="C46" t="s">
        <v>137</v>
      </c>
    </row>
    <row r="47" spans="2:4" x14ac:dyDescent="0.25">
      <c r="D47" t="s">
        <v>135</v>
      </c>
    </row>
    <row r="48" spans="2:4" x14ac:dyDescent="0.25">
      <c r="C48" t="s">
        <v>140</v>
      </c>
    </row>
    <row r="49" spans="3:7" x14ac:dyDescent="0.25">
      <c r="D49" t="s">
        <v>142</v>
      </c>
    </row>
    <row r="50" spans="3:7" x14ac:dyDescent="0.25">
      <c r="D50" t="s">
        <v>144</v>
      </c>
    </row>
    <row r="51" spans="3:7" x14ac:dyDescent="0.25">
      <c r="F51" t="s">
        <v>147</v>
      </c>
    </row>
    <row r="53" spans="3:7" x14ac:dyDescent="0.25">
      <c r="E53" t="s">
        <v>145</v>
      </c>
      <c r="F53" t="s">
        <v>151</v>
      </c>
    </row>
    <row r="55" spans="3:7" x14ac:dyDescent="0.25">
      <c r="C55" t="s">
        <v>154</v>
      </c>
      <c r="E55" t="s">
        <v>149</v>
      </c>
    </row>
    <row r="56" spans="3:7" x14ac:dyDescent="0.25">
      <c r="D56" t="s">
        <v>156</v>
      </c>
    </row>
    <row r="57" spans="3:7" x14ac:dyDescent="0.25">
      <c r="D57" t="s">
        <v>158</v>
      </c>
    </row>
    <row r="58" spans="3:7" x14ac:dyDescent="0.25">
      <c r="F58" t="s">
        <v>160</v>
      </c>
    </row>
    <row r="60" spans="3:7" x14ac:dyDescent="0.25">
      <c r="E60" t="s">
        <v>145</v>
      </c>
      <c r="F60" t="s">
        <v>163</v>
      </c>
    </row>
    <row r="62" spans="3:7" x14ac:dyDescent="0.25">
      <c r="E62" t="s">
        <v>149</v>
      </c>
      <c r="F62" t="s">
        <v>167</v>
      </c>
    </row>
    <row r="63" spans="3:7" x14ac:dyDescent="0.25">
      <c r="F63" t="s">
        <v>144</v>
      </c>
    </row>
    <row r="64" spans="3:7" x14ac:dyDescent="0.25">
      <c r="E64" t="s">
        <v>165</v>
      </c>
      <c r="G64" t="s">
        <v>145</v>
      </c>
    </row>
    <row r="65" spans="7:8" x14ac:dyDescent="0.25">
      <c r="H65" t="s">
        <v>147</v>
      </c>
    </row>
    <row r="66" spans="7:8" x14ac:dyDescent="0.25">
      <c r="G66" t="s">
        <v>149</v>
      </c>
    </row>
    <row r="67" spans="7:8" x14ac:dyDescent="0.25">
      <c r="H67" t="s">
        <v>151</v>
      </c>
    </row>
  </sheetData>
  <mergeCells count="10">
    <mergeCell ref="T12:AE12"/>
    <mergeCell ref="AQ12:AT12"/>
    <mergeCell ref="T13:AE13"/>
    <mergeCell ref="AQ13:AT13"/>
    <mergeCell ref="F14:J14"/>
    <mergeCell ref="M14:Q14"/>
    <mergeCell ref="T14:X14"/>
    <mergeCell ref="AA14:AE14"/>
    <mergeCell ref="AI14:AM14"/>
    <mergeCell ref="AQ14:AT14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5"/>
  <sheetViews>
    <sheetView workbookViewId="0">
      <selection activeCell="AK9" sqref="AK9"/>
    </sheetView>
  </sheetViews>
  <sheetFormatPr defaultRowHeight="15" x14ac:dyDescent="0.25"/>
  <cols>
    <col min="11" max="11" width="9.5703125" bestFit="1" customWidth="1"/>
    <col min="17" max="17" width="9.5703125" bestFit="1" customWidth="1"/>
    <col min="23" max="23" width="9.5703125" bestFit="1" customWidth="1"/>
    <col min="29" max="29" width="10.5703125" customWidth="1"/>
    <col min="31" max="31" width="10" customWidth="1"/>
    <col min="34" max="34" width="9.5703125" customWidth="1"/>
    <col min="36" max="36" width="10.28515625" customWidth="1"/>
  </cols>
  <sheetData>
    <row r="1" spans="1:39" x14ac:dyDescent="0.25">
      <c r="C1" t="s">
        <v>0</v>
      </c>
      <c r="D1">
        <f>bounty*6</f>
        <v>0</v>
      </c>
      <c r="F1" t="s">
        <v>71</v>
      </c>
      <c r="G1">
        <v>8.8999999999999996E-2</v>
      </c>
      <c r="I1" t="s">
        <v>453</v>
      </c>
      <c r="J1">
        <v>0.2893</v>
      </c>
      <c r="L1" t="s">
        <v>73</v>
      </c>
      <c r="M1">
        <v>1460</v>
      </c>
    </row>
    <row r="2" spans="1:39" x14ac:dyDescent="0.25">
      <c r="C2" t="s">
        <v>1</v>
      </c>
      <c r="D2">
        <f>bounty</f>
        <v>0</v>
      </c>
      <c r="F2" t="s">
        <v>74</v>
      </c>
      <c r="G2">
        <v>0.54559999999999997</v>
      </c>
      <c r="I2" t="s">
        <v>454</v>
      </c>
      <c r="J2">
        <v>0.7107</v>
      </c>
      <c r="L2" t="s">
        <v>455</v>
      </c>
      <c r="M2">
        <v>20</v>
      </c>
    </row>
    <row r="3" spans="1:39" x14ac:dyDescent="0.25">
      <c r="C3" t="s">
        <v>77</v>
      </c>
      <c r="D3">
        <v>3000</v>
      </c>
      <c r="F3" t="s">
        <v>78</v>
      </c>
      <c r="G3">
        <v>0.3654</v>
      </c>
    </row>
    <row r="5" spans="1:39" x14ac:dyDescent="0.25">
      <c r="C5" t="s">
        <v>456</v>
      </c>
      <c r="D5" t="s">
        <v>457</v>
      </c>
    </row>
    <row r="6" spans="1:39" ht="15.75" thickBot="1" x14ac:dyDescent="0.3"/>
    <row r="7" spans="1:39" ht="19.5" thickTop="1" x14ac:dyDescent="0.3">
      <c r="E7" s="134" t="s">
        <v>100</v>
      </c>
      <c r="F7" s="135"/>
      <c r="G7" s="135"/>
      <c r="H7" s="135"/>
      <c r="I7" s="136"/>
      <c r="J7" s="134" t="s">
        <v>101</v>
      </c>
      <c r="K7" s="135"/>
      <c r="L7" s="135"/>
      <c r="M7" s="135"/>
      <c r="N7" s="136"/>
      <c r="P7" s="134" t="s">
        <v>102</v>
      </c>
      <c r="Q7" s="135"/>
      <c r="R7" s="135"/>
      <c r="S7" s="135"/>
      <c r="T7" s="136"/>
      <c r="V7" s="134" t="s">
        <v>103</v>
      </c>
      <c r="W7" s="135"/>
      <c r="X7" s="135"/>
      <c r="Y7" s="135"/>
      <c r="Z7" s="136"/>
      <c r="AB7" s="121" t="s">
        <v>10</v>
      </c>
      <c r="AC7" s="122"/>
      <c r="AD7" s="122"/>
      <c r="AE7" s="122"/>
      <c r="AF7" s="123"/>
      <c r="AG7" s="3"/>
      <c r="AH7" s="124" t="s">
        <v>11</v>
      </c>
      <c r="AI7" s="125"/>
      <c r="AJ7" s="126"/>
    </row>
    <row r="8" spans="1:39" x14ac:dyDescent="0.25">
      <c r="A8" t="s">
        <v>107</v>
      </c>
      <c r="B8" t="s">
        <v>12</v>
      </c>
      <c r="C8" t="s">
        <v>13</v>
      </c>
      <c r="D8" t="s">
        <v>14</v>
      </c>
      <c r="E8" s="10" t="s">
        <v>458</v>
      </c>
      <c r="F8" t="s">
        <v>459</v>
      </c>
      <c r="G8" t="s">
        <v>460</v>
      </c>
      <c r="H8" t="s">
        <v>461</v>
      </c>
      <c r="I8" s="11" t="s">
        <v>462</v>
      </c>
      <c r="J8" s="5" t="s">
        <v>463</v>
      </c>
      <c r="K8" s="5" t="s">
        <v>464</v>
      </c>
      <c r="L8" s="5" t="s">
        <v>465</v>
      </c>
      <c r="M8" s="5" t="s">
        <v>466</v>
      </c>
      <c r="N8" s="11" t="s">
        <v>467</v>
      </c>
      <c r="O8" s="5" t="s">
        <v>468</v>
      </c>
      <c r="P8" s="10" t="s">
        <v>469</v>
      </c>
      <c r="Q8" s="5" t="s">
        <v>470</v>
      </c>
      <c r="R8" s="5" t="s">
        <v>471</v>
      </c>
      <c r="S8" s="5" t="s">
        <v>472</v>
      </c>
      <c r="T8" s="11" t="s">
        <v>473</v>
      </c>
      <c r="U8" t="s">
        <v>23</v>
      </c>
      <c r="V8" s="10" t="s">
        <v>474</v>
      </c>
      <c r="W8" s="5" t="s">
        <v>475</v>
      </c>
      <c r="X8" s="5" t="s">
        <v>476</v>
      </c>
      <c r="Y8" s="5" t="s">
        <v>477</v>
      </c>
      <c r="Z8" s="11" t="s">
        <v>478</v>
      </c>
      <c r="AA8" t="s">
        <v>479</v>
      </c>
      <c r="AB8" s="8" t="s">
        <v>480</v>
      </c>
      <c r="AC8" s="5" t="s">
        <v>481</v>
      </c>
      <c r="AD8" s="5" t="s">
        <v>482</v>
      </c>
      <c r="AE8" s="5" t="s">
        <v>483</v>
      </c>
      <c r="AF8" s="9" t="s">
        <v>484</v>
      </c>
      <c r="AG8" t="s">
        <v>28</v>
      </c>
      <c r="AH8" s="4" t="s">
        <v>485</v>
      </c>
      <c r="AI8" s="5" t="s">
        <v>486</v>
      </c>
      <c r="AJ8" s="5" t="s">
        <v>487</v>
      </c>
      <c r="AK8" t="s">
        <v>112</v>
      </c>
    </row>
    <row r="9" spans="1:39" s="17" customFormat="1" x14ac:dyDescent="0.25">
      <c r="A9" s="17">
        <v>1</v>
      </c>
      <c r="B9" s="17">
        <v>498</v>
      </c>
      <c r="C9" s="17" t="s">
        <v>488</v>
      </c>
      <c r="D9" s="17">
        <v>8.8999999999999996E-2</v>
      </c>
      <c r="E9" s="19">
        <v>4</v>
      </c>
      <c r="F9" s="17">
        <v>1490</v>
      </c>
      <c r="G9" s="17">
        <v>0.39860000000000001</v>
      </c>
      <c r="H9" s="18">
        <f>Table1[[#This Row],[EQ1]]*prize</f>
        <v>0</v>
      </c>
      <c r="I9" s="24">
        <f>Table1[[#This Row],[players1]]*Table1[[#This Row],[stack1]]/chips+2</f>
        <v>3.9866666666666664</v>
      </c>
      <c r="J9" s="19">
        <v>5</v>
      </c>
      <c r="K9" s="17">
        <v>10</v>
      </c>
      <c r="L9" s="17">
        <v>4.3E-3</v>
      </c>
      <c r="M9" s="18">
        <f>Table1[[#This Row],[EQ2]]*prize</f>
        <v>0</v>
      </c>
      <c r="N9" s="20">
        <f>Table1[[#This Row],[players2]]*Table1[[#This Row],[stack2]]/3000</f>
        <v>1.6666666666666666E-2</v>
      </c>
      <c r="O9" s="67"/>
      <c r="P9" s="19">
        <v>5</v>
      </c>
      <c r="Q9" s="17">
        <v>30</v>
      </c>
      <c r="R9" s="17">
        <v>1.2699999999999999E-2</v>
      </c>
      <c r="S9" s="18">
        <f>Table1[[#This Row],[EQside1]]*prize</f>
        <v>0</v>
      </c>
      <c r="T9" s="20">
        <f>Table1[[#This Row],[playersside1]]*Table1[[#This Row],[stackside1]]/3000+1</f>
        <v>1.05</v>
      </c>
      <c r="V9" s="19">
        <v>6</v>
      </c>
      <c r="W9" s="17">
        <v>10</v>
      </c>
      <c r="X9" s="17">
        <v>4.4000000000000003E-3</v>
      </c>
      <c r="Y9" s="18">
        <f>Table1[[#This Row],[EQside2]]*prize</f>
        <v>0</v>
      </c>
      <c r="Z9" s="20">
        <f>Table1[[#This Row],[playersside2]]*Table1[[#This Row],[stackside2]]/3000</f>
        <v>0.02</v>
      </c>
      <c r="AB9" s="21">
        <v>5</v>
      </c>
      <c r="AC9" s="17">
        <v>10</v>
      </c>
      <c r="AD9" s="17">
        <v>4.3E-3</v>
      </c>
      <c r="AE9" s="18">
        <f>Table1[[#This Row],[EQf]]*prize</f>
        <v>0</v>
      </c>
      <c r="AF9" s="22">
        <f>Table1[[#This Row],[playersf]]*Table1[[#This Row],[stackf]]/3000</f>
        <v>1.6666666666666666E-2</v>
      </c>
      <c r="AG9" s="35">
        <f>Table2[[#This Row],[EQwin]]*Table2[[#This Row],[pWin]] + Table2[[#This Row],[EQlose]]*(1-Table2[[#This Row],[pWin]]) - Table2[[#This Row],[Eqfact]]</f>
        <v>0</v>
      </c>
      <c r="AH9" s="23">
        <f>p3win*(p1spwin*Table1[[#This Row],[ICMside1]]+(1-p1spwin)*Table1[[#This Row],[ICMside2]])+p2win*Table1[[#This Row],[ICM2]]+p1win*Table1[[#This Row],[ICM1]] -Table1[[#This Row],[ICMf]]</f>
        <v>0</v>
      </c>
      <c r="AI9" s="23">
        <f>p3win*(p1spwin*Table1[[#This Row],[KOside1]]+(1-p1spwin)*Table1[[#This Row],[KOside2]])+p2win*Table1[[#This Row],[KO2]]+p1win*Table1[[#This Row],[KO1]] -Table1[[#This Row],[KOf]]</f>
        <v>0.46342952659999997</v>
      </c>
      <c r="AJ9" s="69">
        <f>Table1[[#This Row],[ICMd]]+Table1[[#This Row],[KOd]]</f>
        <v>0.46342952659999997</v>
      </c>
      <c r="AK9" s="17">
        <f>p3win*(p1spwin*Table1[[#This Row],[stackside1]]+(1-p1spwin)*Table1[[#This Row],[stackside2]])+p2win*Table1[[#This Row],[stack2]]+p1win*Table1[[#This Row],[stack1]] -Table1[[#This Row],[stackf]]</f>
        <v>133.83420439999998</v>
      </c>
      <c r="AM9" s="17">
        <f>M1*p1win+M2*p1spwin-Table1[[#This Row],[stackf]]+10</f>
        <v>135.726</v>
      </c>
    </row>
    <row r="10" spans="1:39" x14ac:dyDescent="0.25">
      <c r="B10">
        <v>540</v>
      </c>
      <c r="E10" s="10">
        <v>4</v>
      </c>
      <c r="F10">
        <v>538</v>
      </c>
      <c r="G10">
        <v>0.21279999999999999</v>
      </c>
      <c r="H10" s="2">
        <f>Table1[[#This Row],[EQ1]]*prize</f>
        <v>0</v>
      </c>
      <c r="I10" s="16">
        <f>Table1[[#This Row],[players1]]*Table1[[#This Row],[stack1]]/chips</f>
        <v>0.71733333333333338</v>
      </c>
      <c r="J10" s="10">
        <v>5</v>
      </c>
      <c r="K10">
        <v>538</v>
      </c>
      <c r="L10">
        <v>0.21190000000000001</v>
      </c>
      <c r="M10" s="2">
        <f>Table1[[#This Row],[EQ2]]*prize</f>
        <v>0</v>
      </c>
      <c r="N10" s="14">
        <f>Table1[[#This Row],[players2]]*Table1[[#This Row],[stack2]]/3000</f>
        <v>0.89666666666666661</v>
      </c>
      <c r="O10" s="66"/>
      <c r="P10" s="10">
        <v>5</v>
      </c>
      <c r="Q10">
        <v>538</v>
      </c>
      <c r="R10">
        <v>0.21029999999999999</v>
      </c>
      <c r="S10" s="2">
        <f>Table1[[#This Row],[EQside1]]*prize</f>
        <v>0</v>
      </c>
      <c r="T10" s="14">
        <f>Table1[[#This Row],[playersside1]]*Table1[[#This Row],[stackside1]]/3000</f>
        <v>0.89666666666666661</v>
      </c>
      <c r="V10" s="10">
        <v>6</v>
      </c>
      <c r="W10">
        <v>538</v>
      </c>
      <c r="X10">
        <v>0.2102</v>
      </c>
      <c r="Y10" s="2">
        <f>Table1[[#This Row],[EQside2]]*prize</f>
        <v>0</v>
      </c>
      <c r="Z10" s="14">
        <f>Table1[[#This Row],[playersside2]]*Table1[[#This Row],[stackside2]]/3000</f>
        <v>1.0760000000000001</v>
      </c>
      <c r="AB10" s="8">
        <v>5</v>
      </c>
      <c r="AC10">
        <v>538</v>
      </c>
      <c r="AD10">
        <v>0.21190000000000001</v>
      </c>
      <c r="AE10" s="2">
        <f>Table1[[#This Row],[EQf]]*prize</f>
        <v>0</v>
      </c>
      <c r="AF10" s="15">
        <f>Table1[[#This Row],[playersf]]*Table1[[#This Row],[stackf]]/3000</f>
        <v>0.89666666666666661</v>
      </c>
      <c r="AG10" s="38">
        <f>Table2[[#This Row],[EQwin]]*Table2[[#This Row],[pWin]] + Table2[[#This Row],[EQlose]]*(1-Table2[[#This Row],[pWin]]) - Table2[[#This Row],[Eqfact]]</f>
        <v>0</v>
      </c>
      <c r="AH10" s="12">
        <f>p3win*(p1spwin*Table1[[#This Row],[ICMside1]]+(1-p1spwin)*Table1[[#This Row],[ICMside2]])+p2win*Table1[[#This Row],[ICM2]]+p1win*Table1[[#This Row],[ICM1]] -Table1[[#This Row],[ICMf]]</f>
        <v>0</v>
      </c>
      <c r="AI10" s="68">
        <f>p3win*(p1spwin*Table1[[#This Row],[KOside1]]+(1-p1spwin)*Table1[[#This Row],[KOside2]])+p2win*Table1[[#This Row],[KO2]]+p1win*Table1[[#This Row],[KO1]] -Table1[[#This Row],[KOf]]</f>
        <v>3.0610367213333434E-2</v>
      </c>
      <c r="AJ10" s="68">
        <f>Table1[[#This Row],[ICMd]]+Table1[[#This Row],[KOd]]</f>
        <v>3.0610367213333434E-2</v>
      </c>
      <c r="AK10">
        <f>p3win*(p1spwin*Table1[[#This Row],[stackside1]]+(1-p1spwin)*Table1[[#This Row],[stackside2]])+p2win*Table1[[#This Row],[stack2]]+p1win*Table1[[#This Row],[stack1]] -Table1[[#This Row],[stackf]]</f>
        <v>0</v>
      </c>
    </row>
    <row r="11" spans="1:39" x14ac:dyDescent="0.25">
      <c r="B11">
        <v>498</v>
      </c>
      <c r="E11" s="10">
        <v>4</v>
      </c>
      <c r="F11">
        <v>496</v>
      </c>
      <c r="G11">
        <v>0.19789999999999999</v>
      </c>
      <c r="H11" s="2">
        <f>Table1[[#This Row],[EQ1]]*prize</f>
        <v>0</v>
      </c>
      <c r="I11" s="16">
        <f>Table1[[#This Row],[players1]]*Table1[[#This Row],[stack1]]/chips</f>
        <v>0.66133333333333333</v>
      </c>
      <c r="J11" s="10">
        <v>5</v>
      </c>
      <c r="K11">
        <v>496</v>
      </c>
      <c r="L11">
        <v>0.1971</v>
      </c>
      <c r="M11" s="2">
        <f>Table1[[#This Row],[EQ2]]*prize</f>
        <v>0</v>
      </c>
      <c r="N11" s="14">
        <f>Table1[[#This Row],[players2]]*Table1[[#This Row],[stack2]]/3000</f>
        <v>0.82666666666666666</v>
      </c>
      <c r="O11" s="66"/>
      <c r="P11" s="10">
        <v>5</v>
      </c>
      <c r="Q11">
        <v>496</v>
      </c>
      <c r="R11">
        <v>0.19550000000000001</v>
      </c>
      <c r="S11" s="2">
        <f>Table1[[#This Row],[EQside1]]*prize</f>
        <v>0</v>
      </c>
      <c r="T11" s="14">
        <f>Table1[[#This Row],[playersside1]]*Table1[[#This Row],[stackside1]]/3000</f>
        <v>0.82666666666666666</v>
      </c>
      <c r="V11" s="10">
        <v>6</v>
      </c>
      <c r="W11">
        <v>496</v>
      </c>
      <c r="X11">
        <v>0.19550000000000001</v>
      </c>
      <c r="Y11" s="2">
        <f>Table1[[#This Row],[EQside2]]*prize</f>
        <v>0</v>
      </c>
      <c r="Z11" s="14">
        <f>Table1[[#This Row],[playersside2]]*Table1[[#This Row],[stackside2]]/3000</f>
        <v>0.99199999999999999</v>
      </c>
      <c r="AB11" s="8">
        <v>5</v>
      </c>
      <c r="AC11">
        <v>496</v>
      </c>
      <c r="AD11">
        <v>0.1971</v>
      </c>
      <c r="AE11" s="2">
        <f>Table1[[#This Row],[EQf]]*prize</f>
        <v>0</v>
      </c>
      <c r="AF11" s="15">
        <f>Table1[[#This Row],[playersf]]*Table1[[#This Row],[stackf]]/3000</f>
        <v>0.82666666666666666</v>
      </c>
      <c r="AG11" s="38">
        <f>Table2[[#This Row],[EQwin]]*Table2[[#This Row],[pWin]] + Table2[[#This Row],[EQlose]]*(1-Table2[[#This Row],[pWin]]) - Table2[[#This Row],[Eqfact]]</f>
        <v>-7.9633889999999985E-2</v>
      </c>
      <c r="AH11" s="12">
        <f>p3win*(p1spwin*Table1[[#This Row],[ICMside1]]+(1-p1spwin)*Table1[[#This Row],[ICMside2]])+p2win*Table1[[#This Row],[ICM2]]+p1win*Table1[[#This Row],[ICM1]] -Table1[[#This Row],[ICMf]]</f>
        <v>0</v>
      </c>
      <c r="AI11" s="68">
        <f>p3win*(p1spwin*Table1[[#This Row],[KOside1]]+(1-p1spwin)*Table1[[#This Row],[KOside2]])+p2win*Table1[[#This Row],[KO2]]+p1win*Table1[[#This Row],[KO1]] -Table1[[#This Row],[KOf]]</f>
        <v>2.8220710293333173E-2</v>
      </c>
      <c r="AJ11" s="68">
        <f>Table1[[#This Row],[ICMd]]+Table1[[#This Row],[KOd]]</f>
        <v>2.8220710293333173E-2</v>
      </c>
      <c r="AK11">
        <f>p3win*(p1spwin*Table1[[#This Row],[stackside1]]+(1-p1spwin)*Table1[[#This Row],[stackside2]])+p2win*Table1[[#This Row],[stack2]]+p1win*Table1[[#This Row],[stack1]] -Table1[[#This Row],[stackf]]</f>
        <v>0</v>
      </c>
    </row>
    <row r="12" spans="1:39" s="26" customFormat="1" x14ac:dyDescent="0.25">
      <c r="A12" s="26">
        <v>2</v>
      </c>
      <c r="B12" s="26">
        <v>488</v>
      </c>
      <c r="C12" s="26" t="s">
        <v>489</v>
      </c>
      <c r="D12" s="26">
        <v>0.54559999999999997</v>
      </c>
      <c r="E12" s="29">
        <v>4</v>
      </c>
      <c r="F12" s="26">
        <v>0</v>
      </c>
      <c r="G12" s="26">
        <v>0</v>
      </c>
      <c r="H12" s="27">
        <f>Table1[[#This Row],[EQ1]]*prize</f>
        <v>0</v>
      </c>
      <c r="I12" s="28">
        <f>Table1[[#This Row],[players1]]*Table1[[#This Row],[stack1]]/chips</f>
        <v>0</v>
      </c>
      <c r="J12" s="29">
        <v>5</v>
      </c>
      <c r="K12" s="26">
        <v>1480</v>
      </c>
      <c r="L12" s="26">
        <v>0.39679999999999999</v>
      </c>
      <c r="M12" s="27">
        <f>Table1[[#This Row],[EQ2]]*prize</f>
        <v>0</v>
      </c>
      <c r="N12" s="30">
        <f>Table1[[#This Row],[players2]]*Table1[[#This Row],[stack2]]/3000+1</f>
        <v>3.4666666666666668</v>
      </c>
      <c r="O12" s="71"/>
      <c r="P12" s="29">
        <v>5</v>
      </c>
      <c r="Q12" s="26">
        <v>0</v>
      </c>
      <c r="R12" s="26">
        <v>0</v>
      </c>
      <c r="S12" s="27">
        <f>Table1[[#This Row],[EQside1]]*prize</f>
        <v>0</v>
      </c>
      <c r="T12" s="30">
        <f>Table1[[#This Row],[playersside1]]*Table1[[#This Row],[stackside1]]/3000</f>
        <v>0</v>
      </c>
      <c r="V12" s="29">
        <v>6</v>
      </c>
      <c r="W12" s="26">
        <v>20</v>
      </c>
      <c r="X12" s="26">
        <v>8.5000000000000006E-3</v>
      </c>
      <c r="Y12" s="27">
        <f>Table1[[#This Row],[EQside2]]*prize</f>
        <v>0</v>
      </c>
      <c r="Z12" s="30">
        <f>Table1[[#This Row],[playersside2]]*Table1[[#This Row],[stackside2]]/3000</f>
        <v>0.04</v>
      </c>
      <c r="AB12" s="31">
        <v>5</v>
      </c>
      <c r="AC12" s="26">
        <v>1480</v>
      </c>
      <c r="AD12" s="26">
        <v>0.39679999999999999</v>
      </c>
      <c r="AE12" s="27">
        <f>Table1[[#This Row],[EQf]]*prize</f>
        <v>0</v>
      </c>
      <c r="AF12" s="32">
        <f>Table1[[#This Row],[playersf]]*Table1[[#This Row],[stackf]]/3000+1</f>
        <v>3.4666666666666668</v>
      </c>
      <c r="AG12" s="39">
        <f>Table2[[#This Row],[EQwin]]*Table2[[#This Row],[pWin]] + Table2[[#This Row],[EQlose]]*(1-Table2[[#This Row],[pWin]]) - Table2[[#This Row],[Eqfact]]</f>
        <v>7.9633889999999999E-2</v>
      </c>
      <c r="AH12" s="12">
        <f>p3win*(p1spwin*Table1[[#This Row],[ICMside1]]+(1-p1spwin)*Table1[[#This Row],[ICMside2]])+p2win*Table1[[#This Row],[ICM2]]+p1win*Table1[[#This Row],[ICM1]] -Table1[[#This Row],[ICMf]]</f>
        <v>0</v>
      </c>
      <c r="AI12" s="72">
        <f>p3win*(p1spwin*Table1[[#This Row],[KOside1]]+(1-p1spwin)*Table1[[#This Row],[KOside2]])+p2win*Table1[[#This Row],[KO2]]+p1win*Table1[[#This Row],[KO1]] -Table1[[#This Row],[KOf]]</f>
        <v>-1.5648657421333334</v>
      </c>
      <c r="AJ12" s="72">
        <f>Table1[[#This Row],[ICMd]]+Table1[[#This Row],[KOd]]</f>
        <v>-1.5648657421333334</v>
      </c>
      <c r="AK12" s="26">
        <f>p3win*(p1spwin*Table1[[#This Row],[stackside1]]+(1-p1spwin)*Table1[[#This Row],[stackside2]])+p2win*Table1[[#This Row],[stack2]]+p1win*Table1[[#This Row],[stack1]] -Table1[[#This Row],[stackf]]</f>
        <v>-667.31820440000001</v>
      </c>
    </row>
    <row r="13" spans="1:39" x14ac:dyDescent="0.25">
      <c r="A13">
        <v>3</v>
      </c>
      <c r="B13">
        <v>478</v>
      </c>
      <c r="C13" t="s">
        <v>490</v>
      </c>
      <c r="D13">
        <v>0.3654</v>
      </c>
      <c r="E13" s="10">
        <v>4</v>
      </c>
      <c r="F13">
        <v>0</v>
      </c>
      <c r="H13" s="2">
        <f>Table1[[#This Row],[EQ1]]*prize</f>
        <v>0</v>
      </c>
      <c r="I13" s="16">
        <f>Table1[[#This Row],[players1]]*Table1[[#This Row],[stack1]]/chips</f>
        <v>0</v>
      </c>
      <c r="J13" s="10">
        <v>5</v>
      </c>
      <c r="K13">
        <v>0</v>
      </c>
      <c r="M13" s="2">
        <f>Table1[[#This Row],[EQ2]]*prize</f>
        <v>0</v>
      </c>
      <c r="N13" s="14">
        <f>Table1[[#This Row],[players2]]*Table1[[#This Row],[stack2]]/3000</f>
        <v>0</v>
      </c>
      <c r="O13" s="66"/>
      <c r="P13" s="10">
        <v>5</v>
      </c>
      <c r="Q13">
        <v>1460</v>
      </c>
      <c r="R13">
        <v>0.3931</v>
      </c>
      <c r="S13" s="2">
        <f>Table1[[#This Row],[EQside1]]*prize</f>
        <v>0</v>
      </c>
      <c r="T13" s="14">
        <f>Table1[[#This Row],[playersside1]]*Table1[[#This Row],[stackside1]]/3000</f>
        <v>2.4333333333333331</v>
      </c>
      <c r="V13" s="10">
        <v>6</v>
      </c>
      <c r="W13">
        <v>1460</v>
      </c>
      <c r="X13">
        <v>0.39300000000000002</v>
      </c>
      <c r="Y13" s="2">
        <f>Table1[[#This Row],[EQside2]]*prize</f>
        <v>0</v>
      </c>
      <c r="Z13" s="14">
        <f>Table1[[#This Row],[playersside2]]*Table1[[#This Row],[stackside2]]/3000</f>
        <v>2.92</v>
      </c>
      <c r="AB13" s="8">
        <v>5</v>
      </c>
      <c r="AC13">
        <v>0</v>
      </c>
      <c r="AE13" s="2">
        <f>Table1[[#This Row],[EQf]]*prize</f>
        <v>0</v>
      </c>
      <c r="AF13" s="15">
        <f>Table1[[#This Row],[playersf]]*Table1[[#This Row],[stackf]]/3000</f>
        <v>0</v>
      </c>
      <c r="AG13" s="38">
        <f>Table2[[#This Row],[EQwin]]*Table2[[#This Row],[pWin]] + Table2[[#This Row],[EQlose]]*(1-Table2[[#This Row],[pWin]]) - Table2[[#This Row],[Eqfact]]</f>
        <v>0</v>
      </c>
      <c r="AH13" s="12">
        <f>p3win*(p1spwin*Table1[[#This Row],[ICMside1]]+(1-p1spwin)*Table1[[#This Row],[ICMside2]])+p2win*Table1[[#This Row],[ICM2]]+p1win*Table1[[#This Row],[ICM1]] -Table1[[#This Row],[ICMf]]</f>
        <v>0</v>
      </c>
      <c r="AI13" s="68">
        <f>p3win*(p1spwin*Table1[[#This Row],[KOside1]]+(1-p1spwin)*Table1[[#This Row],[KOside2]])+p2win*Table1[[#This Row],[KO2]]+p1win*Table1[[#This Row],[KO1]] -Table1[[#This Row],[KOf]]</f>
        <v>1.0155223596</v>
      </c>
      <c r="AJ13" s="68">
        <f>Table1[[#This Row],[ICMd]]+Table1[[#This Row],[KOd]]</f>
        <v>1.0155223596</v>
      </c>
      <c r="AK13">
        <f>p3win*(p1spwin*Table1[[#This Row],[stackside1]]+(1-p1spwin)*Table1[[#This Row],[stackside2]])+p2win*Table1[[#This Row],[stack2]]+p1win*Table1[[#This Row],[stack1]] -Table1[[#This Row],[stackf]]</f>
        <v>533.48400000000004</v>
      </c>
    </row>
    <row r="14" spans="1:39" x14ac:dyDescent="0.25">
      <c r="B14">
        <v>498</v>
      </c>
      <c r="E14" s="10">
        <v>4</v>
      </c>
      <c r="F14">
        <v>476</v>
      </c>
      <c r="G14">
        <v>0.19070000000000001</v>
      </c>
      <c r="H14" s="2">
        <f>Table1[[#This Row],[EQ1]]*prize</f>
        <v>0</v>
      </c>
      <c r="I14" s="16">
        <f>Table1[[#This Row],[players1]]*Table1[[#This Row],[stack1]]/chips</f>
        <v>0.63466666666666671</v>
      </c>
      <c r="J14" s="10">
        <v>5</v>
      </c>
      <c r="K14">
        <v>476</v>
      </c>
      <c r="L14">
        <v>0.18990000000000001</v>
      </c>
      <c r="M14" s="2">
        <f>Table1[[#This Row],[EQ2]]*prize</f>
        <v>0</v>
      </c>
      <c r="N14" s="14">
        <f>Table1[[#This Row],[players2]]*Table1[[#This Row],[stack2]]/3000</f>
        <v>0.79333333333333333</v>
      </c>
      <c r="O14" s="66"/>
      <c r="P14" s="10">
        <v>5</v>
      </c>
      <c r="Q14">
        <v>476</v>
      </c>
      <c r="R14">
        <v>0.18840000000000001</v>
      </c>
      <c r="S14" s="2">
        <f>Table1[[#This Row],[EQside1]]*prize</f>
        <v>0</v>
      </c>
      <c r="T14" s="14">
        <f>Table1[[#This Row],[playersside1]]*Table1[[#This Row],[stackside1]]/3000</f>
        <v>0.79333333333333333</v>
      </c>
      <c r="V14" s="10">
        <v>6</v>
      </c>
      <c r="W14">
        <v>476</v>
      </c>
      <c r="X14">
        <v>0.18840000000000001</v>
      </c>
      <c r="Y14" s="2">
        <f>Table1[[#This Row],[EQside2]]*prize</f>
        <v>0</v>
      </c>
      <c r="Z14" s="14">
        <f>Table1[[#This Row],[playersside2]]*Table1[[#This Row],[stackside2]]/3000</f>
        <v>0.95199999999999996</v>
      </c>
      <c r="AB14" s="8">
        <v>5</v>
      </c>
      <c r="AC14">
        <v>476</v>
      </c>
      <c r="AD14">
        <v>0.18990000000000001</v>
      </c>
      <c r="AE14" s="2">
        <f>Table1[[#This Row],[EQf]]*prize</f>
        <v>0</v>
      </c>
      <c r="AF14" s="15">
        <f>Table1[[#This Row],[playersf]]*Table1[[#This Row],[stackf]]/3000</f>
        <v>0.79333333333333333</v>
      </c>
      <c r="AG14" s="38">
        <f>Table2[[#This Row],[EQwin]]*Table2[[#This Row],[pWin]] + Table2[[#This Row],[EQlose]]*(1-Table2[[#This Row],[pWin]]) - Table2[[#This Row],[Eqfact]]</f>
        <v>0</v>
      </c>
      <c r="AH14" s="12">
        <f>p3win*(p1spwin*Table1[[#This Row],[ICMside1]]+(1-p1spwin)*Table1[[#This Row],[ICMside2]])+p2win*Table1[[#This Row],[ICM2]]+p1win*Table1[[#This Row],[ICM1]] -Table1[[#This Row],[ICMf]]</f>
        <v>0</v>
      </c>
      <c r="AI14" s="68">
        <f>p3win*(p1spwin*Table1[[#This Row],[KOside1]]+(1-p1spwin)*Table1[[#This Row],[KOside2]])+p2win*Table1[[#This Row],[KO2]]+p1win*Table1[[#This Row],[KO1]] -Table1[[#This Row],[KOf]]</f>
        <v>2.708277842666662E-2</v>
      </c>
      <c r="AJ14" s="68">
        <f>Table1[[#This Row],[ICMd]]+Table1[[#This Row],[KOd]]</f>
        <v>2.708277842666662E-2</v>
      </c>
      <c r="AK14">
        <f>p3win*(p1spwin*Table1[[#This Row],[stackside1]]+(1-p1spwin)*Table1[[#This Row],[stackside2]])+p2win*Table1[[#This Row],[stack2]]+p1win*Table1[[#This Row],[stack1]] -Table1[[#This Row],[stackf]]</f>
        <v>0</v>
      </c>
    </row>
    <row r="15" spans="1:39" s="37" customFormat="1" x14ac:dyDescent="0.25">
      <c r="A15" s="50"/>
      <c r="B15" s="50"/>
      <c r="C15" s="50"/>
      <c r="D15" s="50"/>
      <c r="E15" s="53"/>
      <c r="F15" s="50">
        <f>SUM(Table1[stack1])</f>
        <v>3000</v>
      </c>
      <c r="G15" s="50">
        <f>SUM(Table1[EQ1])</f>
        <v>0.99999999999999989</v>
      </c>
      <c r="H15" s="52">
        <f>SUM(Table1[ICM1])</f>
        <v>0</v>
      </c>
      <c r="I15" s="52">
        <f>SUM(Table1[KO1])</f>
        <v>6</v>
      </c>
      <c r="J15" s="53"/>
      <c r="K15" s="50">
        <f>SUM(Table1[stack1])</f>
        <v>3000</v>
      </c>
      <c r="L15" s="52">
        <f>SUM(Table1[EQ2])</f>
        <v>1</v>
      </c>
      <c r="M15" s="52">
        <f>SUM(Table1[ICM2])</f>
        <v>0</v>
      </c>
      <c r="N15" s="52">
        <f>SUM(Table1[KO2])</f>
        <v>6</v>
      </c>
      <c r="O15" s="70"/>
      <c r="P15" s="53"/>
      <c r="Q15" s="52">
        <f>SUM(Table1[stackside1])</f>
        <v>3000</v>
      </c>
      <c r="R15" s="52">
        <f>SUM(Table1[EQside1])</f>
        <v>1</v>
      </c>
      <c r="S15" s="52">
        <f>SUM(Table1[ICMside1])</f>
        <v>0</v>
      </c>
      <c r="T15" s="52">
        <f>SUM(Table1[KOside1])</f>
        <v>6</v>
      </c>
      <c r="U15" s="50"/>
      <c r="V15" s="53"/>
      <c r="W15" s="52">
        <f>SUM(Table1[stackside2])</f>
        <v>3000</v>
      </c>
      <c r="X15" s="52">
        <f>SUM(Table1[EQside2])</f>
        <v>1</v>
      </c>
      <c r="Y15" s="52">
        <f>SUM(Table1[ICMside2])</f>
        <v>0</v>
      </c>
      <c r="Z15" s="52">
        <f>SUM(Table1[KOside2])</f>
        <v>6</v>
      </c>
      <c r="AA15" s="50"/>
      <c r="AB15" s="54"/>
      <c r="AC15" s="52">
        <f>SUM(Table1[stackf])</f>
        <v>3000</v>
      </c>
      <c r="AD15" s="52">
        <f>SUM(Table1[EQf])</f>
        <v>1</v>
      </c>
      <c r="AE15" s="51"/>
      <c r="AF15" s="52">
        <f>SUM(Table1[KOf])</f>
        <v>6</v>
      </c>
      <c r="AG15" s="55">
        <f>Table2[[#This Row],[EQwin]]*Table2[[#This Row],[pWin]] + Table2[[#This Row],[EQlose]]*(1-Table2[[#This Row],[pWin]]) - Table2[[#This Row],[Eqfact]]</f>
        <v>-0.17214599999999999</v>
      </c>
      <c r="AH15" s="52">
        <f>SUM(Table1[ICMd])</f>
        <v>0</v>
      </c>
      <c r="AI15" s="52">
        <f>SUM(Table1[KOd])</f>
        <v>-1.1102230246251565E-16</v>
      </c>
      <c r="AJ15" s="52">
        <f>SUM(Table1[totald])</f>
        <v>-1.1102230246251565E-16</v>
      </c>
      <c r="AK15" s="50"/>
    </row>
  </sheetData>
  <mergeCells count="6">
    <mergeCell ref="P7:T7"/>
    <mergeCell ref="V7:Z7"/>
    <mergeCell ref="AH7:AJ7"/>
    <mergeCell ref="E7:I7"/>
    <mergeCell ref="J7:N7"/>
    <mergeCell ref="AB7:AF7"/>
  </mergeCells>
  <pageMargins left="0.7" right="0.7" top="0.75" bottom="0.75" header="0.3" footer="0.3"/>
  <legacy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70"/>
  <sheetViews>
    <sheetView workbookViewId="0">
      <selection activeCell="N11" sqref="N11"/>
    </sheetView>
  </sheetViews>
  <sheetFormatPr defaultRowHeight="15" x14ac:dyDescent="0.25"/>
  <cols>
    <col min="1" max="1" width="9.28515625" customWidth="1"/>
    <col min="6" max="6" width="10.28515625" customWidth="1"/>
    <col min="13" max="13" width="10.28515625" customWidth="1"/>
    <col min="20" max="20" width="9.5703125" bestFit="1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62" max="62" width="10" customWidth="1"/>
    <col min="66" max="66" width="10.5703125" customWidth="1"/>
    <col min="69" max="69" width="10" customWidth="1"/>
    <col min="72" max="72" width="10" customWidth="1"/>
    <col min="75" max="75" width="10.28515625" customWidth="1"/>
    <col min="78" max="78" width="10.140625" customWidth="1"/>
  </cols>
  <sheetData>
    <row r="1" spans="1:92" x14ac:dyDescent="0.25">
      <c r="C1" t="s">
        <v>0</v>
      </c>
      <c r="D1">
        <f>bounty*6</f>
        <v>0</v>
      </c>
      <c r="F1" t="s">
        <v>71</v>
      </c>
      <c r="G1">
        <v>0.16070000000000001</v>
      </c>
      <c r="I1" t="s">
        <v>72</v>
      </c>
      <c r="J1">
        <v>0.16919999999999999</v>
      </c>
      <c r="N1" t="s">
        <v>491</v>
      </c>
      <c r="O1" s="75">
        <v>0.54400000000000004</v>
      </c>
      <c r="S1" t="s">
        <v>73</v>
      </c>
      <c r="T1">
        <v>182</v>
      </c>
    </row>
    <row r="2" spans="1:92" x14ac:dyDescent="0.25">
      <c r="C2" t="s">
        <v>1</v>
      </c>
      <c r="D2">
        <f>bounty</f>
        <v>0</v>
      </c>
      <c r="F2" t="s">
        <v>74</v>
      </c>
      <c r="G2">
        <v>0.1988</v>
      </c>
      <c r="I2" t="s">
        <v>75</v>
      </c>
      <c r="J2">
        <v>0.38219999999999998</v>
      </c>
      <c r="N2" t="s">
        <v>492</v>
      </c>
      <c r="O2">
        <v>0.45600000000000002</v>
      </c>
      <c r="S2" t="s">
        <v>76</v>
      </c>
      <c r="T2">
        <v>1272</v>
      </c>
    </row>
    <row r="3" spans="1:92" x14ac:dyDescent="0.25">
      <c r="C3" t="s">
        <v>77</v>
      </c>
      <c r="D3">
        <v>3000</v>
      </c>
      <c r="F3" t="s">
        <v>78</v>
      </c>
      <c r="G3">
        <v>0.35339999999999999</v>
      </c>
      <c r="I3" t="s">
        <v>493</v>
      </c>
      <c r="J3">
        <v>0.4486</v>
      </c>
      <c r="S3" t="s">
        <v>79</v>
      </c>
      <c r="T3">
        <v>40</v>
      </c>
    </row>
    <row r="4" spans="1:92" x14ac:dyDescent="0.25">
      <c r="F4" t="s">
        <v>80</v>
      </c>
      <c r="G4">
        <v>0.28710000000000002</v>
      </c>
      <c r="S4" t="s">
        <v>81</v>
      </c>
      <c r="T4">
        <v>548</v>
      </c>
    </row>
    <row r="6" spans="1:92" x14ac:dyDescent="0.25">
      <c r="C6" t="s">
        <v>82</v>
      </c>
      <c r="D6" t="s">
        <v>83</v>
      </c>
    </row>
    <row r="7" spans="1:92" x14ac:dyDescent="0.25">
      <c r="C7" t="s">
        <v>84</v>
      </c>
      <c r="D7" t="s">
        <v>494</v>
      </c>
    </row>
    <row r="8" spans="1:92" x14ac:dyDescent="0.25">
      <c r="C8" t="s">
        <v>86</v>
      </c>
      <c r="D8" t="s">
        <v>87</v>
      </c>
    </row>
    <row r="10" spans="1:92" ht="19.5" thickBot="1" x14ac:dyDescent="0.35">
      <c r="F10" s="84"/>
      <c r="G10" s="84"/>
      <c r="H10" s="84"/>
      <c r="I10" s="84"/>
      <c r="J10" s="84"/>
      <c r="K10" s="84"/>
      <c r="AH10" s="74"/>
      <c r="AJ10" t="s">
        <v>495</v>
      </c>
      <c r="AQ10" t="s">
        <v>496</v>
      </c>
      <c r="AX10" t="s">
        <v>497</v>
      </c>
      <c r="BE10" t="s">
        <v>498</v>
      </c>
      <c r="BX10" t="s">
        <v>499</v>
      </c>
    </row>
    <row r="11" spans="1:92" ht="20.25" thickTop="1" thickBot="1" x14ac:dyDescent="0.35">
      <c r="F11" s="84"/>
      <c r="G11" s="84"/>
      <c r="H11" s="84"/>
      <c r="I11" s="84"/>
      <c r="J11" s="84"/>
      <c r="K11" s="84"/>
      <c r="V11" t="s">
        <v>92</v>
      </c>
      <c r="AC11" t="s">
        <v>93</v>
      </c>
      <c r="AH11" s="132" t="s">
        <v>500</v>
      </c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R11" t="s">
        <v>501</v>
      </c>
      <c r="BW11" s="132" t="s">
        <v>500</v>
      </c>
      <c r="BX11" s="133"/>
      <c r="BY11" s="133"/>
      <c r="BZ11" s="133"/>
      <c r="CD11" t="s">
        <v>502</v>
      </c>
    </row>
    <row r="12" spans="1:92" ht="20.25" thickTop="1" thickBot="1" x14ac:dyDescent="0.35">
      <c r="F12" s="84"/>
      <c r="G12" s="84"/>
      <c r="H12" s="84"/>
      <c r="I12" s="84"/>
      <c r="J12" s="84"/>
      <c r="K12" s="84"/>
      <c r="T12" s="132" t="s">
        <v>94</v>
      </c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41"/>
      <c r="AH12" s="132" t="s">
        <v>503</v>
      </c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Q12" s="132" t="s">
        <v>94</v>
      </c>
      <c r="BR12" s="133"/>
      <c r="BS12" s="133"/>
      <c r="BT12" s="133"/>
      <c r="BW12" s="132" t="s">
        <v>94</v>
      </c>
      <c r="BX12" s="133"/>
      <c r="BY12" s="133"/>
      <c r="BZ12" s="133"/>
      <c r="CC12" s="132" t="s">
        <v>500</v>
      </c>
      <c r="CD12" s="133"/>
      <c r="CE12" s="133"/>
      <c r="CF12" s="133"/>
      <c r="CI12" s="132" t="s">
        <v>95</v>
      </c>
      <c r="CJ12" s="133"/>
      <c r="CK12" s="133"/>
      <c r="CL12" s="133"/>
    </row>
    <row r="13" spans="1:92" ht="20.25" thickTop="1" thickBot="1" x14ac:dyDescent="0.35">
      <c r="F13" s="84"/>
      <c r="G13" s="84"/>
      <c r="H13" s="84" t="s">
        <v>96</v>
      </c>
      <c r="I13" s="84"/>
      <c r="J13" s="84"/>
      <c r="K13" s="84"/>
      <c r="O13" t="s">
        <v>97</v>
      </c>
      <c r="T13" s="132" t="s">
        <v>504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H13" s="132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41"/>
      <c r="AV13" s="132" t="s">
        <v>505</v>
      </c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41"/>
      <c r="BL13" t="s">
        <v>99</v>
      </c>
      <c r="BQ13" s="132" t="s">
        <v>504</v>
      </c>
      <c r="BR13" s="133"/>
      <c r="BS13" s="133"/>
      <c r="BT13" s="133"/>
      <c r="BW13" s="132" t="s">
        <v>504</v>
      </c>
      <c r="BX13" s="133"/>
      <c r="BY13" s="133"/>
      <c r="BZ13" s="133"/>
      <c r="CC13" s="132" t="s">
        <v>506</v>
      </c>
      <c r="CD13" s="133"/>
      <c r="CE13" s="133"/>
      <c r="CF13" s="133"/>
      <c r="CI13" s="132"/>
      <c r="CJ13" s="133"/>
      <c r="CK13" s="133"/>
      <c r="CL13" s="133"/>
    </row>
    <row r="14" spans="1:92" ht="19.5" thickTop="1" x14ac:dyDescent="0.3">
      <c r="F14" s="134" t="s">
        <v>100</v>
      </c>
      <c r="G14" s="135"/>
      <c r="H14" s="135"/>
      <c r="I14" s="135"/>
      <c r="J14" s="136"/>
      <c r="K14" s="84"/>
      <c r="M14" s="134" t="s">
        <v>101</v>
      </c>
      <c r="N14" s="135"/>
      <c r="O14" s="135"/>
      <c r="P14" s="135"/>
      <c r="Q14" s="136"/>
      <c r="R14" s="84"/>
      <c r="T14" s="118" t="s">
        <v>102</v>
      </c>
      <c r="U14" s="119"/>
      <c r="V14" s="119"/>
      <c r="W14" s="119"/>
      <c r="X14" s="120"/>
      <c r="Y14" s="84"/>
      <c r="AA14" s="118" t="s">
        <v>103</v>
      </c>
      <c r="AB14" s="119"/>
      <c r="AC14" s="119"/>
      <c r="AD14" s="119"/>
      <c r="AE14" s="120"/>
      <c r="AH14" s="118" t="s">
        <v>102</v>
      </c>
      <c r="AI14" s="119"/>
      <c r="AJ14" s="119"/>
      <c r="AK14" s="119"/>
      <c r="AL14" s="120"/>
      <c r="AO14" s="118" t="s">
        <v>103</v>
      </c>
      <c r="AP14" s="119"/>
      <c r="AQ14" s="119"/>
      <c r="AR14" s="119"/>
      <c r="AS14" s="120"/>
      <c r="AV14" s="118" t="s">
        <v>102</v>
      </c>
      <c r="AW14" s="119"/>
      <c r="AX14" s="119"/>
      <c r="AY14" s="119"/>
      <c r="AZ14" s="120"/>
      <c r="BC14" s="118" t="s">
        <v>103</v>
      </c>
      <c r="BD14" s="119"/>
      <c r="BE14" s="119"/>
      <c r="BF14" s="119"/>
      <c r="BG14" s="120"/>
      <c r="BJ14" s="121" t="s">
        <v>10</v>
      </c>
      <c r="BK14" s="122"/>
      <c r="BL14" s="122"/>
      <c r="BM14" s="122"/>
      <c r="BN14" s="123"/>
      <c r="BQ14" s="124" t="s">
        <v>104</v>
      </c>
      <c r="BR14" s="125"/>
      <c r="BS14" s="125"/>
      <c r="BT14" s="126"/>
      <c r="BW14" s="124" t="s">
        <v>104</v>
      </c>
      <c r="BX14" s="125"/>
      <c r="BY14" s="125"/>
      <c r="BZ14" s="126"/>
      <c r="CC14" s="124" t="s">
        <v>104</v>
      </c>
      <c r="CD14" s="125"/>
      <c r="CE14" s="125"/>
      <c r="CF14" s="126"/>
      <c r="CI14" s="124" t="s">
        <v>104</v>
      </c>
      <c r="CJ14" s="125"/>
      <c r="CK14" s="125"/>
      <c r="CL14" s="126"/>
    </row>
    <row r="15" spans="1:92" x14ac:dyDescent="0.25">
      <c r="A15" t="s">
        <v>105</v>
      </c>
      <c r="B15" t="s">
        <v>12</v>
      </c>
      <c r="C15" t="s">
        <v>13</v>
      </c>
      <c r="D15" t="s">
        <v>14</v>
      </c>
      <c r="F15" s="5" t="s">
        <v>107</v>
      </c>
      <c r="G15" t="s">
        <v>12</v>
      </c>
      <c r="H15" t="s">
        <v>108</v>
      </c>
      <c r="I15" t="s">
        <v>109</v>
      </c>
      <c r="J15" s="5" t="s">
        <v>1</v>
      </c>
      <c r="K15" s="5" t="s">
        <v>110</v>
      </c>
      <c r="M15" s="5" t="s">
        <v>107</v>
      </c>
      <c r="N15" s="5" t="s">
        <v>12</v>
      </c>
      <c r="O15" s="5" t="s">
        <v>108</v>
      </c>
      <c r="P15" s="5" t="s">
        <v>109</v>
      </c>
      <c r="Q15" s="5" t="s">
        <v>1</v>
      </c>
      <c r="R15" s="5" t="s">
        <v>110</v>
      </c>
      <c r="T15" s="5" t="s">
        <v>107</v>
      </c>
      <c r="U15" s="5" t="s">
        <v>12</v>
      </c>
      <c r="V15" s="5" t="s">
        <v>108</v>
      </c>
      <c r="W15" s="5" t="s">
        <v>109</v>
      </c>
      <c r="X15" s="5" t="s">
        <v>1</v>
      </c>
      <c r="Y15" s="5" t="s">
        <v>110</v>
      </c>
      <c r="AA15" s="5" t="s">
        <v>107</v>
      </c>
      <c r="AB15" s="5" t="s">
        <v>12</v>
      </c>
      <c r="AC15" s="5" t="s">
        <v>108</v>
      </c>
      <c r="AD15" s="5" t="s">
        <v>109</v>
      </c>
      <c r="AE15" s="5" t="s">
        <v>1</v>
      </c>
      <c r="AF15" t="s">
        <v>110</v>
      </c>
      <c r="AG15" t="s">
        <v>104</v>
      </c>
      <c r="AH15" s="5" t="s">
        <v>107</v>
      </c>
      <c r="AI15" s="5" t="s">
        <v>12</v>
      </c>
      <c r="AJ15" s="5" t="s">
        <v>108</v>
      </c>
      <c r="AK15" s="5" t="s">
        <v>109</v>
      </c>
      <c r="AL15" s="5" t="s">
        <v>1</v>
      </c>
      <c r="AM15" t="s">
        <v>110</v>
      </c>
      <c r="AO15" s="5" t="s">
        <v>107</v>
      </c>
      <c r="AP15" s="5" t="s">
        <v>12</v>
      </c>
      <c r="AQ15" s="5" t="s">
        <v>108</v>
      </c>
      <c r="AR15" s="5" t="s">
        <v>109</v>
      </c>
      <c r="AS15" s="5" t="s">
        <v>1</v>
      </c>
      <c r="AT15" t="s">
        <v>110</v>
      </c>
      <c r="AV15" s="5" t="s">
        <v>107</v>
      </c>
      <c r="AW15" s="5" t="s">
        <v>12</v>
      </c>
      <c r="AX15" s="5" t="s">
        <v>108</v>
      </c>
      <c r="AY15" s="5" t="s">
        <v>109</v>
      </c>
      <c r="AZ15" s="5" t="s">
        <v>1</v>
      </c>
      <c r="BA15" t="s">
        <v>110</v>
      </c>
      <c r="BC15" s="5" t="s">
        <v>107</v>
      </c>
      <c r="BD15" s="5" t="s">
        <v>12</v>
      </c>
      <c r="BE15" s="5" t="s">
        <v>108</v>
      </c>
      <c r="BF15" s="5" t="s">
        <v>109</v>
      </c>
      <c r="BG15" s="5" t="s">
        <v>1</v>
      </c>
      <c r="BH15" t="s">
        <v>110</v>
      </c>
      <c r="BJ15" s="5" t="s">
        <v>107</v>
      </c>
      <c r="BK15" s="5" t="s">
        <v>12</v>
      </c>
      <c r="BL15" s="5" t="s">
        <v>108</v>
      </c>
      <c r="BM15" s="5" t="s">
        <v>109</v>
      </c>
      <c r="BN15" s="5" t="s">
        <v>1</v>
      </c>
      <c r="BO15" t="s">
        <v>110</v>
      </c>
      <c r="BQ15" s="5" t="s">
        <v>109</v>
      </c>
      <c r="BR15" s="5" t="s">
        <v>1</v>
      </c>
      <c r="BS15" s="5" t="s">
        <v>104</v>
      </c>
      <c r="BT15" s="5" t="s">
        <v>111</v>
      </c>
      <c r="BW15" s="5" t="s">
        <v>109</v>
      </c>
      <c r="BX15" s="5" t="s">
        <v>1</v>
      </c>
      <c r="BY15" s="5" t="s">
        <v>104</v>
      </c>
      <c r="BZ15" s="5" t="s">
        <v>111</v>
      </c>
      <c r="CC15" s="5" t="s">
        <v>109</v>
      </c>
      <c r="CD15" s="5" t="s">
        <v>1</v>
      </c>
      <c r="CE15" s="5" t="s">
        <v>104</v>
      </c>
      <c r="CF15" s="5" t="s">
        <v>111</v>
      </c>
      <c r="CI15" s="5" t="s">
        <v>109</v>
      </c>
      <c r="CJ15" s="5" t="s">
        <v>1</v>
      </c>
      <c r="CK15" s="5" t="s">
        <v>104</v>
      </c>
      <c r="CL15" s="5" t="s">
        <v>111</v>
      </c>
      <c r="CM15" t="s">
        <v>112</v>
      </c>
      <c r="CN15" t="s">
        <v>113</v>
      </c>
    </row>
    <row r="16" spans="1:92" x14ac:dyDescent="0.25">
      <c r="A16" s="26"/>
      <c r="B16" s="26">
        <v>494</v>
      </c>
      <c r="C16" s="26"/>
      <c r="D16" s="26"/>
      <c r="F16" s="73">
        <f>COUNTIF(T_p1[stack],"&gt;0")</f>
        <v>3</v>
      </c>
      <c r="G16" s="26">
        <f>IF(T_init[[#This Row],[p]]=1,mainpot+sidepot1+sidepot2+uncalled,IF(T_init[[#This Row],[p]]&gt;1,0,T_init[[#This Row],[stack]]))</f>
        <v>494</v>
      </c>
      <c r="H16" s="26">
        <v>0.27529999999999999</v>
      </c>
      <c r="I16" s="27">
        <f>T_p1[[#This Row],[EQ]]*prize</f>
        <v>0</v>
      </c>
      <c r="J16" s="71">
        <f>IF(T_init[[#This Row],[p]]=1,T_p1[[#This Row],[players]]*T_p1[[#This Row],[stack]]/chips+COUNTIF(T_p1[stack],0),T_p1[[#This Row],[players]]*T_p1[[#This Row],[stack]]/chips)</f>
        <v>0.49399999999999999</v>
      </c>
      <c r="K16" s="71">
        <f>T_p1[[#This Row],[ICM]]+bounty*T_p1[[#This Row],[KO]]</f>
        <v>0</v>
      </c>
      <c r="M16" s="29">
        <f>COUNTIF(T_p2[stack],"&gt;0")</f>
        <v>4</v>
      </c>
      <c r="N16" s="26">
        <f>IF(T_init[[#This Row],[p]]=1,uncalled,IF(T_init[[#This Row],[p]]=2,mainpot+sidepot1+sidepot2,IF(T_init[[#This Row],[p]]&gt;2,0,T_init[[#This Row],[stack]])))</f>
        <v>494</v>
      </c>
      <c r="O16" s="26">
        <v>0.19750000000000001</v>
      </c>
      <c r="P16" s="27">
        <f>T_p2[[#This Row],[EQ]]*prize</f>
        <v>0</v>
      </c>
      <c r="Q16" s="71">
        <f>IF(T_init[[#This Row],[p]]=2,T_p2[[#This Row],[players]]*T_p2[[#This Row],[stack]]/chips+COUNTIF(T_p2[stack],0),T_p2[[#This Row],[players]]*T_p2[[#This Row],[stack]]/chips)</f>
        <v>0.65866666666666662</v>
      </c>
      <c r="R16" s="71">
        <f>T_p2[[#This Row],[ICM]]+bounty*T_p2[[#This Row],[KO]]</f>
        <v>0</v>
      </c>
      <c r="T16" s="73">
        <f>COUNTIF(T_p3p1[stack],"&gt;0")</f>
        <v>4</v>
      </c>
      <c r="U16" s="26">
        <f>IF(T_init[[#This Row],[p]]=1,sidepot2+uncalled,IF(T_init[[#This Row],[p]]=3,mainpot+sidepot1,IF(ISBLANK(T_init[[#This Row],[p]]),T_init[[#This Row],[stack]],0)))</f>
        <v>494</v>
      </c>
      <c r="V16" s="26">
        <v>0.19489999999999999</v>
      </c>
      <c r="W16" s="27">
        <f>T_p3p1[[#This Row],[EQ]]*prize</f>
        <v>0</v>
      </c>
      <c r="X16" s="71">
        <f>IF(OR(T_init[[#This Row],[p]]=1, T_init[[#This Row],[p]]=3),T_p3p1[[#This Row],[players]]*T_p3p1[[#This Row],[stack]]/chips+1,T_p3p1[[#This Row],[players]]*T_p3p1[[#This Row],[stack]]/chips)</f>
        <v>0.65866666666666662</v>
      </c>
      <c r="Y16" s="71">
        <f>T_p3p1[[#This Row],[ICM]]+bounty*T_p3p1[[#This Row],[KO]]</f>
        <v>0</v>
      </c>
      <c r="AA16" s="73">
        <f>COUNTIF(T_p3p2[stack],"&gt;0")</f>
        <v>5</v>
      </c>
      <c r="AB16" s="26">
        <f>IF(T_init[[#This Row],[p]]=1,uncalled,IF(T_init[[#This Row],[p]]=2,sidepot2,IF(T_init[[#This Row],[p]]=3,mainpot+sidepot1,IF(ISBLANK(T_init[[#This Row],[p]]),T_init[[#This Row],[stack]],0))))</f>
        <v>494</v>
      </c>
      <c r="AC16" s="26">
        <v>0.1943</v>
      </c>
      <c r="AD16" s="27">
        <f>T_p3p2[[#This Row],[EQ]]*prize</f>
        <v>0</v>
      </c>
      <c r="AE16" s="71">
        <f>IF(T_init[[#This Row],[p]]=3,T_p3p2[[#This Row],[players]]*T_p3p2[[#This Row],[stack]]/chips+1,T_p3p2[[#This Row],[players]]*T_p3p2[[#This Row],[stack]]/chips)</f>
        <v>0.82333333333333336</v>
      </c>
      <c r="AF16" s="71">
        <f>T_p3p2[[#This Row],[ICM]]+bounty*T_p3p2[[#This Row],[KO]]</f>
        <v>0</v>
      </c>
      <c r="AH16" s="73">
        <f>COUNTIF(T_p4p1[stack],"&gt;0")</f>
        <v>4</v>
      </c>
      <c r="AI16" s="26">
        <f>IF(T_init[[#This Row],[p]]=4,mainpot,IF(T_init[[#This Row],[p]]=1,sidepot1+sidepot2+uncalled,IF(ISBLANK(T_init[[#This Row],[p]]),T_init[[#This Row],[stack]],0)))</f>
        <v>494</v>
      </c>
      <c r="AJ16" s="26">
        <v>0.23699999999999999</v>
      </c>
      <c r="AK16" s="27">
        <f>T_p4p1[[#This Row],[EQ]]*prize</f>
        <v>0</v>
      </c>
      <c r="AL16" s="71">
        <f>IF(T_init[[#This Row],[p]]=1,T_p4p1[[#This Row],[players]]*T_p4p1[[#This Row],[stack]]/chips+2,T_p4p1[[#This Row],[players]]*T_p4p1[[#This Row],[stack]]/chips)</f>
        <v>0.65866666666666662</v>
      </c>
      <c r="AM16" s="71">
        <f>T_p4p1[[#This Row],[ICM]]+bounty*T_p4p1[[#This Row],[KO]]</f>
        <v>0</v>
      </c>
      <c r="AO16" s="73">
        <f>COUNTIF(T_p4p2[stack],"&gt;0")</f>
        <v>5</v>
      </c>
      <c r="AP16" s="26">
        <f>IF(T_init[[#This Row],[p]]=1,uncalled,IF(T_init[[#This Row],[p]]=2,sidepot1+sidepot2,IF(T_init[[#This Row],[p]]=4,mainpot,IF(ISBLANK(T_init[[#This Row],[p]]),T_init[[#This Row],[stack]],0))))</f>
        <v>494</v>
      </c>
      <c r="AQ16" s="26">
        <v>0.18509999999999999</v>
      </c>
      <c r="AR16" s="27">
        <f>T_p4p2[[#This Row],[EQ]]*prize</f>
        <v>0</v>
      </c>
      <c r="AS16" s="71">
        <f>IF(T_init[[#This Row],[p]]=2,T_p4p2[[#This Row],[players]]*T_p4p2[[#This Row],[stack]]/chips+1,T_p4p2[[#This Row],[players]]*T_p4p2[[#This Row],[stack]]/chips)</f>
        <v>0.82333333333333336</v>
      </c>
      <c r="AT16" s="71">
        <f>T_p4p2[[#This Row],[ICM]]+bounty*T_p4p2[[#This Row],[KO]]</f>
        <v>0</v>
      </c>
      <c r="AV16" s="73">
        <f>COUNTIF(T_p4p3p1[stack],"&gt;0")</f>
        <v>5</v>
      </c>
      <c r="AW16" s="26">
        <f>IF(T_init[[#This Row],[p]]=1,uncalled+sidepot2,IF(T_init[[#This Row],[p]]=3,sidepot1,IF(T_init[[#This Row],[p]]=4,mainpot,IF(ISBLANK(T_init[[#This Row],[p]]),T_init[[#This Row],[stack]],0))))</f>
        <v>494</v>
      </c>
      <c r="AX16" s="26">
        <v>0.18340000000000001</v>
      </c>
      <c r="AY16" s="27">
        <f>T_p4p3p1[[#This Row],[EQ]]*prize</f>
        <v>0</v>
      </c>
      <c r="AZ16" s="71">
        <f>IF(T_init[[#This Row],[p]]=1,T_p4p3p1[[#This Row],[players]]*T_p4p3p1[[#This Row],[stack]]/chips+1,T_p4p3p1[[#This Row],[players]]*T_p4p3p1[[#This Row],[stack]]/chips)</f>
        <v>0.82333333333333336</v>
      </c>
      <c r="BA16" s="71">
        <f>T_p4p3p1[[#This Row],[ICM]]+bounty*T_p4p3p1[[#This Row],[KO]]</f>
        <v>0</v>
      </c>
      <c r="BC16" s="73">
        <f>COUNTIF(T_p4p3p2[stack],"&gt;0")</f>
        <v>6</v>
      </c>
      <c r="BD16" s="26">
        <f>IF(T_init[[#This Row],[p]]=1,uncalled,IF(T_init[[#This Row],[p]]=2,sidepot2,IF(T_init[[#This Row],[p]]=3,sidepot1,IF(T_init[[#This Row],[p]]=4,mainpot,IF(ISBLANK(T_init[[#This Row],[p]]),T_init[[#This Row],[stack]],0)))))</f>
        <v>494</v>
      </c>
      <c r="BE16" s="26">
        <v>0.18279999999999999</v>
      </c>
      <c r="BF16" s="27">
        <f>T_p4p3p2[[#This Row],[EQ]]*prize</f>
        <v>0</v>
      </c>
      <c r="BG16" s="71">
        <f>T_p4p3p2[[#This Row],[players]]*T_p4p3p2[[#This Row],[stack]]/chips</f>
        <v>0.98799999999999999</v>
      </c>
      <c r="BH16" s="71">
        <f>T_p4p3p2[[#This Row],[ICM]]+bounty*T_p4p3p2[[#This Row],[KO]]</f>
        <v>0</v>
      </c>
      <c r="BJ16" s="73">
        <f>COUNTIF(T_fact[stack],"&gt;0")</f>
        <v>4</v>
      </c>
      <c r="BK16" s="26">
        <f>IF(T_init[[#This Row],[p]]=1,sidepot2+uncalled,IF(T_init[[#This Row],[p]]=3,mainpot+sidepot1,IF(ISBLANK(T_init[[#This Row],[p]]),T_init[[#This Row],[stack]],0)))</f>
        <v>494</v>
      </c>
      <c r="BL16" s="26">
        <v>0.19489999999999999</v>
      </c>
      <c r="BM16" s="27">
        <f>T_fact[[#This Row],[EQ]]*prize</f>
        <v>0</v>
      </c>
      <c r="BN16" s="71">
        <f>IF(OR(T_init[[#This Row],[p]]=1, T_init[[#This Row],[p]]=3),T_fact[[#This Row],[players]]*T_fact[[#This Row],[stack]]/chips+1,T_fact[[#This Row],[players]]*T_fact[[#This Row],[stack]]/chips)</f>
        <v>0.65866666666666662</v>
      </c>
      <c r="BO16" s="71">
        <f>T_fact[[#This Row],[ICM]]+bounty*T_fact[[#This Row],[KO]]</f>
        <v>0</v>
      </c>
      <c r="BQ16" s="72">
        <f>p1sp2win*T_p3p1[[#This Row],[ICM]]+p2sp2win*T_p3p2[[#This Row],[ICM]]</f>
        <v>0</v>
      </c>
      <c r="BR16" s="33">
        <f>bounty*(p1sp2win*T_p3p1[[#This Row],[KO]]+p2sp2win*T_p3p2[[#This Row],[KO]])</f>
        <v>0</v>
      </c>
      <c r="BS16" s="72">
        <f>T_EV_p3sp2[[#This Row],[ICM]]+T_EV_p3sp2[[#This Row],[KO]]</f>
        <v>0</v>
      </c>
      <c r="BT16" s="33">
        <f>p1sp2win*T_p3p1[[#This Row],[stack]]+p2sp2win*T_p3p2[[#This Row],[stack]]</f>
        <v>494.00000000000006</v>
      </c>
      <c r="BW16" s="72">
        <f>p1sp2win*T_p4p3p1[[#This Row],[ICM]]+p2sp2win*T_p4p3p2[[#This Row],[ICM]]</f>
        <v>0</v>
      </c>
      <c r="BX16" s="33">
        <f>bounty*(p1sp2win*T_p4p3p1[[#This Row],[KO]]+p2sp2win*T_p4p3p2[[#This Row],[KO]])</f>
        <v>0</v>
      </c>
      <c r="BY16" s="72">
        <f>T_EV_p4p3sp2[[#This Row],[ICM]]+T_EV_p4p3sp2[[#This Row],[KO]]</f>
        <v>0</v>
      </c>
      <c r="BZ16" s="33">
        <f>p1sp2win*T_p4p3p1[[#This Row],[stack]]+p2sp2win*T_p4p3p2[[#This Row],[stack]]</f>
        <v>494.00000000000006</v>
      </c>
      <c r="CC16" s="72">
        <f>p1sp1win*T_p4p1[[#This Row],[ICM]]+p2sp1win*T_p4p2[[#This Row],[ICM]]+p3sp1win*T_EV_p4p3sp2[[#This Row],[ICM]]</f>
        <v>0</v>
      </c>
      <c r="CD16" s="33">
        <f>bounty*(p1sp1win*T_p4p1[[#This Row],[KO]]+p2sp1win*T_p4p2[[#This Row],[KO]])+p3sp1win*T_EV_p4p3sp2[[#This Row],[KO]]</f>
        <v>0</v>
      </c>
      <c r="CE16" s="72">
        <f>T_EV_p4sp1[[#This Row],[ICM]]+T_EV_p4sp1[[#This Row],[KO]]</f>
        <v>0</v>
      </c>
      <c r="CF16" s="33">
        <f>p1sp1win*T_p4p1[[#This Row],[stack]]+p2sp1win*T_p4p2[[#This Row],[stack]]+p3sp1win*T_EV_p4p3sp2[[#This Row],[chipEV]]</f>
        <v>494</v>
      </c>
      <c r="CI16" s="72">
        <f>p4win*(T_EV_p4sp1[[#This Row],[ICM]])+'4way'!p3win*T_EV_p3sp2[[#This Row],[ICM]]+'4way'!p2win*T_p2[[#This Row],[ICM]]+'4way'!p1win*T_p1[[#This Row],[ICM]]</f>
        <v>0</v>
      </c>
      <c r="CJ16" s="33">
        <f>p4win*(T_EV_p4sp1[[#This Row],[KO]])+'4way'!p3win*T_EV_p3sp2[[#This Row],[KO]]+bounty*('4way'!p2win*T_p2[[#This Row],[KO]]+'4way'!p1win*T_p1[[#This Row],[KO]])</f>
        <v>0</v>
      </c>
      <c r="CK16" s="72">
        <f>T_EV[[#This Row],[ICM]]+T_EV[[#This Row],[KO]]</f>
        <v>0</v>
      </c>
      <c r="CL16" s="33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494.00000000000006</v>
      </c>
      <c r="CM16" s="2">
        <f>T_EV[[#This Row],[chipEV]]-T_fact[[#This Row],[stack]]</f>
        <v>0</v>
      </c>
      <c r="CN16" s="2">
        <f>T_EV[[#This Row],[EV]]-(T_fact[[#This Row],[ICM]]+bounty*T_fact[[#This Row],[KO]])</f>
        <v>0</v>
      </c>
    </row>
    <row r="17" spans="1:94" x14ac:dyDescent="0.25">
      <c r="A17">
        <v>4</v>
      </c>
      <c r="B17">
        <v>40</v>
      </c>
      <c r="C17" t="s">
        <v>507</v>
      </c>
      <c r="D17">
        <v>0.28699999999999998</v>
      </c>
      <c r="F17" s="5">
        <f>COUNTIF(T_p1[stack],"&gt;0")</f>
        <v>3</v>
      </c>
      <c r="G17">
        <f>IF(T_init[[#This Row],[p]]=1,mainpot+sidepot1+sidepot2+uncalled,IF(T_init[[#This Row],[p]]&gt;1,0,T_init[[#This Row],[stack]]))</f>
        <v>0</v>
      </c>
      <c r="I17" s="2">
        <f>T_p1[[#This Row],[EQ]]*prize</f>
        <v>0</v>
      </c>
      <c r="J17" s="66">
        <f>IF(T_init[[#This Row],[p]]=1,T_p1[[#This Row],[players]]*T_p1[[#This Row],[stack]]/chips+COUNTIF(T_p1[stack],0),T_p1[[#This Row],[players]]*T_p1[[#This Row],[stack]]/chips)</f>
        <v>0</v>
      </c>
      <c r="K17" s="66">
        <f>T_p1[[#This Row],[ICM]]+bounty*T_p1[[#This Row],[KO]]</f>
        <v>0</v>
      </c>
      <c r="M17" s="10">
        <f>COUNTIF(T_p2[stack],"&gt;0")</f>
        <v>4</v>
      </c>
      <c r="N17">
        <f>IF(T_init[[#This Row],[p]]=1,uncalled,IF(T_init[[#This Row],[p]]=2,mainpot+sidepot1+sidepot2,IF(T_init[[#This Row],[p]]&gt;2,0,T_init[[#This Row],[stack]])))</f>
        <v>0</v>
      </c>
      <c r="P17" s="2">
        <f>T_p2[[#This Row],[EQ]]*prize</f>
        <v>0</v>
      </c>
      <c r="Q17" s="66">
        <f>IF(T_init[[#This Row],[p]]=2,T_p2[[#This Row],[players]]*T_p2[[#This Row],[stack]]/chips+COUNTIF(T_p2[stack],0),T_p2[[#This Row],[players]]*T_p2[[#This Row],[stack]]/chips)</f>
        <v>0</v>
      </c>
      <c r="R17" s="66">
        <f>T_p2[[#This Row],[ICM]]+bounty*T_p2[[#This Row],[KO]]</f>
        <v>0</v>
      </c>
      <c r="T17" s="5">
        <f>COUNTIF(T_p3p1[stack],"&gt;0")</f>
        <v>4</v>
      </c>
      <c r="U17" s="26">
        <f>IF(T_init[[#This Row],[p]]=1,sidepot2+uncalled,IF(T_init[[#This Row],[p]]=3,mainpot+sidepot1,IF(ISBLANK(T_init[[#This Row],[p]]),T_init[[#This Row],[stack]],0)))</f>
        <v>0</v>
      </c>
      <c r="V17">
        <v>0</v>
      </c>
      <c r="W17" s="2">
        <f>T_p3p1[[#This Row],[EQ]]*prize</f>
        <v>0</v>
      </c>
      <c r="X17" s="66">
        <f>IF(OR(T_init[[#This Row],[p]]=1, T_init[[#This Row],[p]]=3),T_p3p1[[#This Row],[players]]*T_p3p1[[#This Row],[stack]]/chips+1,T_p3p1[[#This Row],[players]]*T_p3p1[[#This Row],[stack]]/chips)</f>
        <v>0</v>
      </c>
      <c r="Y17" s="66">
        <f>T_p3p1[[#This Row],[ICM]]+bounty*T_p3p1[[#This Row],[KO]]</f>
        <v>0</v>
      </c>
      <c r="AA17" s="5">
        <f>COUNTIF(T_p3p2[stack],"&gt;0")</f>
        <v>5</v>
      </c>
      <c r="AB17">
        <f>IF(T_init[[#This Row],[p]]=1,uncalled,IF(T_init[[#This Row],[p]]=2,sidepot2,IF(T_init[[#This Row],[p]]=3,mainpot+sidepot1,IF(ISBLANK(T_init[[#This Row],[p]]),T_init[[#This Row],[stack]],0))))</f>
        <v>0</v>
      </c>
      <c r="AC17">
        <v>0</v>
      </c>
      <c r="AD17" s="2">
        <f>T_p3p2[[#This Row],[EQ]]*prize</f>
        <v>0</v>
      </c>
      <c r="AE17" s="66">
        <f>IF(T_init[[#This Row],[p]]=3,T_p3p2[[#This Row],[players]]*T_p3p2[[#This Row],[stack]]/chips+1,T_p3p2[[#This Row],[players]]*T_p3p2[[#This Row],[stack]]/chips)</f>
        <v>0</v>
      </c>
      <c r="AF17" s="16">
        <f>T_p3p2[[#This Row],[ICM]]+bounty*T_p3p2[[#This Row],[KO]]</f>
        <v>0</v>
      </c>
      <c r="AH17" s="5">
        <f>COUNTIF(T_p4p1[stack],"&gt;0")</f>
        <v>4</v>
      </c>
      <c r="AI17">
        <f>IF(T_init[[#This Row],[p]]=4,mainpot,IF(T_init[[#This Row],[p]]=1,sidepot1+sidepot2+uncalled,IF(ISBLANK(T_init[[#This Row],[p]]),T_init[[#This Row],[stack]],0)))</f>
        <v>182</v>
      </c>
      <c r="AJ17">
        <v>9.1399999999999995E-2</v>
      </c>
      <c r="AK17" s="2">
        <f>T_p4p1[[#This Row],[EQ]]*prize</f>
        <v>0</v>
      </c>
      <c r="AL17" s="66">
        <f>IF(T_init[[#This Row],[p]]=1,T_p4p1[[#This Row],[players]]*T_p4p1[[#This Row],[stack]]/chips+2,T_p4p1[[#This Row],[players]]*T_p4p1[[#This Row],[stack]]/chips)</f>
        <v>0.24266666666666667</v>
      </c>
      <c r="AM17" s="16">
        <f>T_p4p1[[#This Row],[ICM]]+bounty*T_p4p1[[#This Row],[KO]]</f>
        <v>0</v>
      </c>
      <c r="AO17" s="5">
        <f>COUNTIF(T_p4p2[stack],"&gt;0")</f>
        <v>5</v>
      </c>
      <c r="AP17">
        <f>IF(T_init[[#This Row],[p]]=1,uncalled,IF(T_init[[#This Row],[p]]=2,sidepot1+sidepot2,IF(T_init[[#This Row],[p]]=4,mainpot,IF(ISBLANK(T_init[[#This Row],[p]]),T_init[[#This Row],[stack]],0))))</f>
        <v>182</v>
      </c>
      <c r="AQ17">
        <v>7.22E-2</v>
      </c>
      <c r="AR17" s="2">
        <f>T_p4p2[[#This Row],[EQ]]*prize</f>
        <v>0</v>
      </c>
      <c r="AS17" s="66">
        <f>IF(T_init[[#This Row],[p]]=2,T_p4p2[[#This Row],[players]]*T_p4p2[[#This Row],[stack]]/chips+1,T_p4p2[[#This Row],[players]]*T_p4p2[[#This Row],[stack]]/chips)</f>
        <v>0.30333333333333334</v>
      </c>
      <c r="AT17" s="16">
        <f>T_p4p2[[#This Row],[ICM]]+bounty*T_p4p2[[#This Row],[KO]]</f>
        <v>0</v>
      </c>
      <c r="AV17" s="5">
        <f>COUNTIF(T_p4p3p1[stack],"&gt;0")</f>
        <v>5</v>
      </c>
      <c r="AW17">
        <f>IF(T_init[[#This Row],[p]]=1,uncalled+sidepot2,IF(T_init[[#This Row],[p]]=3,sidepot1,IF(T_init[[#This Row],[p]]=4,mainpot,IF(ISBLANK(T_init[[#This Row],[p]]),T_init[[#This Row],[stack]],0))))</f>
        <v>182</v>
      </c>
      <c r="AX17">
        <v>7.1599999999999997E-2</v>
      </c>
      <c r="AY17" s="2">
        <f>T_p4p3p1[[#This Row],[EQ]]*prize</f>
        <v>0</v>
      </c>
      <c r="AZ17" s="66">
        <f>IF(T_init[[#This Row],[p]]=1,T_p4p3p1[[#This Row],[players]]*T_p4p3p1[[#This Row],[stack]]/chips+1,T_p4p3p1[[#This Row],[players]]*T_p4p3p1[[#This Row],[stack]]/chips)</f>
        <v>0.30333333333333334</v>
      </c>
      <c r="BA17" s="16">
        <f>T_p4p3p1[[#This Row],[ICM]]+bounty*T_p4p3p1[[#This Row],[KO]]</f>
        <v>0</v>
      </c>
      <c r="BC17" s="5">
        <f>COUNTIF(T_p4p3p2[stack],"&gt;0")</f>
        <v>6</v>
      </c>
      <c r="BD17">
        <f>IF(T_init[[#This Row],[p]]=1,uncalled,IF(T_init[[#This Row],[p]]=2,sidepot2,IF(T_init[[#This Row],[p]]=3,sidepot1,IF(T_init[[#This Row],[p]]=4,mainpot,IF(ISBLANK(T_init[[#This Row],[p]]),T_init[[#This Row],[stack]],0)))))</f>
        <v>182</v>
      </c>
      <c r="BE17">
        <v>7.1400000000000005E-2</v>
      </c>
      <c r="BF17" s="2">
        <f>T_p4p3p2[[#This Row],[EQ]]*prize</f>
        <v>0</v>
      </c>
      <c r="BG17" s="66">
        <f>T_p4p3p2[[#This Row],[players]]*T_p4p3p2[[#This Row],[stack]]/chips</f>
        <v>0.36399999999999999</v>
      </c>
      <c r="BH17" s="16">
        <f>T_p4p3p2[[#This Row],[ICM]]+bounty*T_p4p3p2[[#This Row],[KO]]</f>
        <v>0</v>
      </c>
      <c r="BJ17" s="73">
        <f>COUNTIF(T_fact[stack],"&gt;0")</f>
        <v>4</v>
      </c>
      <c r="BK17" s="26">
        <f>IF(T_init[[#This Row],[p]]=1,sidepot2+uncalled,IF(T_init[[#This Row],[p]]=3,mainpot+sidepot1,IF(ISBLANK(T_init[[#This Row],[p]]),T_init[[#This Row],[stack]],0)))</f>
        <v>0</v>
      </c>
      <c r="BL17">
        <v>0</v>
      </c>
      <c r="BM17" s="2">
        <f>T_fact[[#This Row],[EQ]]*prize</f>
        <v>0</v>
      </c>
      <c r="BN17" s="66">
        <f>IF(OR(T_init[[#This Row],[p]]=1, T_init[[#This Row],[p]]=3),T_fact[[#This Row],[players]]*T_fact[[#This Row],[stack]]/chips+1,T_fact[[#This Row],[players]]*T_fact[[#This Row],[stack]]/chips)</f>
        <v>0</v>
      </c>
      <c r="BO17" s="16">
        <f>T_fact[[#This Row],[ICM]]+bounty*T_fact[[#This Row],[KO]]</f>
        <v>0</v>
      </c>
      <c r="BQ17" s="68">
        <f>p1sp2win*T_p3p1[[#This Row],[ICM]]+p2sp2win*T_p3p2[[#This Row],[ICM]]</f>
        <v>0</v>
      </c>
      <c r="BR17" s="68">
        <f>bounty*(p1sp2win*T_p3p1[[#This Row],[KO]]+p2sp2win*T_p3p2[[#This Row],[KO]])</f>
        <v>0</v>
      </c>
      <c r="BS17" s="68">
        <f>T_EV_p3sp2[[#This Row],[ICM]]+T_EV_p3sp2[[#This Row],[KO]]</f>
        <v>0</v>
      </c>
      <c r="BT17" s="68">
        <f>p1sp2win*T_p3p1[[#This Row],[stack]]+p2sp2win*T_p3p2[[#This Row],[stack]]</f>
        <v>0</v>
      </c>
      <c r="BW17" s="68">
        <f>p1sp2win*T_p4p3p1[[#This Row],[ICM]]+p2sp2win*T_p4p3p2[[#This Row],[ICM]]</f>
        <v>0</v>
      </c>
      <c r="BX17" s="68">
        <f>bounty*(p1sp2win*T_p4p3p1[[#This Row],[KO]]+p2sp2win*T_p4p3p2[[#This Row],[KO]])</f>
        <v>0</v>
      </c>
      <c r="BY17" s="68">
        <f>T_EV_p4p3sp2[[#This Row],[ICM]]+T_EV_p4p3sp2[[#This Row],[KO]]</f>
        <v>0</v>
      </c>
      <c r="BZ17" s="68">
        <f>p1sp2win*T_p4p3p1[[#This Row],[stack]]+p2sp2win*T_p4p3p2[[#This Row],[stack]]</f>
        <v>182</v>
      </c>
      <c r="CC17" s="68">
        <f>p1sp1win*T_p4p1[[#This Row],[ICM]]+p2sp1win*T_p4p2[[#This Row],[ICM]]+p3sp1win*T_EV_p4p3sp2[[#This Row],[ICM]]</f>
        <v>0</v>
      </c>
      <c r="CD17" s="68">
        <f>bounty*(p1sp1win*T_p4p1[[#This Row],[KO]]+p2sp1win*T_p4p2[[#This Row],[KO]])+p3sp1win*T_EV_p4p3sp2[[#This Row],[KO]]</f>
        <v>0</v>
      </c>
      <c r="CE17" s="68">
        <f>T_EV_p4sp1[[#This Row],[ICM]]+T_EV_p4sp1[[#This Row],[KO]]</f>
        <v>0</v>
      </c>
      <c r="CF17" s="68">
        <f>p1sp1win*T_p4p1[[#This Row],[stack]]+p2sp1win*T_p4p2[[#This Row],[stack]]+p3sp1win*T_EV_p4p3sp2[[#This Row],[chipEV]]</f>
        <v>182</v>
      </c>
      <c r="CI17" s="68">
        <f>p4win*(T_EV_p4sp1[[#This Row],[ICM]])+'4way'!p3win*T_EV_p3sp2[[#This Row],[ICM]]+'4way'!p2win*T_p2[[#This Row],[ICM]]+'4way'!p1win*T_p1[[#This Row],[ICM]]</f>
        <v>0</v>
      </c>
      <c r="CJ17" s="68">
        <f>p4win*(T_EV_p4sp1[[#This Row],[KO]])+'4way'!p3win*T_EV_p3sp2[[#This Row],[KO]]+bounty*('4way'!p2win*T_p2[[#This Row],[KO]]+'4way'!p1win*T_p1[[#This Row],[KO]])</f>
        <v>0</v>
      </c>
      <c r="CK17" s="68">
        <f>T_EV[[#This Row],[ICM]]+T_EV[[#This Row],[KO]]</f>
        <v>0</v>
      </c>
      <c r="CL17" s="68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52.252200000000002</v>
      </c>
      <c r="CM17" s="2">
        <f>T_EV[[#This Row],[chipEV]]-T_fact[[#This Row],[stack]]</f>
        <v>52.252200000000002</v>
      </c>
      <c r="CN17" s="2">
        <f>T_EV[[#This Row],[EV]]-(T_fact[[#This Row],[ICM]]+bounty*T_fact[[#This Row],[KO]])</f>
        <v>0</v>
      </c>
    </row>
    <row r="18" spans="1:94" x14ac:dyDescent="0.25">
      <c r="A18">
        <v>2</v>
      </c>
      <c r="B18">
        <v>484</v>
      </c>
      <c r="C18" t="s">
        <v>508</v>
      </c>
      <c r="D18">
        <v>0.19850000000000001</v>
      </c>
      <c r="F18" s="5">
        <f>COUNTIF(T_p1[stack],"&gt;0")</f>
        <v>3</v>
      </c>
      <c r="G18">
        <f>IF(T_init[[#This Row],[p]]=1,mainpot+sidepot1+sidepot2+uncalled,IF(T_init[[#This Row],[p]]&gt;1,0,T_init[[#This Row],[stack]]))</f>
        <v>0</v>
      </c>
      <c r="I18" s="2">
        <f>T_p1[[#This Row],[EQ]]*prize</f>
        <v>0</v>
      </c>
      <c r="J18" s="66">
        <f>IF(T_init[[#This Row],[p]]=1,T_p1[[#This Row],[players]]*T_p1[[#This Row],[stack]]/chips+COUNTIF(T_p1[stack],0),T_p1[[#This Row],[players]]*T_p1[[#This Row],[stack]]/chips)</f>
        <v>0</v>
      </c>
      <c r="K18" s="66">
        <f>T_p1[[#This Row],[ICM]]+bounty*T_p1[[#This Row],[KO]]</f>
        <v>0</v>
      </c>
      <c r="M18" s="10">
        <f>COUNTIF(T_p2[stack],"&gt;0")</f>
        <v>4</v>
      </c>
      <c r="N18">
        <f>IF(T_init[[#This Row],[p]]=1,uncalled,IF(T_init[[#This Row],[p]]=2,mainpot+sidepot1+sidepot2,IF(T_init[[#This Row],[p]]&gt;2,0,T_init[[#This Row],[stack]])))</f>
        <v>1494</v>
      </c>
      <c r="O18">
        <v>0.39929999999999999</v>
      </c>
      <c r="P18" s="2">
        <f>T_p2[[#This Row],[EQ]]*prize</f>
        <v>0</v>
      </c>
      <c r="Q18" s="66">
        <f>IF(T_init[[#This Row],[p]]=2,T_p2[[#This Row],[players]]*T_p2[[#This Row],[stack]]/chips+COUNTIF(T_p2[stack],0),T_p2[[#This Row],[players]]*T_p2[[#This Row],[stack]]/chips)</f>
        <v>3.992</v>
      </c>
      <c r="R18" s="66">
        <f>T_p2[[#This Row],[ICM]]+bounty*T_p2[[#This Row],[KO]]</f>
        <v>0</v>
      </c>
      <c r="T18" s="5">
        <f>COUNTIF(T_p3p1[stack],"&gt;0")</f>
        <v>4</v>
      </c>
      <c r="U18" s="26">
        <f>IF(T_init[[#This Row],[p]]=1,sidepot2+uncalled,IF(T_init[[#This Row],[p]]=3,mainpot+sidepot1,IF(ISBLANK(T_init[[#This Row],[p]]),T_init[[#This Row],[stack]],0)))</f>
        <v>0</v>
      </c>
      <c r="V18">
        <v>0</v>
      </c>
      <c r="W18" s="2">
        <f>T_p3p1[[#This Row],[EQ]]*prize</f>
        <v>0</v>
      </c>
      <c r="X18" s="66">
        <f>IF(OR(T_init[[#This Row],[p]]=1, T_init[[#This Row],[p]]=3),T_p3p1[[#This Row],[players]]*T_p3p1[[#This Row],[stack]]/chips+1,T_p3p1[[#This Row],[players]]*T_p3p1[[#This Row],[stack]]/chips)</f>
        <v>0</v>
      </c>
      <c r="Y18" s="66">
        <f>T_p3p1[[#This Row],[ICM]]+bounty*T_p3p1[[#This Row],[KO]]</f>
        <v>0</v>
      </c>
      <c r="AA18" s="5">
        <f>COUNTIF(T_p3p2[stack],"&gt;0")</f>
        <v>5</v>
      </c>
      <c r="AB18">
        <f>IF(T_init[[#This Row],[p]]=1,uncalled,IF(T_init[[#This Row],[p]]=2,sidepot2,IF(T_init[[#This Row],[p]]=3,mainpot+sidepot1,IF(ISBLANK(T_init[[#This Row],[p]]),T_init[[#This Row],[stack]],0))))</f>
        <v>40</v>
      </c>
      <c r="AC18">
        <v>1.7000000000000001E-2</v>
      </c>
      <c r="AD18" s="2">
        <f>T_p3p2[[#This Row],[EQ]]*prize</f>
        <v>0</v>
      </c>
      <c r="AE18" s="66">
        <f>IF(T_init[[#This Row],[p]]=3,T_p3p2[[#This Row],[players]]*T_p3p2[[#This Row],[stack]]/chips+1,T_p3p2[[#This Row],[players]]*T_p3p2[[#This Row],[stack]]/chips)</f>
        <v>6.6666666666666666E-2</v>
      </c>
      <c r="AF18" s="16">
        <f>T_p3p2[[#This Row],[ICM]]+bounty*T_p3p2[[#This Row],[KO]]</f>
        <v>0</v>
      </c>
      <c r="AH18" s="5">
        <f>COUNTIF(T_p4p1[stack],"&gt;0")</f>
        <v>4</v>
      </c>
      <c r="AI18">
        <f>IF(T_init[[#This Row],[p]]=4,mainpot,IF(T_init[[#This Row],[p]]=1,sidepot1+sidepot2+uncalled,IF(ISBLANK(T_init[[#This Row],[p]]),T_init[[#This Row],[stack]],0)))</f>
        <v>0</v>
      </c>
      <c r="AJ18">
        <v>0</v>
      </c>
      <c r="AK18" s="2">
        <f>T_p4p1[[#This Row],[EQ]]*prize</f>
        <v>0</v>
      </c>
      <c r="AL18" s="66">
        <f>IF(T_init[[#This Row],[p]]=1,T_p4p1[[#This Row],[players]]*T_p4p1[[#This Row],[stack]]/chips+2,T_p4p1[[#This Row],[players]]*T_p4p1[[#This Row],[stack]]/chips)</f>
        <v>0</v>
      </c>
      <c r="AM18" s="16">
        <f>T_p4p1[[#This Row],[ICM]]+bounty*T_p4p1[[#This Row],[KO]]</f>
        <v>0</v>
      </c>
      <c r="AO18" s="5">
        <f>COUNTIF(T_p4p2[stack],"&gt;0")</f>
        <v>5</v>
      </c>
      <c r="AP18">
        <f>IF(T_init[[#This Row],[p]]=1,uncalled,IF(T_init[[#This Row],[p]]=2,sidepot1+sidepot2,IF(T_init[[#This Row],[p]]=4,mainpot,IF(ISBLANK(T_init[[#This Row],[p]]),T_init[[#This Row],[stack]],0))))</f>
        <v>1312</v>
      </c>
      <c r="AQ18">
        <v>0.36480000000000001</v>
      </c>
      <c r="AR18" s="2">
        <f>T_p4p2[[#This Row],[EQ]]*prize</f>
        <v>0</v>
      </c>
      <c r="AS18" s="66">
        <f>IF(T_init[[#This Row],[p]]=2,T_p4p2[[#This Row],[players]]*T_p4p2[[#This Row],[stack]]/chips+1,T_p4p2[[#This Row],[players]]*T_p4p2[[#This Row],[stack]]/chips)</f>
        <v>3.1866666666666665</v>
      </c>
      <c r="AT18" s="16">
        <f>T_p4p2[[#This Row],[ICM]]+bounty*T_p4p2[[#This Row],[KO]]</f>
        <v>0</v>
      </c>
      <c r="AV18" s="5">
        <f>COUNTIF(T_p4p3p1[stack],"&gt;0")</f>
        <v>5</v>
      </c>
      <c r="AW18">
        <f>IF(T_init[[#This Row],[p]]=1,uncalled+sidepot2,IF(T_init[[#This Row],[p]]=3,sidepot1,IF(T_init[[#This Row],[p]]=4,mainpot,IF(ISBLANK(T_init[[#This Row],[p]]),T_init[[#This Row],[stack]],0))))</f>
        <v>0</v>
      </c>
      <c r="AX18">
        <v>0</v>
      </c>
      <c r="AY18" s="2">
        <f>T_p4p3p1[[#This Row],[EQ]]*prize</f>
        <v>0</v>
      </c>
      <c r="AZ18" s="66">
        <f>IF(T_init[[#This Row],[p]]=1,T_p4p3p1[[#This Row],[players]]*T_p4p3p1[[#This Row],[stack]]/chips+1,T_p4p3p1[[#This Row],[players]]*T_p4p3p1[[#This Row],[stack]]/chips)</f>
        <v>0</v>
      </c>
      <c r="BA18" s="16">
        <f>T_p4p3p1[[#This Row],[ICM]]+bounty*T_p4p3p1[[#This Row],[KO]]</f>
        <v>0</v>
      </c>
      <c r="BC18" s="5">
        <f>COUNTIF(T_p4p3p2[stack],"&gt;0")</f>
        <v>6</v>
      </c>
      <c r="BD18">
        <f>IF(T_init[[#This Row],[p]]=1,uncalled,IF(T_init[[#This Row],[p]]=2,sidepot2,IF(T_init[[#This Row],[p]]=3,sidepot1,IF(T_init[[#This Row],[p]]=4,mainpot,IF(ISBLANK(T_init[[#This Row],[p]]),T_init[[#This Row],[stack]],0)))))</f>
        <v>40</v>
      </c>
      <c r="BE18">
        <v>1.6E-2</v>
      </c>
      <c r="BF18" s="2">
        <f>T_p4p3p2[[#This Row],[EQ]]*prize</f>
        <v>0</v>
      </c>
      <c r="BG18" s="66">
        <f>T_p4p3p2[[#This Row],[players]]*T_p4p3p2[[#This Row],[stack]]/chips</f>
        <v>0.08</v>
      </c>
      <c r="BH18" s="16">
        <f>T_p4p3p2[[#This Row],[ICM]]+bounty*T_p4p3p2[[#This Row],[KO]]</f>
        <v>0</v>
      </c>
      <c r="BJ18" s="73">
        <f>COUNTIF(T_fact[stack],"&gt;0")</f>
        <v>4</v>
      </c>
      <c r="BK18" s="26">
        <f>IF(T_init[[#This Row],[p]]=1,sidepot2+uncalled,IF(T_init[[#This Row],[p]]=3,mainpot+sidepot1,IF(ISBLANK(T_init[[#This Row],[p]]),T_init[[#This Row],[stack]],0)))</f>
        <v>0</v>
      </c>
      <c r="BL18">
        <v>0</v>
      </c>
      <c r="BM18" s="2">
        <f>T_fact[[#This Row],[EQ]]*prize</f>
        <v>0</v>
      </c>
      <c r="BN18" s="66">
        <f>IF(OR(T_init[[#This Row],[p]]=1, T_init[[#This Row],[p]]=3),T_fact[[#This Row],[players]]*T_fact[[#This Row],[stack]]/chips+1,T_fact[[#This Row],[players]]*T_fact[[#This Row],[stack]]/chips)</f>
        <v>0</v>
      </c>
      <c r="BO18" s="16">
        <f>T_fact[[#This Row],[ICM]]+bounty*T_fact[[#This Row],[KO]]</f>
        <v>0</v>
      </c>
      <c r="BQ18" s="68">
        <f>p1sp2win*T_p3p1[[#This Row],[ICM]]+p2sp2win*T_p3p2[[#This Row],[ICM]]</f>
        <v>0</v>
      </c>
      <c r="BR18" s="68">
        <f>bounty*(p1sp2win*T_p3p1[[#This Row],[KO]]+p2sp2win*T_p3p2[[#This Row],[KO]])</f>
        <v>0</v>
      </c>
      <c r="BS18" s="68">
        <f>T_EV_p3sp2[[#This Row],[ICM]]+T_EV_p3sp2[[#This Row],[KO]]</f>
        <v>0</v>
      </c>
      <c r="BT18" s="68">
        <f>p1sp2win*T_p3p1[[#This Row],[stack]]+p2sp2win*T_p3p2[[#This Row],[stack]]</f>
        <v>18.240000000000002</v>
      </c>
      <c r="BW18" s="68">
        <f>p1sp2win*T_p4p3p1[[#This Row],[ICM]]+p2sp2win*T_p4p3p2[[#This Row],[ICM]]</f>
        <v>0</v>
      </c>
      <c r="BX18" s="68">
        <f>bounty*(p1sp2win*T_p4p3p1[[#This Row],[KO]]+p2sp2win*T_p4p3p2[[#This Row],[KO]])</f>
        <v>0</v>
      </c>
      <c r="BY18" s="68">
        <f>T_EV_p4p3sp2[[#This Row],[ICM]]+T_EV_p4p3sp2[[#This Row],[KO]]</f>
        <v>0</v>
      </c>
      <c r="BZ18" s="68">
        <f>p1sp2win*T_p4p3p1[[#This Row],[stack]]+p2sp2win*T_p4p3p2[[#This Row],[stack]]</f>
        <v>18.240000000000002</v>
      </c>
      <c r="CC18" s="68">
        <f>p1sp1win*T_p4p1[[#This Row],[ICM]]+p2sp1win*T_p4p2[[#This Row],[ICM]]+p3sp1win*T_EV_p4p3sp2[[#This Row],[ICM]]</f>
        <v>0</v>
      </c>
      <c r="CD18" s="68">
        <f>bounty*(p1sp1win*T_p4p1[[#This Row],[KO]]+p2sp1win*T_p4p2[[#This Row],[KO]])+p3sp1win*T_EV_p4p3sp2[[#This Row],[KO]]</f>
        <v>0</v>
      </c>
      <c r="CE18" s="68">
        <f>T_EV_p4sp1[[#This Row],[ICM]]+T_EV_p4sp1[[#This Row],[KO]]</f>
        <v>0</v>
      </c>
      <c r="CF18" s="68">
        <f>p1sp1win*T_p4p1[[#This Row],[stack]]+p2sp1win*T_p4p2[[#This Row],[stack]]+p3sp1win*T_EV_p4p3sp2[[#This Row],[chipEV]]</f>
        <v>509.62886399999996</v>
      </c>
      <c r="CI18" s="68">
        <f>p4win*(T_EV_p4sp1[[#This Row],[ICM]])+'4way'!p3win*T_EV_p3sp2[[#This Row],[ICM]]+'4way'!p2win*T_p2[[#This Row],[ICM]]+'4way'!p1win*T_p1[[#This Row],[ICM]]</f>
        <v>0</v>
      </c>
      <c r="CJ18" s="68">
        <f>p4win*(T_EV_p4sp1[[#This Row],[KO]])+'4way'!p3win*T_EV_p3sp2[[#This Row],[KO]]+bounty*('4way'!p2win*T_p2[[#This Row],[KO]]+'4way'!p1win*T_p1[[#This Row],[KO]])</f>
        <v>0</v>
      </c>
      <c r="CK18" s="68">
        <f>T_EV[[#This Row],[ICM]]+T_EV[[#This Row],[KO]]</f>
        <v>0</v>
      </c>
      <c r="CL18" s="68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449.76766285439999</v>
      </c>
      <c r="CM18" s="2">
        <f>T_EV[[#This Row],[chipEV]]-T_fact[[#This Row],[stack]]</f>
        <v>449.76766285439999</v>
      </c>
      <c r="CN18" s="2">
        <f>T_EV[[#This Row],[EV]]-(T_fact[[#This Row],[ICM]]+bounty*T_fact[[#This Row],[KO]])</f>
        <v>0</v>
      </c>
    </row>
    <row r="19" spans="1:94" x14ac:dyDescent="0.25">
      <c r="A19" s="26">
        <v>3</v>
      </c>
      <c r="B19" s="26">
        <v>464</v>
      </c>
      <c r="C19" s="26" t="s">
        <v>509</v>
      </c>
      <c r="D19" s="26">
        <v>0.35349999999999998</v>
      </c>
      <c r="F19" s="73">
        <f>COUNTIF(T_p1[stack],"&gt;0")</f>
        <v>3</v>
      </c>
      <c r="G19" s="26">
        <f>IF(T_init[[#This Row],[p]]=1,mainpot+sidepot1+sidepot2+uncalled,IF(T_init[[#This Row],[p]]&gt;1,0,T_init[[#This Row],[stack]]))</f>
        <v>0</v>
      </c>
      <c r="H19" s="26"/>
      <c r="I19" s="27">
        <f>T_p1[[#This Row],[EQ]]*prize</f>
        <v>0</v>
      </c>
      <c r="J19" s="71">
        <f>IF(T_init[[#This Row],[p]]=1,T_p1[[#This Row],[players]]*T_p1[[#This Row],[stack]]/chips+COUNTIF(T_p1[stack],0),T_p1[[#This Row],[players]]*T_p1[[#This Row],[stack]]/chips)</f>
        <v>0</v>
      </c>
      <c r="K19" s="71">
        <f>T_p1[[#This Row],[ICM]]+bounty*T_p1[[#This Row],[KO]]</f>
        <v>0</v>
      </c>
      <c r="M19" s="29">
        <f>COUNTIF(T_p2[stack],"&gt;0")</f>
        <v>4</v>
      </c>
      <c r="N19" s="26">
        <f>IF(T_init[[#This Row],[p]]=1,uncalled,IF(T_init[[#This Row],[p]]=2,mainpot+sidepot1+sidepot2,IF(T_init[[#This Row],[p]]&gt;2,0,T_init[[#This Row],[stack]])))</f>
        <v>0</v>
      </c>
      <c r="O19" s="26"/>
      <c r="P19" s="27">
        <f>T_p2[[#This Row],[EQ]]*prize</f>
        <v>0</v>
      </c>
      <c r="Q19" s="71">
        <f>IF(T_init[[#This Row],[p]]=2,T_p2[[#This Row],[players]]*T_p2[[#This Row],[stack]]/chips+COUNTIF(T_p2[stack],0),T_p2[[#This Row],[players]]*T_p2[[#This Row],[stack]]/chips)</f>
        <v>0</v>
      </c>
      <c r="R19" s="71">
        <f>T_p2[[#This Row],[ICM]]+bounty*T_p2[[#This Row],[KO]]</f>
        <v>0</v>
      </c>
      <c r="T19" s="73">
        <f>COUNTIF(T_p3p1[stack],"&gt;0")</f>
        <v>4</v>
      </c>
      <c r="U19" s="26">
        <f>IF(T_init[[#This Row],[p]]=1,sidepot2+uncalled,IF(T_init[[#This Row],[p]]=3,mainpot+sidepot1,IF(ISBLANK(T_init[[#This Row],[p]]),T_init[[#This Row],[stack]],0)))</f>
        <v>1454</v>
      </c>
      <c r="V19" s="26">
        <v>0.39350000000000002</v>
      </c>
      <c r="W19" s="27">
        <f>T_p3p1[[#This Row],[EQ]]*prize</f>
        <v>0</v>
      </c>
      <c r="X19" s="71">
        <f>IF(OR(T_init[[#This Row],[p]]=1, T_init[[#This Row],[p]]=3),T_p3p1[[#This Row],[players]]*T_p3p1[[#This Row],[stack]]/chips+1,T_p3p1[[#This Row],[players]]*T_p3p1[[#This Row],[stack]]/chips)</f>
        <v>2.9386666666666668</v>
      </c>
      <c r="Y19" s="71">
        <f>T_p3p1[[#This Row],[ICM]]+bounty*T_p3p1[[#This Row],[KO]]</f>
        <v>0</v>
      </c>
      <c r="AA19" s="73">
        <f>COUNTIF(T_p3p2[stack],"&gt;0")</f>
        <v>5</v>
      </c>
      <c r="AB19" s="26">
        <f>IF(T_init[[#This Row],[p]]=1,uncalled,IF(T_init[[#This Row],[p]]=2,sidepot2,IF(T_init[[#This Row],[p]]=3,mainpot+sidepot1,IF(ISBLANK(T_init[[#This Row],[p]]),T_init[[#This Row],[stack]],0))))</f>
        <v>1454</v>
      </c>
      <c r="AC19" s="26">
        <v>0.39190000000000003</v>
      </c>
      <c r="AD19" s="27">
        <f>T_p3p2[[#This Row],[EQ]]*prize</f>
        <v>0</v>
      </c>
      <c r="AE19" s="71">
        <f>IF(T_init[[#This Row],[p]]=3,T_p3p2[[#This Row],[players]]*T_p3p2[[#This Row],[stack]]/chips+1,T_p3p2[[#This Row],[players]]*T_p3p2[[#This Row],[stack]]/chips)</f>
        <v>3.4233333333333333</v>
      </c>
      <c r="AF19" s="16">
        <f>T_p3p2[[#This Row],[ICM]]+bounty*T_p3p2[[#This Row],[KO]]</f>
        <v>0</v>
      </c>
      <c r="AH19" s="73">
        <f>COUNTIF(T_p4p1[stack],"&gt;0")</f>
        <v>4</v>
      </c>
      <c r="AI19" s="26">
        <f>IF(T_init[[#This Row],[p]]=4,mainpot,IF(T_init[[#This Row],[p]]=1,sidepot1+sidepot2+uncalled,IF(ISBLANK(T_init[[#This Row],[p]]),T_init[[#This Row],[stack]],0)))</f>
        <v>0</v>
      </c>
      <c r="AJ19" s="26">
        <v>0</v>
      </c>
      <c r="AK19" s="27">
        <f>T_p4p1[[#This Row],[EQ]]*prize</f>
        <v>0</v>
      </c>
      <c r="AL19" s="71">
        <f>IF(T_init[[#This Row],[p]]=1,T_p4p1[[#This Row],[players]]*T_p4p1[[#This Row],[stack]]/chips+2,T_p4p1[[#This Row],[players]]*T_p4p1[[#This Row],[stack]]/chips)</f>
        <v>0</v>
      </c>
      <c r="AM19" s="16">
        <f>T_p4p1[[#This Row],[ICM]]+bounty*T_p4p1[[#This Row],[KO]]</f>
        <v>0</v>
      </c>
      <c r="AO19" s="73">
        <f>COUNTIF(T_p4p2[stack],"&gt;0")</f>
        <v>5</v>
      </c>
      <c r="AP19" s="26">
        <f>IF(T_init[[#This Row],[p]]=1,uncalled,IF(T_init[[#This Row],[p]]=2,sidepot1+sidepot2,IF(T_init[[#This Row],[p]]=4,mainpot,IF(ISBLANK(T_init[[#This Row],[p]]),T_init[[#This Row],[stack]],0))))</f>
        <v>0</v>
      </c>
      <c r="AQ19" s="26">
        <v>0</v>
      </c>
      <c r="AR19" s="27">
        <f>T_p4p2[[#This Row],[EQ]]*prize</f>
        <v>0</v>
      </c>
      <c r="AS19" s="71">
        <f>IF(T_init[[#This Row],[p]]=2,T_p4p2[[#This Row],[players]]*T_p4p2[[#This Row],[stack]]/chips+1,T_p4p2[[#This Row],[players]]*T_p4p2[[#This Row],[stack]]/chips)</f>
        <v>0</v>
      </c>
      <c r="AT19" s="16">
        <f>T_p4p2[[#This Row],[ICM]]+bounty*T_p4p2[[#This Row],[KO]]</f>
        <v>0</v>
      </c>
      <c r="AV19" s="73">
        <f>COUNTIF(T_p4p3p1[stack],"&gt;0")</f>
        <v>5</v>
      </c>
      <c r="AW19" s="26">
        <f>IF(T_init[[#This Row],[p]]=1,uncalled+sidepot2,IF(T_init[[#This Row],[p]]=3,sidepot1,IF(T_init[[#This Row],[p]]=4,mainpot,IF(ISBLANK(T_init[[#This Row],[p]]),T_init[[#This Row],[stack]],0))))</f>
        <v>1272</v>
      </c>
      <c r="AX19" s="26">
        <v>0.35799999999999998</v>
      </c>
      <c r="AY19" s="27">
        <f>T_p4p3p1[[#This Row],[EQ]]*prize</f>
        <v>0</v>
      </c>
      <c r="AZ19" s="71">
        <f>IF(T_init[[#This Row],[p]]=1,T_p4p3p1[[#This Row],[players]]*T_p4p3p1[[#This Row],[stack]]/chips+1,T_p4p3p1[[#This Row],[players]]*T_p4p3p1[[#This Row],[stack]]/chips)</f>
        <v>2.12</v>
      </c>
      <c r="BA19" s="16">
        <f>T_p4p3p1[[#This Row],[ICM]]+bounty*T_p4p3p1[[#This Row],[KO]]</f>
        <v>0</v>
      </c>
      <c r="BC19" s="73">
        <f>COUNTIF(T_p4p3p2[stack],"&gt;0")</f>
        <v>6</v>
      </c>
      <c r="BD19" s="26">
        <f>IF(T_init[[#This Row],[p]]=1,uncalled,IF(T_init[[#This Row],[p]]=2,sidepot2,IF(T_init[[#This Row],[p]]=3,sidepot1,IF(T_init[[#This Row],[p]]=4,mainpot,IF(ISBLANK(T_init[[#This Row],[p]]),T_init[[#This Row],[stack]],0)))))</f>
        <v>1272</v>
      </c>
      <c r="BE19" s="26">
        <v>0.35649999999999998</v>
      </c>
      <c r="BF19" s="27">
        <f>T_p4p3p2[[#This Row],[EQ]]*prize</f>
        <v>0</v>
      </c>
      <c r="BG19" s="71">
        <f>T_p4p3p2[[#This Row],[players]]*T_p4p3p2[[#This Row],[stack]]/chips</f>
        <v>2.544</v>
      </c>
      <c r="BH19" s="16">
        <f>T_p4p3p2[[#This Row],[ICM]]+bounty*T_p4p3p2[[#This Row],[KO]]</f>
        <v>0</v>
      </c>
      <c r="BJ19" s="73">
        <f>COUNTIF(T_fact[stack],"&gt;0")</f>
        <v>4</v>
      </c>
      <c r="BK19" s="26">
        <f>IF(T_init[[#This Row],[p]]=1,sidepot2+uncalled,IF(T_init[[#This Row],[p]]=3,mainpot+sidepot1,IF(ISBLANK(T_init[[#This Row],[p]]),T_init[[#This Row],[stack]],0)))</f>
        <v>1454</v>
      </c>
      <c r="BL19" s="26">
        <v>0.39350000000000002</v>
      </c>
      <c r="BM19" s="27">
        <f>T_fact[[#This Row],[EQ]]*prize</f>
        <v>0</v>
      </c>
      <c r="BN19" s="71">
        <f>IF(OR(T_init[[#This Row],[p]]=1, T_init[[#This Row],[p]]=3),T_fact[[#This Row],[players]]*T_fact[[#This Row],[stack]]/chips+1,T_fact[[#This Row],[players]]*T_fact[[#This Row],[stack]]/chips)</f>
        <v>2.9386666666666668</v>
      </c>
      <c r="BO19" s="16">
        <f>T_fact[[#This Row],[ICM]]+bounty*T_fact[[#This Row],[KO]]</f>
        <v>0</v>
      </c>
      <c r="BQ19" s="68">
        <f>p1sp2win*T_p3p1[[#This Row],[ICM]]+p2sp2win*T_p3p2[[#This Row],[ICM]]</f>
        <v>0</v>
      </c>
      <c r="BR19" s="72">
        <f>bounty*(p1sp2win*T_p3p1[[#This Row],[KO]]+p2sp2win*T_p3p2[[#This Row],[KO]])</f>
        <v>0</v>
      </c>
      <c r="BS19" s="72">
        <f>T_EV_p3sp2[[#This Row],[ICM]]+T_EV_p3sp2[[#This Row],[KO]]</f>
        <v>0</v>
      </c>
      <c r="BT19" s="72">
        <f>p1sp2win*T_p3p1[[#This Row],[stack]]+p2sp2win*T_p3p2[[#This Row],[stack]]</f>
        <v>1454</v>
      </c>
      <c r="BW19" s="68">
        <f>p1sp2win*T_p4p3p1[[#This Row],[ICM]]+p2sp2win*T_p4p3p2[[#This Row],[ICM]]</f>
        <v>0</v>
      </c>
      <c r="BX19" s="72">
        <f>bounty*(p1sp2win*T_p4p3p1[[#This Row],[KO]]+p2sp2win*T_p4p3p2[[#This Row],[KO]])</f>
        <v>0</v>
      </c>
      <c r="BY19" s="72">
        <f>T_EV_p4p3sp2[[#This Row],[ICM]]+T_EV_p4p3sp2[[#This Row],[KO]]</f>
        <v>0</v>
      </c>
      <c r="BZ19" s="72">
        <f>p1sp2win*T_p4p3p1[[#This Row],[stack]]+p2sp2win*T_p4p3p2[[#This Row],[stack]]</f>
        <v>1272</v>
      </c>
      <c r="CC19" s="68">
        <f>p1sp1win*T_p4p1[[#This Row],[ICM]]+p2sp1win*T_p4p2[[#This Row],[ICM]]+p3sp1win*T_EV_p4p3sp2[[#This Row],[ICM]]</f>
        <v>0</v>
      </c>
      <c r="CD19" s="72">
        <f>bounty*(p1sp1win*T_p4p1[[#This Row],[KO]]+p2sp1win*T_p4p2[[#This Row],[KO]])+p3sp1win*T_EV_p4p3sp2[[#This Row],[KO]]</f>
        <v>0</v>
      </c>
      <c r="CE19" s="72">
        <f>T_EV_p4sp1[[#This Row],[ICM]]+T_EV_p4sp1[[#This Row],[KO]]</f>
        <v>0</v>
      </c>
      <c r="CF19" s="72">
        <f>p1sp1win*T_p4p1[[#This Row],[stack]]+p2sp1win*T_p4p2[[#This Row],[stack]]+p3sp1win*T_EV_p4p3sp2[[#This Row],[chipEV]]</f>
        <v>570.61919999999998</v>
      </c>
      <c r="CI19" s="68">
        <f>p4win*(T_EV_p4sp1[[#This Row],[ICM]])+'4way'!p3win*T_EV_p3sp2[[#This Row],[ICM]]+'4way'!p2win*T_p2[[#This Row],[ICM]]+'4way'!p1win*T_p1[[#This Row],[ICM]]</f>
        <v>0</v>
      </c>
      <c r="CJ19" s="72">
        <f>p4win*(T_EV_p4sp1[[#This Row],[KO]])+'4way'!p3win*T_EV_p3sp2[[#This Row],[KO]]+bounty*('4way'!p2win*T_p2[[#This Row],[KO]]+'4way'!p1win*T_p1[[#This Row],[KO]])</f>
        <v>0</v>
      </c>
      <c r="CK19" s="72">
        <f>T_EV[[#This Row],[ICM]]+T_EV[[#This Row],[KO]]</f>
        <v>0</v>
      </c>
      <c r="CL19" s="72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677.66837232</v>
      </c>
      <c r="CM19" s="2">
        <f>T_EV[[#This Row],[chipEV]]-T_fact[[#This Row],[stack]]</f>
        <v>-776.33162768</v>
      </c>
      <c r="CN19" s="2">
        <f>T_EV[[#This Row],[EV]]-(T_fact[[#This Row],[ICM]]+bounty*T_fact[[#This Row],[KO]])</f>
        <v>0</v>
      </c>
    </row>
    <row r="20" spans="1:94" x14ac:dyDescent="0.25">
      <c r="B20">
        <v>464</v>
      </c>
      <c r="F20" s="5">
        <f>COUNTIF(T_p1[stack],"&gt;0")</f>
        <v>3</v>
      </c>
      <c r="G20">
        <f>IF(T_init[[#This Row],[p]]=1,mainpot+sidepot1+sidepot2+uncalled,IF(T_init[[#This Row],[p]]&gt;1,0,T_init[[#This Row],[stack]]))</f>
        <v>464</v>
      </c>
      <c r="H20">
        <v>0.25459999999999999</v>
      </c>
      <c r="I20" s="2">
        <f>T_p1[[#This Row],[EQ]]*prize</f>
        <v>0</v>
      </c>
      <c r="J20" s="66">
        <f>IF(T_init[[#This Row],[p]]=1,T_p1[[#This Row],[players]]*T_p1[[#This Row],[stack]]/chips+COUNTIF(T_p1[stack],0),T_p1[[#This Row],[players]]*T_p1[[#This Row],[stack]]/chips)</f>
        <v>0.46400000000000002</v>
      </c>
      <c r="K20" s="66">
        <f>T_p1[[#This Row],[ICM]]+bounty*T_p1[[#This Row],[KO]]</f>
        <v>0</v>
      </c>
      <c r="M20" s="10">
        <f>COUNTIF(T_p2[stack],"&gt;0")</f>
        <v>4</v>
      </c>
      <c r="N20">
        <f>IF(T_init[[#This Row],[p]]=1,uncalled,IF(T_init[[#This Row],[p]]=2,mainpot+sidepot1+sidepot2,IF(T_init[[#This Row],[p]]&gt;2,0,T_init[[#This Row],[stack]])))</f>
        <v>464</v>
      </c>
      <c r="O20">
        <v>0.18659999999999999</v>
      </c>
      <c r="P20" s="2">
        <f>T_p2[[#This Row],[EQ]]*prize</f>
        <v>0</v>
      </c>
      <c r="Q20" s="66">
        <f>IF(T_init[[#This Row],[p]]=2,T_p2[[#This Row],[players]]*T_p2[[#This Row],[stack]]/chips+COUNTIF(T_p2[stack],0),T_p2[[#This Row],[players]]*T_p2[[#This Row],[stack]]/chips)</f>
        <v>0.6186666666666667</v>
      </c>
      <c r="R20" s="66">
        <f>T_p2[[#This Row],[ICM]]+bounty*T_p2[[#This Row],[KO]]</f>
        <v>0</v>
      </c>
      <c r="T20" s="5">
        <f>COUNTIF(T_p3p1[stack],"&gt;0")</f>
        <v>4</v>
      </c>
      <c r="U20" s="26">
        <f>IF(T_init[[#This Row],[p]]=1,sidepot2+uncalled,IF(T_init[[#This Row],[p]]=3,mainpot+sidepot1,IF(ISBLANK(T_init[[#This Row],[p]]),T_init[[#This Row],[stack]],0)))</f>
        <v>464</v>
      </c>
      <c r="V20">
        <v>0.1842</v>
      </c>
      <c r="W20" s="2">
        <f>T_p3p1[[#This Row],[EQ]]*prize</f>
        <v>0</v>
      </c>
      <c r="X20" s="66">
        <f>IF(OR(T_init[[#This Row],[p]]=1, T_init[[#This Row],[p]]=3),T_p3p1[[#This Row],[players]]*T_p3p1[[#This Row],[stack]]/chips+1,T_p3p1[[#This Row],[players]]*T_p3p1[[#This Row],[stack]]/chips)</f>
        <v>0.6186666666666667</v>
      </c>
      <c r="Y20" s="66">
        <f>T_p3p1[[#This Row],[ICM]]+bounty*T_p3p1[[#This Row],[KO]]</f>
        <v>0</v>
      </c>
      <c r="AA20" s="5">
        <f>COUNTIF(T_p3p2[stack],"&gt;0")</f>
        <v>5</v>
      </c>
      <c r="AB20">
        <f>IF(T_init[[#This Row],[p]]=1,uncalled,IF(T_init[[#This Row],[p]]=2,sidepot2,IF(T_init[[#This Row],[p]]=3,mainpot+sidepot1,IF(ISBLANK(T_init[[#This Row],[p]]),T_init[[#This Row],[stack]],0))))</f>
        <v>464</v>
      </c>
      <c r="AC20">
        <v>0.18360000000000001</v>
      </c>
      <c r="AD20" s="2">
        <f>T_p3p2[[#This Row],[EQ]]*prize</f>
        <v>0</v>
      </c>
      <c r="AE20" s="66">
        <f>IF(T_init[[#This Row],[p]]=3,T_p3p2[[#This Row],[players]]*T_p3p2[[#This Row],[stack]]/chips+1,T_p3p2[[#This Row],[players]]*T_p3p2[[#This Row],[stack]]/chips)</f>
        <v>0.77333333333333332</v>
      </c>
      <c r="AF20" s="16">
        <f>T_p3p2[[#This Row],[ICM]]+bounty*T_p3p2[[#This Row],[KO]]</f>
        <v>0</v>
      </c>
      <c r="AH20" s="5">
        <f>COUNTIF(T_p4p1[stack],"&gt;0")</f>
        <v>4</v>
      </c>
      <c r="AI20">
        <f>IF(T_init[[#This Row],[p]]=4,mainpot,IF(T_init[[#This Row],[p]]=1,sidepot1+sidepot2+uncalled,IF(ISBLANK(T_init[[#This Row],[p]]),T_init[[#This Row],[stack]],0)))</f>
        <v>464</v>
      </c>
      <c r="AJ20">
        <v>0.22370000000000001</v>
      </c>
      <c r="AK20" s="2">
        <f>T_p4p1[[#This Row],[EQ]]*prize</f>
        <v>0</v>
      </c>
      <c r="AL20" s="66">
        <f>IF(T_init[[#This Row],[p]]=1,T_p4p1[[#This Row],[players]]*T_p4p1[[#This Row],[stack]]/chips+2,T_p4p1[[#This Row],[players]]*T_p4p1[[#This Row],[stack]]/chips)</f>
        <v>0.6186666666666667</v>
      </c>
      <c r="AM20" s="16">
        <f>T_p4p1[[#This Row],[ICM]]+bounty*T_p4p1[[#This Row],[KO]]</f>
        <v>0</v>
      </c>
      <c r="AO20" s="5">
        <f>COUNTIF(T_p4p2[stack],"&gt;0")</f>
        <v>5</v>
      </c>
      <c r="AP20">
        <f>IF(T_init[[#This Row],[p]]=1,uncalled,IF(T_init[[#This Row],[p]]=2,sidepot1+sidepot2,IF(T_init[[#This Row],[p]]=4,mainpot,IF(ISBLANK(T_init[[#This Row],[p]]),T_init[[#This Row],[stack]],0))))</f>
        <v>464</v>
      </c>
      <c r="AQ20">
        <v>0.17499999999999999</v>
      </c>
      <c r="AR20" s="2">
        <f>T_p4p2[[#This Row],[EQ]]*prize</f>
        <v>0</v>
      </c>
      <c r="AS20" s="66">
        <f>IF(T_init[[#This Row],[p]]=2,T_p4p2[[#This Row],[players]]*T_p4p2[[#This Row],[stack]]/chips+1,T_p4p2[[#This Row],[players]]*T_p4p2[[#This Row],[stack]]/chips)</f>
        <v>0.77333333333333332</v>
      </c>
      <c r="AT20" s="16">
        <f>T_p4p2[[#This Row],[ICM]]+bounty*T_p4p2[[#This Row],[KO]]</f>
        <v>0</v>
      </c>
      <c r="AV20" s="5">
        <f>COUNTIF(T_p4p3p1[stack],"&gt;0")</f>
        <v>5</v>
      </c>
      <c r="AW20">
        <f>IF(T_init[[#This Row],[p]]=1,uncalled+sidepot2,IF(T_init[[#This Row],[p]]=3,sidepot1,IF(T_init[[#This Row],[p]]=4,mainpot,IF(ISBLANK(T_init[[#This Row],[p]]),T_init[[#This Row],[stack]],0))))</f>
        <v>464</v>
      </c>
      <c r="AX20">
        <v>0.1734</v>
      </c>
      <c r="AY20" s="2">
        <f>T_p4p3p1[[#This Row],[EQ]]*prize</f>
        <v>0</v>
      </c>
      <c r="AZ20" s="66">
        <f>IF(T_init[[#This Row],[p]]=1,T_p4p3p1[[#This Row],[players]]*T_p4p3p1[[#This Row],[stack]]/chips+1,T_p4p3p1[[#This Row],[players]]*T_p4p3p1[[#This Row],[stack]]/chips)</f>
        <v>0.77333333333333332</v>
      </c>
      <c r="BA20" s="16">
        <f>T_p4p3p1[[#This Row],[ICM]]+bounty*T_p4p3p1[[#This Row],[KO]]</f>
        <v>0</v>
      </c>
      <c r="BC20" s="5">
        <f>COUNTIF(T_p4p3p2[stack],"&gt;0")</f>
        <v>6</v>
      </c>
      <c r="BD20">
        <f>IF(T_init[[#This Row],[p]]=1,uncalled,IF(T_init[[#This Row],[p]]=2,sidepot2,IF(T_init[[#This Row],[p]]=3,sidepot1,IF(T_init[[#This Row],[p]]=4,mainpot,IF(ISBLANK(T_init[[#This Row],[p]]),T_init[[#This Row],[stack]],0)))))</f>
        <v>464</v>
      </c>
      <c r="BE20">
        <v>0.17280000000000001</v>
      </c>
      <c r="BF20" s="2">
        <f>T_p4p3p2[[#This Row],[EQ]]*prize</f>
        <v>0</v>
      </c>
      <c r="BG20" s="66">
        <f>T_p4p3p2[[#This Row],[players]]*T_p4p3p2[[#This Row],[stack]]/chips</f>
        <v>0.92800000000000005</v>
      </c>
      <c r="BH20" s="16">
        <f>T_p4p3p2[[#This Row],[ICM]]+bounty*T_p4p3p2[[#This Row],[KO]]</f>
        <v>0</v>
      </c>
      <c r="BJ20" s="73">
        <f>COUNTIF(T_fact[stack],"&gt;0")</f>
        <v>4</v>
      </c>
      <c r="BK20" s="26">
        <f>IF(T_init[[#This Row],[p]]=1,sidepot2+uncalled,IF(T_init[[#This Row],[p]]=3,mainpot+sidepot1,IF(ISBLANK(T_init[[#This Row],[p]]),T_init[[#This Row],[stack]],0)))</f>
        <v>464</v>
      </c>
      <c r="BL20">
        <v>0.1842</v>
      </c>
      <c r="BM20" s="2">
        <f>T_fact[[#This Row],[EQ]]*prize</f>
        <v>0</v>
      </c>
      <c r="BN20" s="66">
        <f>IF(OR(T_init[[#This Row],[p]]=1, T_init[[#This Row],[p]]=3),T_fact[[#This Row],[players]]*T_fact[[#This Row],[stack]]/chips+1,T_fact[[#This Row],[players]]*T_fact[[#This Row],[stack]]/chips)</f>
        <v>0.6186666666666667</v>
      </c>
      <c r="BO20" s="16">
        <f>T_fact[[#This Row],[ICM]]+bounty*T_fact[[#This Row],[KO]]</f>
        <v>0</v>
      </c>
      <c r="BQ20" s="68">
        <f>p1sp2win*T_p3p1[[#This Row],[ICM]]+p2sp2win*T_p3p2[[#This Row],[ICM]]</f>
        <v>0</v>
      </c>
      <c r="BR20" s="68">
        <f>bounty*(p1sp2win*T_p3p1[[#This Row],[KO]]+p2sp2win*T_p3p2[[#This Row],[KO]])</f>
        <v>0</v>
      </c>
      <c r="BS20" s="68">
        <f>T_EV_p3sp2[[#This Row],[ICM]]+T_EV_p3sp2[[#This Row],[KO]]</f>
        <v>0</v>
      </c>
      <c r="BT20" s="68">
        <f>p1sp2win*T_p3p1[[#This Row],[stack]]+p2sp2win*T_p3p2[[#This Row],[stack]]</f>
        <v>464</v>
      </c>
      <c r="BW20" s="68">
        <f>p1sp2win*T_p4p3p1[[#This Row],[ICM]]+p2sp2win*T_p4p3p2[[#This Row],[ICM]]</f>
        <v>0</v>
      </c>
      <c r="BX20" s="68">
        <f>bounty*(p1sp2win*T_p4p3p1[[#This Row],[KO]]+p2sp2win*T_p4p3p2[[#This Row],[KO]])</f>
        <v>0</v>
      </c>
      <c r="BY20" s="68">
        <f>T_EV_p4p3sp2[[#This Row],[ICM]]+T_EV_p4p3sp2[[#This Row],[KO]]</f>
        <v>0</v>
      </c>
      <c r="BZ20" s="68">
        <f>p1sp2win*T_p4p3p1[[#This Row],[stack]]+p2sp2win*T_p4p3p2[[#This Row],[stack]]</f>
        <v>464</v>
      </c>
      <c r="CC20" s="68">
        <f>p1sp1win*T_p4p1[[#This Row],[ICM]]+p2sp1win*T_p4p2[[#This Row],[ICM]]+p3sp1win*T_EV_p4p3sp2[[#This Row],[ICM]]</f>
        <v>0</v>
      </c>
      <c r="CD20" s="68">
        <f>bounty*(p1sp1win*T_p4p1[[#This Row],[KO]]+p2sp1win*T_p4p2[[#This Row],[KO]])+p3sp1win*T_EV_p4p3sp2[[#This Row],[KO]]</f>
        <v>0</v>
      </c>
      <c r="CE20" s="68">
        <f>T_EV_p4sp1[[#This Row],[ICM]]+T_EV_p4sp1[[#This Row],[KO]]</f>
        <v>0</v>
      </c>
      <c r="CF20" s="68">
        <f>p1sp1win*T_p4p1[[#This Row],[stack]]+p2sp1win*T_p4p2[[#This Row],[stack]]+p3sp1win*T_EV_p4p3sp2[[#This Row],[chipEV]]</f>
        <v>464</v>
      </c>
      <c r="CI20" s="68">
        <f>p4win*(T_EV_p4sp1[[#This Row],[ICM]])+'4way'!p3win*T_EV_p3sp2[[#This Row],[ICM]]+'4way'!p2win*T_p2[[#This Row],[ICM]]+'4way'!p1win*T_p1[[#This Row],[ICM]]</f>
        <v>0</v>
      </c>
      <c r="CJ20" s="68">
        <f>p4win*(T_EV_p4sp1[[#This Row],[KO]])+'4way'!p3win*T_EV_p3sp2[[#This Row],[KO]]+bounty*('4way'!p2win*T_p2[[#This Row],[KO]]+'4way'!p1win*T_p1[[#This Row],[KO]])</f>
        <v>0</v>
      </c>
      <c r="CK20" s="68">
        <f>T_EV[[#This Row],[ICM]]+T_EV[[#This Row],[KO]]</f>
        <v>0</v>
      </c>
      <c r="CL20" s="68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464</v>
      </c>
      <c r="CM20" s="2">
        <f>T_EV[[#This Row],[chipEV]]-T_fact[[#This Row],[stack]]</f>
        <v>0</v>
      </c>
      <c r="CN20" s="2">
        <f>T_EV[[#This Row],[EV]]-(T_fact[[#This Row],[ICM]]+bounty*T_fact[[#This Row],[KO]])</f>
        <v>0</v>
      </c>
    </row>
    <row r="21" spans="1:94" x14ac:dyDescent="0.25">
      <c r="A21">
        <v>1</v>
      </c>
      <c r="B21">
        <v>1012</v>
      </c>
      <c r="C21" t="s">
        <v>510</v>
      </c>
      <c r="D21">
        <v>0.16089999999999999</v>
      </c>
      <c r="F21" s="5">
        <f>COUNTIF(T_p1[stack],"&gt;0")</f>
        <v>3</v>
      </c>
      <c r="G21">
        <f>IF(T_init[[#This Row],[p]]=1,mainpot+sidepot1+sidepot2+uncalled,IF(T_init[[#This Row],[p]]&gt;1,0,T_init[[#This Row],[stack]]))</f>
        <v>2042</v>
      </c>
      <c r="H21">
        <v>0.47010000000000002</v>
      </c>
      <c r="I21" s="2">
        <f>T_p1[[#This Row],[EQ]]*prize</f>
        <v>0</v>
      </c>
      <c r="J21" s="66">
        <f>IF(T_init[[#This Row],[p]]=1,T_p1[[#This Row],[players]]*T_p1[[#This Row],[stack]]/chips+COUNTIF(T_p1[stack],0),T_p1[[#This Row],[players]]*T_p1[[#This Row],[stack]]/chips)</f>
        <v>5.0419999999999998</v>
      </c>
      <c r="K21" s="66">
        <f>T_p1[[#This Row],[ICM]]+bounty*T_p1[[#This Row],[KO]]</f>
        <v>0</v>
      </c>
      <c r="M21" s="10">
        <f>COUNTIF(T_p2[stack],"&gt;0")</f>
        <v>4</v>
      </c>
      <c r="N21">
        <f>IF(T_init[[#This Row],[p]]=1,uncalled,IF(T_init[[#This Row],[p]]=2,mainpot+sidepot1+sidepot2,IF(T_init[[#This Row],[p]]&gt;2,0,T_init[[#This Row],[stack]])))</f>
        <v>548</v>
      </c>
      <c r="O21">
        <v>0.2167</v>
      </c>
      <c r="P21" s="2">
        <f>T_p2[[#This Row],[EQ]]*prize</f>
        <v>0</v>
      </c>
      <c r="Q21" s="66">
        <f>IF(T_init[[#This Row],[p]]=2,T_p2[[#This Row],[players]]*T_p2[[#This Row],[stack]]/chips+COUNTIF(T_p2[stack],0),T_p2[[#This Row],[players]]*T_p2[[#This Row],[stack]]/chips)</f>
        <v>0.73066666666666669</v>
      </c>
      <c r="R21" s="66">
        <f>T_p2[[#This Row],[ICM]]+bounty*T_p2[[#This Row],[KO]]</f>
        <v>0</v>
      </c>
      <c r="T21" s="5">
        <f>COUNTIF(T_p3p1[stack],"&gt;0")</f>
        <v>4</v>
      </c>
      <c r="U21" s="26">
        <f>IF(T_init[[#This Row],[p]]=1,sidepot2+uncalled,IF(T_init[[#This Row],[p]]=3,mainpot+sidepot1,IF(ISBLANK(T_init[[#This Row],[p]]),T_init[[#This Row],[stack]],0)))</f>
        <v>588</v>
      </c>
      <c r="V21">
        <v>0.22739999999999999</v>
      </c>
      <c r="W21" s="2">
        <f>T_p3p1[[#This Row],[EQ]]*prize</f>
        <v>0</v>
      </c>
      <c r="X21" s="66">
        <f>IF(OR(T_init[[#This Row],[p]]=1, T_init[[#This Row],[p]]=3),T_p3p1[[#This Row],[players]]*T_p3p1[[#This Row],[stack]]/chips+1,T_p3p1[[#This Row],[players]]*T_p3p1[[#This Row],[stack]]/chips)</f>
        <v>1.784</v>
      </c>
      <c r="Y21" s="66">
        <f>T_p3p1[[#This Row],[ICM]]+bounty*T_p3p1[[#This Row],[KO]]</f>
        <v>0</v>
      </c>
      <c r="AA21" s="5">
        <f>COUNTIF(T_p3p2[stack],"&gt;0")</f>
        <v>5</v>
      </c>
      <c r="AB21">
        <f>IF(T_init[[#This Row],[p]]=1,uncalled,IF(T_init[[#This Row],[p]]=2,sidepot2,IF(T_init[[#This Row],[p]]=3,mainpot+sidepot1,IF(ISBLANK(T_init[[#This Row],[p]]),T_init[[#This Row],[stack]],0))))</f>
        <v>548</v>
      </c>
      <c r="AC21">
        <v>0.2132</v>
      </c>
      <c r="AD21" s="2">
        <f>T_p3p2[[#This Row],[EQ]]*prize</f>
        <v>0</v>
      </c>
      <c r="AE21" s="66">
        <f>IF(T_init[[#This Row],[p]]=3,T_p3p2[[#This Row],[players]]*T_p3p2[[#This Row],[stack]]/chips+1,T_p3p2[[#This Row],[players]]*T_p3p2[[#This Row],[stack]]/chips)</f>
        <v>0.91333333333333333</v>
      </c>
      <c r="AF21" s="16">
        <f>T_p3p2[[#This Row],[ICM]]+bounty*T_p3p2[[#This Row],[KO]]</f>
        <v>0</v>
      </c>
      <c r="AH21" s="5">
        <f>COUNTIF(T_p4p1[stack],"&gt;0")</f>
        <v>4</v>
      </c>
      <c r="AI21">
        <f>IF(T_init[[#This Row],[p]]=4,mainpot,IF(T_init[[#This Row],[p]]=1,sidepot1+sidepot2+uncalled,IF(ISBLANK(T_init[[#This Row],[p]]),T_init[[#This Row],[stack]],0)))</f>
        <v>1860</v>
      </c>
      <c r="AJ21">
        <v>0.44790000000000002</v>
      </c>
      <c r="AK21" s="2">
        <f>T_p4p1[[#This Row],[EQ]]*prize</f>
        <v>0</v>
      </c>
      <c r="AL21" s="66">
        <f>IF(T_init[[#This Row],[p]]=1,T_p4p1[[#This Row],[players]]*T_p4p1[[#This Row],[stack]]/chips+2,T_p4p1[[#This Row],[players]]*T_p4p1[[#This Row],[stack]]/chips)</f>
        <v>4.4800000000000004</v>
      </c>
      <c r="AM21" s="16">
        <f>T_p4p1[[#This Row],[ICM]]+bounty*T_p4p1[[#This Row],[KO]]</f>
        <v>0</v>
      </c>
      <c r="AO21" s="5">
        <f>COUNTIF(T_p4p2[stack],"&gt;0")</f>
        <v>5</v>
      </c>
      <c r="AP21">
        <f>IF(T_init[[#This Row],[p]]=1,uncalled,IF(T_init[[#This Row],[p]]=2,sidepot1+sidepot2,IF(T_init[[#This Row],[p]]=4,mainpot,IF(ISBLANK(T_init[[#This Row],[p]]),T_init[[#This Row],[stack]],0))))</f>
        <v>548</v>
      </c>
      <c r="AQ21">
        <v>0.2029</v>
      </c>
      <c r="AR21" s="2">
        <f>T_p4p2[[#This Row],[EQ]]*prize</f>
        <v>0</v>
      </c>
      <c r="AS21" s="66">
        <f>IF(T_init[[#This Row],[p]]=2,T_p4p2[[#This Row],[players]]*T_p4p2[[#This Row],[stack]]/chips+1,T_p4p2[[#This Row],[players]]*T_p4p2[[#This Row],[stack]]/chips)</f>
        <v>0.91333333333333333</v>
      </c>
      <c r="AT21" s="16">
        <f>T_p4p2[[#This Row],[ICM]]+bounty*T_p4p2[[#This Row],[KO]]</f>
        <v>0</v>
      </c>
      <c r="AV21" s="5">
        <f>COUNTIF(T_p4p3p1[stack],"&gt;0")</f>
        <v>5</v>
      </c>
      <c r="AW21">
        <f>IF(T_init[[#This Row],[p]]=1,uncalled+sidepot2,IF(T_init[[#This Row],[p]]=3,sidepot1,IF(T_init[[#This Row],[p]]=4,mainpot,IF(ISBLANK(T_init[[#This Row],[p]]),T_init[[#This Row],[stack]],0))))</f>
        <v>588</v>
      </c>
      <c r="AX21">
        <v>0.2137</v>
      </c>
      <c r="AY21" s="2">
        <f>T_p4p3p1[[#This Row],[EQ]]*prize</f>
        <v>0</v>
      </c>
      <c r="AZ21" s="66">
        <f>IF(T_init[[#This Row],[p]]=1,T_p4p3p1[[#This Row],[players]]*T_p4p3p1[[#This Row],[stack]]/chips+1,T_p4p3p1[[#This Row],[players]]*T_p4p3p1[[#This Row],[stack]]/chips)</f>
        <v>1.98</v>
      </c>
      <c r="BA21" s="16">
        <f>T_p4p3p1[[#This Row],[ICM]]+bounty*T_p4p3p1[[#This Row],[KO]]</f>
        <v>0</v>
      </c>
      <c r="BC21" s="5">
        <f>COUNTIF(T_p4p3p2[stack],"&gt;0")</f>
        <v>6</v>
      </c>
      <c r="BD21">
        <f>IF(T_init[[#This Row],[p]]=1,uncalled,IF(T_init[[#This Row],[p]]=2,sidepot2,IF(T_init[[#This Row],[p]]=3,sidepot1,IF(T_init[[#This Row],[p]]=4,mainpot,IF(ISBLANK(T_init[[#This Row],[p]]),T_init[[#This Row],[stack]],0)))))</f>
        <v>548</v>
      </c>
      <c r="BE21">
        <v>0.20039999999999999</v>
      </c>
      <c r="BF21" s="2">
        <f>T_p4p3p2[[#This Row],[EQ]]*prize</f>
        <v>0</v>
      </c>
      <c r="BG21" s="66">
        <f>T_p4p3p2[[#This Row],[players]]*T_p4p3p2[[#This Row],[stack]]/chips</f>
        <v>1.0960000000000001</v>
      </c>
      <c r="BH21" s="16">
        <f>T_p4p3p2[[#This Row],[ICM]]+bounty*T_p4p3p2[[#This Row],[KO]]</f>
        <v>0</v>
      </c>
      <c r="BJ21" s="73">
        <f>COUNTIF(T_fact[stack],"&gt;0")</f>
        <v>4</v>
      </c>
      <c r="BK21" s="26">
        <f>IF(T_init[[#This Row],[p]]=1,sidepot2+uncalled,IF(T_init[[#This Row],[p]]=3,mainpot+sidepot1,IF(ISBLANK(T_init[[#This Row],[p]]),T_init[[#This Row],[stack]],0)))</f>
        <v>588</v>
      </c>
      <c r="BL21">
        <v>0.22739999999999999</v>
      </c>
      <c r="BM21" s="2">
        <f>T_fact[[#This Row],[EQ]]*prize</f>
        <v>0</v>
      </c>
      <c r="BN21" s="66">
        <f>IF(OR(T_init[[#This Row],[p]]=1, T_init[[#This Row],[p]]=3),T_fact[[#This Row],[players]]*T_fact[[#This Row],[stack]]/chips+1,T_fact[[#This Row],[players]]*T_fact[[#This Row],[stack]]/chips)</f>
        <v>1.784</v>
      </c>
      <c r="BO21" s="16">
        <f>T_fact[[#This Row],[ICM]]+bounty*T_fact[[#This Row],[KO]]</f>
        <v>0</v>
      </c>
      <c r="BQ21" s="68">
        <f>p1sp2win*T_p3p1[[#This Row],[ICM]]+p2sp2win*T_p3p2[[#This Row],[ICM]]</f>
        <v>0</v>
      </c>
      <c r="BR21" s="68">
        <f>bounty*(p1sp2win*T_p3p1[[#This Row],[KO]]+p2sp2win*T_p3p2[[#This Row],[KO]])</f>
        <v>0</v>
      </c>
      <c r="BS21" s="68">
        <f>T_EV_p3sp2[[#This Row],[ICM]]+T_EV_p3sp2[[#This Row],[KO]]</f>
        <v>0</v>
      </c>
      <c r="BT21" s="68">
        <f>p1sp2win*T_p3p1[[#This Row],[stack]]+p2sp2win*T_p3p2[[#This Row],[stack]]</f>
        <v>569.76</v>
      </c>
      <c r="BW21" s="68">
        <f>p1sp2win*T_p4p3p1[[#This Row],[ICM]]+p2sp2win*T_p4p3p2[[#This Row],[ICM]]</f>
        <v>0</v>
      </c>
      <c r="BX21" s="68">
        <f>bounty*(p1sp2win*T_p4p3p1[[#This Row],[KO]]+p2sp2win*T_p4p3p2[[#This Row],[KO]])</f>
        <v>0</v>
      </c>
      <c r="BY21" s="68">
        <f>T_EV_p4p3sp2[[#This Row],[ICM]]+T_EV_p4p3sp2[[#This Row],[KO]]</f>
        <v>0</v>
      </c>
      <c r="BZ21" s="68">
        <f>p1sp2win*T_p4p3p1[[#This Row],[stack]]+p2sp2win*T_p4p3p2[[#This Row],[stack]]</f>
        <v>569.76</v>
      </c>
      <c r="CC21" s="68">
        <f>p1sp1win*T_p4p1[[#This Row],[ICM]]+p2sp1win*T_p4p2[[#This Row],[ICM]]+p3sp1win*T_EV_p4p3sp2[[#This Row],[ICM]]</f>
        <v>0</v>
      </c>
      <c r="CD21" s="68">
        <f>bounty*(p1sp1win*T_p4p1[[#This Row],[KO]]+p2sp1win*T_p4p2[[#This Row],[KO]])+p3sp1win*T_EV_p4p3sp2[[#This Row],[KO]]</f>
        <v>0</v>
      </c>
      <c r="CE21" s="68">
        <f>T_EV_p4sp1[[#This Row],[ICM]]+T_EV_p4sp1[[#This Row],[KO]]</f>
        <v>0</v>
      </c>
      <c r="CF21" s="68">
        <f>p1sp1win*T_p4p1[[#This Row],[stack]]+p2sp1win*T_p4p2[[#This Row],[stack]]+p3sp1win*T_EV_p4p3sp2[[#This Row],[chipEV]]</f>
        <v>779.751936</v>
      </c>
      <c r="CI21" s="68">
        <f>p4win*(T_EV_p4sp1[[#This Row],[ICM]])+'4way'!p3win*T_EV_p3sp2[[#This Row],[ICM]]+'4way'!p2win*T_p2[[#This Row],[ICM]]+'4way'!p1win*T_p1[[#This Row],[ICM]]</f>
        <v>0</v>
      </c>
      <c r="CJ21" s="68">
        <f>p4win*(T_EV_p4sp1[[#This Row],[KO]])+'4way'!p3win*T_EV_p3sp2[[#This Row],[KO]]+bounty*('4way'!p2win*T_p2[[#This Row],[KO]]+'4way'!p1win*T_p1[[#This Row],[KO]])</f>
        <v>0</v>
      </c>
      <c r="CK21" s="68">
        <f>T_EV[[#This Row],[ICM]]+T_EV[[#This Row],[KO]]</f>
        <v>0</v>
      </c>
      <c r="CL21" s="68">
        <f>'4way'!p1win*T_p1[[#This Row],[stack]]+
'4way'!p2win*T_p2[[#This Row],[stack]]+
'4way'!p3win*(p1sp2win*T_p3p1[[#This Row],[stack]]+p2sp2win*T_p3p2[[#This Row],[stack]])+
p4win*(p1sp1win*T_p4p1[[#This Row],[stack]]+p2sp1win*T_p4p2[[#This Row],[stack]]+p3sp1win*(p1sp2win*T_p4p3p1[[#This Row],[stack]]+p2sp2win*T_p4p3p2[[#This Row],[stack]]))</f>
        <v>862.31176482559999</v>
      </c>
      <c r="CM21" s="2">
        <f>T_EV[[#This Row],[chipEV]]-T_fact[[#This Row],[stack]]</f>
        <v>274.31176482559999</v>
      </c>
      <c r="CN21" s="2">
        <f>T_EV[[#This Row],[EV]]-(T_fact[[#This Row],[ICM]]+bounty*T_fact[[#This Row],[KO]])</f>
        <v>0</v>
      </c>
      <c r="CP21">
        <f>'4way'!p1win*mainpot+p1sp1win*sidepot1+p1sp2win*sidepot2 -T_fact[[#This Row],[stack]]+uncalled</f>
        <v>226.22980000000001</v>
      </c>
    </row>
    <row r="22" spans="1:94" x14ac:dyDescent="0.25">
      <c r="A22" t="s">
        <v>95</v>
      </c>
      <c r="D22">
        <f>SUBTOTAL(109,T_init[pWin])</f>
        <v>0.99990000000000001</v>
      </c>
      <c r="F22" s="53"/>
      <c r="G22" s="50">
        <f>SUM(T_p1[stack])</f>
        <v>3000</v>
      </c>
      <c r="H22" s="50">
        <f>SUM(T_p1[EQ])</f>
        <v>1</v>
      </c>
      <c r="I22" s="50">
        <f>SUM(T_p1[ICM])</f>
        <v>0</v>
      </c>
      <c r="J22" s="50">
        <f>SUM(T_p1[KO])</f>
        <v>6</v>
      </c>
      <c r="K22" s="50">
        <f>SUM(T_p1[$stack])</f>
        <v>0</v>
      </c>
      <c r="M22" s="53"/>
      <c r="N22" s="55">
        <f>SUM(T_p2[stack])</f>
        <v>3000</v>
      </c>
      <c r="O22" s="50">
        <f>SUM(T_p2[EQ])</f>
        <v>1.0001</v>
      </c>
      <c r="P22" s="51">
        <f>SUM(T_p2[ICM])</f>
        <v>0</v>
      </c>
      <c r="Q22" s="52">
        <f>SUM(T_p2[KO])</f>
        <v>6.0000000000000009</v>
      </c>
      <c r="R22" s="50">
        <f>SUM(T_p2[$stack])</f>
        <v>0</v>
      </c>
      <c r="T22" s="53"/>
      <c r="U22" s="55">
        <f>SUM(T_p3p1[stack])</f>
        <v>3000</v>
      </c>
      <c r="V22" s="50">
        <f>SUM(T_p3p1[EQ])</f>
        <v>1</v>
      </c>
      <c r="W22" s="51">
        <f>SUM(T_p3p1[ICM])</f>
        <v>0</v>
      </c>
      <c r="X22" s="52">
        <f>SUM(T_p3p1[KO])</f>
        <v>6</v>
      </c>
      <c r="Y22" s="50">
        <f>SUM(T_p3p1[$stack])</f>
        <v>0</v>
      </c>
      <c r="AA22" s="53"/>
      <c r="AB22" s="55">
        <f>SUM(T_p3p2[stack])</f>
        <v>3000</v>
      </c>
      <c r="AC22" s="50">
        <f>SUM(T_p3p2[EQ])</f>
        <v>1</v>
      </c>
      <c r="AD22" s="51">
        <f>SUM(T_p3p2[ICM])</f>
        <v>0</v>
      </c>
      <c r="AE22" s="52">
        <f>SUM(T_p3p2[KO])</f>
        <v>6</v>
      </c>
      <c r="AF22" s="50">
        <f>SUM(T_p3p1[$stack])</f>
        <v>0</v>
      </c>
      <c r="AH22" s="53"/>
      <c r="AI22" s="55">
        <f>SUM(T_p4p1[stack])</f>
        <v>3000</v>
      </c>
      <c r="AJ22" s="50">
        <f>SUM(T_p4p1[EQ])</f>
        <v>1</v>
      </c>
      <c r="AK22" s="51">
        <f>SUM(T_p4p1[ICM])</f>
        <v>0</v>
      </c>
      <c r="AL22" s="52">
        <f>SUM(T_p4p1[KO])</f>
        <v>6</v>
      </c>
      <c r="AM22" s="51">
        <f>SUM(T_p4p1[$stack])</f>
        <v>0</v>
      </c>
      <c r="AO22" s="53"/>
      <c r="AP22" s="55">
        <f>SUM(T_p4p2[stack])</f>
        <v>3000</v>
      </c>
      <c r="AQ22" s="50">
        <f>SUM(T_p4p2[EQ])</f>
        <v>0.99999999999999989</v>
      </c>
      <c r="AR22" s="51">
        <f>SUM(T_p4p2[ICM])</f>
        <v>0</v>
      </c>
      <c r="AS22" s="52">
        <f>SUM(T_p4p2[KO])</f>
        <v>6</v>
      </c>
      <c r="AT22" s="51">
        <f>SUM(T_p4p2[$stack])</f>
        <v>0</v>
      </c>
      <c r="AV22" s="53"/>
      <c r="AW22" s="55">
        <f>SUM(T_p4p3p1[stack])</f>
        <v>3000</v>
      </c>
      <c r="AX22" s="50">
        <f>SUM(T_p4p3p1[EQ])</f>
        <v>1.0001</v>
      </c>
      <c r="AY22" s="51">
        <f>SUM(T_p4p3p1[ICM])</f>
        <v>0</v>
      </c>
      <c r="AZ22" s="52">
        <f>SUM(T_p4p3p1[KO])</f>
        <v>6</v>
      </c>
      <c r="BA22" s="51">
        <f>SUM(T_p4p3p1[$stack])</f>
        <v>0</v>
      </c>
      <c r="BC22" s="53"/>
      <c r="BD22" s="55">
        <f>SUM(T_p4p3p2[stack])</f>
        <v>3000</v>
      </c>
      <c r="BE22" s="50">
        <f>SUM(T_p4p3p2[EQ])</f>
        <v>0.99990000000000012</v>
      </c>
      <c r="BF22" s="51">
        <f>SUM(T_p4p3p2[ICM])</f>
        <v>0</v>
      </c>
      <c r="BG22" s="52">
        <f>SUM(T_p4p3p2[KO])</f>
        <v>6</v>
      </c>
      <c r="BH22" s="51">
        <f>SUM(T_p4p3p2[$stack])</f>
        <v>0</v>
      </c>
      <c r="BJ22" s="53"/>
      <c r="BK22" s="55">
        <f>SUM(T_fact[stack])</f>
        <v>3000</v>
      </c>
      <c r="BL22" s="50">
        <f>SUM(T_fact[EQ])</f>
        <v>1</v>
      </c>
      <c r="BM22" s="51">
        <f>SUM(T_fact[ICM])</f>
        <v>0</v>
      </c>
      <c r="BN22" s="52">
        <f>SUM(T_fact[KO])</f>
        <v>6</v>
      </c>
      <c r="BO22" s="51">
        <f>SUM(T_fact[$stack])</f>
        <v>0</v>
      </c>
      <c r="BQ22" s="52">
        <f>SUM(T_EV_p3sp2[ICM])</f>
        <v>0</v>
      </c>
      <c r="BR22" s="52">
        <f>SUM(T_EV_p3sp2[KO])</f>
        <v>0</v>
      </c>
      <c r="BS22" s="52">
        <f>SUM(T_EV_p3sp2[EV])</f>
        <v>0</v>
      </c>
      <c r="BT22" s="50">
        <f>SUM(T_EV_p3sp2[chipEV])</f>
        <v>3000</v>
      </c>
      <c r="BW22" s="52">
        <f>SUM(T_EV_p4p3sp2[ICM])</f>
        <v>0</v>
      </c>
      <c r="BX22" s="52">
        <f>SUM(T_EV_p4p3sp2[KO])</f>
        <v>0</v>
      </c>
      <c r="BY22" s="52">
        <f>SUM(T_EV_p4p3sp2[EV])</f>
        <v>0</v>
      </c>
      <c r="BZ22" s="50">
        <f>SUM(T_EV_p4p3sp2[chipEV])</f>
        <v>3000</v>
      </c>
      <c r="CC22" s="52">
        <f>SUM(T_EV_p4sp1[ICM])</f>
        <v>0</v>
      </c>
      <c r="CD22" s="52">
        <f>SUM(T_EV_p4sp1[KO])</f>
        <v>0</v>
      </c>
      <c r="CE22" s="52">
        <f>SUM(T_EV_p4sp1[EV])</f>
        <v>0</v>
      </c>
      <c r="CF22" s="50">
        <f>SUM(T_EV_p4sp1[chipEV])</f>
        <v>3000</v>
      </c>
      <c r="CI22" s="52">
        <f>SUM(T_EV[ICM])</f>
        <v>0</v>
      </c>
      <c r="CJ22" s="52">
        <f>SUM(T_EV[KO])</f>
        <v>0</v>
      </c>
      <c r="CK22" s="52">
        <f>SUM(T_EV[EV])</f>
        <v>0</v>
      </c>
      <c r="CL22" s="50">
        <f>SUM(T_EV[chipEV])</f>
        <v>3000</v>
      </c>
    </row>
    <row r="38" spans="2:4" x14ac:dyDescent="0.25">
      <c r="C38" t="s">
        <v>118</v>
      </c>
    </row>
    <row r="39" spans="2:4" x14ac:dyDescent="0.25">
      <c r="C39" t="s">
        <v>120</v>
      </c>
    </row>
    <row r="40" spans="2:4" x14ac:dyDescent="0.25">
      <c r="C40" t="s">
        <v>122</v>
      </c>
    </row>
    <row r="43" spans="2:4" x14ac:dyDescent="0.25">
      <c r="C43" t="s">
        <v>126</v>
      </c>
    </row>
    <row r="45" spans="2:4" x14ac:dyDescent="0.25">
      <c r="B45" t="s">
        <v>129</v>
      </c>
    </row>
    <row r="46" spans="2:4" x14ac:dyDescent="0.25">
      <c r="B46" t="s">
        <v>131</v>
      </c>
    </row>
    <row r="47" spans="2:4" x14ac:dyDescent="0.25">
      <c r="C47" t="s">
        <v>133</v>
      </c>
    </row>
    <row r="48" spans="2:4" x14ac:dyDescent="0.25">
      <c r="D48" t="s">
        <v>135</v>
      </c>
    </row>
    <row r="49" spans="3:6" x14ac:dyDescent="0.25">
      <c r="C49" t="s">
        <v>137</v>
      </c>
    </row>
    <row r="50" spans="3:6" x14ac:dyDescent="0.25">
      <c r="D50" t="s">
        <v>135</v>
      </c>
    </row>
    <row r="51" spans="3:6" x14ac:dyDescent="0.25">
      <c r="C51" t="s">
        <v>140</v>
      </c>
    </row>
    <row r="52" spans="3:6" x14ac:dyDescent="0.25">
      <c r="D52" t="s">
        <v>142</v>
      </c>
    </row>
    <row r="53" spans="3:6" x14ac:dyDescent="0.25">
      <c r="D53" t="s">
        <v>144</v>
      </c>
      <c r="E53" t="s">
        <v>145</v>
      </c>
    </row>
    <row r="54" spans="3:6" x14ac:dyDescent="0.25">
      <c r="F54" t="s">
        <v>147</v>
      </c>
    </row>
    <row r="55" spans="3:6" x14ac:dyDescent="0.25">
      <c r="E55" t="s">
        <v>149</v>
      </c>
    </row>
    <row r="56" spans="3:6" x14ac:dyDescent="0.25">
      <c r="F56" t="s">
        <v>151</v>
      </c>
    </row>
    <row r="58" spans="3:6" x14ac:dyDescent="0.25">
      <c r="C58" t="s">
        <v>154</v>
      </c>
    </row>
    <row r="59" spans="3:6" x14ac:dyDescent="0.25">
      <c r="D59" t="s">
        <v>156</v>
      </c>
    </row>
    <row r="60" spans="3:6" x14ac:dyDescent="0.25">
      <c r="D60" t="s">
        <v>158</v>
      </c>
      <c r="E60" t="s">
        <v>145</v>
      </c>
    </row>
    <row r="61" spans="3:6" x14ac:dyDescent="0.25">
      <c r="F61" t="s">
        <v>160</v>
      </c>
    </row>
    <row r="62" spans="3:6" x14ac:dyDescent="0.25">
      <c r="E62" t="s">
        <v>149</v>
      </c>
    </row>
    <row r="63" spans="3:6" x14ac:dyDescent="0.25">
      <c r="F63" t="s">
        <v>163</v>
      </c>
    </row>
    <row r="64" spans="3:6" x14ac:dyDescent="0.25">
      <c r="E64" t="s">
        <v>165</v>
      </c>
    </row>
    <row r="65" spans="6:8" x14ac:dyDescent="0.25">
      <c r="F65" t="s">
        <v>167</v>
      </c>
    </row>
    <row r="66" spans="6:8" x14ac:dyDescent="0.25">
      <c r="F66" t="s">
        <v>144</v>
      </c>
    </row>
    <row r="67" spans="6:8" x14ac:dyDescent="0.25">
      <c r="G67" t="s">
        <v>145</v>
      </c>
    </row>
    <row r="68" spans="6:8" x14ac:dyDescent="0.25">
      <c r="H68" t="s">
        <v>147</v>
      </c>
    </row>
    <row r="69" spans="6:8" x14ac:dyDescent="0.25">
      <c r="G69" t="s">
        <v>149</v>
      </c>
    </row>
    <row r="70" spans="6:8" x14ac:dyDescent="0.25">
      <c r="H70" t="s">
        <v>151</v>
      </c>
    </row>
  </sheetData>
  <mergeCells count="28">
    <mergeCell ref="CI12:CL12"/>
    <mergeCell ref="CI13:CL13"/>
    <mergeCell ref="CI14:CL14"/>
    <mergeCell ref="BJ14:BN14"/>
    <mergeCell ref="BQ14:BT14"/>
    <mergeCell ref="BQ12:BT12"/>
    <mergeCell ref="BQ13:BT13"/>
    <mergeCell ref="BW12:BZ12"/>
    <mergeCell ref="BW13:BZ13"/>
    <mergeCell ref="BW14:BZ14"/>
    <mergeCell ref="CC12:CF12"/>
    <mergeCell ref="CC13:CF13"/>
    <mergeCell ref="CC14:CF14"/>
    <mergeCell ref="AH11:BG11"/>
    <mergeCell ref="AH12:BG12"/>
    <mergeCell ref="BW11:BZ11"/>
    <mergeCell ref="F14:J14"/>
    <mergeCell ref="M14:Q14"/>
    <mergeCell ref="T14:X14"/>
    <mergeCell ref="AA14:AE14"/>
    <mergeCell ref="T12:AE12"/>
    <mergeCell ref="T13:AE13"/>
    <mergeCell ref="BC14:BG14"/>
    <mergeCell ref="AV13:BG13"/>
    <mergeCell ref="AH14:AL14"/>
    <mergeCell ref="AO14:AS14"/>
    <mergeCell ref="AV14:AZ14"/>
    <mergeCell ref="AH13:AS13"/>
  </mergeCells>
  <pageMargins left="0.7" right="0.7" top="0.75" bottom="0.75" header="0.3" footer="0.3"/>
  <pageSetup paperSize="9" orientation="portrait" horizontalDpi="4294967293" verticalDpi="0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899C-542F-4DD8-8765-E889FD04D495}">
  <dimension ref="A1:CF62"/>
  <sheetViews>
    <sheetView tabSelected="1" workbookViewId="0">
      <pane xSplit="5" ySplit="11" topLeftCell="BE15" activePane="bottomRight" state="frozen"/>
      <selection pane="topRight" activeCell="F1" sqref="F1"/>
      <selection pane="bottomLeft" activeCell="A12" sqref="A12"/>
      <selection pane="bottomRight" activeCell="T5" sqref="T5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3.7109375" customWidth="1"/>
    <col min="20" max="20" width="6.7109375" customWidth="1"/>
    <col min="21" max="21" width="9.5703125" bestFit="1" customWidth="1"/>
    <col min="22" max="22" width="10.28515625" customWidth="1"/>
    <col min="26" max="26" width="6.42578125" customWidth="1"/>
    <col min="27" max="27" width="6.7109375" customWidth="1"/>
    <col min="28" max="28" width="9.5703125" bestFit="1" customWidth="1"/>
    <col min="29" max="29" width="10.28515625" customWidth="1"/>
    <col min="34" max="34" width="6.7109375" customWidth="1"/>
    <col min="35" max="35" width="9.5703125" bestFit="1" customWidth="1"/>
    <col min="36" max="36" width="10.28515625" customWidth="1"/>
    <col min="40" max="40" width="4.7109375" customWidth="1"/>
    <col min="41" max="41" width="6.7109375" customWidth="1"/>
    <col min="42" max="42" width="9.5703125" bestFit="1" customWidth="1"/>
    <col min="43" max="43" width="10.28515625" customWidth="1"/>
    <col min="47" max="47" width="4.7109375" customWidth="1"/>
    <col min="48" max="48" width="5.5703125" customWidth="1"/>
    <col min="49" max="49" width="7.7109375" customWidth="1"/>
    <col min="50" max="51" width="8.5703125" customWidth="1"/>
    <col min="52" max="52" width="9.85546875" customWidth="1"/>
    <col min="53" max="53" width="8.42578125" customWidth="1"/>
    <col min="55" max="55" width="7.28515625" customWidth="1"/>
    <col min="56" max="56" width="8.5703125" customWidth="1"/>
    <col min="57" max="57" width="10" customWidth="1"/>
    <col min="61" max="61" width="4.7109375" customWidth="1"/>
    <col min="62" max="62" width="7.28515625" customWidth="1"/>
    <col min="63" max="63" width="8.5703125" customWidth="1"/>
    <col min="64" max="64" width="10" customWidth="1"/>
    <col min="68" max="68" width="2.85546875" customWidth="1"/>
    <col min="69" max="69" width="5.85546875" customWidth="1"/>
    <col min="70" max="70" width="6.7109375" customWidth="1"/>
    <col min="74" max="74" width="10.7109375" customWidth="1"/>
    <col min="75" max="75" width="2.42578125" customWidth="1"/>
    <col min="76" max="76" width="1" customWidth="1"/>
    <col min="77" max="77" width="9.140625" customWidth="1"/>
    <col min="78" max="78" width="7.42578125" customWidth="1"/>
    <col min="79" max="79" width="10.28515625" customWidth="1"/>
    <col min="83" max="83" width="10.85546875" customWidth="1"/>
  </cols>
  <sheetData>
    <row r="1" spans="1:84" ht="15.75" x14ac:dyDescent="0.25">
      <c r="A1" t="s">
        <v>644</v>
      </c>
      <c r="B1">
        <v>26.96</v>
      </c>
      <c r="C1" s="80" t="s">
        <v>0</v>
      </c>
      <c r="D1">
        <f>B1*4</f>
        <v>107.84</v>
      </c>
      <c r="F1" s="80" t="s">
        <v>71</v>
      </c>
      <c r="G1">
        <v>0.1759</v>
      </c>
      <c r="I1" s="80" t="s">
        <v>72</v>
      </c>
      <c r="J1">
        <v>0.2248</v>
      </c>
      <c r="K1">
        <v>0.2248</v>
      </c>
      <c r="M1" s="80" t="s">
        <v>73</v>
      </c>
      <c r="N1">
        <v>1480</v>
      </c>
    </row>
    <row r="2" spans="1:84" ht="15.75" x14ac:dyDescent="0.25">
      <c r="C2" s="80" t="s">
        <v>1</v>
      </c>
      <c r="D2">
        <f>bounty</f>
        <v>0</v>
      </c>
      <c r="F2" s="80" t="s">
        <v>74</v>
      </c>
      <c r="G2">
        <v>0.214</v>
      </c>
      <c r="I2" s="80" t="s">
        <v>75</v>
      </c>
      <c r="J2">
        <v>0.56179999999999997</v>
      </c>
      <c r="K2">
        <v>0.56179999999999997</v>
      </c>
      <c r="M2" s="80" t="s">
        <v>76</v>
      </c>
      <c r="N2">
        <v>0</v>
      </c>
    </row>
    <row r="3" spans="1:84" ht="15.75" x14ac:dyDescent="0.25">
      <c r="C3" s="80" t="s">
        <v>77</v>
      </c>
      <c r="D3">
        <v>2000</v>
      </c>
      <c r="F3" s="80" t="s">
        <v>78</v>
      </c>
      <c r="G3">
        <v>0.54830000000000001</v>
      </c>
      <c r="M3" s="80" t="s">
        <v>79</v>
      </c>
      <c r="N3">
        <v>0</v>
      </c>
    </row>
    <row r="4" spans="1:84" ht="15.75" x14ac:dyDescent="0.25">
      <c r="F4" s="80" t="s">
        <v>80</v>
      </c>
      <c r="G4">
        <v>0</v>
      </c>
      <c r="I4" s="80" t="s">
        <v>639</v>
      </c>
      <c r="J4">
        <v>0.1067</v>
      </c>
      <c r="K4">
        <f>0.1067*2</f>
        <v>0.21340000000000001</v>
      </c>
      <c r="M4" s="80" t="s">
        <v>81</v>
      </c>
      <c r="N4">
        <v>65</v>
      </c>
    </row>
    <row r="5" spans="1:84" ht="17.25" customHeight="1" x14ac:dyDescent="0.25">
      <c r="F5" s="80" t="s">
        <v>640</v>
      </c>
      <c r="G5">
        <f>0.0206*3</f>
        <v>6.1800000000000001E-2</v>
      </c>
    </row>
    <row r="6" spans="1:84" ht="21" customHeight="1" x14ac:dyDescent="0.25">
      <c r="C6" t="s">
        <v>82</v>
      </c>
      <c r="D6" s="104" t="s">
        <v>645</v>
      </c>
    </row>
    <row r="7" spans="1:84" ht="22.5" customHeight="1" x14ac:dyDescent="0.25">
      <c r="C7" t="s">
        <v>84</v>
      </c>
      <c r="D7" s="105" t="s">
        <v>717</v>
      </c>
    </row>
    <row r="8" spans="1:84" ht="18.75" customHeight="1" x14ac:dyDescent="0.25">
      <c r="C8" t="s">
        <v>86</v>
      </c>
      <c r="D8" s="104" t="s">
        <v>87</v>
      </c>
    </row>
    <row r="9" spans="1:84" ht="6" customHeight="1" x14ac:dyDescent="0.25"/>
    <row r="10" spans="1:84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84" ht="18.75" x14ac:dyDescent="0.3">
      <c r="F11" s="128"/>
      <c r="G11" s="81">
        <v>1</v>
      </c>
      <c r="H11" s="81">
        <v>0</v>
      </c>
      <c r="I11" s="82">
        <v>0</v>
      </c>
      <c r="J11" s="114"/>
      <c r="K11" s="114"/>
    </row>
    <row r="12" spans="1:84" ht="19.5" thickBot="1" x14ac:dyDescent="0.35">
      <c r="F12" s="114"/>
      <c r="G12" s="114"/>
      <c r="H12" s="114"/>
      <c r="I12" s="114"/>
      <c r="J12" s="114"/>
      <c r="K12" s="114"/>
      <c r="AV12" t="s">
        <v>92</v>
      </c>
      <c r="BC12" t="s">
        <v>93</v>
      </c>
    </row>
    <row r="13" spans="1:84" ht="19.5" thickBot="1" x14ac:dyDescent="0.35">
      <c r="F13" s="114"/>
      <c r="G13" s="114"/>
      <c r="H13" s="114"/>
      <c r="I13" s="114"/>
      <c r="J13" s="114"/>
      <c r="K13" s="114"/>
      <c r="AV13" s="129" t="s">
        <v>723</v>
      </c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1"/>
      <c r="BW13" s="99"/>
      <c r="BX13" s="99"/>
    </row>
    <row r="14" spans="1:84" ht="22.5" thickTop="1" thickBot="1" x14ac:dyDescent="0.4">
      <c r="F14" s="114"/>
      <c r="G14" s="114"/>
      <c r="H14" s="109" t="s">
        <v>725</v>
      </c>
      <c r="I14" s="114"/>
      <c r="J14" s="114"/>
      <c r="K14" s="114"/>
      <c r="O14" s="79" t="s">
        <v>724</v>
      </c>
      <c r="V14" s="110">
        <v>111</v>
      </c>
      <c r="AC14" s="110">
        <v>113</v>
      </c>
      <c r="AJ14" s="110">
        <v>131</v>
      </c>
      <c r="AQ14" s="110">
        <v>311</v>
      </c>
      <c r="AV14" s="111"/>
      <c r="AW14" s="112"/>
      <c r="AX14" s="112">
        <v>231</v>
      </c>
      <c r="AY14" s="112"/>
      <c r="AZ14" s="112"/>
      <c r="BA14" s="112"/>
      <c r="BB14" s="112"/>
      <c r="BC14" s="112"/>
      <c r="BD14" s="112"/>
      <c r="BE14" s="112">
        <v>321</v>
      </c>
      <c r="BF14" s="112"/>
      <c r="BG14" s="112"/>
      <c r="BH14" s="112"/>
      <c r="BI14" s="112"/>
      <c r="BJ14" s="112"/>
      <c r="BK14" s="112"/>
      <c r="BL14" s="112">
        <v>221</v>
      </c>
      <c r="BM14" s="112"/>
      <c r="BN14" s="112"/>
      <c r="BO14" s="113"/>
      <c r="BS14" t="s">
        <v>99</v>
      </c>
      <c r="BY14" s="132" t="s">
        <v>95</v>
      </c>
      <c r="BZ14" s="133"/>
      <c r="CA14" s="133"/>
      <c r="CB14" s="133"/>
      <c r="CC14" s="99"/>
      <c r="CD14" s="99"/>
    </row>
    <row r="15" spans="1:84" ht="19.5" thickTop="1" x14ac:dyDescent="0.3">
      <c r="F15" s="134" t="s">
        <v>100</v>
      </c>
      <c r="G15" s="135"/>
      <c r="H15" s="135"/>
      <c r="I15" s="135"/>
      <c r="J15" s="136"/>
      <c r="K15" s="114"/>
      <c r="M15" s="134" t="s">
        <v>101</v>
      </c>
      <c r="N15" s="135"/>
      <c r="O15" s="135"/>
      <c r="P15" s="135"/>
      <c r="Q15" s="136"/>
      <c r="R15" s="114"/>
      <c r="S15" s="114"/>
      <c r="T15" s="134" t="s">
        <v>642</v>
      </c>
      <c r="U15" s="135"/>
      <c r="V15" s="135"/>
      <c r="W15" s="135"/>
      <c r="X15" s="136"/>
      <c r="Y15" s="114"/>
      <c r="Z15" s="114"/>
      <c r="AA15" s="134" t="s">
        <v>642</v>
      </c>
      <c r="AB15" s="135"/>
      <c r="AC15" s="135"/>
      <c r="AD15" s="135"/>
      <c r="AE15" s="136"/>
      <c r="AF15" s="114"/>
      <c r="AG15" s="114"/>
      <c r="AH15" s="134" t="s">
        <v>642</v>
      </c>
      <c r="AI15" s="135"/>
      <c r="AJ15" s="135"/>
      <c r="AK15" s="135"/>
      <c r="AL15" s="136"/>
      <c r="AM15" s="114"/>
      <c r="AO15" s="134" t="s">
        <v>642</v>
      </c>
      <c r="AP15" s="135"/>
      <c r="AQ15" s="135"/>
      <c r="AR15" s="135"/>
      <c r="AS15" s="136"/>
      <c r="AT15" s="114"/>
      <c r="AV15" s="118" t="s">
        <v>102</v>
      </c>
      <c r="AW15" s="119"/>
      <c r="AX15" s="119"/>
      <c r="AY15" s="119"/>
      <c r="AZ15" s="120"/>
      <c r="BA15" s="114"/>
      <c r="BC15" s="118" t="s">
        <v>103</v>
      </c>
      <c r="BD15" s="119"/>
      <c r="BE15" s="119"/>
      <c r="BF15" s="119"/>
      <c r="BG15" s="120"/>
      <c r="BJ15" s="118" t="s">
        <v>643</v>
      </c>
      <c r="BK15" s="119"/>
      <c r="BL15" s="119"/>
      <c r="BM15" s="119"/>
      <c r="BN15" s="120"/>
      <c r="BQ15" s="121" t="s">
        <v>10</v>
      </c>
      <c r="BR15" s="122"/>
      <c r="BS15" s="122"/>
      <c r="BT15" s="122"/>
      <c r="BU15" s="123"/>
      <c r="BY15" s="124" t="s">
        <v>104</v>
      </c>
      <c r="BZ15" s="125"/>
      <c r="CA15" s="125"/>
      <c r="CB15" s="126"/>
      <c r="CC15" s="114"/>
      <c r="CD15" s="114"/>
    </row>
    <row r="16" spans="1:84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S16" s="5"/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Z16" s="5"/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s="5" t="s">
        <v>110</v>
      </c>
      <c r="AG16" s="5"/>
      <c r="AH16" s="5" t="s">
        <v>107</v>
      </c>
      <c r="AI16" s="5" t="s">
        <v>12</v>
      </c>
      <c r="AJ16" s="5" t="s">
        <v>108</v>
      </c>
      <c r="AK16" s="5" t="s">
        <v>109</v>
      </c>
      <c r="AL16" s="5" t="s">
        <v>1</v>
      </c>
      <c r="AM16" s="5" t="s">
        <v>110</v>
      </c>
      <c r="AO16" s="5" t="s">
        <v>107</v>
      </c>
      <c r="AP16" s="5" t="s">
        <v>12</v>
      </c>
      <c r="AQ16" s="5" t="s">
        <v>108</v>
      </c>
      <c r="AR16" s="5" t="s">
        <v>109</v>
      </c>
      <c r="AS16" s="5" t="s">
        <v>1</v>
      </c>
      <c r="AT16" s="5" t="s">
        <v>110</v>
      </c>
      <c r="AV16" s="5" t="s">
        <v>107</v>
      </c>
      <c r="AW16" s="5" t="s">
        <v>12</v>
      </c>
      <c r="AX16" s="5" t="s">
        <v>108</v>
      </c>
      <c r="AY16" s="5" t="s">
        <v>109</v>
      </c>
      <c r="AZ16" s="5" t="s">
        <v>1</v>
      </c>
      <c r="BA16" s="5" t="s">
        <v>110</v>
      </c>
      <c r="BC16" s="5" t="s">
        <v>107</v>
      </c>
      <c r="BD16" s="5" t="s">
        <v>12</v>
      </c>
      <c r="BE16" s="5" t="s">
        <v>108</v>
      </c>
      <c r="BF16" s="5" t="s">
        <v>109</v>
      </c>
      <c r="BG16" s="5" t="s">
        <v>1</v>
      </c>
      <c r="BH16" t="s">
        <v>110</v>
      </c>
      <c r="BJ16" s="5" t="s">
        <v>107</v>
      </c>
      <c r="BK16" s="5" t="s">
        <v>12</v>
      </c>
      <c r="BL16" s="5" t="s">
        <v>108</v>
      </c>
      <c r="BM16" s="5" t="s">
        <v>109</v>
      </c>
      <c r="BN16" s="5" t="s">
        <v>1</v>
      </c>
      <c r="BO16" t="s">
        <v>110</v>
      </c>
      <c r="BQ16" s="5" t="s">
        <v>107</v>
      </c>
      <c r="BR16" s="5" t="s">
        <v>12</v>
      </c>
      <c r="BS16" s="5" t="s">
        <v>108</v>
      </c>
      <c r="BT16" s="5" t="s">
        <v>109</v>
      </c>
      <c r="BU16" s="5" t="s">
        <v>1</v>
      </c>
      <c r="BV16" t="s">
        <v>110</v>
      </c>
      <c r="BY16" s="5" t="s">
        <v>109</v>
      </c>
      <c r="BZ16" s="5" t="s">
        <v>1</v>
      </c>
      <c r="CA16" s="5" t="s">
        <v>104</v>
      </c>
      <c r="CB16" s="5" t="s">
        <v>111</v>
      </c>
      <c r="CC16" s="5" t="s">
        <v>634</v>
      </c>
      <c r="CD16" s="5" t="s">
        <v>635</v>
      </c>
      <c r="CE16" t="s">
        <v>112</v>
      </c>
      <c r="CF16" t="s">
        <v>113</v>
      </c>
    </row>
    <row r="17" spans="1:84" x14ac:dyDescent="0.25">
      <c r="A17" s="26">
        <v>2</v>
      </c>
      <c r="B17" s="26">
        <v>490</v>
      </c>
      <c r="C17" s="26" t="s">
        <v>760</v>
      </c>
      <c r="D17" s="26">
        <v>10</v>
      </c>
      <c r="F17" s="73">
        <f>COUNTIF(T_p121351975546168151163[stack],"&gt;0")</f>
        <v>2</v>
      </c>
      <c r="G17" s="26">
        <f>IF(T_init2034474536067150162[[#This Row],[p]]=1,mainpot+sidepot1+sidepot2+uncalled,IF(T_init2034474536067150162[[#This Row],[p]]&gt;1,0,T_init2034474536067150162[[#This Row],[stack]]-T_init2034474536067150162[[#This Row],[anteblinds]]))</f>
        <v>0</v>
      </c>
      <c r="H17" s="26"/>
      <c r="I17" s="27">
        <f>T_p121351975546168151163[[#This Row],[EQ]]*prize</f>
        <v>0</v>
      </c>
      <c r="J17" s="71">
        <f>IF(T_init2034474536067150162[[#This Row],[p]]=1,T_p121351975546168151163[[#This Row],[players]]*T_p121351975546168151163[[#This Row],[stack]]/chips+COUNTIF(T_p121351975546168151163[stack],0),T_p121351975546168151163[[#This Row],[players]]*T_p121351975546168151163[[#This Row],[stack]]/chips)</f>
        <v>0</v>
      </c>
      <c r="K17" s="71">
        <f>T_p121351975546168151163[[#This Row],[ICM]]+bounty*T_p121351975546168151163[[#This Row],[KO]]</f>
        <v>0</v>
      </c>
      <c r="M17" s="29">
        <f>COUNTIF(T_p222362576556269152164[stack],"&gt;0")</f>
        <v>3</v>
      </c>
      <c r="N17" s="2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1480</v>
      </c>
      <c r="O17" s="26"/>
      <c r="P17" s="27">
        <f>T_p222362576556269152164[[#This Row],[EQ]]*prize</f>
        <v>0</v>
      </c>
      <c r="Q17" s="71">
        <f>IF(T_init2034474536067150162[[#This Row],[p]]=2,T_p222362576556269152164[[#This Row],[players]]*T_p222362576556269152164[[#This Row],[stack]]/chips+COUNTIF(T_p222362576556269152164[stack],0),T_p222362576556269152164[[#This Row],[players]]*T_p222362576556269152164[[#This Row],[stack]]/chips)</f>
        <v>5.2200000000000006</v>
      </c>
      <c r="R17" s="71">
        <f>T_p222362576556269152164[[#This Row],[ICM]]+bounty*T_p222362576556269152164[[#This Row],[KO]]</f>
        <v>0</v>
      </c>
      <c r="S17" s="71"/>
      <c r="T17" s="29">
        <f>COUNTIF(T_p22236257655626974157169[stack],"&gt;0")</f>
        <v>4</v>
      </c>
      <c r="U17" s="26">
        <f>IF(T_init2034474536067150162[[#This Row],[p]]=1,ROUND(uncalled + mainpot/3, 0) + ROUND(sidepot1/2,0),IF(T_init2034474536067150162[[#This Row],[p]]=2,ROUND(mainpot/3,0) + ROUND(sidepot1/2,0),IF(T_init2034474536067150162[[#This Row],[p]]=3, ROUNDUP(mainpot/3,0),T_init2034474536067150162[[#This Row],[stack]]-T_init2034474536067150162[[#This Row],[anteblinds]])))</f>
        <v>493</v>
      </c>
      <c r="V17" s="26">
        <v>5.9499999999999997E-2</v>
      </c>
      <c r="W17" s="27">
        <f>T_p22236257655626974157169[[#This Row],[EQ]]*prize</f>
        <v>6.41648</v>
      </c>
      <c r="X17" s="71">
        <f>IF(T_init2034474536067150162[[#This Row],[p]]=2,T_p22236257655626974157169[[#This Row],[players]]*T_p22236257655626974157169[[#This Row],[stack]]/chips+COUNTIF(T_p22236257655626974157169[stack],0),T_p22236257655626974157169[[#This Row],[players]]*T_p22236257655626974157169[[#This Row],[stack]]/chips)</f>
        <v>2.9859999999999998</v>
      </c>
      <c r="Y17" s="71">
        <f>T_p22236257655626974157169[[#This Row],[ICM]]+bounty*T_p22236257655626974157169[[#This Row],[KO]]</f>
        <v>6.41648</v>
      </c>
      <c r="Z17" s="71"/>
      <c r="AA17" s="29">
        <f>COUNTIF(T_p22236257655626974157159171[stack],"&gt;0")</f>
        <v>3</v>
      </c>
      <c r="AB17" s="26">
        <f>IF(T_init2034474536067150162[[#This Row],[p]]=1,ROUNDDOWN(uncalled + mainpot/2, 0) + ROUNDDOWN(sidepot1/2,0),IF(T_init2034474536067150162[[#This Row],[p]]=2,ROUND(mainpot/2,0) + ROUND(sidepot1/2,0),IF(T_init2034474536067150162[[#This Row],[p]]=3, 0,T_init2034474536067150162[[#This Row],[stack]]-T_init2034474536067150162[[#This Row],[anteblinds]])))</f>
        <v>740</v>
      </c>
      <c r="AC17" s="26">
        <v>5.9499999999999997E-2</v>
      </c>
      <c r="AD17" s="27">
        <f>T_p22236257655626974157159171[[#This Row],[EQ]]*prize</f>
        <v>6.41648</v>
      </c>
      <c r="AE17" s="71">
        <f>IF(T_init2034474536067150162[[#This Row],[p]]=2,T_p22236257655626974157159171[[#This Row],[players]]*T_p22236257655626974157159171[[#This Row],[stack]]/chips+COUNTIF(T_p22236257655626974157159171[stack],0),T_p22236257655626974157159171[[#This Row],[players]]*T_p22236257655626974157159171[[#This Row],[stack]]/chips)</f>
        <v>4.1100000000000003</v>
      </c>
      <c r="AF17" s="71">
        <f>T_p22236257655626974157159171[[#This Row],[ICM]]+bounty*T_p22236257655626974157159171[[#This Row],[KO]]</f>
        <v>6.41648</v>
      </c>
      <c r="AG17" s="71"/>
      <c r="AH17" s="29">
        <f>COUNTIF(T_p22236257655626974157159160172[stack],"&gt;0")</f>
        <v>3</v>
      </c>
      <c r="AI17" s="26">
        <f>IF(T_init2034474536067150162[[#This Row],[p]]=1,ROUNDDOWN(uncalled + mainpot/2, 0) + ROUNDDOWN(sidepot1,0),IF(T_init2034474536067150162[[#This Row],[p]]=2,0,IF(T_init2034474536067150162[[#This Row],[p]]=3, ROUNDUP(mainpot/2,0),T_init2034474536067150162[[#This Row],[stack]]-T_init2034474536067150162[[#This Row],[anteblinds]])))</f>
        <v>0</v>
      </c>
      <c r="AJ17" s="26">
        <v>5.9499999999999997E-2</v>
      </c>
      <c r="AK17" s="27">
        <f>T_p22236257655626974157159160172[[#This Row],[EQ]]*prize</f>
        <v>6.41648</v>
      </c>
      <c r="AL17" s="71">
        <f>IF(T_init2034474536067150162[[#This Row],[p]]=2,T_p22236257655626974157159160172[[#This Row],[players]]*T_p22236257655626974157159160172[[#This Row],[stack]]/chips+COUNTIF(T_p22236257655626974157159160172[stack],0),T_p22236257655626974157159160172[[#This Row],[players]]*T_p22236257655626974157159160172[[#This Row],[stack]]/chips)</f>
        <v>3</v>
      </c>
      <c r="AM17" s="71">
        <f>T_p22236257655626974157159160172[[#This Row],[ICM]]+bounty*T_p22236257655626974157159160172[[#This Row],[KO]]</f>
        <v>6.41648</v>
      </c>
      <c r="AO17" s="29">
        <f>COUNTIF(T_p22236257655626974157159160161173[stack],"&gt;0")</f>
        <v>4</v>
      </c>
      <c r="AP17" s="26">
        <f>IF(T_init2034474536067150162[[#This Row],[p]]=1,uncalled,IF(T_init2034474536067150162[[#This Row],[p]]=2,ROUNDDOWN(mainpot/2,0) + ROUNDDOWN(sidepot1,0),IF(T_init2034474536067150162[[#This Row],[p]]=3, ROUNDUP(mainpot/2,0),T_init2034474536067150162[[#This Row],[stack]]-T_init2034474536067150162[[#This Row],[anteblinds]])))</f>
        <v>740</v>
      </c>
      <c r="AQ17" s="26">
        <v>5.9499999999999997E-2</v>
      </c>
      <c r="AR17" s="27">
        <f>T_p22236257655626974157159160161173[[#This Row],[EQ]]*prize</f>
        <v>6.41648</v>
      </c>
      <c r="AS17" s="71">
        <f>IF(T_init2034474536067150162[[#This Row],[p]]=2,T_p22236257655626974157159160161173[[#This Row],[players]]*T_p22236257655626974157159160161173[[#This Row],[stack]]/chips+COUNTIF(T_p22236257655626974157159160161173[stack],0),T_p22236257655626974157159160161173[[#This Row],[players]]*T_p22236257655626974157159160161173[[#This Row],[stack]]/chips)</f>
        <v>3.48</v>
      </c>
      <c r="AT17" s="71">
        <f>T_p22236257655626974157159160161173[[#This Row],[ICM]]+bounty*T_p22236257655626974157159160161173[[#This Row],[KO]]</f>
        <v>6.41648</v>
      </c>
      <c r="AV17" s="73">
        <f>COUNTIF(T_p3p123372677566370153165[stack],"&gt;0")</f>
        <v>3</v>
      </c>
      <c r="AW17" s="26">
        <f>IF(T_init2034474536067150162[[#This Row],[p]]=1,sidepot1+uncalled,IF(T_init2034474536067150162[[#This Row],[p]]=3,mainpot,IF(ISBLANK(T_init2034474536067150162[[#This Row],[p]]),T_init2034474536067150162[[#This Row],[stack]]-T_init2034474536067150162[[#This Row],[anteblinds]],0)))</f>
        <v>0</v>
      </c>
      <c r="AX17" s="26">
        <v>0.17749999999999999</v>
      </c>
      <c r="AY17" s="27">
        <f>T_p3p123372677566370153165[[#This Row],[EQ]]*prize</f>
        <v>19.1416</v>
      </c>
      <c r="AZ17" s="71">
        <f>IF(T_init2034474536067150162[[#This Row],[p]]=1,T_p3p123372677566370153165[[#This Row],[players]]*T_p3p123372677566370153165[[#This Row],[stack]]/chips+COUNTIF(T_p3p123372677566370153165[stack],0),T_p3p123372677566370153165[[#This Row],[players]]*T_p3p123372677566370153165[[#This Row],[stack]]/chips)</f>
        <v>0</v>
      </c>
      <c r="BA17" s="71">
        <f>T_p3p123372677566370153165[[#This Row],[ICM]]+bounty*T_p3p123372677566370153165[[#This Row],[KO]]</f>
        <v>19.1416</v>
      </c>
      <c r="BC17" s="73">
        <f>COUNTIF(T_p3p224382778576471154166[stack],"&gt;0")</f>
        <v>3</v>
      </c>
      <c r="BD17" s="26">
        <f>IF(T_init2034474536067150162[[#This Row],[p]]=1,uncalled,IF(T_init2034474536067150162[[#This Row],[p]]=2,sidepot1,IF(T_init2034474536067150162[[#This Row],[p]]=3,mainpot,IF(ISBLANK(T_init2034474536067150162[[#This Row],[p]]),T_init2034474536067150162[[#This Row],[stack]]-T_init2034474536067150162[[#This Row],[anteblinds]],0))))</f>
        <v>0</v>
      </c>
      <c r="BE17" s="26">
        <v>0.17749999999999999</v>
      </c>
      <c r="BF17" s="27">
        <f>T_p3p224382778576471154166[[#This Row],[EQ]]*prize</f>
        <v>19.1416</v>
      </c>
      <c r="BG17" s="71">
        <f>IF(T_init2034474536067150162[[#This Row],[p]]=2,T_p3p224382778576471154166[[#This Row],[players]]*T_p3p224382778576471154166[[#This Row],[stack]]/chips+COUNTIF(T_p3p224382778576471154166[stack],0),T_p3p224382778576471154166[[#This Row],[players]]*T_p3p224382778576471154166[[#This Row],[stack]]/chips)</f>
        <v>3</v>
      </c>
      <c r="BH17" s="71">
        <f>T_p3p224382778576471154166[[#This Row],[ICM]]+bounty*T_p3p224382778576471154166[[#This Row],[KO]]</f>
        <v>19.1416</v>
      </c>
      <c r="BJ17" s="73">
        <f>COUNTIF(T_p3p22438277857647175158170[stack],"&gt;0")</f>
        <v>3</v>
      </c>
      <c r="BK17" s="26">
        <f>IF(T_init2034474536067150162[[#This Row],[p]]=1,uncalled + ROUND(sidepot1/2,0),IF(T_init2034474536067150162[[#This Row],[p]]=2,ROUND(sidepot1/2,0),IF(T_init2034474536067150162[[#This Row],[p]]=3,mainpot,IF(ISBLANK(T_init2034474536067150162[[#This Row],[p]]),T_init2034474536067150162[[#This Row],[stack]]-T_init2034474536067150162[[#This Row],[anteblinds]],0))))</f>
        <v>0</v>
      </c>
      <c r="BL17" s="26">
        <v>0.17749999999999999</v>
      </c>
      <c r="BM17" s="27">
        <f>T_p3p22438277857647175158170[[#This Row],[EQ]]*prize</f>
        <v>19.1416</v>
      </c>
      <c r="BN17" s="71">
        <f>IF(T_init2034474536067150162[[#This Row],[p]]=2,T_p3p22438277857647175158170[[#This Row],[players]]*T_p3p22438277857647175158170[[#This Row],[stack]]/chips+COUNTIF(T_p3p22438277857647175158170[stack],0),T_p3p22438277857647175158170[[#This Row],[players]]*T_p3p22438277857647175158170[[#This Row],[stack]]/chips)</f>
        <v>3</v>
      </c>
      <c r="BO17" s="71">
        <f>T_p3p22438277857647175158170[[#This Row],[ICM]]+bounty*T_p3p22438277857647175158170[[#This Row],[KO]]</f>
        <v>19.1416</v>
      </c>
      <c r="BQ17" s="73">
        <v>3</v>
      </c>
      <c r="BR17" s="2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1480</v>
      </c>
      <c r="BS17" s="26"/>
      <c r="BT17" s="27">
        <f>T_fact29392879586572155167[[#This Row],[EQ]]*prize</f>
        <v>0</v>
      </c>
      <c r="BU17" s="71">
        <f>IF(T_init2034474536067150162[[#This Row],[p]]=1,T_fact29392879586572155167[[#This Row],[players]]*T_fact29392879586572155167[[#This Row],[stack]]/chips+COUNTIF(T_fact29392879586572155167[stack],0),T_fact29392879586572155167[[#This Row],[players]]*T_fact29392879586572155167[[#This Row],[stack]]/chips)</f>
        <v>2.2200000000000002</v>
      </c>
      <c r="BV17" s="71">
        <f>T_fact29392879586572155167[[#This Row],[ICM]]+bounty*T_fact29392879586572155167[[#This Row],[KO]]</f>
        <v>0</v>
      </c>
      <c r="BY17" s="72">
        <f>'3way-ai-preflo разбивка'!p3win* ('3way-ai-preflo разбивка'!p1sp1win*T_p3p123372677566370153165[[#This Row],[ICM]] + '3way-ai-preflo разбивка'!p2sp1win*T_p3p224382778576471154166[[#This Row],[ICM]] + tiesp1*T_p3p22438277857647175158170[[#This Row],[ICM]])
+'3way-ai-preflo разбивка'!p2win*T_p222362576556269152164[[#This Row],[ICM]]
+'3way-ai-preflo разбивка'!p1win*T_p121351975546168151163[[#This Row],[ICM]]
+'3way-ai-preflo разбивка'!tie*T_p22236257655626974157169[[#This Row],[ICM]]</f>
        <v>9.7720250428240014</v>
      </c>
      <c r="BZ17" s="33">
        <f>('3way-ai-preflo разбивка'!p3win* ('3way-ai-preflo разбивка'!p1sp1win*T_p3p123372677566370153165[[#This Row],[KO]] + '3way-ai-preflo разбивка'!p2sp1win*T_p3p224382778576471154166[[#This Row],[KO]])
+'3way-ai-preflo разбивка'!p2win*T_p222362576556269152164[[#This Row],[KO]]
+'3way-ai-preflo разбивка'!p1win*T_p121351975546168151163[[#This Row],[KO]])*bounty</f>
        <v>0</v>
      </c>
      <c r="CA17" s="72">
        <f>'3way-ai-preflo разбивка'!p3win* ('3way-ai-preflo разбивка'!p1sp1win*T_p3p123372677566370153165[[#This Row],[$stack]] + '3way-ai-preflo разбивка'!p2sp1win*T_p3p224382778576471154166[[#This Row],[$stack]])
+'3way-ai-preflo разбивка'!p2win*T_p222362576556269152164[[#This Row],[$stack]]
+'3way-ai-preflo разбивка'!p1win*T_p121351975546168151163[[#This Row],[$stack]]</f>
        <v>8.2556338776480001</v>
      </c>
      <c r="CB17" s="33">
        <f>'3way-ai-preflo разбивка'!p3win* ('3way-ai-preflo разбивка'!p1sp1win*T_p3p123372677566370153165[[#This Row],[stack]] + '3way-ai-preflo разбивка'!p2sp1win*T_p3p224382778576471154166[[#This Row],[stack]] + tiesp1*T_p3p22438277857647175158170[[#This Row],[stack]])
+'3way-ai-preflo разбивка'!p2win*T_p222362576556269152164[[#This Row],[stack]]
+'3way-ai-preflo разбивка'!p1win*T_p121351975546168151163[[#This Row],[stack]]
+tie*T_p22236257655626974157169[[#This Row],[stack]]</f>
        <v>347.18739999999997</v>
      </c>
      <c r="CC17" s="72">
        <f>T_fact29392879586572155167[[#This Row],[stack]]- T_init2034474536067150162[[#This Row],[stack]]</f>
        <v>990</v>
      </c>
      <c r="CD17" s="72">
        <f>T_EV33403080596673156168[[#This Row],[netwon]]+T_EV33403080596673156168[[#This Row],[cEVdiff]]</f>
        <v>-142.81259999999997</v>
      </c>
      <c r="CE17" s="2">
        <f>T_EV33403080596673156168[[#This Row],[chipEV]]-T_fact29392879586572155167[[#This Row],[stack]]</f>
        <v>-1132.8126</v>
      </c>
      <c r="CF17" s="2">
        <f>T_EV33403080596673156168[[#This Row],[EV]]-(T_fact29392879586572155167[[#This Row],[ICM]])</f>
        <v>8.2556338776480001</v>
      </c>
    </row>
    <row r="18" spans="1:84" x14ac:dyDescent="0.25">
      <c r="B18">
        <v>465</v>
      </c>
      <c r="D18">
        <v>10</v>
      </c>
      <c r="F18" s="5">
        <f>COUNTIF(T_p121351975546168151163[stack],"&gt;0")</f>
        <v>2</v>
      </c>
      <c r="G18">
        <f>IF(T_init2034474536067150162[[#This Row],[p]]=1,mainpot+sidepot1+sidepot2+uncalled,IF(T_init2034474536067150162[[#This Row],[p]]&gt;1,0,T_init2034474536067150162[[#This Row],[stack]]-T_init2034474536067150162[[#This Row],[anteblinds]]))</f>
        <v>455</v>
      </c>
      <c r="H18">
        <v>0.28499999999999998</v>
      </c>
      <c r="I18" s="2">
        <f>T_p121351975546168151163[[#This Row],[EQ]]*prize</f>
        <v>30.734399999999997</v>
      </c>
      <c r="J18" s="66">
        <f>IF(T_init2034474536067150162[[#This Row],[p]]=1,T_p121351975546168151163[[#This Row],[players]]*T_p121351975546168151163[[#This Row],[stack]]/chips+COUNTIF(T_p121351975546168151163[stack],0),T_p121351975546168151163[[#This Row],[players]]*T_p121351975546168151163[[#This Row],[stack]]/chips)</f>
        <v>0.45500000000000002</v>
      </c>
      <c r="K18" s="66">
        <f>T_p121351975546168151163[[#This Row],[ICM]]+bounty*T_p121351975546168151163[[#This Row],[KO]]</f>
        <v>30.734399999999997</v>
      </c>
      <c r="M18" s="10">
        <f>COUNTIF(T_p222362576556269152164[stack],"&gt;0")</f>
        <v>3</v>
      </c>
      <c r="N18" s="2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455</v>
      </c>
      <c r="O18">
        <v>0.28499999999999998</v>
      </c>
      <c r="P18" s="2">
        <f>T_p222362576556269152164[[#This Row],[EQ]]*prize</f>
        <v>30.734399999999997</v>
      </c>
      <c r="Q18" s="66">
        <f>IF(T_init2034474536067150162[[#This Row],[p]]=2,T_p222362576556269152164[[#This Row],[players]]*T_p222362576556269152164[[#This Row],[stack]]/chips+COUNTIF(T_p222362576556269152164[stack],0),T_p222362576556269152164[[#This Row],[players]]*T_p222362576556269152164[[#This Row],[stack]]/chips)</f>
        <v>0.6825</v>
      </c>
      <c r="R18" s="66">
        <f>T_p222362576556269152164[[#This Row],[ICM]]+bounty*T_p222362576556269152164[[#This Row],[KO]]</f>
        <v>30.734399999999997</v>
      </c>
      <c r="S18" s="66"/>
      <c r="T18" s="10">
        <f>COUNTIF(T_p22236257655626974157169[stack],"&gt;0")</f>
        <v>4</v>
      </c>
      <c r="U18" s="26">
        <f>IF(T_init2034474536067150162[[#This Row],[p]]=1,ROUND(uncalled + mainpot/3, 0) + ROUND(sidepot1/2,0),IF(T_init2034474536067150162[[#This Row],[p]]=2,ROUND(mainpot/3,0) + ROUND(sidepot1/2,0),IF(T_init2034474536067150162[[#This Row],[p]]=3, ROUNDUP(mainpot/3,0),T_init2034474536067150162[[#This Row],[stack]]-T_init2034474536067150162[[#This Row],[anteblinds]])))</f>
        <v>455</v>
      </c>
      <c r="V18">
        <v>0.28499999999999998</v>
      </c>
      <c r="W18" s="2">
        <f>T_p22236257655626974157169[[#This Row],[EQ]]*prize</f>
        <v>30.734399999999997</v>
      </c>
      <c r="X18" s="66">
        <f>IF(T_init2034474536067150162[[#This Row],[p]]=2,T_p22236257655626974157169[[#This Row],[players]]*T_p22236257655626974157169[[#This Row],[stack]]/chips+COUNTIF(T_p22236257655626974157169[stack],0),T_p22236257655626974157169[[#This Row],[players]]*T_p22236257655626974157169[[#This Row],[stack]]/chips)</f>
        <v>0.91</v>
      </c>
      <c r="Y18" s="66">
        <f>T_p22236257655626974157169[[#This Row],[ICM]]+bounty*T_p22236257655626974157169[[#This Row],[KO]]</f>
        <v>30.734399999999997</v>
      </c>
      <c r="Z18" s="66"/>
      <c r="AA18" s="10">
        <f>COUNTIF(T_p22236257655626974157159171[stack],"&gt;0")</f>
        <v>3</v>
      </c>
      <c r="AB18" s="26">
        <f>IF(T_init2034474536067150162[[#This Row],[p]]=1,ROUNDDOWN(uncalled + mainpot/2, 0) + ROUNDDOWN(sidepot1/2,0),IF(T_init2034474536067150162[[#This Row],[p]]=2,ROUND(mainpot/2,0) + ROUND(sidepot1/2,0),IF(T_init2034474536067150162[[#This Row],[p]]=3, 0,T_init2034474536067150162[[#This Row],[stack]]-T_init2034474536067150162[[#This Row],[anteblinds]])))</f>
        <v>455</v>
      </c>
      <c r="AC18">
        <v>0.28499999999999998</v>
      </c>
      <c r="AD18" s="2">
        <f>T_p22236257655626974157159171[[#This Row],[EQ]]*prize</f>
        <v>30.734399999999997</v>
      </c>
      <c r="AE18" s="66">
        <f>IF(T_init2034474536067150162[[#This Row],[p]]=2,T_p22236257655626974157159171[[#This Row],[players]]*T_p22236257655626974157159171[[#This Row],[stack]]/chips+COUNTIF(T_p22236257655626974157159171[stack],0),T_p22236257655626974157159171[[#This Row],[players]]*T_p22236257655626974157159171[[#This Row],[stack]]/chips)</f>
        <v>0.6825</v>
      </c>
      <c r="AF18" s="66">
        <f>T_p22236257655626974157159171[[#This Row],[ICM]]+bounty*T_p22236257655626974157159171[[#This Row],[KO]]</f>
        <v>30.734399999999997</v>
      </c>
      <c r="AG18" s="66"/>
      <c r="AH18" s="10">
        <f>COUNTIF(T_p22236257655626974157159160172[stack],"&gt;0")</f>
        <v>3</v>
      </c>
      <c r="AI18" s="26">
        <f>IF(T_init2034474536067150162[[#This Row],[p]]=1,ROUNDDOWN(uncalled + mainpot/2, 0) + ROUNDDOWN(sidepot1,0),IF(T_init2034474536067150162[[#This Row],[p]]=2,0,IF(T_init2034474536067150162[[#This Row],[p]]=3, ROUNDUP(mainpot/2,0),T_init2034474536067150162[[#This Row],[stack]]-T_init2034474536067150162[[#This Row],[anteblinds]])))</f>
        <v>455</v>
      </c>
      <c r="AJ18">
        <v>0.28499999999999998</v>
      </c>
      <c r="AK18" s="2">
        <f>T_p22236257655626974157159160172[[#This Row],[EQ]]*prize</f>
        <v>30.734399999999997</v>
      </c>
      <c r="AL18" s="66">
        <f>IF(T_init2034474536067150162[[#This Row],[p]]=2,T_p22236257655626974157159160172[[#This Row],[players]]*T_p22236257655626974157159160172[[#This Row],[stack]]/chips+COUNTIF(T_p22236257655626974157159160172[stack],0),T_p22236257655626974157159160172[[#This Row],[players]]*T_p22236257655626974157159160172[[#This Row],[stack]]/chips)</f>
        <v>0.6825</v>
      </c>
      <c r="AM18" s="66">
        <f>T_p22236257655626974157159160172[[#This Row],[ICM]]+bounty*T_p22236257655626974157159160172[[#This Row],[KO]]</f>
        <v>30.734399999999997</v>
      </c>
      <c r="AO18" s="10">
        <f>COUNTIF(T_p22236257655626974157159160161173[stack],"&gt;0")</f>
        <v>4</v>
      </c>
      <c r="AP18" s="26">
        <f>IF(T_init2034474536067150162[[#This Row],[p]]=1,uncalled,IF(T_init2034474536067150162[[#This Row],[p]]=2,ROUNDDOWN(mainpot/2,0) + ROUNDDOWN(sidepot1,0),IF(T_init2034474536067150162[[#This Row],[p]]=3, ROUNDUP(mainpot/2,0),T_init2034474536067150162[[#This Row],[stack]]-T_init2034474536067150162[[#This Row],[anteblinds]])))</f>
        <v>455</v>
      </c>
      <c r="AQ18">
        <v>0.28499999999999998</v>
      </c>
      <c r="AR18" s="2">
        <f>T_p22236257655626974157159160161173[[#This Row],[EQ]]*prize</f>
        <v>30.734399999999997</v>
      </c>
      <c r="AS18" s="66">
        <f>IF(T_init2034474536067150162[[#This Row],[p]]=2,T_p22236257655626974157159160161173[[#This Row],[players]]*T_p22236257655626974157159160161173[[#This Row],[stack]]/chips+COUNTIF(T_p22236257655626974157159160161173[stack],0),T_p22236257655626974157159160161173[[#This Row],[players]]*T_p22236257655626974157159160161173[[#This Row],[stack]]/chips)</f>
        <v>0.91</v>
      </c>
      <c r="AT18" s="66">
        <f>T_p22236257655626974157159160161173[[#This Row],[ICM]]+bounty*T_p22236257655626974157159160161173[[#This Row],[KO]]</f>
        <v>30.734399999999997</v>
      </c>
      <c r="AV18" s="5">
        <f>COUNTIF(T_p3p123372677566370153165[stack],"&gt;0")</f>
        <v>3</v>
      </c>
      <c r="AW18" s="26">
        <f>IF(T_init2034474536067150162[[#This Row],[p]]=1,sidepot1+uncalled,IF(T_init2034474536067150162[[#This Row],[p]]=3,mainpot,IF(ISBLANK(T_init2034474536067150162[[#This Row],[p]]),T_init2034474536067150162[[#This Row],[stack]]-T_init2034474536067150162[[#This Row],[anteblinds]],0)))</f>
        <v>455</v>
      </c>
      <c r="AX18">
        <v>0.28499999999999998</v>
      </c>
      <c r="AY18" s="2">
        <f>T_p3p123372677566370153165[[#This Row],[EQ]]*prize</f>
        <v>30.734399999999997</v>
      </c>
      <c r="AZ18" s="66">
        <f>IF(T_init2034474536067150162[[#This Row],[p]]=1,T_p3p123372677566370153165[[#This Row],[players]]*T_p3p123372677566370153165[[#This Row],[stack]]/chips+COUNTIF(T_p3p123372677566370153165[stack],0),T_p3p123372677566370153165[[#This Row],[players]]*T_p3p123372677566370153165[[#This Row],[stack]]/chips)</f>
        <v>0.6825</v>
      </c>
      <c r="BA18" s="66">
        <f>T_p3p123372677566370153165[[#This Row],[ICM]]+bounty*T_p3p123372677566370153165[[#This Row],[KO]]</f>
        <v>30.734399999999997</v>
      </c>
      <c r="BC18" s="5">
        <f>COUNTIF(T_p3p224382778576471154166[stack],"&gt;0")</f>
        <v>3</v>
      </c>
      <c r="BD18">
        <f>IF(T_init2034474536067150162[[#This Row],[p]]=1,uncalled,IF(T_init2034474536067150162[[#This Row],[p]]=2,sidepot1,IF(T_init2034474536067150162[[#This Row],[p]]=3,mainpot,IF(ISBLANK(T_init2034474536067150162[[#This Row],[p]]),T_init2034474536067150162[[#This Row],[stack]]-T_init2034474536067150162[[#This Row],[anteblinds]],0))))</f>
        <v>455</v>
      </c>
      <c r="BE18">
        <v>0.28499999999999998</v>
      </c>
      <c r="BF18" s="2">
        <f>T_p3p224382778576471154166[[#This Row],[EQ]]*prize</f>
        <v>30.734399999999997</v>
      </c>
      <c r="BG18" s="66">
        <f>IF(T_init2034474536067150162[[#This Row],[p]]=2,T_p3p224382778576471154166[[#This Row],[players]]*T_p3p224382778576471154166[[#This Row],[stack]]/chips+COUNTIF(T_p3p224382778576471154166[stack],0),T_p3p224382778576471154166[[#This Row],[players]]*T_p3p224382778576471154166[[#This Row],[stack]]/chips)</f>
        <v>0.6825</v>
      </c>
      <c r="BH18" s="16">
        <f>T_p3p224382778576471154166[[#This Row],[ICM]]+bounty*T_p3p224382778576471154166[[#This Row],[KO]]</f>
        <v>30.734399999999997</v>
      </c>
      <c r="BJ18" s="5">
        <f>COUNTIF(T_p3p22438277857647175158170[stack],"&gt;0")</f>
        <v>3</v>
      </c>
      <c r="BK18">
        <f>IF(T_init2034474536067150162[[#This Row],[p]]=1,uncalled + ROUND(sidepot1/2,0),IF(T_init2034474536067150162[[#This Row],[p]]=2,ROUND(sidepot1/2,0),IF(T_init2034474536067150162[[#This Row],[p]]=3,mainpot,IF(ISBLANK(T_init2034474536067150162[[#This Row],[p]]),T_init2034474536067150162[[#This Row],[stack]]-T_init2034474536067150162[[#This Row],[anteblinds]],0))))</f>
        <v>455</v>
      </c>
      <c r="BL18">
        <v>0.28499999999999998</v>
      </c>
      <c r="BM18" s="2">
        <f>T_p3p22438277857647175158170[[#This Row],[EQ]]*prize</f>
        <v>30.734399999999997</v>
      </c>
      <c r="BN18" s="66">
        <f>IF(T_init2034474536067150162[[#This Row],[p]]=2,T_p3p22438277857647175158170[[#This Row],[players]]*T_p3p22438277857647175158170[[#This Row],[stack]]/chips+COUNTIF(T_p3p22438277857647175158170[stack],0),T_p3p22438277857647175158170[[#This Row],[players]]*T_p3p22438277857647175158170[[#This Row],[stack]]/chips)</f>
        <v>0.6825</v>
      </c>
      <c r="BO18" s="16">
        <f>T_p3p22438277857647175158170[[#This Row],[ICM]]+bounty*T_p3p22438277857647175158170[[#This Row],[KO]]</f>
        <v>30.734399999999997</v>
      </c>
      <c r="BQ18" s="73">
        <v>3</v>
      </c>
      <c r="BR18" s="2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455</v>
      </c>
      <c r="BS18">
        <v>0.28499999999999998</v>
      </c>
      <c r="BT18" s="2">
        <f>T_fact29392879586572155167[[#This Row],[EQ]]*prize</f>
        <v>30.734399999999997</v>
      </c>
      <c r="BU18" s="66">
        <f>IF(T_init2034474536067150162[[#This Row],[p]]=1,T_fact29392879586572155167[[#This Row],[players]]*T_fact29392879586572155167[[#This Row],[stack]]/chips+COUNTIF(T_fact29392879586572155167[stack],0),T_fact29392879586572155167[[#This Row],[players]]*T_fact29392879586572155167[[#This Row],[stack]]/chips)</f>
        <v>0.6825</v>
      </c>
      <c r="BV18" s="16">
        <f>T_fact29392879586572155167[[#This Row],[ICM]]+bounty*T_fact29392879586572155167[[#This Row],[KO]]</f>
        <v>30.734399999999997</v>
      </c>
      <c r="BY18" s="68">
        <f>'3way-ai-preflo разбивка'!p3win* ('3way-ai-preflo разбивка'!p1sp1win*T_p3p123372677566370153165[[#This Row],[ICM]] + '3way-ai-preflo разбивка'!p2sp1win*T_p3p224382778576471154166[[#This Row],[ICM]] + tiesp1*T_p3p22438277857647175158170[[#This Row],[ICM]])
+'3way-ai-preflo разбивка'!p2win*T_p222362576556269152164[[#This Row],[ICM]]
+'3way-ai-preflo разбивка'!p1win*T_p121351975546168151163[[#This Row],[ICM]]
+'3way-ai-preflo разбивка'!tie*T_p22236257655626974157169[[#This Row],[ICM]]</f>
        <v>28.936326648815999</v>
      </c>
      <c r="BZ18" s="68">
        <f>('3way-ai-preflo разбивка'!p3win* ('3way-ai-preflo разбивка'!p1sp1win*T_p3p123372677566370153165[[#This Row],[KO]] + '3way-ai-preflo разбивка'!p2sp1win*T_p3p224382778576471154166[[#This Row],[KO]])
+'3way-ai-preflo разбивка'!p2win*T_p222362576556269152164[[#This Row],[KO]]
+'3way-ai-preflo разбивка'!p1win*T_p121351975546168151163[[#This Row],[KO]])*bounty</f>
        <v>0</v>
      </c>
      <c r="CA18" s="68">
        <f>'3way-ai-preflo разбивка'!p3win* ('3way-ai-preflo разбивка'!p1sp1win*T_p3p123372677566370153165[[#This Row],[$stack]] + '3way-ai-preflo разбивка'!p2sp1win*T_p3p224382778576471154166[[#This Row],[$stack]])
+'3way-ai-preflo разбивка'!p2win*T_p222362576556269152164[[#This Row],[$stack]]
+'3way-ai-preflo разбивка'!p1win*T_p121351975546168151163[[#This Row],[$stack]]</f>
        <v>25.238867377631998</v>
      </c>
      <c r="CB18" s="68">
        <f>'3way-ai-preflo разбивка'!p3win* ('3way-ai-preflo разбивка'!p1sp1win*T_p3p123372677566370153165[[#This Row],[stack]] + '3way-ai-preflo разбивка'!p2sp1win*T_p3p224382778576471154166[[#This Row],[stack]] + tiesp1*T_p3p22438277857647175158170[[#This Row],[stack]])
+'3way-ai-preflo разбивка'!p2win*T_p222362576556269152164[[#This Row],[stack]]
+'3way-ai-preflo разбивка'!p1win*T_p121351975546168151163[[#This Row],[stack]]
+tie*T_p22236257655626974157169[[#This Row],[stack]]</f>
        <v>428.38085745000001</v>
      </c>
      <c r="CC18" s="68">
        <f>T_fact29392879586572155167[[#This Row],[stack]]- T_init2034474536067150162[[#This Row],[stack]]</f>
        <v>-10</v>
      </c>
      <c r="CD18" s="68">
        <f>T_EV33403080596673156168[[#This Row],[netwon]]+T_EV33403080596673156168[[#This Row],[cEVdiff]]</f>
        <v>-36.619142549999992</v>
      </c>
      <c r="CE18" s="2">
        <f>T_EV33403080596673156168[[#This Row],[chipEV]]-T_fact29392879586572155167[[#This Row],[stack]]</f>
        <v>-26.619142549999992</v>
      </c>
      <c r="CF18" s="2">
        <f>T_EV33403080596673156168[[#This Row],[EV]]-(T_fact29392879586572155167[[#This Row],[ICM]])</f>
        <v>-5.4955326223679997</v>
      </c>
    </row>
    <row r="19" spans="1:84" s="86" customFormat="1" x14ac:dyDescent="0.25">
      <c r="A19" s="86">
        <v>1</v>
      </c>
      <c r="B19" s="86">
        <v>555</v>
      </c>
      <c r="C19" s="86" t="s">
        <v>759</v>
      </c>
      <c r="D19" s="86">
        <v>35</v>
      </c>
      <c r="F19" s="87">
        <f>COUNTIF(T_p121351975546168151163[stack],"&gt;0")</f>
        <v>2</v>
      </c>
      <c r="G19" s="86">
        <f>IF(T_init2034474536067150162[[#This Row],[p]]=1,mainpot+sidepot1+sidepot2+uncalled,IF(T_init2034474536067150162[[#This Row],[p]]&gt;1,0,T_init2034474536067150162[[#This Row],[stack]]-T_init2034474536067150162[[#This Row],[anteblinds]]))</f>
        <v>1545</v>
      </c>
      <c r="H19" s="86">
        <v>0.71499999999999997</v>
      </c>
      <c r="I19" s="88">
        <f>T_p121351975546168151163[[#This Row],[EQ]]*prize</f>
        <v>77.105599999999995</v>
      </c>
      <c r="J19" s="89">
        <f>IF(T_init2034474536067150162[[#This Row],[p]]=1,T_p121351975546168151163[[#This Row],[players]]*T_p121351975546168151163[[#This Row],[stack]]/chips+COUNTIF(T_p121351975546168151163[stack],0),T_p121351975546168151163[[#This Row],[players]]*T_p121351975546168151163[[#This Row],[stack]]/chips)</f>
        <v>5.5449999999999999</v>
      </c>
      <c r="K19" s="89">
        <f>T_p121351975546168151163[[#This Row],[ICM]]+bounty*T_p121351975546168151163[[#This Row],[KO]]</f>
        <v>77.105599999999995</v>
      </c>
      <c r="M19" s="90">
        <f>COUNTIF(T_p222362576556269152164[stack],"&gt;0")</f>
        <v>3</v>
      </c>
      <c r="N19" s="8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65</v>
      </c>
      <c r="O19" s="86">
        <v>0.16250000000000001</v>
      </c>
      <c r="P19" s="88">
        <f>T_p222362576556269152164[[#This Row],[EQ]]*prize</f>
        <v>17.524000000000001</v>
      </c>
      <c r="Q19" s="89">
        <f>IF(T_init2034474536067150162[[#This Row],[p]]=2,T_p222362576556269152164[[#This Row],[players]]*T_p222362576556269152164[[#This Row],[stack]]/chips+COUNTIF(T_p222362576556269152164[stack],0),T_p222362576556269152164[[#This Row],[players]]*T_p222362576556269152164[[#This Row],[stack]]/chips)</f>
        <v>9.7500000000000003E-2</v>
      </c>
      <c r="R19" s="89">
        <f>T_p222362576556269152164[[#This Row],[ICM]]+bounty*T_p222362576556269152164[[#This Row],[KO]]</f>
        <v>17.524000000000001</v>
      </c>
      <c r="S19" s="89"/>
      <c r="T19" s="90">
        <f>COUNTIF(T_p22236257655626974157169[stack],"&gt;0")</f>
        <v>4</v>
      </c>
      <c r="U19" s="86">
        <f>IF(T_init2034474536067150162[[#This Row],[p]]=1,ROUND(uncalled + mainpot/3, 0) + ROUND(sidepot1/2,0),IF(T_init2034474536067150162[[#This Row],[p]]=2,ROUND(mainpot/3,0) + ROUND(sidepot1/2,0),IF(T_init2034474536067150162[[#This Row],[p]]=3, ROUNDUP(mainpot/3,0),T_init2034474536067150162[[#This Row],[stack]]-T_init2034474536067150162[[#This Row],[anteblinds]])))</f>
        <v>558</v>
      </c>
      <c r="V19" s="86">
        <v>0.40899999999999997</v>
      </c>
      <c r="W19" s="88">
        <f>T_p22236257655626974157169[[#This Row],[EQ]]*prize</f>
        <v>44.106560000000002</v>
      </c>
      <c r="X19" s="89">
        <f>IF(T_init2034474536067150162[[#This Row],[p]]=2,T_p22236257655626974157169[[#This Row],[players]]*T_p22236257655626974157169[[#This Row],[stack]]/chips+COUNTIF(T_p22236257655626974157169[stack],0),T_p22236257655626974157169[[#This Row],[players]]*T_p22236257655626974157169[[#This Row],[stack]]/chips)</f>
        <v>1.1160000000000001</v>
      </c>
      <c r="Y19" s="89">
        <f>T_p22236257655626974157169[[#This Row],[ICM]]+bounty*T_p22236257655626974157169[[#This Row],[KO]]</f>
        <v>44.106560000000002</v>
      </c>
      <c r="Z19" s="89"/>
      <c r="AA19" s="90">
        <f>COUNTIF(T_p22236257655626974157159171[stack],"&gt;0")</f>
        <v>3</v>
      </c>
      <c r="AB19" s="86">
        <f>IF(T_init2034474536067150162[[#This Row],[p]]=1,ROUNDDOWN(uncalled + mainpot/2, 0) + ROUNDDOWN(sidepot1/2,0),IF(T_init2034474536067150162[[#This Row],[p]]=2,ROUND(mainpot/2,0) + ROUND(sidepot1/2,0),IF(T_init2034474536067150162[[#This Row],[p]]=3, 0,T_init2034474536067150162[[#This Row],[stack]]-T_init2034474536067150162[[#This Row],[anteblinds]])))</f>
        <v>805</v>
      </c>
      <c r="AC19" s="86">
        <v>0.40899999999999997</v>
      </c>
      <c r="AD19" s="88">
        <f>T_p22236257655626974157159171[[#This Row],[EQ]]*prize</f>
        <v>44.106560000000002</v>
      </c>
      <c r="AE19" s="89">
        <f>IF(T_init2034474536067150162[[#This Row],[p]]=2,T_p22236257655626974157159171[[#This Row],[players]]*T_p22236257655626974157159171[[#This Row],[stack]]/chips+COUNTIF(T_p22236257655626974157159171[stack],0),T_p22236257655626974157159171[[#This Row],[players]]*T_p22236257655626974157159171[[#This Row],[stack]]/chips)</f>
        <v>1.2075</v>
      </c>
      <c r="AF19" s="89">
        <f>T_p22236257655626974157159171[[#This Row],[ICM]]+bounty*T_p22236257655626974157159171[[#This Row],[KO]]</f>
        <v>44.106560000000002</v>
      </c>
      <c r="AG19" s="89"/>
      <c r="AH19" s="90">
        <f>COUNTIF(T_p22236257655626974157159160172[stack],"&gt;0")</f>
        <v>3</v>
      </c>
      <c r="AI19" s="86">
        <f>IF(T_init2034474536067150162[[#This Row],[p]]=1,ROUNDDOWN(uncalled + mainpot/2, 0) + ROUNDDOWN(sidepot1,0),IF(T_init2034474536067150162[[#This Row],[p]]=2,0,IF(T_init2034474536067150162[[#This Row],[p]]=3, ROUNDUP(mainpot/2,0),T_init2034474536067150162[[#This Row],[stack]]-T_init2034474536067150162[[#This Row],[anteblinds]])))</f>
        <v>805</v>
      </c>
      <c r="AJ19" s="86">
        <v>0.40899999999999997</v>
      </c>
      <c r="AK19" s="88">
        <f>T_p22236257655626974157159160172[[#This Row],[EQ]]*prize</f>
        <v>44.106560000000002</v>
      </c>
      <c r="AL19" s="89">
        <f>IF(T_init2034474536067150162[[#This Row],[p]]=2,T_p22236257655626974157159160172[[#This Row],[players]]*T_p22236257655626974157159160172[[#This Row],[stack]]/chips+COUNTIF(T_p22236257655626974157159160172[stack],0),T_p22236257655626974157159160172[[#This Row],[players]]*T_p22236257655626974157159160172[[#This Row],[stack]]/chips)</f>
        <v>1.2075</v>
      </c>
      <c r="AM19" s="89">
        <f>T_p22236257655626974157159160172[[#This Row],[ICM]]+bounty*T_p22236257655626974157159160172[[#This Row],[KO]]</f>
        <v>44.106560000000002</v>
      </c>
      <c r="AO19" s="90">
        <f>COUNTIF(T_p22236257655626974157159160161173[stack],"&gt;0")</f>
        <v>4</v>
      </c>
      <c r="AP19" s="86">
        <f>IF(T_init2034474536067150162[[#This Row],[p]]=1,uncalled,IF(T_init2034474536067150162[[#This Row],[p]]=2,ROUNDDOWN(mainpot/2,0) + ROUNDDOWN(sidepot1,0),IF(T_init2034474536067150162[[#This Row],[p]]=3, ROUNDUP(mainpot/2,0),T_init2034474536067150162[[#This Row],[stack]]-T_init2034474536067150162[[#This Row],[anteblinds]])))</f>
        <v>65</v>
      </c>
      <c r="AQ19" s="86">
        <v>0.40899999999999997</v>
      </c>
      <c r="AR19" s="88">
        <f>T_p22236257655626974157159160161173[[#This Row],[EQ]]*prize</f>
        <v>44.106560000000002</v>
      </c>
      <c r="AS19" s="89">
        <f>IF(T_init2034474536067150162[[#This Row],[p]]=2,T_p22236257655626974157159160161173[[#This Row],[players]]*T_p22236257655626974157159160161173[[#This Row],[stack]]/chips+COUNTIF(T_p22236257655626974157159160161173[stack],0),T_p22236257655626974157159160161173[[#This Row],[players]]*T_p22236257655626974157159160161173[[#This Row],[stack]]/chips)</f>
        <v>0.13</v>
      </c>
      <c r="AT19" s="89">
        <f>T_p22236257655626974157159160161173[[#This Row],[ICM]]+bounty*T_p22236257655626974157159160161173[[#This Row],[KO]]</f>
        <v>44.106560000000002</v>
      </c>
      <c r="AV19" s="87">
        <f>COUNTIF(T_p3p123372677566370153165[stack],"&gt;0")</f>
        <v>3</v>
      </c>
      <c r="AW19" s="86">
        <f>IF(T_init2034474536067150162[[#This Row],[p]]=1,sidepot1+uncalled,IF(T_init2034474536067150162[[#This Row],[p]]=3,mainpot,IF(ISBLANK(T_init2034474536067150162[[#This Row],[p]]),T_init2034474536067150162[[#This Row],[stack]]-T_init2034474536067150162[[#This Row],[anteblinds]],0)))</f>
        <v>65</v>
      </c>
      <c r="AX19" s="86">
        <v>0.53749999999999998</v>
      </c>
      <c r="AY19" s="88">
        <f>T_p3p123372677566370153165[[#This Row],[EQ]]*prize</f>
        <v>57.963999999999999</v>
      </c>
      <c r="AZ19" s="89">
        <f>IF(T_init2034474536067150162[[#This Row],[p]]=1,T_p3p123372677566370153165[[#This Row],[players]]*T_p3p123372677566370153165[[#This Row],[stack]]/chips+COUNTIF(T_p3p123372677566370153165[stack],0),T_p3p123372677566370153165[[#This Row],[players]]*T_p3p123372677566370153165[[#This Row],[stack]]/chips)</f>
        <v>3.0975000000000001</v>
      </c>
      <c r="BA19" s="89">
        <f>T_p3p123372677566370153165[[#This Row],[ICM]]+bounty*T_p3p123372677566370153165[[#This Row],[KO]]</f>
        <v>57.963999999999999</v>
      </c>
      <c r="BC19" s="87">
        <f>COUNTIF(T_p3p224382778576471154166[stack],"&gt;0")</f>
        <v>3</v>
      </c>
      <c r="BD19" s="86">
        <f>IF(T_init2034474536067150162[[#This Row],[p]]=1,uncalled,IF(T_init2034474536067150162[[#This Row],[p]]=2,sidepot1,IF(T_init2034474536067150162[[#This Row],[p]]=3,mainpot,IF(ISBLANK(T_init2034474536067150162[[#This Row],[p]]),T_init2034474536067150162[[#This Row],[stack]]-T_init2034474536067150162[[#This Row],[anteblinds]],0))))</f>
        <v>65</v>
      </c>
      <c r="BE19" s="86">
        <v>0.16250000000000001</v>
      </c>
      <c r="BF19" s="88">
        <f>T_p3p224382778576471154166[[#This Row],[EQ]]*prize</f>
        <v>17.524000000000001</v>
      </c>
      <c r="BG19" s="89">
        <f>IF(T_init2034474536067150162[[#This Row],[p]]=2,T_p3p224382778576471154166[[#This Row],[players]]*T_p3p224382778576471154166[[#This Row],[stack]]/chips+COUNTIF(T_p3p224382778576471154166[stack],0),T_p3p224382778576471154166[[#This Row],[players]]*T_p3p224382778576471154166[[#This Row],[stack]]/chips)</f>
        <v>9.7500000000000003E-2</v>
      </c>
      <c r="BH19" s="103">
        <f>T_p3p224382778576471154166[[#This Row],[ICM]]+bounty*T_p3p224382778576471154166[[#This Row],[KO]]</f>
        <v>17.524000000000001</v>
      </c>
      <c r="BJ19" s="87">
        <f>COUNTIF(T_p3p22438277857647175158170[stack],"&gt;0")</f>
        <v>3</v>
      </c>
      <c r="BK19" s="86">
        <f>IF(T_init2034474536067150162[[#This Row],[p]]=1,uncalled + ROUND(sidepot1/2,0),IF(T_init2034474536067150162[[#This Row],[p]]=2,ROUND(sidepot1/2,0),IF(T_init2034474536067150162[[#This Row],[p]]=3,mainpot,IF(ISBLANK(T_init2034474536067150162[[#This Row],[p]]),T_init2034474536067150162[[#This Row],[stack]]-T_init2034474536067150162[[#This Row],[anteblinds]],0))))</f>
        <v>65</v>
      </c>
      <c r="BL19" s="86">
        <v>0.35</v>
      </c>
      <c r="BM19" s="88">
        <f>T_p3p22438277857647175158170[[#This Row],[EQ]]*prize</f>
        <v>37.744</v>
      </c>
      <c r="BN19" s="89">
        <f>IF(T_init2034474536067150162[[#This Row],[p]]=2,T_p3p22438277857647175158170[[#This Row],[players]]*T_p3p22438277857647175158170[[#This Row],[stack]]/chips+COUNTIF(T_p3p22438277857647175158170[stack],0),T_p3p22438277857647175158170[[#This Row],[players]]*T_p3p22438277857647175158170[[#This Row],[stack]]/chips)</f>
        <v>9.7500000000000003E-2</v>
      </c>
      <c r="BO19" s="103">
        <f>T_p3p22438277857647175158170[[#This Row],[ICM]]+bounty*T_p3p22438277857647175158170[[#This Row],[KO]]</f>
        <v>37.744</v>
      </c>
      <c r="BQ19" s="87">
        <v>3</v>
      </c>
      <c r="BR19" s="8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65</v>
      </c>
      <c r="BS19" s="86">
        <v>0.16250000000000001</v>
      </c>
      <c r="BT19" s="88">
        <f>T_fact29392879586572155167[[#This Row],[EQ]]*prize</f>
        <v>17.524000000000001</v>
      </c>
      <c r="BU19" s="89">
        <f>IF(T_init2034474536067150162[[#This Row],[p]]=1,T_fact29392879586572155167[[#This Row],[players]]*T_fact29392879586572155167[[#This Row],[stack]]/chips+COUNTIF(T_fact29392879586572155167[stack],0),T_fact29392879586572155167[[#This Row],[players]]*T_fact29392879586572155167[[#This Row],[stack]]/chips)</f>
        <v>3.0975000000000001</v>
      </c>
      <c r="BV19" s="103">
        <f>T_fact29392879586572155167[[#This Row],[ICM]]+bounty*T_fact29392879586572155167[[#This Row],[KO]]</f>
        <v>17.524000000000001</v>
      </c>
      <c r="BY19" s="91">
        <f>'3way-ai-preflo разбивка'!p3win* ('3way-ai-preflo разбивка'!p1sp1win*T_p3p123372677566370153165[[#This Row],[ICM]] + '3way-ai-preflo разбивка'!p2sp1win*T_p3p224382778576471154166[[#This Row],[ICM]] + tiesp1*T_p3p22438277857647175158170[[#This Row],[ICM]])
+'3way-ai-preflo разбивка'!p2win*T_p222362576556269152164[[#This Row],[ICM]]
+'3way-ai-preflo разбивка'!p1win*T_p121351975546168151163[[#This Row],[ICM]]
+'3way-ai-preflo разбивка'!tie*T_p22236257655626974157169[[#This Row],[ICM]]</f>
        <v>34.789478430160003</v>
      </c>
      <c r="BZ19" s="91">
        <f>('3way-ai-preflo разбивка'!p3win* ('3way-ai-preflo разбивка'!p1sp1win*T_p3p123372677566370153165[[#This Row],[KO]] + '3way-ai-preflo разбивка'!p2sp1win*T_p3p224382778576471154166[[#This Row],[KO]])
+'3way-ai-preflo разбивка'!p2win*T_p222362576556269152164[[#This Row],[KO]]
+'3way-ai-preflo разбивка'!p1win*T_p121351975546168151163[[#This Row],[KO]])*bounty</f>
        <v>0</v>
      </c>
      <c r="CA19" s="91">
        <f>'3way-ai-preflo разбивка'!p3win* ('3way-ai-preflo разбивка'!p1sp1win*T_p3p123372677566370153165[[#This Row],[$stack]] + '3way-ai-preflo разбивка'!p2sp1win*T_p3p224382778576471154166[[#This Row],[$stack]])
+'3way-ai-preflo разбивка'!p2win*T_p222362576556269152164[[#This Row],[$stack]]
+'3way-ai-preflo разбивка'!p1win*T_p121351975546168151163[[#This Row],[$stack]]</f>
        <v>29.855532766319996</v>
      </c>
      <c r="CB19" s="91">
        <f>'3way-ai-preflo разбивка'!p3win* ('3way-ai-preflo разбивка'!p1sp1win*T_p3p123372677566370153165[[#This Row],[stack]] + '3way-ai-preflo разбивка'!p2sp1win*T_p3p224382778576471154166[[#This Row],[stack]] + tiesp1*T_p3p22438277857647175158170[[#This Row],[stack]])
+'3way-ai-preflo разбивка'!p2win*T_p222362576556269152164[[#This Row],[stack]]
+'3way-ai-preflo разбивка'!p1win*T_p121351975546168151163[[#This Row],[stack]]
+tie*T_p22236257655626974157169[[#This Row],[stack]]</f>
        <v>351.99666534999994</v>
      </c>
      <c r="CC19" s="91">
        <f>T_fact29392879586572155167[[#This Row],[stack]]- T_init2034474536067150162[[#This Row],[stack]]</f>
        <v>-490</v>
      </c>
      <c r="CD19" s="91">
        <f>T_EV33403080596673156168[[#This Row],[netwon]]+T_EV33403080596673156168[[#This Row],[cEVdiff]]</f>
        <v>-203.00333465000006</v>
      </c>
      <c r="CE19" s="88">
        <f>T_EV33403080596673156168[[#This Row],[chipEV]]-T_fact29392879586572155167[[#This Row],[stack]]</f>
        <v>286.99666534999994</v>
      </c>
      <c r="CF19" s="88">
        <f>T_EV33403080596673156168[[#This Row],[EV]]-(T_fact29392879586572155167[[#This Row],[ICM]])</f>
        <v>12.331532766319995</v>
      </c>
    </row>
    <row r="20" spans="1:84" s="17" customFormat="1" x14ac:dyDescent="0.25">
      <c r="A20" s="17">
        <v>3</v>
      </c>
      <c r="B20" s="17">
        <v>490</v>
      </c>
      <c r="C20" s="17" t="s">
        <v>758</v>
      </c>
      <c r="D20" s="17">
        <v>60</v>
      </c>
      <c r="F20" s="83">
        <f>COUNTIF(T_p121351975546168151163[stack],"&gt;0")</f>
        <v>2</v>
      </c>
      <c r="G20" s="17">
        <f>IF(T_init2034474536067150162[[#This Row],[p]]=1,mainpot+sidepot1+sidepot2+uncalled,IF(T_init2034474536067150162[[#This Row],[p]]&gt;1,0,T_init2034474536067150162[[#This Row],[stack]]-T_init2034474536067150162[[#This Row],[anteblinds]]))</f>
        <v>0</v>
      </c>
      <c r="I20" s="18">
        <f>T_p121351975546168151163[[#This Row],[EQ]]*prize</f>
        <v>0</v>
      </c>
      <c r="J20" s="67">
        <f>IF(T_init2034474536067150162[[#This Row],[p]]=1,T_p121351975546168151163[[#This Row],[players]]*T_p121351975546168151163[[#This Row],[stack]]/chips+COUNTIF(T_p121351975546168151163[stack],0),T_p121351975546168151163[[#This Row],[players]]*T_p121351975546168151163[[#This Row],[stack]]/chips)</f>
        <v>0</v>
      </c>
      <c r="K20" s="67">
        <f>T_p121351975546168151163[[#This Row],[ICM]]+bounty*T_p121351975546168151163[[#This Row],[KO]]</f>
        <v>0</v>
      </c>
      <c r="M20" s="19">
        <f>COUNTIF(T_p222362576556269152164[stack],"&gt;0")</f>
        <v>3</v>
      </c>
      <c r="N20" s="17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0</v>
      </c>
      <c r="O20" s="17">
        <v>0.55249999999999999</v>
      </c>
      <c r="P20" s="18">
        <f>T_p222362576556269152164[[#This Row],[EQ]]*prize</f>
        <v>59.581600000000002</v>
      </c>
      <c r="Q20" s="67">
        <f>IF(T_init2034474536067150162[[#This Row],[p]]=2,T_p222362576556269152164[[#This Row],[players]]*T_p222362576556269152164[[#This Row],[stack]]/chips+COUNTIF(T_p222362576556269152164[stack],0),T_p222362576556269152164[[#This Row],[players]]*T_p222362576556269152164[[#This Row],[stack]]/chips)</f>
        <v>0</v>
      </c>
      <c r="R20" s="67">
        <f>T_p222362576556269152164[[#This Row],[ICM]]+bounty*T_p222362576556269152164[[#This Row],[KO]]</f>
        <v>59.581600000000002</v>
      </c>
      <c r="S20" s="67"/>
      <c r="T20" s="19">
        <f>COUNTIF(T_p22236257655626974157169[stack],"&gt;0")</f>
        <v>4</v>
      </c>
      <c r="U20" s="17">
        <f>IF(T_init2034474536067150162[[#This Row],[p]]=1,ROUND(uncalled + mainpot/3, 0) + ROUND(sidepot1/2,0),IF(T_init2034474536067150162[[#This Row],[p]]=2,ROUND(mainpot/3,0) + ROUND(sidepot1/2,0),IF(T_init2034474536067150162[[#This Row],[p]]=3, ROUNDUP(mainpot/3,0),T_init2034474536067150162[[#This Row],[stack]]-T_init2034474536067150162[[#This Row],[anteblinds]])))</f>
        <v>494</v>
      </c>
      <c r="V20" s="17">
        <v>0.2465</v>
      </c>
      <c r="W20" s="18">
        <f>T_p22236257655626974157169[[#This Row],[EQ]]*prize</f>
        <v>26.582560000000001</v>
      </c>
      <c r="X20" s="67">
        <f>IF(T_init2034474536067150162[[#This Row],[p]]=2,T_p22236257655626974157169[[#This Row],[players]]*T_p22236257655626974157169[[#This Row],[stack]]/chips+COUNTIF(T_p22236257655626974157169[stack],0),T_p22236257655626974157169[[#This Row],[players]]*T_p22236257655626974157169[[#This Row],[stack]]/chips)</f>
        <v>0.98799999999999999</v>
      </c>
      <c r="Y20" s="67">
        <f>T_p22236257655626974157169[[#This Row],[ICM]]+bounty*T_p22236257655626974157169[[#This Row],[KO]]</f>
        <v>26.582560000000001</v>
      </c>
      <c r="Z20" s="67"/>
      <c r="AA20" s="19">
        <f>COUNTIF(T_p22236257655626974157159171[stack],"&gt;0")</f>
        <v>3</v>
      </c>
      <c r="AB20" s="17">
        <f>IF(T_init2034474536067150162[[#This Row],[p]]=1,ROUNDDOWN(uncalled + mainpot/2, 0) + ROUNDDOWN(sidepot1/2,0),IF(T_init2034474536067150162[[#This Row],[p]]=2,ROUND(mainpot/2,0) + ROUND(sidepot1/2,0),IF(T_init2034474536067150162[[#This Row],[p]]=3, 0,T_init2034474536067150162[[#This Row],[stack]]-T_init2034474536067150162[[#This Row],[anteblinds]])))</f>
        <v>0</v>
      </c>
      <c r="AC20" s="17">
        <v>0.2465</v>
      </c>
      <c r="AD20" s="18">
        <f>T_p22236257655626974157159171[[#This Row],[EQ]]*prize</f>
        <v>26.582560000000001</v>
      </c>
      <c r="AE20" s="67">
        <f>IF(T_init2034474536067150162[[#This Row],[p]]=2,T_p22236257655626974157159171[[#This Row],[players]]*T_p22236257655626974157159171[[#This Row],[stack]]/chips+COUNTIF(T_p22236257655626974157159171[stack],0),T_p22236257655626974157159171[[#This Row],[players]]*T_p22236257655626974157159171[[#This Row],[stack]]/chips)</f>
        <v>0</v>
      </c>
      <c r="AF20" s="67">
        <f>T_p22236257655626974157159171[[#This Row],[ICM]]+bounty*T_p22236257655626974157159171[[#This Row],[KO]]</f>
        <v>26.582560000000001</v>
      </c>
      <c r="AG20" s="67"/>
      <c r="AH20" s="19">
        <f>COUNTIF(T_p22236257655626974157159160172[stack],"&gt;0")</f>
        <v>3</v>
      </c>
      <c r="AI20" s="17">
        <f>IF(T_init2034474536067150162[[#This Row],[p]]=1,ROUNDDOWN(uncalled + mainpot/2, 0) + ROUNDDOWN(sidepot1,0),IF(T_init2034474536067150162[[#This Row],[p]]=2,0,IF(T_init2034474536067150162[[#This Row],[p]]=3, ROUNDUP(mainpot/2,0),T_init2034474536067150162[[#This Row],[stack]]-T_init2034474536067150162[[#This Row],[anteblinds]])))</f>
        <v>740</v>
      </c>
      <c r="AJ20" s="17">
        <v>0.2465</v>
      </c>
      <c r="AK20" s="18">
        <f>T_p22236257655626974157159160172[[#This Row],[EQ]]*prize</f>
        <v>26.582560000000001</v>
      </c>
      <c r="AL20" s="67">
        <f>IF(T_init2034474536067150162[[#This Row],[p]]=2,T_p22236257655626974157159160172[[#This Row],[players]]*T_p22236257655626974157159160172[[#This Row],[stack]]/chips+COUNTIF(T_p22236257655626974157159160172[stack],0),T_p22236257655626974157159160172[[#This Row],[players]]*T_p22236257655626974157159160172[[#This Row],[stack]]/chips)</f>
        <v>1.1100000000000001</v>
      </c>
      <c r="AM20" s="67">
        <f>T_p22236257655626974157159160172[[#This Row],[ICM]]+bounty*T_p22236257655626974157159160172[[#This Row],[KO]]</f>
        <v>26.582560000000001</v>
      </c>
      <c r="AO20" s="19">
        <f>COUNTIF(T_p22236257655626974157159160161173[stack],"&gt;0")</f>
        <v>4</v>
      </c>
      <c r="AP20" s="17">
        <f>IF(T_init2034474536067150162[[#This Row],[p]]=1,uncalled,IF(T_init2034474536067150162[[#This Row],[p]]=2,ROUNDDOWN(mainpot/2,0) + ROUNDDOWN(sidepot1,0),IF(T_init2034474536067150162[[#This Row],[p]]=3, ROUNDUP(mainpot/2,0),T_init2034474536067150162[[#This Row],[stack]]-T_init2034474536067150162[[#This Row],[anteblinds]])))</f>
        <v>740</v>
      </c>
      <c r="AQ20" s="17">
        <v>0.2465</v>
      </c>
      <c r="AR20" s="18">
        <f>T_p22236257655626974157159160161173[[#This Row],[EQ]]*prize</f>
        <v>26.582560000000001</v>
      </c>
      <c r="AS20" s="67">
        <f>IF(T_init2034474536067150162[[#This Row],[p]]=2,T_p22236257655626974157159160161173[[#This Row],[players]]*T_p22236257655626974157159160161173[[#This Row],[stack]]/chips+COUNTIF(T_p22236257655626974157159160161173[stack],0),T_p22236257655626974157159160161173[[#This Row],[players]]*T_p22236257655626974157159160161173[[#This Row],[stack]]/chips)</f>
        <v>1.48</v>
      </c>
      <c r="AT20" s="67">
        <f>T_p22236257655626974157159160161173[[#This Row],[ICM]]+bounty*T_p22236257655626974157159160161173[[#This Row],[KO]]</f>
        <v>26.582560000000001</v>
      </c>
      <c r="AV20" s="83">
        <f>COUNTIF(T_p3p123372677566370153165[stack],"&gt;0")</f>
        <v>3</v>
      </c>
      <c r="AW20" s="17">
        <f>IF(T_init2034474536067150162[[#This Row],[p]]=1,sidepot1+uncalled,IF(T_init2034474536067150162[[#This Row],[p]]=3,mainpot,IF(ISBLANK(T_init2034474536067150162[[#This Row],[p]]),T_init2034474536067150162[[#This Row],[stack]]-T_init2034474536067150162[[#This Row],[anteblinds]],0)))</f>
        <v>1480</v>
      </c>
      <c r="AX20" s="17">
        <v>0</v>
      </c>
      <c r="AY20" s="18">
        <f>T_p3p123372677566370153165[[#This Row],[EQ]]*prize</f>
        <v>0</v>
      </c>
      <c r="AZ20" s="67">
        <f>IF(T_init2034474536067150162[[#This Row],[p]]=1,T_p3p123372677566370153165[[#This Row],[players]]*T_p3p123372677566370153165[[#This Row],[stack]]/chips+COUNTIF(T_p3p123372677566370153165[stack],0),T_p3p123372677566370153165[[#This Row],[players]]*T_p3p123372677566370153165[[#This Row],[stack]]/chips)</f>
        <v>2.2200000000000002</v>
      </c>
      <c r="BA20" s="67">
        <f>T_p3p123372677566370153165[[#This Row],[ICM]]+bounty*T_p3p123372677566370153165[[#This Row],[KO]]</f>
        <v>0</v>
      </c>
      <c r="BC20" s="83">
        <f>COUNTIF(T_p3p224382778576471154166[stack],"&gt;0")</f>
        <v>3</v>
      </c>
      <c r="BD20" s="17">
        <f>IF(T_init2034474536067150162[[#This Row],[p]]=1,uncalled,IF(T_init2034474536067150162[[#This Row],[p]]=2,sidepot1,IF(T_init2034474536067150162[[#This Row],[p]]=3,mainpot,IF(ISBLANK(T_init2034474536067150162[[#This Row],[p]]),T_init2034474536067150162[[#This Row],[stack]]-T_init2034474536067150162[[#This Row],[anteblinds]],0))))</f>
        <v>1480</v>
      </c>
      <c r="BE20" s="17">
        <v>0.375</v>
      </c>
      <c r="BF20" s="18">
        <f>T_p3p224382778576471154166[[#This Row],[EQ]]*prize</f>
        <v>40.44</v>
      </c>
      <c r="BG20" s="67">
        <f>IF(T_init2034474536067150162[[#This Row],[p]]=2,T_p3p224382778576471154166[[#This Row],[players]]*T_p3p224382778576471154166[[#This Row],[stack]]/chips+COUNTIF(T_p3p224382778576471154166[stack],0),T_p3p224382778576471154166[[#This Row],[players]]*T_p3p224382778576471154166[[#This Row],[stack]]/chips)</f>
        <v>2.2200000000000002</v>
      </c>
      <c r="BH20" s="24">
        <f>T_p3p224382778576471154166[[#This Row],[ICM]]+bounty*T_p3p224382778576471154166[[#This Row],[KO]]</f>
        <v>40.44</v>
      </c>
      <c r="BJ20" s="83">
        <f>COUNTIF(T_p3p22438277857647175158170[stack],"&gt;0")</f>
        <v>3</v>
      </c>
      <c r="BK20" s="17">
        <f>IF(T_init2034474536067150162[[#This Row],[p]]=1,uncalled + ROUND(sidepot1/2,0),IF(T_init2034474536067150162[[#This Row],[p]]=2,ROUND(sidepot1/2,0),IF(T_init2034474536067150162[[#This Row],[p]]=3,mainpot,IF(ISBLANK(T_init2034474536067150162[[#This Row],[p]]),T_init2034474536067150162[[#This Row],[stack]]-T_init2034474536067150162[[#This Row],[anteblinds]],0))))</f>
        <v>1480</v>
      </c>
      <c r="BL20" s="17">
        <v>0.1875</v>
      </c>
      <c r="BM20" s="18">
        <f>T_p3p22438277857647175158170[[#This Row],[EQ]]*prize</f>
        <v>20.22</v>
      </c>
      <c r="BN20" s="67">
        <f>IF(T_init2034474536067150162[[#This Row],[p]]=2,T_p3p22438277857647175158170[[#This Row],[players]]*T_p3p22438277857647175158170[[#This Row],[stack]]/chips+COUNTIF(T_p3p22438277857647175158170[stack],0),T_p3p22438277857647175158170[[#This Row],[players]]*T_p3p22438277857647175158170[[#This Row],[stack]]/chips)</f>
        <v>2.2200000000000002</v>
      </c>
      <c r="BO20" s="24">
        <f>T_p3p22438277857647175158170[[#This Row],[ICM]]+bounty*T_p3p22438277857647175158170[[#This Row],[KO]]</f>
        <v>20.22</v>
      </c>
      <c r="BQ20" s="83">
        <v>3</v>
      </c>
      <c r="BR20" s="17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0</v>
      </c>
      <c r="BS20" s="17">
        <v>0.55249999999999999</v>
      </c>
      <c r="BT20" s="18">
        <f>T_fact29392879586572155167[[#This Row],[EQ]]*prize</f>
        <v>59.581600000000002</v>
      </c>
      <c r="BU20" s="67">
        <f>IF(T_init2034474536067150162[[#This Row],[p]]=1,T_fact29392879586572155167[[#This Row],[players]]*T_fact29392879586572155167[[#This Row],[stack]]/chips+COUNTIF(T_fact29392879586572155167[stack],0),T_fact29392879586572155167[[#This Row],[players]]*T_fact29392879586572155167[[#This Row],[stack]]/chips)</f>
        <v>0</v>
      </c>
      <c r="BV20" s="24">
        <f>T_fact29392879586572155167[[#This Row],[ICM]]+bounty*T_fact29392879586572155167[[#This Row],[KO]]</f>
        <v>59.581600000000002</v>
      </c>
      <c r="BY20" s="69">
        <f>'3way-ai-preflo разбивка'!p3win* ('3way-ai-preflo разбивка'!p1sp1win*T_p3p123372677566370153165[[#This Row],[ICM]] + '3way-ai-preflo разбивка'!p2sp1win*T_p3p224382778576471154166[[#This Row],[ICM]] + tiesp1*T_p3p22438277857647175158170[[#This Row],[ICM]])
+'3way-ai-preflo разбивка'!p2win*T_p222362576556269152164[[#This Row],[ICM]]
+'3way-ai-preflo разбивка'!p1win*T_p121351975546168151163[[#This Row],[ICM]]
+'3way-ai-preflo разбивка'!tie*T_p22236257655626974157169[[#This Row],[ICM]]</f>
        <v>28.033140575799997</v>
      </c>
      <c r="BZ20" s="69">
        <f>('3way-ai-preflo разбивка'!p3win* ('3way-ai-preflo разбивка'!p1sp1win*T_p3p123372677566370153165[[#This Row],[KO]] + '3way-ai-preflo разбивка'!p2sp1win*T_p3p224382778576471154166[[#This Row],[KO]])
+'3way-ai-preflo разбивка'!p2win*T_p222362576556269152164[[#This Row],[KO]]
+'3way-ai-preflo разбивка'!p1win*T_p121351975546168151163[[#This Row],[KO]])*bounty</f>
        <v>0</v>
      </c>
      <c r="CA20" s="69">
        <f>'3way-ai-preflo разбивка'!p3win* ('3way-ai-preflo разбивка'!p1sp1win*T_p3p123372677566370153165[[#This Row],[$stack]] + '3way-ai-preflo разбивка'!p2sp1win*T_p3p224382778576471154166[[#This Row],[$stack]])
+'3way-ai-preflo разбивка'!p2win*T_p222362576556269152164[[#This Row],[$stack]]
+'3way-ai-preflo разбивка'!p1win*T_p121351975546168151163[[#This Row],[$stack]]</f>
        <v>25.207395373599997</v>
      </c>
      <c r="CB20" s="69">
        <f>'3way-ai-preflo разбивка'!p3win* ('3way-ai-preflo разбивка'!p1sp1win*T_p3p123372677566370153165[[#This Row],[stack]] + '3way-ai-preflo разбивка'!p2sp1win*T_p3p224382778576471154166[[#This Row],[stack]] + tiesp1*T_p3p22438277857647175158170[[#This Row],[stack]])
+'3way-ai-preflo разбивка'!p2win*T_p222362576556269152164[[#This Row],[stack]]
+'3way-ai-preflo разбивка'!p1win*T_p121351975546168151163[[#This Row],[stack]]
+tie*T_p22236257655626974157169[[#This Row],[stack]]</f>
        <v>755.42785719999983</v>
      </c>
      <c r="CC20" s="69">
        <f>T_fact29392879586572155167[[#This Row],[stack]]- T_init2034474536067150162[[#This Row],[stack]]</f>
        <v>-490</v>
      </c>
      <c r="CD20" s="69">
        <f>T_EV33403080596673156168[[#This Row],[netwon]]+T_EV33403080596673156168[[#This Row],[cEVdiff]]</f>
        <v>265.42785719999983</v>
      </c>
      <c r="CE20" s="18">
        <f>T_EV33403080596673156168[[#This Row],[chipEV]]-T_fact29392879586572155167[[#This Row],[stack]]</f>
        <v>755.42785719999983</v>
      </c>
      <c r="CF20" s="18">
        <f>T_EV33403080596673156168[[#This Row],[EV]]-(T_fact29392879586572155167[[#This Row],[ICM]])</f>
        <v>-34.374204626400001</v>
      </c>
    </row>
    <row r="21" spans="1:84" x14ac:dyDescent="0.25">
      <c r="B21">
        <v>0</v>
      </c>
      <c r="F21" s="5">
        <f>COUNTIF(T_p121351975546168151163[stack],"&gt;0")</f>
        <v>2</v>
      </c>
      <c r="G21">
        <f>IF(T_init2034474536067150162[[#This Row],[p]]=1,mainpot+sidepot1+sidepot2+uncalled,IF(T_init2034474536067150162[[#This Row],[p]]&gt;1,0,T_init2034474536067150162[[#This Row],[stack]]-T_init2034474536067150162[[#This Row],[anteblinds]]))</f>
        <v>0</v>
      </c>
      <c r="I21" s="2">
        <f>T_p121351975546168151163[[#This Row],[EQ]]*prize</f>
        <v>0</v>
      </c>
      <c r="J21" s="66">
        <f>IF(T_init2034474536067150162[[#This Row],[p]]=1,T_p121351975546168151163[[#This Row],[players]]*T_p121351975546168151163[[#This Row],[stack]]/chips+COUNTIF(T_p121351975546168151163[stack],0),T_p121351975546168151163[[#This Row],[players]]*T_p121351975546168151163[[#This Row],[stack]]/chips)</f>
        <v>0</v>
      </c>
      <c r="K21" s="66">
        <f>T_p121351975546168151163[[#This Row],[ICM]]+bounty*T_p121351975546168151163[[#This Row],[KO]]</f>
        <v>0</v>
      </c>
      <c r="M21" s="10">
        <f>COUNTIF(T_p222362576556269152164[stack],"&gt;0")</f>
        <v>3</v>
      </c>
      <c r="N21" s="2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0</v>
      </c>
      <c r="O21">
        <v>0</v>
      </c>
      <c r="P21" s="2">
        <f>T_p222362576556269152164[[#This Row],[EQ]]*prize</f>
        <v>0</v>
      </c>
      <c r="Q21" s="66">
        <f>IF(T_init2034474536067150162[[#This Row],[p]]=2,T_p222362576556269152164[[#This Row],[players]]*T_p222362576556269152164[[#This Row],[stack]]/chips+COUNTIF(T_p222362576556269152164[stack],0),T_p222362576556269152164[[#This Row],[players]]*T_p222362576556269152164[[#This Row],[stack]]/chips)</f>
        <v>0</v>
      </c>
      <c r="R21" s="66">
        <f>T_p222362576556269152164[[#This Row],[ICM]]+bounty*T_p222362576556269152164[[#This Row],[KO]]</f>
        <v>0</v>
      </c>
      <c r="S21" s="66"/>
      <c r="T21" s="10">
        <f>COUNTIF(T_p22236257655626974157169[stack],"&gt;0")</f>
        <v>4</v>
      </c>
      <c r="U21" s="26">
        <f>IF(T_init2034474536067150162[[#This Row],[p]]=1,ROUND(uncalled + mainpot/3, 0) + ROUND(sidepot1/2,0),IF(T_init2034474536067150162[[#This Row],[p]]=2,ROUND(mainpot/3,0) + ROUND(sidepot1/2,0),IF(T_init2034474536067150162[[#This Row],[p]]=3, ROUNDUP(mainpot/3,0),T_init2034474536067150162[[#This Row],[stack]]-T_init2034474536067150162[[#This Row],[anteblinds]])))</f>
        <v>0</v>
      </c>
      <c r="V21">
        <v>0</v>
      </c>
      <c r="W21" s="2">
        <f>T_p22236257655626974157169[[#This Row],[EQ]]*prize</f>
        <v>0</v>
      </c>
      <c r="X21" s="66">
        <f>IF(T_init2034474536067150162[[#This Row],[p]]=2,T_p22236257655626974157169[[#This Row],[players]]*T_p22236257655626974157169[[#This Row],[stack]]/chips+COUNTIF(T_p22236257655626974157169[stack],0),T_p22236257655626974157169[[#This Row],[players]]*T_p22236257655626974157169[[#This Row],[stack]]/chips)</f>
        <v>0</v>
      </c>
      <c r="Y21" s="66">
        <f>T_p22236257655626974157169[[#This Row],[ICM]]+bounty*T_p22236257655626974157169[[#This Row],[KO]]</f>
        <v>0</v>
      </c>
      <c r="Z21" s="66"/>
      <c r="AA21" s="10">
        <f>COUNTIF(T_p22236257655626974157159171[stack],"&gt;0")</f>
        <v>3</v>
      </c>
      <c r="AB21" s="26">
        <f>IF(T_init2034474536067150162[[#This Row],[p]]=1,ROUNDDOWN(uncalled + mainpot/2, 0) + ROUNDDOWN(sidepot1/2,0),IF(T_init2034474536067150162[[#This Row],[p]]=2,ROUND(mainpot/2,0) + ROUND(sidepot1/2,0),IF(T_init2034474536067150162[[#This Row],[p]]=3, 0,T_init2034474536067150162[[#This Row],[stack]]-T_init2034474536067150162[[#This Row],[anteblinds]])))</f>
        <v>0</v>
      </c>
      <c r="AC21">
        <v>0</v>
      </c>
      <c r="AD21" s="2">
        <f>T_p22236257655626974157159171[[#This Row],[EQ]]*prize</f>
        <v>0</v>
      </c>
      <c r="AE21" s="66">
        <f>IF(T_init2034474536067150162[[#This Row],[p]]=2,T_p22236257655626974157159171[[#This Row],[players]]*T_p22236257655626974157159171[[#This Row],[stack]]/chips+COUNTIF(T_p22236257655626974157159171[stack],0),T_p22236257655626974157159171[[#This Row],[players]]*T_p22236257655626974157159171[[#This Row],[stack]]/chips)</f>
        <v>0</v>
      </c>
      <c r="AF21" s="66">
        <f>T_p22236257655626974157159171[[#This Row],[ICM]]+bounty*T_p22236257655626974157159171[[#This Row],[KO]]</f>
        <v>0</v>
      </c>
      <c r="AG21" s="66"/>
      <c r="AH21" s="10">
        <f>COUNTIF(T_p22236257655626974157159160172[stack],"&gt;0")</f>
        <v>3</v>
      </c>
      <c r="AI21" s="26">
        <f>IF(T_init2034474536067150162[[#This Row],[p]]=1,ROUNDDOWN(uncalled + mainpot/2, 0) + ROUNDDOWN(sidepot1,0),IF(T_init2034474536067150162[[#This Row],[p]]=2,0,IF(T_init2034474536067150162[[#This Row],[p]]=3, ROUNDUP(mainpot/2,0),T_init2034474536067150162[[#This Row],[stack]]-T_init2034474536067150162[[#This Row],[anteblinds]])))</f>
        <v>0</v>
      </c>
      <c r="AJ21">
        <v>0</v>
      </c>
      <c r="AK21" s="2">
        <f>T_p22236257655626974157159160172[[#This Row],[EQ]]*prize</f>
        <v>0</v>
      </c>
      <c r="AL21" s="66">
        <f>IF(T_init2034474536067150162[[#This Row],[p]]=2,T_p22236257655626974157159160172[[#This Row],[players]]*T_p22236257655626974157159160172[[#This Row],[stack]]/chips+COUNTIF(T_p22236257655626974157159160172[stack],0),T_p22236257655626974157159160172[[#This Row],[players]]*T_p22236257655626974157159160172[[#This Row],[stack]]/chips)</f>
        <v>0</v>
      </c>
      <c r="AM21" s="66">
        <f>T_p22236257655626974157159160172[[#This Row],[ICM]]+bounty*T_p22236257655626974157159160172[[#This Row],[KO]]</f>
        <v>0</v>
      </c>
      <c r="AO21" s="10">
        <f>COUNTIF(T_p22236257655626974157159160161173[stack],"&gt;0")</f>
        <v>4</v>
      </c>
      <c r="AP21" s="26">
        <f>IF(T_init2034474536067150162[[#This Row],[p]]=1,uncalled,IF(T_init2034474536067150162[[#This Row],[p]]=2,ROUNDDOWN(mainpot/2,0) + ROUNDDOWN(sidepot1,0),IF(T_init2034474536067150162[[#This Row],[p]]=3, ROUNDUP(mainpot/2,0),T_init2034474536067150162[[#This Row],[stack]]-T_init2034474536067150162[[#This Row],[anteblinds]])))</f>
        <v>0</v>
      </c>
      <c r="AQ21">
        <v>0</v>
      </c>
      <c r="AR21" s="2">
        <f>T_p22236257655626974157159160161173[[#This Row],[EQ]]*prize</f>
        <v>0</v>
      </c>
      <c r="AS21" s="66">
        <f>IF(T_init2034474536067150162[[#This Row],[p]]=2,T_p22236257655626974157159160161173[[#This Row],[players]]*T_p22236257655626974157159160161173[[#This Row],[stack]]/chips+COUNTIF(T_p22236257655626974157159160161173[stack],0),T_p22236257655626974157159160161173[[#This Row],[players]]*T_p22236257655626974157159160161173[[#This Row],[stack]]/chips)</f>
        <v>0</v>
      </c>
      <c r="AT21" s="66">
        <f>T_p22236257655626974157159160161173[[#This Row],[ICM]]+bounty*T_p22236257655626974157159160161173[[#This Row],[KO]]</f>
        <v>0</v>
      </c>
      <c r="AV21" s="5">
        <f>COUNTIF(T_p3p123372677566370153165[stack],"&gt;0")</f>
        <v>3</v>
      </c>
      <c r="AW21" s="26">
        <f>IF(T_init2034474536067150162[[#This Row],[p]]=1,sidepot1+uncalled,IF(T_init2034474536067150162[[#This Row],[p]]=3,mainpot,IF(ISBLANK(T_init2034474536067150162[[#This Row],[p]]),T_init2034474536067150162[[#This Row],[stack]]-T_init2034474536067150162[[#This Row],[anteblinds]],0)))</f>
        <v>0</v>
      </c>
      <c r="AX21">
        <v>0</v>
      </c>
      <c r="AY21" s="2">
        <f>T_p3p123372677566370153165[[#This Row],[EQ]]*prize</f>
        <v>0</v>
      </c>
      <c r="AZ21" s="66">
        <f>IF(T_init2034474536067150162[[#This Row],[p]]=1,T_p3p123372677566370153165[[#This Row],[players]]*T_p3p123372677566370153165[[#This Row],[stack]]/chips+COUNTIF(T_p3p123372677566370153165[stack],0),T_p3p123372677566370153165[[#This Row],[players]]*T_p3p123372677566370153165[[#This Row],[stack]]/chips)</f>
        <v>0</v>
      </c>
      <c r="BA21" s="66">
        <f>T_p3p123372677566370153165[[#This Row],[ICM]]+bounty*T_p3p123372677566370153165[[#This Row],[KO]]</f>
        <v>0</v>
      </c>
      <c r="BC21" s="5">
        <f>COUNTIF(T_p3p224382778576471154166[stack],"&gt;0")</f>
        <v>3</v>
      </c>
      <c r="BD21">
        <f>IF(T_init2034474536067150162[[#This Row],[p]]=1,uncalled,IF(T_init2034474536067150162[[#This Row],[p]]=2,sidepot1,IF(T_init2034474536067150162[[#This Row],[p]]=3,mainpot,IF(ISBLANK(T_init2034474536067150162[[#This Row],[p]]),T_init2034474536067150162[[#This Row],[stack]]-T_init2034474536067150162[[#This Row],[anteblinds]],0))))</f>
        <v>0</v>
      </c>
      <c r="BE21">
        <v>0</v>
      </c>
      <c r="BF21" s="2">
        <f>T_p3p224382778576471154166[[#This Row],[EQ]]*prize</f>
        <v>0</v>
      </c>
      <c r="BG21" s="66">
        <f>IF(T_init2034474536067150162[[#This Row],[p]]=2,T_p3p224382778576471154166[[#This Row],[players]]*T_p3p224382778576471154166[[#This Row],[stack]]/chips+COUNTIF(T_p3p224382778576471154166[stack],0),T_p3p224382778576471154166[[#This Row],[players]]*T_p3p224382778576471154166[[#This Row],[stack]]/chips)</f>
        <v>0</v>
      </c>
      <c r="BH21" s="16">
        <f>T_p3p224382778576471154166[[#This Row],[ICM]]+bounty*T_p3p224382778576471154166[[#This Row],[KO]]</f>
        <v>0</v>
      </c>
      <c r="BJ21" s="5">
        <f>COUNTIF(T_p3p22438277857647175158170[stack],"&gt;0")</f>
        <v>3</v>
      </c>
      <c r="BK21">
        <f>IF(T_init2034474536067150162[[#This Row],[p]]=1,uncalled + ROUND(sidepot1/2,0),IF(T_init2034474536067150162[[#This Row],[p]]=2,ROUND(sidepot1/2,0),IF(T_init2034474536067150162[[#This Row],[p]]=3,mainpot,IF(ISBLANK(T_init2034474536067150162[[#This Row],[p]]),T_init2034474536067150162[[#This Row],[stack]]-T_init2034474536067150162[[#This Row],[anteblinds]],0))))</f>
        <v>0</v>
      </c>
      <c r="BL21">
        <v>0</v>
      </c>
      <c r="BM21" s="2">
        <f>T_p3p22438277857647175158170[[#This Row],[EQ]]*prize</f>
        <v>0</v>
      </c>
      <c r="BN21" s="66">
        <f>IF(T_init2034474536067150162[[#This Row],[p]]=2,T_p3p22438277857647175158170[[#This Row],[players]]*T_p3p22438277857647175158170[[#This Row],[stack]]/chips+COUNTIF(T_p3p22438277857647175158170[stack],0),T_p3p22438277857647175158170[[#This Row],[players]]*T_p3p22438277857647175158170[[#This Row],[stack]]/chips)</f>
        <v>0</v>
      </c>
      <c r="BO21" s="16">
        <f>T_p3p22438277857647175158170[[#This Row],[ICM]]+bounty*T_p3p22438277857647175158170[[#This Row],[KO]]</f>
        <v>0</v>
      </c>
      <c r="BQ21" s="73">
        <v>3</v>
      </c>
      <c r="BR21" s="2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0</v>
      </c>
      <c r="BS21">
        <v>0</v>
      </c>
      <c r="BT21" s="2">
        <f>T_fact29392879586572155167[[#This Row],[EQ]]*prize</f>
        <v>0</v>
      </c>
      <c r="BU21" s="66">
        <f>IF(T_init2034474536067150162[[#This Row],[p]]=1,T_fact29392879586572155167[[#This Row],[players]]*T_fact29392879586572155167[[#This Row],[stack]]/chips+COUNTIF(T_fact29392879586572155167[stack],0),T_fact29392879586572155167[[#This Row],[players]]*T_fact29392879586572155167[[#This Row],[stack]]/chips)</f>
        <v>0</v>
      </c>
      <c r="BV21" s="16">
        <f>T_fact29392879586572155167[[#This Row],[ICM]]+bounty*T_fact29392879586572155167[[#This Row],[KO]]</f>
        <v>0</v>
      </c>
      <c r="BY21" s="68">
        <f>'3way-ai-preflo разбивка'!p3win* ('3way-ai-preflo разбивка'!p1sp1win*T_p3p123372677566370153165[[#This Row],[ICM]] + '3way-ai-preflo разбивка'!p2sp1win*T_p3p224382778576471154166[[#This Row],[ICM]] + tiesp1*T_p3p22438277857647175158170[[#This Row],[ICM]])
+'3way-ai-preflo разбивка'!p2win*T_p222362576556269152164[[#This Row],[ICM]]
+'3way-ai-preflo разбивка'!p1win*T_p121351975546168151163[[#This Row],[ICM]]
+'3way-ai-preflo разбивка'!tie*T_p22236257655626974157169[[#This Row],[ICM]]</f>
        <v>0</v>
      </c>
      <c r="BZ21" s="68">
        <f>('3way-ai-preflo разбивка'!p3win* ('3way-ai-preflo разбивка'!p1sp1win*T_p3p123372677566370153165[[#This Row],[KO]] + '3way-ai-preflo разбивка'!p2sp1win*T_p3p224382778576471154166[[#This Row],[KO]])
+'3way-ai-preflo разбивка'!p2win*T_p222362576556269152164[[#This Row],[KO]]
+'3way-ai-preflo разбивка'!p1win*T_p121351975546168151163[[#This Row],[KO]])*bounty</f>
        <v>0</v>
      </c>
      <c r="CA21" s="68">
        <f>'3way-ai-preflo разбивка'!p3win* ('3way-ai-preflo разбивка'!p1sp1win*T_p3p123372677566370153165[[#This Row],[$stack]] + '3way-ai-preflo разбивка'!p2sp1win*T_p3p224382778576471154166[[#This Row],[$stack]])
+'3way-ai-preflo разбивка'!p2win*T_p222362576556269152164[[#This Row],[$stack]]
+'3way-ai-preflo разбивка'!p1win*T_p121351975546168151163[[#This Row],[$stack]]</f>
        <v>0</v>
      </c>
      <c r="CB21" s="68">
        <f>'3way-ai-preflo разбивка'!p3win* ('3way-ai-preflo разбивка'!p1sp1win*T_p3p123372677566370153165[[#This Row],[stack]] + '3way-ai-preflo разбивка'!p2sp1win*T_p3p224382778576471154166[[#This Row],[stack]] + tiesp1*T_p3p22438277857647175158170[[#This Row],[stack]])
+'3way-ai-preflo разбивка'!p2win*T_p222362576556269152164[[#This Row],[stack]]
+'3way-ai-preflo разбивка'!p1win*T_p121351975546168151163[[#This Row],[stack]]
+tie*T_p22236257655626974157169[[#This Row],[stack]]</f>
        <v>0</v>
      </c>
      <c r="CC21" s="68">
        <f>T_fact29392879586572155167[[#This Row],[stack]]- T_init2034474536067150162[[#This Row],[stack]]</f>
        <v>0</v>
      </c>
      <c r="CD21" s="68">
        <f>T_EV33403080596673156168[[#This Row],[netwon]]+T_EV33403080596673156168[[#This Row],[cEVdiff]]</f>
        <v>0</v>
      </c>
      <c r="CE21" s="2">
        <f>T_EV33403080596673156168[[#This Row],[chipEV]]-T_fact29392879586572155167[[#This Row],[stack]]</f>
        <v>0</v>
      </c>
      <c r="CF21" s="2">
        <f>T_EV33403080596673156168[[#This Row],[EV]]-(T_fact29392879586572155167[[#This Row],[ICM]])</f>
        <v>0</v>
      </c>
    </row>
    <row r="22" spans="1:84" x14ac:dyDescent="0.25">
      <c r="B22">
        <v>0</v>
      </c>
      <c r="F22" s="5">
        <f>COUNTIF(T_p121351975546168151163[stack],"&gt;0")</f>
        <v>2</v>
      </c>
      <c r="G22">
        <f>IF(T_init2034474536067150162[[#This Row],[p]]=1,mainpot+sidepot1+sidepot2+uncalled,IF(T_init2034474536067150162[[#This Row],[p]]&gt;1,0,T_init2034474536067150162[[#This Row],[stack]]-T_init2034474536067150162[[#This Row],[anteblinds]]))</f>
        <v>0</v>
      </c>
      <c r="I22" s="2">
        <f>T_p121351975546168151163[[#This Row],[EQ]]*prize</f>
        <v>0</v>
      </c>
      <c r="J22" s="66">
        <f>IF(T_init2034474536067150162[[#This Row],[p]]=1,T_p121351975546168151163[[#This Row],[players]]*T_p121351975546168151163[[#This Row],[stack]]/chips+COUNTIF(T_p121351975546168151163[stack],0),T_p121351975546168151163[[#This Row],[players]]*T_p121351975546168151163[[#This Row],[stack]]/chips)</f>
        <v>0</v>
      </c>
      <c r="K22" s="66">
        <f>T_p121351975546168151163[[#This Row],[ICM]]+bounty*T_p121351975546168151163[[#This Row],[KO]]</f>
        <v>0</v>
      </c>
      <c r="M22" s="10">
        <f>COUNTIF(T_p222362576556269152164[stack],"&gt;0")</f>
        <v>3</v>
      </c>
      <c r="N22" s="2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0</v>
      </c>
      <c r="P22" s="2">
        <f>T_p222362576556269152164[[#This Row],[EQ]]*prize</f>
        <v>0</v>
      </c>
      <c r="Q22" s="66">
        <f>IF(T_init2034474536067150162[[#This Row],[p]]=2,T_p222362576556269152164[[#This Row],[players]]*T_p222362576556269152164[[#This Row],[stack]]/chips+COUNTIF(T_p222362576556269152164[stack],0),T_p222362576556269152164[[#This Row],[players]]*T_p222362576556269152164[[#This Row],[stack]]/chips)</f>
        <v>0</v>
      </c>
      <c r="R22" s="66">
        <f>T_p222362576556269152164[[#This Row],[ICM]]+bounty*T_p222362576556269152164[[#This Row],[KO]]</f>
        <v>0</v>
      </c>
      <c r="S22" s="66"/>
      <c r="T22" s="10">
        <f>COUNTIF(T_p22236257655626974157169[stack],"&gt;0")</f>
        <v>4</v>
      </c>
      <c r="U22" s="26">
        <f>IF(T_init2034474536067150162[[#This Row],[p]]=1,ROUND(uncalled + mainpot/3, 0) + ROUND(sidepot1/2,0),IF(T_init2034474536067150162[[#This Row],[p]]=2,ROUND(mainpot/3,0) + ROUND(sidepot1/2,0),IF(T_init2034474536067150162[[#This Row],[p]]=3, ROUNDUP(mainpot/3,0),T_init2034474536067150162[[#This Row],[stack]]-T_init2034474536067150162[[#This Row],[anteblinds]])))</f>
        <v>0</v>
      </c>
      <c r="W22" s="2">
        <f>T_p22236257655626974157169[[#This Row],[EQ]]*prize</f>
        <v>0</v>
      </c>
      <c r="X22" s="66">
        <f>IF(T_init2034474536067150162[[#This Row],[p]]=2,T_p22236257655626974157169[[#This Row],[players]]*T_p22236257655626974157169[[#This Row],[stack]]/chips+COUNTIF(T_p22236257655626974157169[stack],0),T_p22236257655626974157169[[#This Row],[players]]*T_p22236257655626974157169[[#This Row],[stack]]/chips)</f>
        <v>0</v>
      </c>
      <c r="Y22" s="66">
        <f>T_p22236257655626974157169[[#This Row],[ICM]]+bounty*T_p22236257655626974157169[[#This Row],[KO]]</f>
        <v>0</v>
      </c>
      <c r="Z22" s="66"/>
      <c r="AA22" s="10">
        <f>COUNTIF(T_p22236257655626974157159171[stack],"&gt;0")</f>
        <v>3</v>
      </c>
      <c r="AB22" s="26">
        <f>IF(T_init2034474536067150162[[#This Row],[p]]=1,ROUNDDOWN(uncalled + mainpot/2, 0) + ROUNDDOWN(sidepot1/2,0),IF(T_init2034474536067150162[[#This Row],[p]]=2,ROUND(mainpot/2,0) + ROUND(sidepot1/2,0),IF(T_init2034474536067150162[[#This Row],[p]]=3, 0,T_init2034474536067150162[[#This Row],[stack]]-T_init2034474536067150162[[#This Row],[anteblinds]])))</f>
        <v>0</v>
      </c>
      <c r="AD22" s="2">
        <f>T_p22236257655626974157159171[[#This Row],[EQ]]*prize</f>
        <v>0</v>
      </c>
      <c r="AE22" s="66">
        <f>IF(T_init2034474536067150162[[#This Row],[p]]=2,T_p22236257655626974157159171[[#This Row],[players]]*T_p22236257655626974157159171[[#This Row],[stack]]/chips+COUNTIF(T_p22236257655626974157159171[stack],0),T_p22236257655626974157159171[[#This Row],[players]]*T_p22236257655626974157159171[[#This Row],[stack]]/chips)</f>
        <v>0</v>
      </c>
      <c r="AF22" s="66">
        <f>T_p22236257655626974157159171[[#This Row],[ICM]]+bounty*T_p22236257655626974157159171[[#This Row],[KO]]</f>
        <v>0</v>
      </c>
      <c r="AG22" s="66"/>
      <c r="AH22" s="10">
        <f>COUNTIF(T_p22236257655626974157159160172[stack],"&gt;0")</f>
        <v>3</v>
      </c>
      <c r="AI22" s="26">
        <f>IF(T_init2034474536067150162[[#This Row],[p]]=1,ROUNDDOWN(uncalled + mainpot/2, 0) + ROUNDDOWN(sidepot1,0),IF(T_init2034474536067150162[[#This Row],[p]]=2,0,IF(T_init2034474536067150162[[#This Row],[p]]=3, ROUNDUP(mainpot/2,0),T_init2034474536067150162[[#This Row],[stack]]-T_init2034474536067150162[[#This Row],[anteblinds]])))</f>
        <v>0</v>
      </c>
      <c r="AK22" s="2">
        <f>T_p22236257655626974157159160172[[#This Row],[EQ]]*prize</f>
        <v>0</v>
      </c>
      <c r="AL22" s="66">
        <f>IF(T_init2034474536067150162[[#This Row],[p]]=2,T_p22236257655626974157159160172[[#This Row],[players]]*T_p22236257655626974157159160172[[#This Row],[stack]]/chips+COUNTIF(T_p22236257655626974157159160172[stack],0),T_p22236257655626974157159160172[[#This Row],[players]]*T_p22236257655626974157159160172[[#This Row],[stack]]/chips)</f>
        <v>0</v>
      </c>
      <c r="AM22" s="66">
        <f>T_p22236257655626974157159160172[[#This Row],[ICM]]+bounty*T_p22236257655626974157159160172[[#This Row],[KO]]</f>
        <v>0</v>
      </c>
      <c r="AO22" s="10">
        <f>COUNTIF(T_p22236257655626974157159160161173[stack],"&gt;0")</f>
        <v>4</v>
      </c>
      <c r="AP22" s="26">
        <f>IF(T_init2034474536067150162[[#This Row],[p]]=1,uncalled,IF(T_init2034474536067150162[[#This Row],[p]]=2,ROUNDDOWN(mainpot/2,0) + ROUNDDOWN(sidepot1,0),IF(T_init2034474536067150162[[#This Row],[p]]=3, ROUNDUP(mainpot/2,0),T_init2034474536067150162[[#This Row],[stack]]-T_init2034474536067150162[[#This Row],[anteblinds]])))</f>
        <v>0</v>
      </c>
      <c r="AR22" s="2">
        <f>T_p22236257655626974157159160161173[[#This Row],[EQ]]*prize</f>
        <v>0</v>
      </c>
      <c r="AS22" s="66">
        <f>IF(T_init2034474536067150162[[#This Row],[p]]=2,T_p22236257655626974157159160161173[[#This Row],[players]]*T_p22236257655626974157159160161173[[#This Row],[stack]]/chips+COUNTIF(T_p22236257655626974157159160161173[stack],0),T_p22236257655626974157159160161173[[#This Row],[players]]*T_p22236257655626974157159160161173[[#This Row],[stack]]/chips)</f>
        <v>0</v>
      </c>
      <c r="AT22" s="66">
        <f>T_p22236257655626974157159160161173[[#This Row],[ICM]]+bounty*T_p22236257655626974157159160161173[[#This Row],[KO]]</f>
        <v>0</v>
      </c>
      <c r="AV22" s="5">
        <f>COUNTIF(T_p3p123372677566370153165[stack],"&gt;0")</f>
        <v>3</v>
      </c>
      <c r="AW22" s="26">
        <f>IF(T_init2034474536067150162[[#This Row],[p]]=1,sidepot1+uncalled,IF(T_init2034474536067150162[[#This Row],[p]]=3,mainpot,IF(ISBLANK(T_init2034474536067150162[[#This Row],[p]]),T_init2034474536067150162[[#This Row],[stack]]-T_init2034474536067150162[[#This Row],[anteblinds]],0)))</f>
        <v>0</v>
      </c>
      <c r="AX22">
        <v>0</v>
      </c>
      <c r="AY22" s="2">
        <f>T_p3p123372677566370153165[[#This Row],[EQ]]*prize</f>
        <v>0</v>
      </c>
      <c r="AZ22" s="66">
        <f>IF(T_init2034474536067150162[[#This Row],[p]]=1,T_p3p123372677566370153165[[#This Row],[players]]*T_p3p123372677566370153165[[#This Row],[stack]]/chips+COUNTIF(T_p3p123372677566370153165[stack],0),T_p3p123372677566370153165[[#This Row],[players]]*T_p3p123372677566370153165[[#This Row],[stack]]/chips)</f>
        <v>0</v>
      </c>
      <c r="BA22" s="66">
        <f>T_p3p123372677566370153165[[#This Row],[ICM]]+bounty*T_p3p123372677566370153165[[#This Row],[KO]]</f>
        <v>0</v>
      </c>
      <c r="BC22" s="5">
        <f>COUNTIF(T_p3p224382778576471154166[stack],"&gt;0")</f>
        <v>3</v>
      </c>
      <c r="BD22">
        <f>IF(T_init2034474536067150162[[#This Row],[p]]=1,uncalled,IF(T_init2034474536067150162[[#This Row],[p]]=2,sidepot1,IF(T_init2034474536067150162[[#This Row],[p]]=3,mainpot,IF(ISBLANK(T_init2034474536067150162[[#This Row],[p]]),T_init2034474536067150162[[#This Row],[stack]]-T_init2034474536067150162[[#This Row],[anteblinds]],0))))</f>
        <v>0</v>
      </c>
      <c r="BE22">
        <v>0</v>
      </c>
      <c r="BF22" s="2">
        <f>T_p3p224382778576471154166[[#This Row],[EQ]]*prize</f>
        <v>0</v>
      </c>
      <c r="BG22" s="66">
        <f>IF(T_init2034474536067150162[[#This Row],[p]]=2,T_p3p224382778576471154166[[#This Row],[players]]*T_p3p224382778576471154166[[#This Row],[stack]]/chips+COUNTIF(T_p3p224382778576471154166[stack],0),T_p3p224382778576471154166[[#This Row],[players]]*T_p3p224382778576471154166[[#This Row],[stack]]/chips)</f>
        <v>0</v>
      </c>
      <c r="BH22" s="16">
        <f>T_p3p224382778576471154166[[#This Row],[ICM]]+bounty*T_p3p224382778576471154166[[#This Row],[KO]]</f>
        <v>0</v>
      </c>
      <c r="BJ22" s="5">
        <f>COUNTIF(T_p3p22438277857647175158170[stack],"&gt;0")</f>
        <v>3</v>
      </c>
      <c r="BK22">
        <f>IF(T_init2034474536067150162[[#This Row],[p]]=1,uncalled + ROUND(sidepot1/2,0),IF(T_init2034474536067150162[[#This Row],[p]]=2,ROUND(sidepot1/2,0),IF(T_init2034474536067150162[[#This Row],[p]]=3,mainpot,IF(ISBLANK(T_init2034474536067150162[[#This Row],[p]]),T_init2034474536067150162[[#This Row],[stack]]-T_init2034474536067150162[[#This Row],[anteblinds]],0))))</f>
        <v>0</v>
      </c>
      <c r="BL22">
        <v>0</v>
      </c>
      <c r="BM22" s="2">
        <f>T_p3p22438277857647175158170[[#This Row],[EQ]]*prize</f>
        <v>0</v>
      </c>
      <c r="BN22" s="66">
        <f>IF(T_init2034474536067150162[[#This Row],[p]]=2,T_p3p22438277857647175158170[[#This Row],[players]]*T_p3p22438277857647175158170[[#This Row],[stack]]/chips+COUNTIF(T_p3p22438277857647175158170[stack],0),T_p3p22438277857647175158170[[#This Row],[players]]*T_p3p22438277857647175158170[[#This Row],[stack]]/chips)</f>
        <v>0</v>
      </c>
      <c r="BO22" s="16">
        <f>T_p3p22438277857647175158170[[#This Row],[ICM]]+bounty*T_p3p22438277857647175158170[[#This Row],[KO]]</f>
        <v>0</v>
      </c>
      <c r="BQ22" s="73">
        <v>3</v>
      </c>
      <c r="BR22" s="26">
        <f>IF(T_init2034474536067150162[[#This Row],[p]]=1,uncalled,IF(T_init2034474536067150162[[#This Row],[p]]=2,mainpot+sidepot1+sidepot2,IF(T_init2034474536067150162[[#This Row],[p]]&gt;2,0,T_init2034474536067150162[[#This Row],[stack]]-T_init2034474536067150162[[#This Row],[anteblinds]])))</f>
        <v>0</v>
      </c>
      <c r="BT22" s="2">
        <f>T_fact29392879586572155167[[#This Row],[EQ]]*prize</f>
        <v>0</v>
      </c>
      <c r="BU22" s="66">
        <f>IF(T_init2034474536067150162[[#This Row],[p]]=1,T_fact29392879586572155167[[#This Row],[players]]*T_fact29392879586572155167[[#This Row],[stack]]/chips+COUNTIF(T_fact29392879586572155167[stack],0),T_fact29392879586572155167[[#This Row],[players]]*T_fact29392879586572155167[[#This Row],[stack]]/chips)</f>
        <v>0</v>
      </c>
      <c r="BV22" s="16">
        <f>T_fact29392879586572155167[[#This Row],[ICM]]+bounty*T_fact29392879586572155167[[#This Row],[KO]]</f>
        <v>0</v>
      </c>
      <c r="BY22" s="68">
        <f>'3way-ai-preflo разбивка'!p3win* ('3way-ai-preflo разбивка'!p1sp1win*T_p3p123372677566370153165[[#This Row],[ICM]] + '3way-ai-preflo разбивка'!p2sp1win*T_p3p224382778576471154166[[#This Row],[ICM]] + tiesp1*T_p3p22438277857647175158170[[#This Row],[ICM]])
+'3way-ai-preflo разбивка'!p2win*T_p222362576556269152164[[#This Row],[ICM]]
+'3way-ai-preflo разбивка'!p1win*T_p121351975546168151163[[#This Row],[ICM]]
+'3way-ai-preflo разбивка'!tie*T_p22236257655626974157169[[#This Row],[ICM]]</f>
        <v>0</v>
      </c>
      <c r="BZ22" s="68">
        <f>('3way-ai-preflo разбивка'!p3win* ('3way-ai-preflo разбивка'!p1sp1win*T_p3p123372677566370153165[[#This Row],[KO]] + '3way-ai-preflo разбивка'!p2sp1win*T_p3p224382778576471154166[[#This Row],[KO]])
+'3way-ai-preflo разбивка'!p2win*T_p222362576556269152164[[#This Row],[KO]]
+'3way-ai-preflo разбивка'!p1win*T_p121351975546168151163[[#This Row],[KO]])*bounty</f>
        <v>0</v>
      </c>
      <c r="CA22" s="68">
        <f>'3way-ai-preflo разбивка'!p3win* ('3way-ai-preflo разбивка'!p1sp1win*T_p3p123372677566370153165[[#This Row],[$stack]] + '3way-ai-preflo разбивка'!p2sp1win*T_p3p224382778576471154166[[#This Row],[$stack]])
+'3way-ai-preflo разбивка'!p2win*T_p222362576556269152164[[#This Row],[$stack]]
+'3way-ai-preflo разбивка'!p1win*T_p121351975546168151163[[#This Row],[$stack]]</f>
        <v>0</v>
      </c>
      <c r="CB22" s="68">
        <f>'3way-ai-preflo разбивка'!p3win* ('3way-ai-preflo разбивка'!p1sp1win*T_p3p123372677566370153165[[#This Row],[stack]] + '3way-ai-preflo разбивка'!p2sp1win*T_p3p224382778576471154166[[#This Row],[stack]] + tiesp1*T_p3p22438277857647175158170[[#This Row],[stack]])
+'3way-ai-preflo разбивка'!p2win*T_p222362576556269152164[[#This Row],[stack]]
+'3way-ai-preflo разбивка'!p1win*T_p121351975546168151163[[#This Row],[stack]]
+tie*T_p22236257655626974157169[[#This Row],[stack]]</f>
        <v>0</v>
      </c>
      <c r="CC22" s="68">
        <f>T_fact29392879586572155167[[#This Row],[stack]]- T_init2034474536067150162[[#This Row],[stack]]</f>
        <v>0</v>
      </c>
      <c r="CD22" s="68">
        <f>T_EV33403080596673156168[[#This Row],[netwon]]+T_EV33403080596673156168[[#This Row],[cEVdiff]]</f>
        <v>0</v>
      </c>
      <c r="CE22" s="2">
        <f>T_EV33403080596673156168[[#This Row],[chipEV]]-T_fact29392879586572155167[[#This Row],[stack]]</f>
        <v>0</v>
      </c>
      <c r="CF22" s="2">
        <f>T_EV33403080596673156168[[#This Row],[EV]]-(T_fact29392879586572155167[[#This Row],[ICM]])</f>
        <v>0</v>
      </c>
    </row>
    <row r="23" spans="1:84" x14ac:dyDescent="0.25">
      <c r="A23" t="s">
        <v>95</v>
      </c>
      <c r="D23">
        <f>SUBTOTAL(109,T_init2034474536067150162[anteblinds])</f>
        <v>115</v>
      </c>
      <c r="F23" s="53"/>
      <c r="G23" s="50">
        <f>SUM(T_p121351975546168151163[stack])</f>
        <v>2000</v>
      </c>
      <c r="H23" s="50">
        <f>SUM(T_p121351975546168151163[EQ])</f>
        <v>1</v>
      </c>
      <c r="I23" s="50">
        <f>SUM(T_p121351975546168151163[ICM])</f>
        <v>107.83999999999999</v>
      </c>
      <c r="J23" s="50">
        <f>SUM(T_p121351975546168151163[KO])</f>
        <v>6</v>
      </c>
      <c r="K23" s="50">
        <f>SUM(T_p121351975546168151163[$stack])</f>
        <v>107.83999999999999</v>
      </c>
      <c r="M23" s="53"/>
      <c r="N23" s="55">
        <f>SUM(T_p222362576556269152164[stack])</f>
        <v>2000</v>
      </c>
      <c r="O23" s="50">
        <f>SUM(T_p222362576556269152164[EQ])</f>
        <v>1</v>
      </c>
      <c r="P23" s="51">
        <f>SUM(T_p222362576556269152164[ICM])</f>
        <v>107.84</v>
      </c>
      <c r="Q23" s="52">
        <f>SUM(T_p222362576556269152164[KO])</f>
        <v>6.0000000000000009</v>
      </c>
      <c r="R23" s="50">
        <f>SUM(T_p222362576556269152164[$stack])</f>
        <v>107.84</v>
      </c>
      <c r="T23" s="53"/>
      <c r="U23" s="55">
        <f>SUM(T_p22236257655626974157169[stack])</f>
        <v>2000</v>
      </c>
      <c r="V23" s="50">
        <f>SUM(T_p22236257655626974157169[EQ])</f>
        <v>1</v>
      </c>
      <c r="W23" s="51">
        <f>SUM(T_p22236257655626974157169[ICM])</f>
        <v>107.84</v>
      </c>
      <c r="X23" s="52">
        <f>SUM(T_p22236257655626974157169[KO])</f>
        <v>6</v>
      </c>
      <c r="Y23" s="50">
        <f>SUM(T_p22236257655626974157169[$stack])</f>
        <v>107.84</v>
      </c>
      <c r="AA23" s="53"/>
      <c r="AB23" s="55">
        <f>SUM(T_p22236257655626974157159171[stack])</f>
        <v>2000</v>
      </c>
      <c r="AC23" s="50">
        <f>SUM(T_p22236257655626974157159171[EQ])</f>
        <v>1</v>
      </c>
      <c r="AD23" s="51">
        <f>SUM(T_p22236257655626974157159171[ICM])</f>
        <v>107.84</v>
      </c>
      <c r="AE23" s="52">
        <f>SUM(T_p22236257655626974157159171[KO])</f>
        <v>6</v>
      </c>
      <c r="AF23" s="50">
        <f>SUM(T_p22236257655626974157159171[$stack])</f>
        <v>107.84</v>
      </c>
      <c r="AH23" s="53"/>
      <c r="AI23" s="55">
        <f>SUM(T_p22236257655626974157159160172[stack])</f>
        <v>2000</v>
      </c>
      <c r="AJ23" s="50">
        <f>SUM(T_p22236257655626974157159160172[EQ])</f>
        <v>1</v>
      </c>
      <c r="AK23" s="51">
        <f>SUM(T_p22236257655626974157159160172[ICM])</f>
        <v>107.84</v>
      </c>
      <c r="AL23" s="52">
        <f>SUM(T_p22236257655626974157159160172[KO])</f>
        <v>6.0000000000000009</v>
      </c>
      <c r="AM23" s="50">
        <f>SUM(T_p22236257655626974157159160172[$stack])</f>
        <v>107.84</v>
      </c>
      <c r="AO23" s="53"/>
      <c r="AP23" s="55">
        <f>SUM(T_p22236257655626974157159160161173[stack])</f>
        <v>2000</v>
      </c>
      <c r="AQ23" s="50">
        <f>SUM(T_p22236257655626974157159160161173[EQ])</f>
        <v>1</v>
      </c>
      <c r="AR23" s="51">
        <f>SUM(T_p22236257655626974157159160161173[ICM])</f>
        <v>107.84</v>
      </c>
      <c r="AS23" s="52">
        <f>SUM(T_p22236257655626974157159160161173[KO])</f>
        <v>6</v>
      </c>
      <c r="AT23" s="50">
        <f>SUM(T_p22236257655626974157159160161173[$stack])</f>
        <v>107.84</v>
      </c>
      <c r="AV23" s="53"/>
      <c r="AW23" s="55">
        <f>SUM(T_p3p123372677566370153165[stack])</f>
        <v>2000</v>
      </c>
      <c r="AX23" s="50">
        <f>SUM(T_p3p123372677566370153165[EQ])</f>
        <v>1</v>
      </c>
      <c r="AY23" s="51">
        <f>SUM(T_p3p123372677566370153165[ICM])</f>
        <v>107.84</v>
      </c>
      <c r="AZ23" s="52">
        <f>SUM(T_p3p123372677566370153165[KO])</f>
        <v>6</v>
      </c>
      <c r="BA23" s="50">
        <f>SUM(T_p3p123372677566370153165[$stack])</f>
        <v>107.84</v>
      </c>
      <c r="BC23" s="53"/>
      <c r="BD23" s="55">
        <f>SUM(T_p3p224382778576471154166[stack])</f>
        <v>2000</v>
      </c>
      <c r="BE23" s="50">
        <f>SUM(T_p3p224382778576471154166[EQ])</f>
        <v>1</v>
      </c>
      <c r="BF23" s="51">
        <f>SUM(T_p3p224382778576471154166[ICM])</f>
        <v>107.84</v>
      </c>
      <c r="BG23" s="52">
        <f>SUM(T_p3p224382778576471154166[KO])</f>
        <v>6</v>
      </c>
      <c r="BH23" s="50">
        <f>SUM(T_p3p123372677566370153165[$stack])</f>
        <v>107.84</v>
      </c>
      <c r="BJ23" s="53"/>
      <c r="BK23" s="55">
        <f>SUM(T_p3p22438277857647175158170[stack])</f>
        <v>2000</v>
      </c>
      <c r="BL23" s="50">
        <f>SUM(T_p3p22438277857647175158170[EQ])</f>
        <v>1</v>
      </c>
      <c r="BM23" s="51">
        <f>SUM(T_p3p22438277857647175158170[ICM])</f>
        <v>107.84</v>
      </c>
      <c r="BN23" s="52">
        <f>SUM(T_p3p22438277857647175158170[KO])</f>
        <v>6</v>
      </c>
      <c r="BO23" s="50">
        <f>SUM(T_p3p123372677566370153165[$stack])</f>
        <v>107.84</v>
      </c>
      <c r="BQ23" s="53"/>
      <c r="BR23" s="55">
        <f>SUM(T_fact29392879586572155167[stack])</f>
        <v>2000</v>
      </c>
      <c r="BS23" s="50">
        <f>SUM(T_fact29392879586572155167[EQ])</f>
        <v>1</v>
      </c>
      <c r="BT23" s="51">
        <f>SUM(T_fact29392879586572155167[ICM])</f>
        <v>107.84</v>
      </c>
      <c r="BU23" s="52">
        <f>SUM(T_fact29392879586572155167[KO])</f>
        <v>6</v>
      </c>
      <c r="BV23" s="51">
        <f>SUM(T_fact29392879586572155167[$stack])</f>
        <v>107.84</v>
      </c>
      <c r="BY23" s="52">
        <f>SUM(T_EV33403080596673156168[ICM])</f>
        <v>101.5309706976</v>
      </c>
      <c r="BZ23" s="52">
        <f>SUM(T_EV33403080596673156168[KO])</f>
        <v>0</v>
      </c>
      <c r="CA23" s="52">
        <f>SUM(T_EV33403080596673156168[EV])</f>
        <v>88.557429395199989</v>
      </c>
      <c r="CB23" s="50">
        <f>SUM(T_EV33403080596673156168[chipEV])</f>
        <v>1882.9927799999996</v>
      </c>
      <c r="CC23" s="50"/>
      <c r="CD23" s="50"/>
    </row>
    <row r="25" spans="1:84" ht="18.75" x14ac:dyDescent="0.3">
      <c r="M25" s="79" t="s">
        <v>117</v>
      </c>
      <c r="P25" t="s">
        <v>757</v>
      </c>
    </row>
    <row r="26" spans="1:84" x14ac:dyDescent="0.25">
      <c r="C26" t="s">
        <v>118</v>
      </c>
      <c r="M26" t="s">
        <v>726</v>
      </c>
    </row>
    <row r="27" spans="1:84" x14ac:dyDescent="0.25">
      <c r="C27" t="s">
        <v>120</v>
      </c>
      <c r="M27" t="s">
        <v>727</v>
      </c>
    </row>
    <row r="28" spans="1:84" x14ac:dyDescent="0.25">
      <c r="C28" t="s">
        <v>122</v>
      </c>
      <c r="M28" t="s">
        <v>728</v>
      </c>
    </row>
    <row r="29" spans="1:84" x14ac:dyDescent="0.25">
      <c r="M29" t="s">
        <v>729</v>
      </c>
    </row>
    <row r="30" spans="1:84" x14ac:dyDescent="0.25">
      <c r="M30" t="s">
        <v>730</v>
      </c>
    </row>
    <row r="31" spans="1:84" x14ac:dyDescent="0.25">
      <c r="C31" t="s">
        <v>126</v>
      </c>
      <c r="M31" t="s">
        <v>731</v>
      </c>
    </row>
    <row r="32" spans="1:84" x14ac:dyDescent="0.25">
      <c r="M32" t="s">
        <v>732</v>
      </c>
    </row>
    <row r="33" spans="2:13" x14ac:dyDescent="0.25">
      <c r="B33" t="s">
        <v>129</v>
      </c>
      <c r="M33" t="s">
        <v>733</v>
      </c>
    </row>
    <row r="34" spans="2:13" x14ac:dyDescent="0.25">
      <c r="B34" t="s">
        <v>131</v>
      </c>
      <c r="M34" t="s">
        <v>734</v>
      </c>
    </row>
    <row r="35" spans="2:13" x14ac:dyDescent="0.25">
      <c r="C35" t="s">
        <v>133</v>
      </c>
      <c r="M35" t="s">
        <v>189</v>
      </c>
    </row>
    <row r="36" spans="2:13" x14ac:dyDescent="0.25">
      <c r="D36" t="s">
        <v>135</v>
      </c>
      <c r="M36" t="s">
        <v>735</v>
      </c>
    </row>
    <row r="37" spans="2:13" x14ac:dyDescent="0.25">
      <c r="C37" t="s">
        <v>137</v>
      </c>
      <c r="M37" t="s">
        <v>194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736</v>
      </c>
    </row>
    <row r="40" spans="2:13" x14ac:dyDescent="0.25">
      <c r="D40" t="s">
        <v>142</v>
      </c>
      <c r="M40" t="s">
        <v>737</v>
      </c>
    </row>
    <row r="41" spans="2:13" x14ac:dyDescent="0.25">
      <c r="D41" t="s">
        <v>144</v>
      </c>
      <c r="E41" t="s">
        <v>145</v>
      </c>
      <c r="M41" t="s">
        <v>738</v>
      </c>
    </row>
    <row r="42" spans="2:13" x14ac:dyDescent="0.25">
      <c r="F42" t="s">
        <v>147</v>
      </c>
      <c r="M42" t="s">
        <v>739</v>
      </c>
    </row>
    <row r="43" spans="2:13" x14ac:dyDescent="0.25">
      <c r="E43" t="s">
        <v>149</v>
      </c>
      <c r="M43" t="s">
        <v>740</v>
      </c>
    </row>
    <row r="44" spans="2:13" x14ac:dyDescent="0.25">
      <c r="F44" t="s">
        <v>151</v>
      </c>
      <c r="M44" t="s">
        <v>741</v>
      </c>
    </row>
    <row r="45" spans="2:13" x14ac:dyDescent="0.25">
      <c r="M45" t="s">
        <v>742</v>
      </c>
    </row>
    <row r="46" spans="2:13" x14ac:dyDescent="0.25">
      <c r="C46" t="s">
        <v>154</v>
      </c>
      <c r="M46" t="s">
        <v>743</v>
      </c>
    </row>
    <row r="47" spans="2:13" x14ac:dyDescent="0.25">
      <c r="D47" t="s">
        <v>156</v>
      </c>
      <c r="M47" t="s">
        <v>744</v>
      </c>
    </row>
    <row r="48" spans="2:13" x14ac:dyDescent="0.25">
      <c r="D48" t="s">
        <v>158</v>
      </c>
      <c r="E48" t="s">
        <v>145</v>
      </c>
      <c r="M48" t="s">
        <v>166</v>
      </c>
    </row>
    <row r="49" spans="5:13" x14ac:dyDescent="0.25">
      <c r="F49" t="s">
        <v>160</v>
      </c>
      <c r="M49" t="s">
        <v>745</v>
      </c>
    </row>
    <row r="50" spans="5:13" x14ac:dyDescent="0.25">
      <c r="E50" t="s">
        <v>149</v>
      </c>
      <c r="M50" t="s">
        <v>746</v>
      </c>
    </row>
    <row r="51" spans="5:13" x14ac:dyDescent="0.25">
      <c r="F51" t="s">
        <v>163</v>
      </c>
      <c r="M51" t="s">
        <v>747</v>
      </c>
    </row>
    <row r="52" spans="5:13" x14ac:dyDescent="0.25">
      <c r="E52" t="s">
        <v>165</v>
      </c>
      <c r="M52" t="s">
        <v>748</v>
      </c>
    </row>
    <row r="53" spans="5:13" x14ac:dyDescent="0.25">
      <c r="F53" t="s">
        <v>167</v>
      </c>
      <c r="M53" t="s">
        <v>405</v>
      </c>
    </row>
    <row r="54" spans="5:13" x14ac:dyDescent="0.25">
      <c r="F54" t="s">
        <v>144</v>
      </c>
      <c r="M54" t="s">
        <v>749</v>
      </c>
    </row>
    <row r="55" spans="5:13" x14ac:dyDescent="0.25">
      <c r="G55" t="s">
        <v>145</v>
      </c>
      <c r="M55" t="s">
        <v>750</v>
      </c>
    </row>
    <row r="56" spans="5:13" x14ac:dyDescent="0.25">
      <c r="H56" t="s">
        <v>147</v>
      </c>
      <c r="M56" t="s">
        <v>173</v>
      </c>
    </row>
    <row r="57" spans="5:13" x14ac:dyDescent="0.25">
      <c r="G57" t="s">
        <v>149</v>
      </c>
      <c r="M57" t="s">
        <v>751</v>
      </c>
    </row>
    <row r="58" spans="5:13" x14ac:dyDescent="0.25">
      <c r="H58" t="s">
        <v>151</v>
      </c>
      <c r="M58" t="s">
        <v>752</v>
      </c>
    </row>
    <row r="59" spans="5:13" x14ac:dyDescent="0.25">
      <c r="M59" t="s">
        <v>753</v>
      </c>
    </row>
    <row r="60" spans="5:13" x14ac:dyDescent="0.25">
      <c r="M60" t="s">
        <v>754</v>
      </c>
    </row>
    <row r="61" spans="5:13" x14ac:dyDescent="0.25">
      <c r="M61" t="s">
        <v>755</v>
      </c>
    </row>
    <row r="62" spans="5:13" x14ac:dyDescent="0.25">
      <c r="M62" t="s">
        <v>756</v>
      </c>
    </row>
  </sheetData>
  <mergeCells count="14">
    <mergeCell ref="BC15:BG15"/>
    <mergeCell ref="BJ15:BN15"/>
    <mergeCell ref="BQ15:BU15"/>
    <mergeCell ref="BY15:CB15"/>
    <mergeCell ref="F10:F11"/>
    <mergeCell ref="AV13:BO13"/>
    <mergeCell ref="BY14:CB14"/>
    <mergeCell ref="F15:J15"/>
    <mergeCell ref="M15:Q15"/>
    <mergeCell ref="T15:X15"/>
    <mergeCell ref="AA15:AE15"/>
    <mergeCell ref="AH15:AL15"/>
    <mergeCell ref="AO15:AS15"/>
    <mergeCell ref="AV15:AZ15"/>
  </mergeCells>
  <pageMargins left="0.7" right="0.7" top="0.75" bottom="0.75" header="0.3" footer="0.3"/>
  <pageSetup paperSize="9" orientation="portrait" horizontalDpi="4294967293" verticalDpi="0" r:id="rId1"/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7DD-B6BB-44E1-AACF-96FE63BAF0CE}">
  <dimension ref="A1:CF66"/>
  <sheetViews>
    <sheetView workbookViewId="0">
      <pane xSplit="5" ySplit="14" topLeftCell="F15" activePane="bottomRight" state="frozen"/>
      <selection pane="topRight" activeCell="F1" sqref="F1"/>
      <selection pane="bottomLeft" activeCell="A12" sqref="A12"/>
      <selection pane="bottomRight" activeCell="P14" sqref="P14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.140625" customWidth="1"/>
    <col min="20" max="20" width="6.7109375" customWidth="1"/>
    <col min="21" max="21" width="9.5703125" bestFit="1" customWidth="1"/>
    <col min="22" max="22" width="10.28515625" customWidth="1"/>
    <col min="26" max="26" width="2.28515625" customWidth="1"/>
    <col min="27" max="27" width="6.7109375" customWidth="1"/>
    <col min="28" max="28" width="9.5703125" bestFit="1" customWidth="1"/>
    <col min="29" max="29" width="10.28515625" customWidth="1"/>
    <col min="33" max="33" width="2.42578125" customWidth="1"/>
    <col min="34" max="34" width="6.7109375" customWidth="1"/>
    <col min="35" max="35" width="9.5703125" bestFit="1" customWidth="1"/>
    <col min="36" max="36" width="10.28515625" customWidth="1"/>
    <col min="40" max="40" width="2.5703125" customWidth="1"/>
    <col min="41" max="41" width="6.7109375" customWidth="1"/>
    <col min="42" max="42" width="9.5703125" bestFit="1" customWidth="1"/>
    <col min="43" max="43" width="10.28515625" customWidth="1"/>
    <col min="47" max="47" width="2.5703125" customWidth="1"/>
    <col min="48" max="48" width="5.5703125" customWidth="1"/>
    <col min="49" max="49" width="7.7109375" customWidth="1"/>
    <col min="50" max="51" width="8.5703125" customWidth="1"/>
    <col min="52" max="52" width="9.85546875" customWidth="1"/>
    <col min="53" max="53" width="8.42578125" customWidth="1"/>
    <col min="54" max="54" width="2.85546875" customWidth="1"/>
    <col min="55" max="55" width="7.28515625" customWidth="1"/>
    <col min="56" max="56" width="8.5703125" customWidth="1"/>
    <col min="57" max="57" width="10" customWidth="1"/>
    <col min="61" max="61" width="2.42578125" customWidth="1"/>
    <col min="62" max="62" width="7.28515625" customWidth="1"/>
    <col min="63" max="63" width="8.5703125" customWidth="1"/>
    <col min="64" max="64" width="10" customWidth="1"/>
    <col min="68" max="68" width="2.85546875" customWidth="1"/>
    <col min="69" max="69" width="5.85546875" customWidth="1"/>
    <col min="70" max="70" width="6.7109375" customWidth="1"/>
    <col min="74" max="74" width="10.7109375" customWidth="1"/>
    <col min="75" max="75" width="2.42578125" customWidth="1"/>
    <col min="76" max="76" width="1" customWidth="1"/>
    <col min="77" max="77" width="9.140625" customWidth="1"/>
    <col min="78" max="78" width="7.42578125" customWidth="1"/>
    <col min="79" max="79" width="10.28515625" customWidth="1"/>
  </cols>
  <sheetData>
    <row r="1" spans="1:82" ht="15.75" x14ac:dyDescent="0.25">
      <c r="A1" t="s">
        <v>644</v>
      </c>
      <c r="B1">
        <v>26.96</v>
      </c>
      <c r="C1" s="80" t="s">
        <v>0</v>
      </c>
      <c r="D1">
        <f>B1*4</f>
        <v>107.84</v>
      </c>
      <c r="F1" s="80" t="s">
        <v>71</v>
      </c>
      <c r="G1" s="107">
        <f>N5+N6+N7 + N3/2 + N2/3 +N4/2</f>
        <v>0.18218533333333334</v>
      </c>
      <c r="I1" s="80" t="s">
        <v>73</v>
      </c>
      <c r="J1">
        <v>355</v>
      </c>
      <c r="M1" t="s">
        <v>718</v>
      </c>
    </row>
    <row r="2" spans="1:82" ht="15.75" x14ac:dyDescent="0.25">
      <c r="C2" s="80" t="s">
        <v>1</v>
      </c>
      <c r="D2">
        <f>bounty</f>
        <v>0</v>
      </c>
      <c r="F2" s="80" t="s">
        <v>74</v>
      </c>
      <c r="G2" s="107">
        <f>N8+N10+N13 + N3/2 + N2/3+N12/2</f>
        <v>0.18218533333333334</v>
      </c>
      <c r="I2" s="80" t="s">
        <v>76</v>
      </c>
      <c r="J2">
        <v>750</v>
      </c>
      <c r="M2">
        <v>111</v>
      </c>
      <c r="N2" s="107">
        <v>3.5409999999999999E-3</v>
      </c>
    </row>
    <row r="3" spans="1:82" ht="15.75" x14ac:dyDescent="0.25">
      <c r="C3" s="80" t="s">
        <v>77</v>
      </c>
      <c r="D3">
        <v>2000</v>
      </c>
      <c r="F3" s="80" t="s">
        <v>78</v>
      </c>
      <c r="G3" s="107">
        <f>N9+N11+N14 + N2/3+N12/2+N4/2</f>
        <v>0.63562833333333346</v>
      </c>
      <c r="I3" s="80" t="s">
        <v>79</v>
      </c>
      <c r="J3">
        <v>0</v>
      </c>
      <c r="M3">
        <v>113</v>
      </c>
      <c r="N3" s="107">
        <v>0.33298800000000001</v>
      </c>
    </row>
    <row r="4" spans="1:82" ht="15.75" x14ac:dyDescent="0.25">
      <c r="F4" s="80"/>
      <c r="I4" s="80" t="s">
        <v>81</v>
      </c>
      <c r="J4">
        <v>325</v>
      </c>
      <c r="M4">
        <v>131</v>
      </c>
      <c r="N4" s="107">
        <v>0</v>
      </c>
    </row>
    <row r="5" spans="1:82" ht="17.25" customHeight="1" x14ac:dyDescent="0.25">
      <c r="F5" s="80"/>
      <c r="M5">
        <v>122</v>
      </c>
      <c r="N5" s="107">
        <v>3.57E-4</v>
      </c>
    </row>
    <row r="6" spans="1:82" ht="21" customHeight="1" x14ac:dyDescent="0.25">
      <c r="C6" s="80" t="s">
        <v>801</v>
      </c>
      <c r="D6" s="104" t="s">
        <v>802</v>
      </c>
      <c r="M6">
        <v>123</v>
      </c>
      <c r="N6" s="107">
        <v>5.0369999999999998E-3</v>
      </c>
    </row>
    <row r="7" spans="1:82" ht="22.5" customHeight="1" x14ac:dyDescent="0.25">
      <c r="C7" s="80" t="s">
        <v>803</v>
      </c>
      <c r="D7" s="105"/>
      <c r="M7">
        <v>132</v>
      </c>
      <c r="N7" s="107">
        <v>9.1170000000000001E-3</v>
      </c>
    </row>
    <row r="8" spans="1:82" ht="18.75" customHeight="1" x14ac:dyDescent="0.25">
      <c r="C8" s="80" t="s">
        <v>804</v>
      </c>
      <c r="D8" s="104"/>
      <c r="M8">
        <v>212</v>
      </c>
      <c r="N8" s="107">
        <v>3.57E-4</v>
      </c>
    </row>
    <row r="9" spans="1:82" ht="18.75" customHeight="1" x14ac:dyDescent="0.25">
      <c r="C9" s="80" t="s">
        <v>805</v>
      </c>
      <c r="D9" s="104"/>
      <c r="M9">
        <v>221</v>
      </c>
      <c r="N9" s="107">
        <v>0.63257600000000003</v>
      </c>
    </row>
    <row r="10" spans="1:82" ht="18.75" customHeight="1" x14ac:dyDescent="0.25">
      <c r="C10" t="s">
        <v>721</v>
      </c>
      <c r="M10">
        <v>213</v>
      </c>
      <c r="N10" s="107">
        <v>5.0369999999999998E-3</v>
      </c>
    </row>
    <row r="11" spans="1:82" ht="18.75" customHeight="1" x14ac:dyDescent="0.25">
      <c r="C11" t="s">
        <v>720</v>
      </c>
      <c r="M11">
        <v>231</v>
      </c>
      <c r="N11" s="107">
        <v>9.3599999999999998E-4</v>
      </c>
    </row>
    <row r="12" spans="1:82" ht="18.75" customHeight="1" x14ac:dyDescent="0.25">
      <c r="C12" t="s">
        <v>722</v>
      </c>
      <c r="M12">
        <v>311</v>
      </c>
      <c r="N12" s="107">
        <v>0</v>
      </c>
    </row>
    <row r="13" spans="1:82" ht="15.75" customHeight="1" x14ac:dyDescent="0.25">
      <c r="M13">
        <v>312</v>
      </c>
      <c r="N13" s="107">
        <v>9.1170000000000001E-3</v>
      </c>
    </row>
    <row r="14" spans="1:82" ht="15.75" thickBot="1" x14ac:dyDescent="0.3">
      <c r="F14" s="117"/>
      <c r="G14" s="5"/>
      <c r="H14" s="5"/>
      <c r="I14" s="5"/>
      <c r="M14">
        <v>321</v>
      </c>
      <c r="N14" s="107">
        <v>9.3599999999999998E-4</v>
      </c>
    </row>
    <row r="15" spans="1:82" ht="7.5" customHeight="1" thickBot="1" x14ac:dyDescent="0.35">
      <c r="F15" s="106"/>
      <c r="G15" s="106"/>
      <c r="H15" s="106"/>
      <c r="I15" s="106"/>
      <c r="J15" s="106"/>
      <c r="K15" s="106"/>
      <c r="AV15" s="129" t="s">
        <v>723</v>
      </c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1"/>
      <c r="BW15" s="99"/>
      <c r="BX15" s="99"/>
    </row>
    <row r="16" spans="1:82" ht="22.5" thickTop="1" thickBot="1" x14ac:dyDescent="0.4">
      <c r="F16" s="106"/>
      <c r="G16" s="106"/>
      <c r="H16" s="109" t="s">
        <v>725</v>
      </c>
      <c r="I16" s="106"/>
      <c r="J16" s="106"/>
      <c r="K16" s="106"/>
      <c r="O16" s="79" t="s">
        <v>724</v>
      </c>
      <c r="V16" s="110">
        <v>111</v>
      </c>
      <c r="AC16" s="110">
        <v>113</v>
      </c>
      <c r="AJ16" s="110">
        <v>131</v>
      </c>
      <c r="AQ16" s="110">
        <v>311</v>
      </c>
      <c r="AV16" s="111"/>
      <c r="AW16" s="112"/>
      <c r="AX16" s="112">
        <v>231</v>
      </c>
      <c r="AY16" s="112"/>
      <c r="AZ16" s="112"/>
      <c r="BA16" s="112"/>
      <c r="BB16" s="112"/>
      <c r="BC16" s="112"/>
      <c r="BD16" s="112"/>
      <c r="BE16" s="112">
        <v>321</v>
      </c>
      <c r="BF16" s="112"/>
      <c r="BG16" s="112"/>
      <c r="BH16" s="112"/>
      <c r="BI16" s="112"/>
      <c r="BJ16" s="112"/>
      <c r="BK16" s="112"/>
      <c r="BL16" s="112">
        <v>221</v>
      </c>
      <c r="BM16" s="112"/>
      <c r="BN16" s="112"/>
      <c r="BO16" s="113"/>
      <c r="BS16" t="s">
        <v>99</v>
      </c>
      <c r="BY16" s="132" t="s">
        <v>95</v>
      </c>
      <c r="BZ16" s="133"/>
      <c r="CA16" s="133"/>
      <c r="CB16" s="133"/>
      <c r="CC16" s="99"/>
      <c r="CD16" s="99"/>
    </row>
    <row r="17" spans="1:84" ht="19.5" thickTop="1" x14ac:dyDescent="0.3">
      <c r="F17" s="134" t="s">
        <v>100</v>
      </c>
      <c r="G17" s="135"/>
      <c r="H17" s="135"/>
      <c r="I17" s="135"/>
      <c r="J17" s="136"/>
      <c r="K17" s="106"/>
      <c r="M17" s="134" t="s">
        <v>101</v>
      </c>
      <c r="N17" s="135"/>
      <c r="O17" s="135"/>
      <c r="P17" s="135"/>
      <c r="Q17" s="136"/>
      <c r="R17" s="106"/>
      <c r="S17" s="106"/>
      <c r="T17" s="134" t="s">
        <v>642</v>
      </c>
      <c r="U17" s="135"/>
      <c r="V17" s="135"/>
      <c r="W17" s="135"/>
      <c r="X17" s="136"/>
      <c r="Y17" s="106"/>
      <c r="Z17" s="108"/>
      <c r="AA17" s="134" t="s">
        <v>642</v>
      </c>
      <c r="AB17" s="135"/>
      <c r="AC17" s="135"/>
      <c r="AD17" s="135"/>
      <c r="AE17" s="136"/>
      <c r="AF17" s="108"/>
      <c r="AG17" s="108"/>
      <c r="AH17" s="134" t="s">
        <v>642</v>
      </c>
      <c r="AI17" s="135"/>
      <c r="AJ17" s="135"/>
      <c r="AK17" s="135"/>
      <c r="AL17" s="136"/>
      <c r="AM17" s="108"/>
      <c r="AO17" s="134" t="s">
        <v>642</v>
      </c>
      <c r="AP17" s="135"/>
      <c r="AQ17" s="135"/>
      <c r="AR17" s="135"/>
      <c r="AS17" s="136"/>
      <c r="AT17" s="108"/>
      <c r="AV17" s="118" t="s">
        <v>102</v>
      </c>
      <c r="AW17" s="119"/>
      <c r="AX17" s="119"/>
      <c r="AY17" s="119"/>
      <c r="AZ17" s="120"/>
      <c r="BA17" s="106"/>
      <c r="BC17" s="118" t="s">
        <v>103</v>
      </c>
      <c r="BD17" s="119"/>
      <c r="BE17" s="119"/>
      <c r="BF17" s="119"/>
      <c r="BG17" s="120"/>
      <c r="BJ17" s="118" t="s">
        <v>643</v>
      </c>
      <c r="BK17" s="119"/>
      <c r="BL17" s="119"/>
      <c r="BM17" s="119"/>
      <c r="BN17" s="120"/>
      <c r="BQ17" s="121" t="s">
        <v>10</v>
      </c>
      <c r="BR17" s="122"/>
      <c r="BS17" s="122"/>
      <c r="BT17" s="122"/>
      <c r="BU17" s="123"/>
      <c r="BY17" s="124" t="s">
        <v>104</v>
      </c>
      <c r="BZ17" s="125"/>
      <c r="CA17" s="125"/>
      <c r="CB17" s="126"/>
      <c r="CC17" s="106"/>
      <c r="CD17" s="106"/>
    </row>
    <row r="18" spans="1:84" x14ac:dyDescent="0.25">
      <c r="A18" t="s">
        <v>105</v>
      </c>
      <c r="B18" t="s">
        <v>12</v>
      </c>
      <c r="C18" t="s">
        <v>13</v>
      </c>
      <c r="D18" t="s">
        <v>106</v>
      </c>
      <c r="F18" s="5" t="s">
        <v>107</v>
      </c>
      <c r="G18" t="s">
        <v>12</v>
      </c>
      <c r="H18" t="s">
        <v>108</v>
      </c>
      <c r="I18" t="s">
        <v>109</v>
      </c>
      <c r="J18" s="5" t="s">
        <v>1</v>
      </c>
      <c r="K18" s="5" t="s">
        <v>110</v>
      </c>
      <c r="M18" s="5" t="s">
        <v>107</v>
      </c>
      <c r="N18" s="5" t="s">
        <v>12</v>
      </c>
      <c r="O18" s="5" t="s">
        <v>108</v>
      </c>
      <c r="P18" s="5" t="s">
        <v>109</v>
      </c>
      <c r="Q18" s="5" t="s">
        <v>1</v>
      </c>
      <c r="R18" s="5" t="s">
        <v>110</v>
      </c>
      <c r="S18" s="5"/>
      <c r="T18" s="5" t="s">
        <v>107</v>
      </c>
      <c r="U18" s="5" t="s">
        <v>12</v>
      </c>
      <c r="V18" s="5" t="s">
        <v>108</v>
      </c>
      <c r="W18" s="5" t="s">
        <v>109</v>
      </c>
      <c r="X18" s="5" t="s">
        <v>1</v>
      </c>
      <c r="Y18" s="5" t="s">
        <v>110</v>
      </c>
      <c r="Z18" s="5"/>
      <c r="AA18" s="5" t="s">
        <v>107</v>
      </c>
      <c r="AB18" s="5" t="s">
        <v>12</v>
      </c>
      <c r="AC18" s="5" t="s">
        <v>108</v>
      </c>
      <c r="AD18" s="5" t="s">
        <v>109</v>
      </c>
      <c r="AE18" s="5" t="s">
        <v>1</v>
      </c>
      <c r="AF18" s="5" t="s">
        <v>110</v>
      </c>
      <c r="AG18" s="5"/>
      <c r="AH18" s="5" t="s">
        <v>107</v>
      </c>
      <c r="AI18" s="5" t="s">
        <v>12</v>
      </c>
      <c r="AJ18" s="5" t="s">
        <v>108</v>
      </c>
      <c r="AK18" s="5" t="s">
        <v>109</v>
      </c>
      <c r="AL18" s="5" t="s">
        <v>1</v>
      </c>
      <c r="AM18" s="5" t="s">
        <v>110</v>
      </c>
      <c r="AO18" s="5" t="s">
        <v>107</v>
      </c>
      <c r="AP18" s="5" t="s">
        <v>12</v>
      </c>
      <c r="AQ18" s="5" t="s">
        <v>108</v>
      </c>
      <c r="AR18" s="5" t="s">
        <v>109</v>
      </c>
      <c r="AS18" s="5" t="s">
        <v>1</v>
      </c>
      <c r="AT18" s="5" t="s">
        <v>110</v>
      </c>
      <c r="AV18" s="5" t="s">
        <v>107</v>
      </c>
      <c r="AW18" s="5" t="s">
        <v>12</v>
      </c>
      <c r="AX18" s="5" t="s">
        <v>108</v>
      </c>
      <c r="AY18" s="5" t="s">
        <v>109</v>
      </c>
      <c r="AZ18" s="5" t="s">
        <v>1</v>
      </c>
      <c r="BA18" s="5" t="s">
        <v>110</v>
      </c>
      <c r="BC18" s="5" t="s">
        <v>107</v>
      </c>
      <c r="BD18" s="5" t="s">
        <v>12</v>
      </c>
      <c r="BE18" s="5" t="s">
        <v>108</v>
      </c>
      <c r="BF18" s="5" t="s">
        <v>109</v>
      </c>
      <c r="BG18" s="5" t="s">
        <v>1</v>
      </c>
      <c r="BH18" t="s">
        <v>110</v>
      </c>
      <c r="BJ18" s="5" t="s">
        <v>107</v>
      </c>
      <c r="BK18" s="5" t="s">
        <v>12</v>
      </c>
      <c r="BL18" s="5" t="s">
        <v>108</v>
      </c>
      <c r="BM18" s="5" t="s">
        <v>109</v>
      </c>
      <c r="BN18" s="5" t="s">
        <v>1</v>
      </c>
      <c r="BO18" t="s">
        <v>110</v>
      </c>
      <c r="BQ18" s="5" t="s">
        <v>107</v>
      </c>
      <c r="BR18" s="5" t="s">
        <v>12</v>
      </c>
      <c r="BS18" s="5" t="s">
        <v>108</v>
      </c>
      <c r="BT18" s="5" t="s">
        <v>109</v>
      </c>
      <c r="BU18" s="5" t="s">
        <v>1</v>
      </c>
      <c r="BV18" t="s">
        <v>110</v>
      </c>
      <c r="BY18" s="5" t="s">
        <v>109</v>
      </c>
      <c r="BZ18" s="5" t="s">
        <v>1</v>
      </c>
      <c r="CA18" s="5" t="s">
        <v>104</v>
      </c>
      <c r="CB18" s="5" t="s">
        <v>111</v>
      </c>
      <c r="CC18" s="5" t="s">
        <v>634</v>
      </c>
      <c r="CD18" s="5" t="s">
        <v>635</v>
      </c>
      <c r="CE18" t="s">
        <v>112</v>
      </c>
      <c r="CF18" t="s">
        <v>113</v>
      </c>
    </row>
    <row r="19" spans="1:84" x14ac:dyDescent="0.25">
      <c r="A19" s="26">
        <v>3</v>
      </c>
      <c r="B19" s="26">
        <v>115</v>
      </c>
      <c r="C19" s="26" t="s">
        <v>633</v>
      </c>
      <c r="D19" s="26">
        <v>10</v>
      </c>
      <c r="F19" s="73">
        <f>COUNTIF(T_p121351975546168151[stack],"&gt;0")</f>
        <v>2</v>
      </c>
      <c r="G19" s="26">
        <f>IF(T_init2034474536067150[[#This Row],[p]]=1,mainpot+sidepot1+sidepot2+uncalled,IF(T_init2034474536067150[[#This Row],[p]]&gt;1,0,T_init2034474536067150[[#This Row],[stack]]-T_init2034474536067150[[#This Row],[anteblinds]]))</f>
        <v>0</v>
      </c>
      <c r="H19" s="26"/>
      <c r="I19" s="27">
        <f>T_p121351975546168151[[#This Row],[EQ]]*prize</f>
        <v>0</v>
      </c>
      <c r="J19" s="71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</v>
      </c>
      <c r="K19" s="71">
        <f>T_p121351975546168151[[#This Row],[ICM]]+bounty*T_p121351975546168151[[#This Row],[KO]]</f>
        <v>0</v>
      </c>
      <c r="M19" s="29">
        <f>COUNTIF(T_p222362576556269152[stack],"&gt;0")</f>
        <v>3</v>
      </c>
      <c r="N19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O19" s="26"/>
      <c r="P19" s="27">
        <f>T_p222362576556269152[[#This Row],[EQ]]*prize</f>
        <v>0</v>
      </c>
      <c r="Q19" s="71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</v>
      </c>
      <c r="R19" s="71">
        <f>T_p222362576556269152[[#This Row],[ICM]]+bounty*T_p222362576556269152[[#This Row],[KO]]</f>
        <v>0</v>
      </c>
      <c r="S19" s="71"/>
      <c r="T19" s="29">
        <f>COUNTIF(T_p22236257655626974157[stack],"&gt;0")</f>
        <v>4</v>
      </c>
      <c r="U19" s="26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119</v>
      </c>
      <c r="V19" s="26">
        <v>5.9499999999999997E-2</v>
      </c>
      <c r="W19" s="27">
        <f>T_p22236257655626974157[[#This Row],[EQ]]*prize</f>
        <v>6.41648</v>
      </c>
      <c r="X19" s="71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0.23799999999999999</v>
      </c>
      <c r="Y19" s="71">
        <f>T_p22236257655626974157[[#This Row],[ICM]]+bounty*T_p22236257655626974157[[#This Row],[KO]]</f>
        <v>6.41648</v>
      </c>
      <c r="Z19" s="71"/>
      <c r="AA19" s="29">
        <f>COUNTIF(T_p22236257655626974157159[stack],"&gt;0")</f>
        <v>3</v>
      </c>
      <c r="AB19" s="26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0</v>
      </c>
      <c r="AC19" s="26">
        <v>5.9499999999999997E-2</v>
      </c>
      <c r="AD19" s="27">
        <f>T_p22236257655626974157159[[#This Row],[EQ]]*prize</f>
        <v>6.41648</v>
      </c>
      <c r="AE19" s="71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0</v>
      </c>
      <c r="AF19" s="71">
        <f>T_p22236257655626974157159[[#This Row],[ICM]]+bounty*T_p22236257655626974157159[[#This Row],[KO]]</f>
        <v>6.41648</v>
      </c>
      <c r="AG19" s="71"/>
      <c r="AH19" s="29">
        <f>COUNTIF(T_p22236257655626974157159160[stack],"&gt;0")</f>
        <v>3</v>
      </c>
      <c r="AI19" s="26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178</v>
      </c>
      <c r="AJ19" s="26">
        <v>5.9499999999999997E-2</v>
      </c>
      <c r="AK19" s="27">
        <f>T_p22236257655626974157159160[[#This Row],[EQ]]*prize</f>
        <v>6.41648</v>
      </c>
      <c r="AL19" s="71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0.26700000000000002</v>
      </c>
      <c r="AM19" s="71">
        <f>T_p22236257655626974157159160[[#This Row],[ICM]]+bounty*T_p22236257655626974157159160[[#This Row],[KO]]</f>
        <v>6.41648</v>
      </c>
      <c r="AO19" s="29">
        <f>COUNTIF(T_p22236257655626974157159160161[stack],"&gt;0")</f>
        <v>4</v>
      </c>
      <c r="AP19" s="26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178</v>
      </c>
      <c r="AQ19" s="26">
        <v>5.9499999999999997E-2</v>
      </c>
      <c r="AR19" s="27">
        <f>T_p22236257655626974157159160161[[#This Row],[EQ]]*prize</f>
        <v>6.41648</v>
      </c>
      <c r="AS19" s="71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0.35599999999999998</v>
      </c>
      <c r="AT19" s="71">
        <f>T_p22236257655626974157159160161[[#This Row],[ICM]]+bounty*T_p22236257655626974157159160161[[#This Row],[KO]]</f>
        <v>6.41648</v>
      </c>
      <c r="AV19" s="73">
        <f>COUNTIF(T_p3p123372677566370153[stack],"&gt;0")</f>
        <v>3</v>
      </c>
      <c r="AW19" s="26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355</v>
      </c>
      <c r="AX19" s="26">
        <v>0.17749999999999999</v>
      </c>
      <c r="AY19" s="27">
        <f>T_p3p123372677566370153[[#This Row],[EQ]]*prize</f>
        <v>19.1416</v>
      </c>
      <c r="AZ19" s="71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0.53249999999999997</v>
      </c>
      <c r="BA19" s="71">
        <f>T_p3p123372677566370153[[#This Row],[ICM]]+bounty*T_p3p123372677566370153[[#This Row],[KO]]</f>
        <v>19.1416</v>
      </c>
      <c r="BC19" s="73">
        <f>COUNTIF(T_p3p224382778576471154[stack],"&gt;0")</f>
        <v>4</v>
      </c>
      <c r="BD19" s="26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355</v>
      </c>
      <c r="BE19" s="26">
        <v>0.17749999999999999</v>
      </c>
      <c r="BF19" s="27">
        <f>T_p3p224382778576471154[[#This Row],[EQ]]*prize</f>
        <v>19.1416</v>
      </c>
      <c r="BG19" s="71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0.71</v>
      </c>
      <c r="BH19" s="71">
        <f>T_p3p224382778576471154[[#This Row],[ICM]]+bounty*T_p3p224382778576471154[[#This Row],[KO]]</f>
        <v>19.1416</v>
      </c>
      <c r="BJ19" s="73">
        <f>COUNTIF(T_p3p22438277857647175158[stack],"&gt;0")</f>
        <v>4</v>
      </c>
      <c r="BK19" s="26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355</v>
      </c>
      <c r="BL19" s="26">
        <v>0.17749999999999999</v>
      </c>
      <c r="BM19" s="27">
        <f>T_p3p22438277857647175158[[#This Row],[EQ]]*prize</f>
        <v>19.1416</v>
      </c>
      <c r="BN19" s="71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0.71</v>
      </c>
      <c r="BO19" s="71">
        <f>T_p3p22438277857647175158[[#This Row],[ICM]]+bounty*T_p3p22438277857647175158[[#This Row],[KO]]</f>
        <v>19.1416</v>
      </c>
      <c r="BQ19" s="73">
        <v>3</v>
      </c>
      <c r="BR19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BS19" s="26"/>
      <c r="BT19" s="27">
        <f>T_fact29392879586572155[[#This Row],[EQ]]*prize</f>
        <v>0</v>
      </c>
      <c r="BU19" s="71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0</v>
      </c>
      <c r="BV19" s="71">
        <f>T_fact29392879586572155[[#This Row],[ICM]]+bounty*T_fact29392879586572155[[#This Row],[KO]]</f>
        <v>0</v>
      </c>
      <c r="BY19" s="72" t="e">
        <f>'3way шаблон разбивка'!p3win* ('3way шаблон разбивка'!p1sp1win*T_p3p123372677566370153[[#This Row],[ICM]] + '3way шаблон разбивка'!p2sp1win*T_p3p224382778576471154[[#This Row],[ICM]] + tiesp1*T_p3p22438277857647175158[[#This Row],[ICM]])
+'3way шаблон разбивка'!p2win*T_p222362576556269152[[#This Row],[ICM]]
+'3way шаблон разбивка'!p1win*T_p121351975546168151[[#This Row],[ICM]]
+'3way шаблон разбивка'!tie*T_p22236257655626974157[[#This Row],[ICM]]</f>
        <v>#REF!</v>
      </c>
      <c r="BZ19" s="33" t="e">
        <f>('3way шаблон разбивка'!p3win* ('3way шаблон разбивка'!p1sp1win*T_p3p123372677566370153[[#This Row],[KO]] + '3way шаблон разбивка'!p2sp1win*T_p3p224382778576471154[[#This Row],[KO]])
+'3way шаблон разбивка'!p2win*T_p222362576556269152[[#This Row],[KO]]
+'3way шаблон разбивка'!p1win*T_p121351975546168151[[#This Row],[KO]])*bounty</f>
        <v>#REF!</v>
      </c>
      <c r="CA19" s="72" t="e">
        <f>'3way шаблон разбивка'!p3win* ('3way шаблон разбивка'!p1sp1win*T_p3p123372677566370153[[#This Row],[$stack]] + '3way шаблон разбивка'!p2sp1win*T_p3p224382778576471154[[#This Row],[$stack]])
+'3way шаблон разбивка'!p2win*T_p222362576556269152[[#This Row],[$stack]]
+'3way шаблон разбивка'!p1win*T_p121351975546168151[[#This Row],[$stack]]</f>
        <v>#REF!</v>
      </c>
      <c r="CB19" s="33" t="e">
        <f>'3way шаблон разбивка'!p3win* ('3way шаблон разбивка'!p1sp1win*T_p3p123372677566370153[[#This Row],[stack]] + '3way шаблон разбивка'!p2sp1win*T_p3p224382778576471154[[#This Row],[stack]] + tiesp1*T_p3p22438277857647175158[[#This Row],[stack]])
+'3way шаблон разбивка'!p2win*T_p222362576556269152[[#This Row],[stack]]
+'3way шаблон разбивка'!p1win*T_p121351975546168151[[#This Row],[stack]]
+tie*T_p22236257655626974157[[#This Row],[stack]]</f>
        <v>#REF!</v>
      </c>
      <c r="CC19" s="72">
        <f>T_fact29392879586572155[[#This Row],[stack]]- T_init2034474536067150[[#This Row],[stack]]</f>
        <v>-115</v>
      </c>
      <c r="CD19" s="72" t="e">
        <f>T_EV33403080596673156[[#This Row],[netwon]]+T_EV33403080596673156[[#This Row],[cEVdiff]]</f>
        <v>#REF!</v>
      </c>
      <c r="CE19" s="2" t="e">
        <f>T_EV33403080596673156[[#This Row],[chipEV]]-T_fact29392879586572155[[#This Row],[stack]]</f>
        <v>#REF!</v>
      </c>
      <c r="CF19" s="2" t="e">
        <f>T_EV33403080596673156[[#This Row],[EV]]-(T_fact29392879586572155[[#This Row],[ICM]])</f>
        <v>#REF!</v>
      </c>
    </row>
    <row r="20" spans="1:84" x14ac:dyDescent="0.25">
      <c r="B20">
        <v>580</v>
      </c>
      <c r="D20">
        <v>10</v>
      </c>
      <c r="F20" s="5">
        <f>COUNTIF(T_p121351975546168151[stack],"&gt;0")</f>
        <v>2</v>
      </c>
      <c r="G20">
        <f>IF(T_init2034474536067150[[#This Row],[p]]=1,mainpot+sidepot1+sidepot2+uncalled,IF(T_init2034474536067150[[#This Row],[p]]&gt;1,0,T_init2034474536067150[[#This Row],[stack]]-T_init2034474536067150[[#This Row],[anteblinds]]))</f>
        <v>570</v>
      </c>
      <c r="H20">
        <v>0.28499999999999998</v>
      </c>
      <c r="I20" s="2">
        <f>T_p121351975546168151[[#This Row],[EQ]]*prize</f>
        <v>30.734399999999997</v>
      </c>
      <c r="J20" s="66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0.56999999999999995</v>
      </c>
      <c r="K20" s="66">
        <f>T_p121351975546168151[[#This Row],[ICM]]+bounty*T_p121351975546168151[[#This Row],[KO]]</f>
        <v>30.734399999999997</v>
      </c>
      <c r="M20" s="10">
        <f>COUNTIF(T_p222362576556269152[stack],"&gt;0")</f>
        <v>3</v>
      </c>
      <c r="N20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570</v>
      </c>
      <c r="O20">
        <v>0.28499999999999998</v>
      </c>
      <c r="P20" s="2">
        <f>T_p222362576556269152[[#This Row],[EQ]]*prize</f>
        <v>30.734399999999997</v>
      </c>
      <c r="Q20" s="66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0.85499999999999998</v>
      </c>
      <c r="R20" s="66">
        <f>T_p222362576556269152[[#This Row],[ICM]]+bounty*T_p222362576556269152[[#This Row],[KO]]</f>
        <v>30.734399999999997</v>
      </c>
      <c r="S20" s="66"/>
      <c r="T20" s="10">
        <f>COUNTIF(T_p22236257655626974157[stack],"&gt;0")</f>
        <v>4</v>
      </c>
      <c r="U20" s="26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570</v>
      </c>
      <c r="V20">
        <v>0.28499999999999998</v>
      </c>
      <c r="W20" s="2">
        <f>T_p22236257655626974157[[#This Row],[EQ]]*prize</f>
        <v>30.734399999999997</v>
      </c>
      <c r="X20" s="66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1.1399999999999999</v>
      </c>
      <c r="Y20" s="66">
        <f>T_p22236257655626974157[[#This Row],[ICM]]+bounty*T_p22236257655626974157[[#This Row],[KO]]</f>
        <v>30.734399999999997</v>
      </c>
      <c r="Z20" s="66"/>
      <c r="AA20" s="10">
        <f>COUNTIF(T_p22236257655626974157159[stack],"&gt;0")</f>
        <v>3</v>
      </c>
      <c r="AB20" s="26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570</v>
      </c>
      <c r="AC20">
        <v>0.28499999999999998</v>
      </c>
      <c r="AD20" s="2">
        <f>T_p22236257655626974157159[[#This Row],[EQ]]*prize</f>
        <v>30.734399999999997</v>
      </c>
      <c r="AE20" s="66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0.85499999999999998</v>
      </c>
      <c r="AF20" s="66">
        <f>T_p22236257655626974157159[[#This Row],[ICM]]+bounty*T_p22236257655626974157159[[#This Row],[KO]]</f>
        <v>30.734399999999997</v>
      </c>
      <c r="AG20" s="66"/>
      <c r="AH20" s="10">
        <f>COUNTIF(T_p22236257655626974157159160[stack],"&gt;0")</f>
        <v>3</v>
      </c>
      <c r="AI20" s="26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570</v>
      </c>
      <c r="AJ20">
        <v>0.28499999999999998</v>
      </c>
      <c r="AK20" s="2">
        <f>T_p22236257655626974157159160[[#This Row],[EQ]]*prize</f>
        <v>30.734399999999997</v>
      </c>
      <c r="AL20" s="66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0.85499999999999998</v>
      </c>
      <c r="AM20" s="66">
        <f>T_p22236257655626974157159160[[#This Row],[ICM]]+bounty*T_p22236257655626974157159160[[#This Row],[KO]]</f>
        <v>30.734399999999997</v>
      </c>
      <c r="AO20" s="10">
        <f>COUNTIF(T_p22236257655626974157159160161[stack],"&gt;0")</f>
        <v>4</v>
      </c>
      <c r="AP20" s="26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570</v>
      </c>
      <c r="AQ20">
        <v>0.28499999999999998</v>
      </c>
      <c r="AR20" s="2">
        <f>T_p22236257655626974157159160161[[#This Row],[EQ]]*prize</f>
        <v>30.734399999999997</v>
      </c>
      <c r="AS20" s="66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1.1399999999999999</v>
      </c>
      <c r="AT20" s="66">
        <f>T_p22236257655626974157159160161[[#This Row],[ICM]]+bounty*T_p22236257655626974157159160161[[#This Row],[KO]]</f>
        <v>30.734399999999997</v>
      </c>
      <c r="AV20" s="5">
        <f>COUNTIF(T_p3p123372677566370153[stack],"&gt;0")</f>
        <v>3</v>
      </c>
      <c r="AW20" s="26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570</v>
      </c>
      <c r="AX20">
        <v>0.28499999999999998</v>
      </c>
      <c r="AY20" s="2">
        <f>T_p3p123372677566370153[[#This Row],[EQ]]*prize</f>
        <v>30.734399999999997</v>
      </c>
      <c r="AZ20" s="66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0.85499999999999998</v>
      </c>
      <c r="BA20" s="66">
        <f>T_p3p123372677566370153[[#This Row],[ICM]]+bounty*T_p3p123372677566370153[[#This Row],[KO]]</f>
        <v>30.734399999999997</v>
      </c>
      <c r="BC20" s="5">
        <f>COUNTIF(T_p3p224382778576471154[stack],"&gt;0")</f>
        <v>4</v>
      </c>
      <c r="BD20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570</v>
      </c>
      <c r="BE20">
        <v>0.28499999999999998</v>
      </c>
      <c r="BF20" s="2">
        <f>T_p3p224382778576471154[[#This Row],[EQ]]*prize</f>
        <v>30.734399999999997</v>
      </c>
      <c r="BG20" s="66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1.1399999999999999</v>
      </c>
      <c r="BH20" s="16">
        <f>T_p3p224382778576471154[[#This Row],[ICM]]+bounty*T_p3p224382778576471154[[#This Row],[KO]]</f>
        <v>30.734399999999997</v>
      </c>
      <c r="BJ20" s="5">
        <f>COUNTIF(T_p3p22438277857647175158[stack],"&gt;0")</f>
        <v>4</v>
      </c>
      <c r="BK20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570</v>
      </c>
      <c r="BL20">
        <v>0.28499999999999998</v>
      </c>
      <c r="BM20" s="2">
        <f>T_p3p22438277857647175158[[#This Row],[EQ]]*prize</f>
        <v>30.734399999999997</v>
      </c>
      <c r="BN20" s="66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1.1399999999999999</v>
      </c>
      <c r="BO20" s="16">
        <f>T_p3p22438277857647175158[[#This Row],[ICM]]+bounty*T_p3p22438277857647175158[[#This Row],[KO]]</f>
        <v>30.734399999999997</v>
      </c>
      <c r="BQ20" s="73">
        <v>3</v>
      </c>
      <c r="BR20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570</v>
      </c>
      <c r="BS20">
        <v>0.28499999999999998</v>
      </c>
      <c r="BT20" s="2">
        <f>T_fact29392879586572155[[#This Row],[EQ]]*prize</f>
        <v>30.734399999999997</v>
      </c>
      <c r="BU20" s="66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0.85499999999999998</v>
      </c>
      <c r="BV20" s="16">
        <f>T_fact29392879586572155[[#This Row],[ICM]]+bounty*T_fact29392879586572155[[#This Row],[KO]]</f>
        <v>30.734399999999997</v>
      </c>
      <c r="BY20" s="68" t="e">
        <f>'3way шаблон разбивка'!p3win* ('3way шаблон разбивка'!p1sp1win*T_p3p123372677566370153[[#This Row],[ICM]] + '3way шаблон разбивка'!p2sp1win*T_p3p224382778576471154[[#This Row],[ICM]] + tiesp1*T_p3p22438277857647175158[[#This Row],[ICM]])
+'3way шаблон разбивка'!p2win*T_p222362576556269152[[#This Row],[ICM]]
+'3way шаблон разбивка'!p1win*T_p121351975546168151[[#This Row],[ICM]]
+'3way шаблон разбивка'!tie*T_p22236257655626974157[[#This Row],[ICM]]</f>
        <v>#REF!</v>
      </c>
      <c r="BZ20" s="68" t="e">
        <f>('3way шаблон разбивка'!p3win* ('3way шаблон разбивка'!p1sp1win*T_p3p123372677566370153[[#This Row],[KO]] + '3way шаблон разбивка'!p2sp1win*T_p3p224382778576471154[[#This Row],[KO]])
+'3way шаблон разбивка'!p2win*T_p222362576556269152[[#This Row],[KO]]
+'3way шаблон разбивка'!p1win*T_p121351975546168151[[#This Row],[KO]])*bounty</f>
        <v>#REF!</v>
      </c>
      <c r="CA20" s="68" t="e">
        <f>'3way шаблон разбивка'!p3win* ('3way шаблон разбивка'!p1sp1win*T_p3p123372677566370153[[#This Row],[$stack]] + '3way шаблон разбивка'!p2sp1win*T_p3p224382778576471154[[#This Row],[$stack]])
+'3way шаблон разбивка'!p2win*T_p222362576556269152[[#This Row],[$stack]]
+'3way шаблон разбивка'!p1win*T_p121351975546168151[[#This Row],[$stack]]</f>
        <v>#REF!</v>
      </c>
      <c r="CB20" s="68" t="e">
        <f>'3way шаблон разбивка'!p3win* ('3way шаблон разбивка'!p1sp1win*T_p3p123372677566370153[[#This Row],[stack]] + '3way шаблон разбивка'!p2sp1win*T_p3p224382778576471154[[#This Row],[stack]] + tiesp1*T_p3p22438277857647175158[[#This Row],[stack]])
+'3way шаблон разбивка'!p2win*T_p222362576556269152[[#This Row],[stack]]
+'3way шаблон разбивка'!p1win*T_p121351975546168151[[#This Row],[stack]]
+tie*T_p22236257655626974157[[#This Row],[stack]]</f>
        <v>#REF!</v>
      </c>
      <c r="CC20" s="68">
        <f>T_fact29392879586572155[[#This Row],[stack]]- T_init2034474536067150[[#This Row],[stack]]</f>
        <v>-10</v>
      </c>
      <c r="CD20" s="68" t="e">
        <f>T_EV33403080596673156[[#This Row],[netwon]]+T_EV33403080596673156[[#This Row],[cEVdiff]]</f>
        <v>#REF!</v>
      </c>
      <c r="CE20" s="2" t="e">
        <f>T_EV33403080596673156[[#This Row],[chipEV]]-T_fact29392879586572155[[#This Row],[stack]]</f>
        <v>#REF!</v>
      </c>
      <c r="CF20" s="2" t="e">
        <f>T_EV33403080596673156[[#This Row],[EV]]-(T_fact29392879586572155[[#This Row],[ICM]])</f>
        <v>#REF!</v>
      </c>
    </row>
    <row r="21" spans="1:84" s="17" customFormat="1" x14ac:dyDescent="0.25">
      <c r="A21" s="17">
        <v>1</v>
      </c>
      <c r="B21" s="17">
        <v>815</v>
      </c>
      <c r="C21" s="17" t="s">
        <v>631</v>
      </c>
      <c r="D21" s="17">
        <v>35</v>
      </c>
      <c r="F21" s="83">
        <f>COUNTIF(T_p121351975546168151[stack],"&gt;0")</f>
        <v>2</v>
      </c>
      <c r="G21" s="17">
        <f>IF(T_init2034474536067150[[#This Row],[p]]=1,mainpot+sidepot1+sidepot2+uncalled,IF(T_init2034474536067150[[#This Row],[p]]&gt;1,0,T_init2034474536067150[[#This Row],[stack]]-T_init2034474536067150[[#This Row],[anteblinds]]))</f>
        <v>1430</v>
      </c>
      <c r="H21" s="17">
        <v>0.71499999999999997</v>
      </c>
      <c r="I21" s="18">
        <f>T_p121351975546168151[[#This Row],[EQ]]*prize</f>
        <v>77.105599999999995</v>
      </c>
      <c r="J21" s="67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5.43</v>
      </c>
      <c r="K21" s="67">
        <f>T_p121351975546168151[[#This Row],[ICM]]+bounty*T_p121351975546168151[[#This Row],[KO]]</f>
        <v>77.105599999999995</v>
      </c>
      <c r="M21" s="19">
        <f>COUNTIF(T_p222362576556269152[stack],"&gt;0")</f>
        <v>3</v>
      </c>
      <c r="N21" s="17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325</v>
      </c>
      <c r="O21" s="17">
        <v>0.16250000000000001</v>
      </c>
      <c r="P21" s="18">
        <f>T_p222362576556269152[[#This Row],[EQ]]*prize</f>
        <v>17.524000000000001</v>
      </c>
      <c r="Q21" s="67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0.48749999999999999</v>
      </c>
      <c r="R21" s="67">
        <f>T_p222362576556269152[[#This Row],[ICM]]+bounty*T_p222362576556269152[[#This Row],[KO]]</f>
        <v>17.524000000000001</v>
      </c>
      <c r="S21" s="67"/>
      <c r="T21" s="19">
        <f>COUNTIF(T_p22236257655626974157[stack],"&gt;0")</f>
        <v>4</v>
      </c>
      <c r="U21" s="17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818</v>
      </c>
      <c r="V21" s="17">
        <v>0.40899999999999997</v>
      </c>
      <c r="W21" s="18">
        <f>T_p22236257655626974157[[#This Row],[EQ]]*prize</f>
        <v>44.106560000000002</v>
      </c>
      <c r="X21" s="67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1.6359999999999999</v>
      </c>
      <c r="Y21" s="67">
        <f>T_p22236257655626974157[[#This Row],[ICM]]+bounty*T_p22236257655626974157[[#This Row],[KO]]</f>
        <v>44.106560000000002</v>
      </c>
      <c r="Z21" s="67"/>
      <c r="AA21" s="19">
        <f>COUNTIF(T_p22236257655626974157159[stack],"&gt;0")</f>
        <v>3</v>
      </c>
      <c r="AB21" s="17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877</v>
      </c>
      <c r="AC21" s="17">
        <v>0.40899999999999997</v>
      </c>
      <c r="AD21" s="18">
        <f>T_p22236257655626974157159[[#This Row],[EQ]]*prize</f>
        <v>44.106560000000002</v>
      </c>
      <c r="AE21" s="67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1.3154999999999999</v>
      </c>
      <c r="AF21" s="67">
        <f>T_p22236257655626974157159[[#This Row],[ICM]]+bounty*T_p22236257655626974157159[[#This Row],[KO]]</f>
        <v>44.106560000000002</v>
      </c>
      <c r="AG21" s="67"/>
      <c r="AH21" s="19">
        <f>COUNTIF(T_p22236257655626974157159160[stack],"&gt;0")</f>
        <v>3</v>
      </c>
      <c r="AI21" s="17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1252</v>
      </c>
      <c r="AJ21" s="17">
        <v>0.40899999999999997</v>
      </c>
      <c r="AK21" s="18">
        <f>T_p22236257655626974157159160[[#This Row],[EQ]]*prize</f>
        <v>44.106560000000002</v>
      </c>
      <c r="AL21" s="67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1.8779999999999999</v>
      </c>
      <c r="AM21" s="67">
        <f>T_p22236257655626974157159160[[#This Row],[ICM]]+bounty*T_p22236257655626974157159160[[#This Row],[KO]]</f>
        <v>44.106560000000002</v>
      </c>
      <c r="AO21" s="19">
        <f>COUNTIF(T_p22236257655626974157159160161[stack],"&gt;0")</f>
        <v>4</v>
      </c>
      <c r="AP21" s="17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325</v>
      </c>
      <c r="AQ21" s="17">
        <v>0.40899999999999997</v>
      </c>
      <c r="AR21" s="18">
        <f>T_p22236257655626974157159160161[[#This Row],[EQ]]*prize</f>
        <v>44.106560000000002</v>
      </c>
      <c r="AS21" s="67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0.65</v>
      </c>
      <c r="AT21" s="67">
        <f>T_p22236257655626974157159160161[[#This Row],[ICM]]+bounty*T_p22236257655626974157159160161[[#This Row],[KO]]</f>
        <v>44.106560000000002</v>
      </c>
      <c r="AV21" s="83">
        <f>COUNTIF(T_p3p123372677566370153[stack],"&gt;0")</f>
        <v>3</v>
      </c>
      <c r="AW21" s="17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1075</v>
      </c>
      <c r="AX21" s="17">
        <v>0.53749999999999998</v>
      </c>
      <c r="AY21" s="18">
        <f>T_p3p123372677566370153[[#This Row],[EQ]]*prize</f>
        <v>57.963999999999999</v>
      </c>
      <c r="AZ21" s="67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4.6124999999999998</v>
      </c>
      <c r="BA21" s="67">
        <f>T_p3p123372677566370153[[#This Row],[ICM]]+bounty*T_p3p123372677566370153[[#This Row],[KO]]</f>
        <v>57.963999999999999</v>
      </c>
      <c r="BC21" s="83">
        <f>COUNTIF(T_p3p224382778576471154[stack],"&gt;0")</f>
        <v>4</v>
      </c>
      <c r="BD21" s="17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325</v>
      </c>
      <c r="BE21" s="17">
        <v>0.16250000000000001</v>
      </c>
      <c r="BF21" s="18">
        <f>T_p3p224382778576471154[[#This Row],[EQ]]*prize</f>
        <v>17.524000000000001</v>
      </c>
      <c r="BG21" s="67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0.65</v>
      </c>
      <c r="BH21" s="24">
        <f>T_p3p224382778576471154[[#This Row],[ICM]]+bounty*T_p3p224382778576471154[[#This Row],[KO]]</f>
        <v>17.524000000000001</v>
      </c>
      <c r="BJ21" s="83">
        <f>COUNTIF(T_p3p22438277857647175158[stack],"&gt;0")</f>
        <v>4</v>
      </c>
      <c r="BK21" s="17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700</v>
      </c>
      <c r="BL21" s="17">
        <v>0.35</v>
      </c>
      <c r="BM21" s="18">
        <f>T_p3p22438277857647175158[[#This Row],[EQ]]*prize</f>
        <v>37.744</v>
      </c>
      <c r="BN21" s="67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1.4</v>
      </c>
      <c r="BO21" s="24">
        <f>T_p3p22438277857647175158[[#This Row],[ICM]]+bounty*T_p3p22438277857647175158[[#This Row],[KO]]</f>
        <v>37.744</v>
      </c>
      <c r="BQ21" s="83">
        <v>3</v>
      </c>
      <c r="BR21" s="17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325</v>
      </c>
      <c r="BS21" s="17">
        <v>0.16250000000000001</v>
      </c>
      <c r="BT21" s="18">
        <f>T_fact29392879586572155[[#This Row],[EQ]]*prize</f>
        <v>17.524000000000001</v>
      </c>
      <c r="BU21" s="67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3.4874999999999998</v>
      </c>
      <c r="BV21" s="24">
        <f>T_fact29392879586572155[[#This Row],[ICM]]+bounty*T_fact29392879586572155[[#This Row],[KO]]</f>
        <v>17.524000000000001</v>
      </c>
      <c r="BY21" s="69" t="e">
        <f>'3way шаблон разбивка'!p3win* ('3way шаблон разбивка'!p1sp1win*T_p3p123372677566370153[[#This Row],[ICM]] + '3way шаблон разбивка'!p2sp1win*T_p3p224382778576471154[[#This Row],[ICM]] + tiesp1*T_p3p22438277857647175158[[#This Row],[ICM]])
+'3way шаблон разбивка'!p2win*T_p222362576556269152[[#This Row],[ICM]]
+'3way шаблон разбивка'!p1win*T_p121351975546168151[[#This Row],[ICM]]
+'3way шаблон разбивка'!tie*T_p22236257655626974157[[#This Row],[ICM]]</f>
        <v>#REF!</v>
      </c>
      <c r="BZ21" s="69" t="e">
        <f>('3way шаблон разбивка'!p3win* ('3way шаблон разбивка'!p1sp1win*T_p3p123372677566370153[[#This Row],[KO]] + '3way шаблон разбивка'!p2sp1win*T_p3p224382778576471154[[#This Row],[KO]])
+'3way шаблон разбивка'!p2win*T_p222362576556269152[[#This Row],[KO]]
+'3way шаблон разбивка'!p1win*T_p121351975546168151[[#This Row],[KO]])*bounty</f>
        <v>#REF!</v>
      </c>
      <c r="CA21" s="69" t="e">
        <f>'3way шаблон разбивка'!p3win* ('3way шаблон разбивка'!p1sp1win*T_p3p123372677566370153[[#This Row],[$stack]] + '3way шаблон разбивка'!p2sp1win*T_p3p224382778576471154[[#This Row],[$stack]])
+'3way шаблон разбивка'!p2win*T_p222362576556269152[[#This Row],[$stack]]
+'3way шаблон разбивка'!p1win*T_p121351975546168151[[#This Row],[$stack]]</f>
        <v>#REF!</v>
      </c>
      <c r="CB21" s="69" t="e">
        <f>'3way шаблон разбивка'!p3win* ('3way шаблон разбивка'!p1sp1win*T_p3p123372677566370153[[#This Row],[stack]] + '3way шаблон разбивка'!p2sp1win*T_p3p224382778576471154[[#This Row],[stack]] + tiesp1*T_p3p22438277857647175158[[#This Row],[stack]])
+'3way шаблон разбивка'!p2win*T_p222362576556269152[[#This Row],[stack]]
+'3way шаблон разбивка'!p1win*T_p121351975546168151[[#This Row],[stack]]
+tie*T_p22236257655626974157[[#This Row],[stack]]</f>
        <v>#REF!</v>
      </c>
      <c r="CC21" s="69">
        <f>T_fact29392879586572155[[#This Row],[stack]]- T_init2034474536067150[[#This Row],[stack]]</f>
        <v>-490</v>
      </c>
      <c r="CD21" s="69" t="e">
        <f>T_EV33403080596673156[[#This Row],[netwon]]+T_EV33403080596673156[[#This Row],[cEVdiff]]</f>
        <v>#REF!</v>
      </c>
      <c r="CE21" s="18" t="e">
        <f>T_EV33403080596673156[[#This Row],[chipEV]]-T_fact29392879586572155[[#This Row],[stack]]</f>
        <v>#REF!</v>
      </c>
      <c r="CF21" s="18" t="e">
        <f>T_EV33403080596673156[[#This Row],[EV]]-(T_fact29392879586572155[[#This Row],[ICM]])</f>
        <v>#REF!</v>
      </c>
    </row>
    <row r="22" spans="1:84" x14ac:dyDescent="0.25">
      <c r="A22" s="26">
        <v>2</v>
      </c>
      <c r="B22" s="26">
        <v>490</v>
      </c>
      <c r="C22" t="s">
        <v>632</v>
      </c>
      <c r="D22" s="26">
        <v>60</v>
      </c>
      <c r="F22" s="73">
        <f>COUNTIF(T_p121351975546168151[stack],"&gt;0")</f>
        <v>2</v>
      </c>
      <c r="G22" s="26">
        <f>IF(T_init2034474536067150[[#This Row],[p]]=1,mainpot+sidepot1+sidepot2+uncalled,IF(T_init2034474536067150[[#This Row],[p]]&gt;1,0,T_init2034474536067150[[#This Row],[stack]]-T_init2034474536067150[[#This Row],[anteblinds]]))</f>
        <v>0</v>
      </c>
      <c r="H22" s="26"/>
      <c r="I22" s="27">
        <f>T_p121351975546168151[[#This Row],[EQ]]*prize</f>
        <v>0</v>
      </c>
      <c r="J22" s="71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</v>
      </c>
      <c r="K22" s="71">
        <f>T_p121351975546168151[[#This Row],[ICM]]+bounty*T_p121351975546168151[[#This Row],[KO]]</f>
        <v>0</v>
      </c>
      <c r="M22" s="29">
        <f>COUNTIF(T_p222362576556269152[stack],"&gt;0")</f>
        <v>3</v>
      </c>
      <c r="N22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1105</v>
      </c>
      <c r="O22" s="26">
        <v>0.55249999999999999</v>
      </c>
      <c r="P22" s="27">
        <f>T_p222362576556269152[[#This Row],[EQ]]*prize</f>
        <v>59.581600000000002</v>
      </c>
      <c r="Q22" s="71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4.6574999999999998</v>
      </c>
      <c r="R22" s="71">
        <f>T_p222362576556269152[[#This Row],[ICM]]+bounty*T_p222362576556269152[[#This Row],[KO]]</f>
        <v>59.581600000000002</v>
      </c>
      <c r="S22" s="71"/>
      <c r="T22" s="29">
        <f>COUNTIF(T_p22236257655626974157[stack],"&gt;0")</f>
        <v>4</v>
      </c>
      <c r="U22" s="26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493</v>
      </c>
      <c r="V22" s="26">
        <v>0.2465</v>
      </c>
      <c r="W22" s="27">
        <f>T_p22236257655626974157[[#This Row],[EQ]]*prize</f>
        <v>26.582560000000001</v>
      </c>
      <c r="X22" s="71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2.9859999999999998</v>
      </c>
      <c r="Y22" s="71">
        <f>T_p22236257655626974157[[#This Row],[ICM]]+bounty*T_p22236257655626974157[[#This Row],[KO]]</f>
        <v>26.582560000000001</v>
      </c>
      <c r="Z22" s="71"/>
      <c r="AA22" s="29">
        <f>COUNTIF(T_p22236257655626974157159[stack],"&gt;0")</f>
        <v>3</v>
      </c>
      <c r="AB22" s="26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553</v>
      </c>
      <c r="AC22" s="26">
        <v>0.2465</v>
      </c>
      <c r="AD22" s="27">
        <f>T_p22236257655626974157159[[#This Row],[EQ]]*prize</f>
        <v>26.582560000000001</v>
      </c>
      <c r="AE22" s="71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3.8294999999999999</v>
      </c>
      <c r="AF22" s="71">
        <f>T_p22236257655626974157159[[#This Row],[ICM]]+bounty*T_p22236257655626974157159[[#This Row],[KO]]</f>
        <v>26.582560000000001</v>
      </c>
      <c r="AG22" s="71"/>
      <c r="AH22" s="29">
        <f>COUNTIF(T_p22236257655626974157159160[stack],"&gt;0")</f>
        <v>3</v>
      </c>
      <c r="AI22" s="26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0</v>
      </c>
      <c r="AJ22" s="26">
        <v>0.2465</v>
      </c>
      <c r="AK22" s="27">
        <f>T_p22236257655626974157159160[[#This Row],[EQ]]*prize</f>
        <v>26.582560000000001</v>
      </c>
      <c r="AL22" s="71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3</v>
      </c>
      <c r="AM22" s="71">
        <f>T_p22236257655626974157159160[[#This Row],[ICM]]+bounty*T_p22236257655626974157159160[[#This Row],[KO]]</f>
        <v>26.582560000000001</v>
      </c>
      <c r="AO22" s="29">
        <f>COUNTIF(T_p22236257655626974157159160161[stack],"&gt;0")</f>
        <v>4</v>
      </c>
      <c r="AP22" s="26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927</v>
      </c>
      <c r="AQ22" s="26">
        <v>0.2465</v>
      </c>
      <c r="AR22" s="27">
        <f>T_p22236257655626974157159160161[[#This Row],[EQ]]*prize</f>
        <v>26.582560000000001</v>
      </c>
      <c r="AS22" s="71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3.8540000000000001</v>
      </c>
      <c r="AT22" s="71">
        <f>T_p22236257655626974157159160161[[#This Row],[ICM]]+bounty*T_p22236257655626974157159160161[[#This Row],[KO]]</f>
        <v>26.582560000000001</v>
      </c>
      <c r="AV22" s="73">
        <f>COUNTIF(T_p3p123372677566370153[stack],"&gt;0")</f>
        <v>3</v>
      </c>
      <c r="AW22" s="26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0</v>
      </c>
      <c r="AX22" s="26">
        <v>0</v>
      </c>
      <c r="AY22" s="27">
        <f>T_p3p123372677566370153[[#This Row],[EQ]]*prize</f>
        <v>0</v>
      </c>
      <c r="AZ22" s="71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</v>
      </c>
      <c r="BA22" s="71">
        <f>T_p3p123372677566370153[[#This Row],[ICM]]+bounty*T_p3p123372677566370153[[#This Row],[KO]]</f>
        <v>0</v>
      </c>
      <c r="BC22" s="73">
        <f>COUNTIF(T_p3p224382778576471154[stack],"&gt;0")</f>
        <v>4</v>
      </c>
      <c r="BD22" s="26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750</v>
      </c>
      <c r="BE22" s="26">
        <v>0.375</v>
      </c>
      <c r="BF22" s="27">
        <f>T_p3p224382778576471154[[#This Row],[EQ]]*prize</f>
        <v>40.44</v>
      </c>
      <c r="BG22" s="71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3.5</v>
      </c>
      <c r="BH22" s="16">
        <f>T_p3p224382778576471154[[#This Row],[ICM]]+bounty*T_p3p224382778576471154[[#This Row],[KO]]</f>
        <v>40.44</v>
      </c>
      <c r="BJ22" s="73">
        <f>COUNTIF(T_p3p22438277857647175158[stack],"&gt;0")</f>
        <v>4</v>
      </c>
      <c r="BK22" s="26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375</v>
      </c>
      <c r="BL22" s="26">
        <v>0.1875</v>
      </c>
      <c r="BM22" s="27">
        <f>T_p3p22438277857647175158[[#This Row],[EQ]]*prize</f>
        <v>20.22</v>
      </c>
      <c r="BN22" s="71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2.75</v>
      </c>
      <c r="BO22" s="16">
        <f>T_p3p22438277857647175158[[#This Row],[ICM]]+bounty*T_p3p22438277857647175158[[#This Row],[KO]]</f>
        <v>20.22</v>
      </c>
      <c r="BQ22" s="73">
        <v>3</v>
      </c>
      <c r="BR22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1105</v>
      </c>
      <c r="BS22" s="26">
        <v>0.55249999999999999</v>
      </c>
      <c r="BT22" s="27">
        <f>T_fact29392879586572155[[#This Row],[EQ]]*prize</f>
        <v>59.581600000000002</v>
      </c>
      <c r="BU22" s="71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1.6575</v>
      </c>
      <c r="BV22" s="16">
        <f>T_fact29392879586572155[[#This Row],[ICM]]+bounty*T_fact29392879586572155[[#This Row],[KO]]</f>
        <v>59.581600000000002</v>
      </c>
      <c r="BY22" s="68" t="e">
        <f>'3way шаблон разбивка'!p3win* ('3way шаблон разбивка'!p1sp1win*T_p3p123372677566370153[[#This Row],[ICM]] + '3way шаблон разбивка'!p2sp1win*T_p3p224382778576471154[[#This Row],[ICM]] + tiesp1*T_p3p22438277857647175158[[#This Row],[ICM]])
+'3way шаблон разбивка'!p2win*T_p222362576556269152[[#This Row],[ICM]]
+'3way шаблон разбивка'!p1win*T_p121351975546168151[[#This Row],[ICM]]
+'3way шаблон разбивка'!tie*T_p22236257655626974157[[#This Row],[ICM]]</f>
        <v>#REF!</v>
      </c>
      <c r="BZ22" s="72" t="e">
        <f>('3way шаблон разбивка'!p3win* ('3way шаблон разбивка'!p1sp1win*T_p3p123372677566370153[[#This Row],[KO]] + '3way шаблон разбивка'!p2sp1win*T_p3p224382778576471154[[#This Row],[KO]])
+'3way шаблон разбивка'!p2win*T_p222362576556269152[[#This Row],[KO]]
+'3way шаблон разбивка'!p1win*T_p121351975546168151[[#This Row],[KO]])*bounty</f>
        <v>#REF!</v>
      </c>
      <c r="CA22" s="72" t="e">
        <f>'3way шаблон разбивка'!p3win* ('3way шаблон разбивка'!p1sp1win*T_p3p123372677566370153[[#This Row],[$stack]] + '3way шаблон разбивка'!p2sp1win*T_p3p224382778576471154[[#This Row],[$stack]])
+'3way шаблон разбивка'!p2win*T_p222362576556269152[[#This Row],[$stack]]
+'3way шаблон разбивка'!p1win*T_p121351975546168151[[#This Row],[$stack]]</f>
        <v>#REF!</v>
      </c>
      <c r="CB22" s="72" t="e">
        <f>'3way шаблон разбивка'!p3win* ('3way шаблон разбивка'!p1sp1win*T_p3p123372677566370153[[#This Row],[stack]] + '3way шаблон разбивка'!p2sp1win*T_p3p224382778576471154[[#This Row],[stack]] + tiesp1*T_p3p22438277857647175158[[#This Row],[stack]])
+'3way шаблон разбивка'!p2win*T_p222362576556269152[[#This Row],[stack]]
+'3way шаблон разбивка'!p1win*T_p121351975546168151[[#This Row],[stack]]
+tie*T_p22236257655626974157[[#This Row],[stack]]</f>
        <v>#REF!</v>
      </c>
      <c r="CC22" s="72">
        <f>T_fact29392879586572155[[#This Row],[stack]]- T_init2034474536067150[[#This Row],[stack]]</f>
        <v>615</v>
      </c>
      <c r="CD22" s="72" t="e">
        <f>T_EV33403080596673156[[#This Row],[netwon]]+T_EV33403080596673156[[#This Row],[cEVdiff]]</f>
        <v>#REF!</v>
      </c>
      <c r="CE22" s="2" t="e">
        <f>T_EV33403080596673156[[#This Row],[chipEV]]-T_fact29392879586572155[[#This Row],[stack]]</f>
        <v>#REF!</v>
      </c>
      <c r="CF22" s="2" t="e">
        <f>T_EV33403080596673156[[#This Row],[EV]]-(T_fact29392879586572155[[#This Row],[ICM]])</f>
        <v>#REF!</v>
      </c>
    </row>
    <row r="23" spans="1:84" x14ac:dyDescent="0.25">
      <c r="B23">
        <v>0</v>
      </c>
      <c r="F23" s="5">
        <f>COUNTIF(T_p121351975546168151[stack],"&gt;0")</f>
        <v>2</v>
      </c>
      <c r="G23">
        <f>IF(T_init2034474536067150[[#This Row],[p]]=1,mainpot+sidepot1+sidepot2+uncalled,IF(T_init2034474536067150[[#This Row],[p]]&gt;1,0,T_init2034474536067150[[#This Row],[stack]]-T_init2034474536067150[[#This Row],[anteblinds]]))</f>
        <v>0</v>
      </c>
      <c r="I23" s="2">
        <f>T_p121351975546168151[[#This Row],[EQ]]*prize</f>
        <v>0</v>
      </c>
      <c r="J23" s="66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</v>
      </c>
      <c r="K23" s="66">
        <f>T_p121351975546168151[[#This Row],[ICM]]+bounty*T_p121351975546168151[[#This Row],[KO]]</f>
        <v>0</v>
      </c>
      <c r="M23" s="10">
        <f>COUNTIF(T_p222362576556269152[stack],"&gt;0")</f>
        <v>3</v>
      </c>
      <c r="N23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O23">
        <v>0</v>
      </c>
      <c r="P23" s="2">
        <f>T_p222362576556269152[[#This Row],[EQ]]*prize</f>
        <v>0</v>
      </c>
      <c r="Q23" s="66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</v>
      </c>
      <c r="R23" s="66">
        <f>T_p222362576556269152[[#This Row],[ICM]]+bounty*T_p222362576556269152[[#This Row],[KO]]</f>
        <v>0</v>
      </c>
      <c r="S23" s="66"/>
      <c r="T23" s="10">
        <f>COUNTIF(T_p22236257655626974157[stack],"&gt;0")</f>
        <v>4</v>
      </c>
      <c r="U23" s="26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0</v>
      </c>
      <c r="V23">
        <v>0</v>
      </c>
      <c r="W23" s="2">
        <f>T_p22236257655626974157[[#This Row],[EQ]]*prize</f>
        <v>0</v>
      </c>
      <c r="X23" s="66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0</v>
      </c>
      <c r="Y23" s="66">
        <f>T_p22236257655626974157[[#This Row],[ICM]]+bounty*T_p22236257655626974157[[#This Row],[KO]]</f>
        <v>0</v>
      </c>
      <c r="Z23" s="66"/>
      <c r="AA23" s="10">
        <f>COUNTIF(T_p22236257655626974157159[stack],"&gt;0")</f>
        <v>3</v>
      </c>
      <c r="AB23" s="26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0</v>
      </c>
      <c r="AC23">
        <v>0</v>
      </c>
      <c r="AD23" s="2">
        <f>T_p22236257655626974157159[[#This Row],[EQ]]*prize</f>
        <v>0</v>
      </c>
      <c r="AE23" s="66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0</v>
      </c>
      <c r="AF23" s="66">
        <f>T_p22236257655626974157159[[#This Row],[ICM]]+bounty*T_p22236257655626974157159[[#This Row],[KO]]</f>
        <v>0</v>
      </c>
      <c r="AG23" s="66"/>
      <c r="AH23" s="10">
        <f>COUNTIF(T_p22236257655626974157159160[stack],"&gt;0")</f>
        <v>3</v>
      </c>
      <c r="AI23" s="26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0</v>
      </c>
      <c r="AJ23">
        <v>0</v>
      </c>
      <c r="AK23" s="2">
        <f>T_p22236257655626974157159160[[#This Row],[EQ]]*prize</f>
        <v>0</v>
      </c>
      <c r="AL23" s="66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0</v>
      </c>
      <c r="AM23" s="66">
        <f>T_p22236257655626974157159160[[#This Row],[ICM]]+bounty*T_p22236257655626974157159160[[#This Row],[KO]]</f>
        <v>0</v>
      </c>
      <c r="AO23" s="10">
        <f>COUNTIF(T_p22236257655626974157159160161[stack],"&gt;0")</f>
        <v>4</v>
      </c>
      <c r="AP23" s="26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0</v>
      </c>
      <c r="AQ23">
        <v>0</v>
      </c>
      <c r="AR23" s="2">
        <f>T_p22236257655626974157159160161[[#This Row],[EQ]]*prize</f>
        <v>0</v>
      </c>
      <c r="AS23" s="66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0</v>
      </c>
      <c r="AT23" s="66">
        <f>T_p22236257655626974157159160161[[#This Row],[ICM]]+bounty*T_p22236257655626974157159160161[[#This Row],[KO]]</f>
        <v>0</v>
      </c>
      <c r="AV23" s="5">
        <f>COUNTIF(T_p3p123372677566370153[stack],"&gt;0")</f>
        <v>3</v>
      </c>
      <c r="AW23" s="26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0</v>
      </c>
      <c r="AX23">
        <v>0</v>
      </c>
      <c r="AY23" s="2">
        <f>T_p3p123372677566370153[[#This Row],[EQ]]*prize</f>
        <v>0</v>
      </c>
      <c r="AZ23" s="66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</v>
      </c>
      <c r="BA23" s="66">
        <f>T_p3p123372677566370153[[#This Row],[ICM]]+bounty*T_p3p123372677566370153[[#This Row],[KO]]</f>
        <v>0</v>
      </c>
      <c r="BC23" s="5">
        <f>COUNTIF(T_p3p224382778576471154[stack],"&gt;0")</f>
        <v>4</v>
      </c>
      <c r="BD23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0</v>
      </c>
      <c r="BE23">
        <v>0</v>
      </c>
      <c r="BF23" s="2">
        <f>T_p3p224382778576471154[[#This Row],[EQ]]*prize</f>
        <v>0</v>
      </c>
      <c r="BG23" s="66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0</v>
      </c>
      <c r="BH23" s="16">
        <f>T_p3p224382778576471154[[#This Row],[ICM]]+bounty*T_p3p224382778576471154[[#This Row],[KO]]</f>
        <v>0</v>
      </c>
      <c r="BJ23" s="5">
        <f>COUNTIF(T_p3p22438277857647175158[stack],"&gt;0")</f>
        <v>4</v>
      </c>
      <c r="BK23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0</v>
      </c>
      <c r="BL23">
        <v>0</v>
      </c>
      <c r="BM23" s="2">
        <f>T_p3p22438277857647175158[[#This Row],[EQ]]*prize</f>
        <v>0</v>
      </c>
      <c r="BN23" s="66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0</v>
      </c>
      <c r="BO23" s="16">
        <f>T_p3p22438277857647175158[[#This Row],[ICM]]+bounty*T_p3p22438277857647175158[[#This Row],[KO]]</f>
        <v>0</v>
      </c>
      <c r="BQ23" s="73">
        <v>3</v>
      </c>
      <c r="BR23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BS23">
        <v>0</v>
      </c>
      <c r="BT23" s="2">
        <f>T_fact29392879586572155[[#This Row],[EQ]]*prize</f>
        <v>0</v>
      </c>
      <c r="BU23" s="66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0</v>
      </c>
      <c r="BV23" s="16">
        <f>T_fact29392879586572155[[#This Row],[ICM]]+bounty*T_fact29392879586572155[[#This Row],[KO]]</f>
        <v>0</v>
      </c>
      <c r="BY23" s="68" t="e">
        <f>'3way шаблон разбивка'!p3win* ('3way шаблон разбивка'!p1sp1win*T_p3p123372677566370153[[#This Row],[ICM]] + '3way шаблон разбивка'!p2sp1win*T_p3p224382778576471154[[#This Row],[ICM]] + tiesp1*T_p3p22438277857647175158[[#This Row],[ICM]])
+'3way шаблон разбивка'!p2win*T_p222362576556269152[[#This Row],[ICM]]
+'3way шаблон разбивка'!p1win*T_p121351975546168151[[#This Row],[ICM]]
+'3way шаблон разбивка'!tie*T_p22236257655626974157[[#This Row],[ICM]]</f>
        <v>#REF!</v>
      </c>
      <c r="BZ23" s="68" t="e">
        <f>('3way шаблон разбивка'!p3win* ('3way шаблон разбивка'!p1sp1win*T_p3p123372677566370153[[#This Row],[KO]] + '3way шаблон разбивка'!p2sp1win*T_p3p224382778576471154[[#This Row],[KO]])
+'3way шаблон разбивка'!p2win*T_p222362576556269152[[#This Row],[KO]]
+'3way шаблон разбивка'!p1win*T_p121351975546168151[[#This Row],[KO]])*bounty</f>
        <v>#REF!</v>
      </c>
      <c r="CA23" s="68" t="e">
        <f>'3way шаблон разбивка'!p3win* ('3way шаблон разбивка'!p1sp1win*T_p3p123372677566370153[[#This Row],[$stack]] + '3way шаблон разбивка'!p2sp1win*T_p3p224382778576471154[[#This Row],[$stack]])
+'3way шаблон разбивка'!p2win*T_p222362576556269152[[#This Row],[$stack]]
+'3way шаблон разбивка'!p1win*T_p121351975546168151[[#This Row],[$stack]]</f>
        <v>#REF!</v>
      </c>
      <c r="CB23" s="68" t="e">
        <f>'3way шаблон разбивка'!p3win* ('3way шаблон разбивка'!p1sp1win*T_p3p123372677566370153[[#This Row],[stack]] + '3way шаблон разбивка'!p2sp1win*T_p3p224382778576471154[[#This Row],[stack]] + tiesp1*T_p3p22438277857647175158[[#This Row],[stack]])
+'3way шаблон разбивка'!p2win*T_p222362576556269152[[#This Row],[stack]]
+'3way шаблон разбивка'!p1win*T_p121351975546168151[[#This Row],[stack]]
+tie*T_p22236257655626974157[[#This Row],[stack]]</f>
        <v>#REF!</v>
      </c>
      <c r="CC23" s="68">
        <f>T_fact29392879586572155[[#This Row],[stack]]- T_init2034474536067150[[#This Row],[stack]]</f>
        <v>0</v>
      </c>
      <c r="CD23" s="68" t="e">
        <f>T_EV33403080596673156[[#This Row],[netwon]]+T_EV33403080596673156[[#This Row],[cEVdiff]]</f>
        <v>#REF!</v>
      </c>
      <c r="CE23" s="2" t="e">
        <f>T_EV33403080596673156[[#This Row],[chipEV]]-T_fact29392879586572155[[#This Row],[stack]]</f>
        <v>#REF!</v>
      </c>
      <c r="CF23" s="2" t="e">
        <f>T_EV33403080596673156[[#This Row],[EV]]-(T_fact29392879586572155[[#This Row],[ICM]])</f>
        <v>#REF!</v>
      </c>
    </row>
    <row r="24" spans="1:84" x14ac:dyDescent="0.25">
      <c r="B24">
        <v>0</v>
      </c>
      <c r="F24" s="5">
        <f>COUNTIF(T_p121351975546168151[stack],"&gt;0")</f>
        <v>2</v>
      </c>
      <c r="G24">
        <f>IF(T_init2034474536067150[[#This Row],[p]]=1,mainpot+sidepot1+sidepot2+uncalled,IF(T_init2034474536067150[[#This Row],[p]]&gt;1,0,T_init2034474536067150[[#This Row],[stack]]-T_init2034474536067150[[#This Row],[anteblinds]]))</f>
        <v>0</v>
      </c>
      <c r="I24" s="2">
        <f>T_p121351975546168151[[#This Row],[EQ]]*prize</f>
        <v>0</v>
      </c>
      <c r="J24" s="66">
        <f>IF(T_init2034474536067150[[#This Row],[p]]=1,T_p121351975546168151[[#This Row],[players]]*T_p121351975546168151[[#This Row],[stack]]/chips+COUNTIF(T_p121351975546168151[stack],0),T_p121351975546168151[[#This Row],[players]]*T_p121351975546168151[[#This Row],[stack]]/chips)</f>
        <v>0</v>
      </c>
      <c r="K24" s="66">
        <f>T_p121351975546168151[[#This Row],[ICM]]+bounty*T_p121351975546168151[[#This Row],[KO]]</f>
        <v>0</v>
      </c>
      <c r="M24" s="10">
        <f>COUNTIF(T_p222362576556269152[stack],"&gt;0")</f>
        <v>3</v>
      </c>
      <c r="N24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P24" s="2">
        <f>T_p222362576556269152[[#This Row],[EQ]]*prize</f>
        <v>0</v>
      </c>
      <c r="Q24" s="66">
        <f>IF(T_init2034474536067150[[#This Row],[p]]=2,T_p222362576556269152[[#This Row],[players]]*T_p222362576556269152[[#This Row],[stack]]/chips+COUNTIF(T_p222362576556269152[stack],0),T_p222362576556269152[[#This Row],[players]]*T_p222362576556269152[[#This Row],[stack]]/chips)</f>
        <v>0</v>
      </c>
      <c r="R24" s="66">
        <f>T_p222362576556269152[[#This Row],[ICM]]+bounty*T_p222362576556269152[[#This Row],[KO]]</f>
        <v>0</v>
      </c>
      <c r="S24" s="66"/>
      <c r="T24" s="10">
        <f>COUNTIF(T_p22236257655626974157[stack],"&gt;0")</f>
        <v>4</v>
      </c>
      <c r="U24" s="26">
        <f>IF(T_init2034474536067150[[#This Row],[p]]=1,ROUND(uncalled + mainpot/3, 0) + ROUND(sidepot1/2,0),IF(T_init2034474536067150[[#This Row],[p]]=2,ROUND(mainpot/3,0) + ROUND(sidepot1/2,0),IF(T_init2034474536067150[[#This Row],[p]]=3, ROUNDUP(mainpot/3,0),T_init2034474536067150[[#This Row],[stack]]-T_init2034474536067150[[#This Row],[anteblinds]])))</f>
        <v>0</v>
      </c>
      <c r="W24" s="2">
        <f>T_p22236257655626974157[[#This Row],[EQ]]*prize</f>
        <v>0</v>
      </c>
      <c r="X24" s="66">
        <f>IF(T_init2034474536067150[[#This Row],[p]]=2,T_p22236257655626974157[[#This Row],[players]]*T_p22236257655626974157[[#This Row],[stack]]/chips+COUNTIF(T_p22236257655626974157[stack],0),T_p22236257655626974157[[#This Row],[players]]*T_p22236257655626974157[[#This Row],[stack]]/chips)</f>
        <v>0</v>
      </c>
      <c r="Y24" s="66">
        <f>T_p22236257655626974157[[#This Row],[ICM]]+bounty*T_p22236257655626974157[[#This Row],[KO]]</f>
        <v>0</v>
      </c>
      <c r="Z24" s="66"/>
      <c r="AA24" s="10">
        <f>COUNTIF(T_p22236257655626974157159[stack],"&gt;0")</f>
        <v>3</v>
      </c>
      <c r="AB24" s="26">
        <f>IF(T_init2034474536067150[[#This Row],[p]]=1,ROUNDDOWN(uncalled + mainpot/2, 0) + ROUNDDOWN(sidepot1/2,0),IF(T_init2034474536067150[[#This Row],[p]]=2,ROUND(mainpot/2,0) + ROUND(sidepot1/2,0),IF(T_init2034474536067150[[#This Row],[p]]=3, 0,T_init2034474536067150[[#This Row],[stack]]-T_init2034474536067150[[#This Row],[anteblinds]])))</f>
        <v>0</v>
      </c>
      <c r="AD24" s="2">
        <f>T_p22236257655626974157159[[#This Row],[EQ]]*prize</f>
        <v>0</v>
      </c>
      <c r="AE24" s="66">
        <f>IF(T_init2034474536067150[[#This Row],[p]]=2,T_p22236257655626974157159[[#This Row],[players]]*T_p22236257655626974157159[[#This Row],[stack]]/chips+COUNTIF(T_p22236257655626974157159[stack],0),T_p22236257655626974157159[[#This Row],[players]]*T_p22236257655626974157159[[#This Row],[stack]]/chips)</f>
        <v>0</v>
      </c>
      <c r="AF24" s="66">
        <f>T_p22236257655626974157159[[#This Row],[ICM]]+bounty*T_p22236257655626974157159[[#This Row],[KO]]</f>
        <v>0</v>
      </c>
      <c r="AG24" s="66"/>
      <c r="AH24" s="10">
        <f>COUNTIF(T_p22236257655626974157159160[stack],"&gt;0")</f>
        <v>3</v>
      </c>
      <c r="AI24" s="26">
        <f>IF(T_init2034474536067150[[#This Row],[p]]=1,ROUNDDOWN(uncalled + mainpot/2, 0) + ROUNDDOWN(sidepot1,0),IF(T_init2034474536067150[[#This Row],[p]]=2,0,IF(T_init2034474536067150[[#This Row],[p]]=3, ROUNDUP(mainpot/2,0),T_init2034474536067150[[#This Row],[stack]]-T_init2034474536067150[[#This Row],[anteblinds]])))</f>
        <v>0</v>
      </c>
      <c r="AK24" s="2">
        <f>T_p22236257655626974157159160[[#This Row],[EQ]]*prize</f>
        <v>0</v>
      </c>
      <c r="AL24" s="66">
        <f>IF(T_init2034474536067150[[#This Row],[p]]=2,T_p22236257655626974157159160[[#This Row],[players]]*T_p22236257655626974157159160[[#This Row],[stack]]/chips+COUNTIF(T_p22236257655626974157159160[stack],0),T_p22236257655626974157159160[[#This Row],[players]]*T_p22236257655626974157159160[[#This Row],[stack]]/chips)</f>
        <v>0</v>
      </c>
      <c r="AM24" s="66">
        <f>T_p22236257655626974157159160[[#This Row],[ICM]]+bounty*T_p22236257655626974157159160[[#This Row],[KO]]</f>
        <v>0</v>
      </c>
      <c r="AO24" s="10">
        <f>COUNTIF(T_p22236257655626974157159160161[stack],"&gt;0")</f>
        <v>4</v>
      </c>
      <c r="AP24" s="26">
        <f>IF(T_init2034474536067150[[#This Row],[p]]=1,uncalled,IF(T_init2034474536067150[[#This Row],[p]]=2,ROUNDDOWN(mainpot/2,0) + ROUNDDOWN(sidepot1,0),IF(T_init2034474536067150[[#This Row],[p]]=3, ROUNDUP(mainpot/2,0),T_init2034474536067150[[#This Row],[stack]]-T_init2034474536067150[[#This Row],[anteblinds]])))</f>
        <v>0</v>
      </c>
      <c r="AR24" s="2">
        <f>T_p22236257655626974157159160161[[#This Row],[EQ]]*prize</f>
        <v>0</v>
      </c>
      <c r="AS24" s="66">
        <f>IF(T_init2034474536067150[[#This Row],[p]]=2,T_p22236257655626974157159160161[[#This Row],[players]]*T_p22236257655626974157159160161[[#This Row],[stack]]/chips+COUNTIF(T_p22236257655626974157159160161[stack],0),T_p22236257655626974157159160161[[#This Row],[players]]*T_p22236257655626974157159160161[[#This Row],[stack]]/chips)</f>
        <v>0</v>
      </c>
      <c r="AT24" s="66">
        <f>T_p22236257655626974157159160161[[#This Row],[ICM]]+bounty*T_p22236257655626974157159160161[[#This Row],[KO]]</f>
        <v>0</v>
      </c>
      <c r="AV24" s="5">
        <f>COUNTIF(T_p3p123372677566370153[stack],"&gt;0")</f>
        <v>3</v>
      </c>
      <c r="AW24" s="26">
        <f>IF(T_init2034474536067150[[#This Row],[p]]=1,sidepot1+uncalled,IF(T_init2034474536067150[[#This Row],[p]]=3,mainpot,IF(ISBLANK(T_init2034474536067150[[#This Row],[p]]),T_init2034474536067150[[#This Row],[stack]]-T_init2034474536067150[[#This Row],[anteblinds]],0)))</f>
        <v>0</v>
      </c>
      <c r="AX24">
        <v>0</v>
      </c>
      <c r="AY24" s="2">
        <f>T_p3p123372677566370153[[#This Row],[EQ]]*prize</f>
        <v>0</v>
      </c>
      <c r="AZ24" s="66">
        <f>IF(T_init2034474536067150[[#This Row],[p]]=1,T_p3p123372677566370153[[#This Row],[players]]*T_p3p123372677566370153[[#This Row],[stack]]/chips+COUNTIF(T_p3p123372677566370153[stack],0),T_p3p123372677566370153[[#This Row],[players]]*T_p3p123372677566370153[[#This Row],[stack]]/chips)</f>
        <v>0</v>
      </c>
      <c r="BA24" s="66">
        <f>T_p3p123372677566370153[[#This Row],[ICM]]+bounty*T_p3p123372677566370153[[#This Row],[KO]]</f>
        <v>0</v>
      </c>
      <c r="BC24" s="5">
        <f>COUNTIF(T_p3p224382778576471154[stack],"&gt;0")</f>
        <v>4</v>
      </c>
      <c r="BD24">
        <f>IF(T_init2034474536067150[[#This Row],[p]]=1,uncalled,IF(T_init2034474536067150[[#This Row],[p]]=2,sidepot1,IF(T_init2034474536067150[[#This Row],[p]]=3,mainpot,IF(ISBLANK(T_init2034474536067150[[#This Row],[p]]),T_init2034474536067150[[#This Row],[stack]]-T_init2034474536067150[[#This Row],[anteblinds]],0))))</f>
        <v>0</v>
      </c>
      <c r="BE24">
        <v>0</v>
      </c>
      <c r="BF24" s="2">
        <f>T_p3p224382778576471154[[#This Row],[EQ]]*prize</f>
        <v>0</v>
      </c>
      <c r="BG24" s="66">
        <f>IF(T_init2034474536067150[[#This Row],[p]]=2,T_p3p224382778576471154[[#This Row],[players]]*T_p3p224382778576471154[[#This Row],[stack]]/chips+COUNTIF(T_p3p224382778576471154[stack],0),T_p3p224382778576471154[[#This Row],[players]]*T_p3p224382778576471154[[#This Row],[stack]]/chips)</f>
        <v>0</v>
      </c>
      <c r="BH24" s="16">
        <f>T_p3p224382778576471154[[#This Row],[ICM]]+bounty*T_p3p224382778576471154[[#This Row],[KO]]</f>
        <v>0</v>
      </c>
      <c r="BJ24" s="5">
        <f>COUNTIF(T_p3p22438277857647175158[stack],"&gt;0")</f>
        <v>4</v>
      </c>
      <c r="BK24">
        <f>IF(T_init2034474536067150[[#This Row],[p]]=1,uncalled + ROUND(sidepot1/2,0),IF(T_init2034474536067150[[#This Row],[p]]=2,ROUND(sidepot1/2,0),IF(T_init2034474536067150[[#This Row],[p]]=3,mainpot,IF(ISBLANK(T_init2034474536067150[[#This Row],[p]]),T_init2034474536067150[[#This Row],[stack]]-T_init2034474536067150[[#This Row],[anteblinds]],0))))</f>
        <v>0</v>
      </c>
      <c r="BL24">
        <v>0</v>
      </c>
      <c r="BM24" s="2">
        <f>T_p3p22438277857647175158[[#This Row],[EQ]]*prize</f>
        <v>0</v>
      </c>
      <c r="BN24" s="66">
        <f>IF(T_init2034474536067150[[#This Row],[p]]=2,T_p3p22438277857647175158[[#This Row],[players]]*T_p3p22438277857647175158[[#This Row],[stack]]/chips+COUNTIF(T_p3p22438277857647175158[stack],0),T_p3p22438277857647175158[[#This Row],[players]]*T_p3p22438277857647175158[[#This Row],[stack]]/chips)</f>
        <v>0</v>
      </c>
      <c r="BO24" s="16">
        <f>T_p3p22438277857647175158[[#This Row],[ICM]]+bounty*T_p3p22438277857647175158[[#This Row],[KO]]</f>
        <v>0</v>
      </c>
      <c r="BQ24" s="73">
        <v>3</v>
      </c>
      <c r="BR24" s="26">
        <f>IF(T_init2034474536067150[[#This Row],[p]]=1,uncalled,IF(T_init2034474536067150[[#This Row],[p]]=2,mainpot+sidepot1+sidepot2,IF(T_init2034474536067150[[#This Row],[p]]&gt;2,0,T_init2034474536067150[[#This Row],[stack]]-T_init2034474536067150[[#This Row],[anteblinds]])))</f>
        <v>0</v>
      </c>
      <c r="BT24" s="2">
        <f>T_fact29392879586572155[[#This Row],[EQ]]*prize</f>
        <v>0</v>
      </c>
      <c r="BU24" s="66">
        <f>IF(T_init2034474536067150[[#This Row],[p]]=1,T_fact29392879586572155[[#This Row],[players]]*T_fact29392879586572155[[#This Row],[stack]]/chips+COUNTIF(T_fact29392879586572155[stack],0),T_fact29392879586572155[[#This Row],[players]]*T_fact29392879586572155[[#This Row],[stack]]/chips)</f>
        <v>0</v>
      </c>
      <c r="BV24" s="16">
        <f>T_fact29392879586572155[[#This Row],[ICM]]+bounty*T_fact29392879586572155[[#This Row],[KO]]</f>
        <v>0</v>
      </c>
      <c r="BY24" s="68" t="e">
        <f>'3way шаблон разбивка'!p3win* ('3way шаблон разбивка'!p1sp1win*T_p3p123372677566370153[[#This Row],[ICM]] + '3way шаблон разбивка'!p2sp1win*T_p3p224382778576471154[[#This Row],[ICM]] + tiesp1*T_p3p22438277857647175158[[#This Row],[ICM]])
+'3way шаблон разбивка'!p2win*T_p222362576556269152[[#This Row],[ICM]]
+'3way шаблон разбивка'!p1win*T_p121351975546168151[[#This Row],[ICM]]
+'3way шаблон разбивка'!tie*T_p22236257655626974157[[#This Row],[ICM]]</f>
        <v>#REF!</v>
      </c>
      <c r="BZ24" s="68" t="e">
        <f>('3way шаблон разбивка'!p3win* ('3way шаблон разбивка'!p1sp1win*T_p3p123372677566370153[[#This Row],[KO]] + '3way шаблон разбивка'!p2sp1win*T_p3p224382778576471154[[#This Row],[KO]])
+'3way шаблон разбивка'!p2win*T_p222362576556269152[[#This Row],[KO]]
+'3way шаблон разбивка'!p1win*T_p121351975546168151[[#This Row],[KO]])*bounty</f>
        <v>#REF!</v>
      </c>
      <c r="CA24" s="68" t="e">
        <f>'3way шаблон разбивка'!p3win* ('3way шаблон разбивка'!p1sp1win*T_p3p123372677566370153[[#This Row],[$stack]] + '3way шаблон разбивка'!p2sp1win*T_p3p224382778576471154[[#This Row],[$stack]])
+'3way шаблон разбивка'!p2win*T_p222362576556269152[[#This Row],[$stack]]
+'3way шаблон разбивка'!p1win*T_p121351975546168151[[#This Row],[$stack]]</f>
        <v>#REF!</v>
      </c>
      <c r="CB24" s="68" t="e">
        <f>'3way шаблон разбивка'!p3win* ('3way шаблон разбивка'!p1sp1win*T_p3p123372677566370153[[#This Row],[stack]] + '3way шаблон разбивка'!p2sp1win*T_p3p224382778576471154[[#This Row],[stack]] + tiesp1*T_p3p22438277857647175158[[#This Row],[stack]])
+'3way шаблон разбивка'!p2win*T_p222362576556269152[[#This Row],[stack]]
+'3way шаблон разбивка'!p1win*T_p121351975546168151[[#This Row],[stack]]
+tie*T_p22236257655626974157[[#This Row],[stack]]</f>
        <v>#REF!</v>
      </c>
      <c r="CC24" s="68">
        <f>T_fact29392879586572155[[#This Row],[stack]]- T_init2034474536067150[[#This Row],[stack]]</f>
        <v>0</v>
      </c>
      <c r="CD24" s="68" t="e">
        <f>T_EV33403080596673156[[#This Row],[netwon]]+T_EV33403080596673156[[#This Row],[cEVdiff]]</f>
        <v>#REF!</v>
      </c>
      <c r="CE24" s="2" t="e">
        <f>T_EV33403080596673156[[#This Row],[chipEV]]-T_fact29392879586572155[[#This Row],[stack]]</f>
        <v>#REF!</v>
      </c>
      <c r="CF24" s="2" t="e">
        <f>T_EV33403080596673156[[#This Row],[EV]]-(T_fact29392879586572155[[#This Row],[ICM]])</f>
        <v>#REF!</v>
      </c>
    </row>
    <row r="25" spans="1:84" x14ac:dyDescent="0.25">
      <c r="A25" t="s">
        <v>95</v>
      </c>
      <c r="D25">
        <f>SUBTOTAL(109,T_init2034474536067150[anteblinds])</f>
        <v>115</v>
      </c>
      <c r="F25" s="53"/>
      <c r="G25" s="50">
        <f>SUM(T_p121351975546168151[stack])</f>
        <v>2000</v>
      </c>
      <c r="H25" s="50">
        <f>SUM(T_p121351975546168151[EQ])</f>
        <v>1</v>
      </c>
      <c r="I25" s="50">
        <f>SUM(T_p121351975546168151[ICM])</f>
        <v>107.83999999999999</v>
      </c>
      <c r="J25" s="50">
        <f>SUM(T_p121351975546168151[KO])</f>
        <v>6</v>
      </c>
      <c r="K25" s="50">
        <f>SUM(T_p121351975546168151[$stack])</f>
        <v>107.83999999999999</v>
      </c>
      <c r="M25" s="53"/>
      <c r="N25" s="55">
        <f>SUM(T_p222362576556269152[stack])</f>
        <v>2000</v>
      </c>
      <c r="O25" s="50">
        <f>SUM(T_p222362576556269152[EQ])</f>
        <v>1</v>
      </c>
      <c r="P25" s="51">
        <f>SUM(T_p222362576556269152[ICM])</f>
        <v>107.84</v>
      </c>
      <c r="Q25" s="52">
        <f>SUM(T_p222362576556269152[KO])</f>
        <v>6</v>
      </c>
      <c r="R25" s="50">
        <f>SUM(T_p222362576556269152[$stack])</f>
        <v>107.84</v>
      </c>
      <c r="T25" s="53"/>
      <c r="U25" s="55">
        <f>SUM(T_p22236257655626974157[stack])</f>
        <v>2000</v>
      </c>
      <c r="V25" s="50">
        <f>SUM(T_p22236257655626974157[EQ])</f>
        <v>1</v>
      </c>
      <c r="W25" s="51">
        <f>SUM(T_p22236257655626974157[ICM])</f>
        <v>107.84</v>
      </c>
      <c r="X25" s="52">
        <f>SUM(T_p22236257655626974157[KO])</f>
        <v>6</v>
      </c>
      <c r="Y25" s="50">
        <f>SUM(T_p22236257655626974157[$stack])</f>
        <v>107.84</v>
      </c>
      <c r="AA25" s="53"/>
      <c r="AB25" s="55">
        <f>SUM(T_p22236257655626974157159[stack])</f>
        <v>2000</v>
      </c>
      <c r="AC25" s="50">
        <f>SUM(T_p22236257655626974157159[EQ])</f>
        <v>1</v>
      </c>
      <c r="AD25" s="51">
        <f>SUM(T_p22236257655626974157159[ICM])</f>
        <v>107.84</v>
      </c>
      <c r="AE25" s="52">
        <f>SUM(T_p22236257655626974157159[KO])</f>
        <v>6</v>
      </c>
      <c r="AF25" s="50">
        <f>SUM(T_p22236257655626974157159[$stack])</f>
        <v>107.84</v>
      </c>
      <c r="AH25" s="53"/>
      <c r="AI25" s="55">
        <f>SUM(T_p22236257655626974157159160[stack])</f>
        <v>2000</v>
      </c>
      <c r="AJ25" s="50">
        <f>SUM(T_p22236257655626974157159160[EQ])</f>
        <v>1</v>
      </c>
      <c r="AK25" s="51">
        <f>SUM(T_p22236257655626974157159160[ICM])</f>
        <v>107.84</v>
      </c>
      <c r="AL25" s="52">
        <f>SUM(T_p22236257655626974157159160[KO])</f>
        <v>6</v>
      </c>
      <c r="AM25" s="50">
        <f>SUM(T_p22236257655626974157159160[$stack])</f>
        <v>107.84</v>
      </c>
      <c r="AO25" s="53"/>
      <c r="AP25" s="55">
        <f>SUM(T_p22236257655626974157159160161[stack])</f>
        <v>2000</v>
      </c>
      <c r="AQ25" s="50">
        <f>SUM(T_p22236257655626974157159160161[EQ])</f>
        <v>1</v>
      </c>
      <c r="AR25" s="51">
        <f>SUM(T_p22236257655626974157159160161[ICM])</f>
        <v>107.84</v>
      </c>
      <c r="AS25" s="52">
        <f>SUM(T_p22236257655626974157159160161[KO])</f>
        <v>6</v>
      </c>
      <c r="AT25" s="50">
        <f>SUM(T_p22236257655626974157159160161[$stack])</f>
        <v>107.84</v>
      </c>
      <c r="AV25" s="53"/>
      <c r="AW25" s="55">
        <f>SUM(T_p3p123372677566370153[stack])</f>
        <v>2000</v>
      </c>
      <c r="AX25" s="50">
        <f>SUM(T_p3p123372677566370153[EQ])</f>
        <v>1</v>
      </c>
      <c r="AY25" s="51">
        <f>SUM(T_p3p123372677566370153[ICM])</f>
        <v>107.84</v>
      </c>
      <c r="AZ25" s="52">
        <f>SUM(T_p3p123372677566370153[KO])</f>
        <v>6</v>
      </c>
      <c r="BA25" s="50">
        <f>SUM(T_p3p123372677566370153[$stack])</f>
        <v>107.84</v>
      </c>
      <c r="BC25" s="53"/>
      <c r="BD25" s="55">
        <f>SUM(T_p3p224382778576471154[stack])</f>
        <v>2000</v>
      </c>
      <c r="BE25" s="50">
        <f>SUM(T_p3p224382778576471154[EQ])</f>
        <v>1</v>
      </c>
      <c r="BF25" s="51">
        <f>SUM(T_p3p224382778576471154[ICM])</f>
        <v>107.84</v>
      </c>
      <c r="BG25" s="52">
        <f>SUM(T_p3p224382778576471154[KO])</f>
        <v>6</v>
      </c>
      <c r="BH25" s="50">
        <f>SUM(T_p3p123372677566370153[$stack])</f>
        <v>107.84</v>
      </c>
      <c r="BJ25" s="53"/>
      <c r="BK25" s="55">
        <f>SUM(T_p3p22438277857647175158[stack])</f>
        <v>2000</v>
      </c>
      <c r="BL25" s="50">
        <f>SUM(T_p3p22438277857647175158[EQ])</f>
        <v>1</v>
      </c>
      <c r="BM25" s="51">
        <f>SUM(T_p3p22438277857647175158[ICM])</f>
        <v>107.84</v>
      </c>
      <c r="BN25" s="52">
        <f>SUM(T_p3p22438277857647175158[KO])</f>
        <v>6</v>
      </c>
      <c r="BO25" s="50">
        <f>SUM(T_p3p123372677566370153[$stack])</f>
        <v>107.84</v>
      </c>
      <c r="BQ25" s="53"/>
      <c r="BR25" s="55">
        <f>SUM(T_fact29392879586572155[stack])</f>
        <v>2000</v>
      </c>
      <c r="BS25" s="50">
        <f>SUM(T_fact29392879586572155[EQ])</f>
        <v>1</v>
      </c>
      <c r="BT25" s="51">
        <f>SUM(T_fact29392879586572155[ICM])</f>
        <v>107.84</v>
      </c>
      <c r="BU25" s="52">
        <f>SUM(T_fact29392879586572155[KO])</f>
        <v>5.9999999999999991</v>
      </c>
      <c r="BV25" s="51">
        <f>SUM(T_fact29392879586572155[$stack])</f>
        <v>107.84</v>
      </c>
      <c r="BY25" s="52" t="e">
        <f>SUM(T_EV33403080596673156[ICM])</f>
        <v>#REF!</v>
      </c>
      <c r="BZ25" s="52" t="e">
        <f>SUM(T_EV33403080596673156[KO])</f>
        <v>#REF!</v>
      </c>
      <c r="CA25" s="52" t="e">
        <f>SUM(T_EV33403080596673156[EV])</f>
        <v>#REF!</v>
      </c>
      <c r="CB25" s="50" t="e">
        <f>SUM(T_EV33403080596673156[chipEV])</f>
        <v>#REF!</v>
      </c>
      <c r="CC25" s="50"/>
      <c r="CD25" s="50"/>
    </row>
    <row r="27" spans="1:84" ht="18.75" x14ac:dyDescent="0.3">
      <c r="M27" s="79" t="s">
        <v>117</v>
      </c>
    </row>
    <row r="28" spans="1:84" x14ac:dyDescent="0.25">
      <c r="C28" t="s">
        <v>118</v>
      </c>
      <c r="M28" t="s">
        <v>600</v>
      </c>
    </row>
    <row r="29" spans="1:84" x14ac:dyDescent="0.25">
      <c r="C29" t="s">
        <v>120</v>
      </c>
      <c r="M29" t="s">
        <v>601</v>
      </c>
    </row>
    <row r="30" spans="1:84" x14ac:dyDescent="0.25">
      <c r="C30" t="s">
        <v>122</v>
      </c>
      <c r="M30" t="s">
        <v>602</v>
      </c>
    </row>
    <row r="31" spans="1:84" x14ac:dyDescent="0.25">
      <c r="M31" t="s">
        <v>603</v>
      </c>
    </row>
    <row r="32" spans="1:84" x14ac:dyDescent="0.25">
      <c r="M32" t="s">
        <v>604</v>
      </c>
    </row>
    <row r="33" spans="2:13" x14ac:dyDescent="0.25">
      <c r="C33" t="s">
        <v>126</v>
      </c>
      <c r="M33" t="s">
        <v>605</v>
      </c>
    </row>
    <row r="34" spans="2:13" x14ac:dyDescent="0.25">
      <c r="M34" t="s">
        <v>419</v>
      </c>
    </row>
    <row r="35" spans="2:13" x14ac:dyDescent="0.25">
      <c r="B35" t="s">
        <v>129</v>
      </c>
      <c r="M35" t="s">
        <v>606</v>
      </c>
    </row>
    <row r="36" spans="2:13" x14ac:dyDescent="0.25">
      <c r="B36" t="s">
        <v>131</v>
      </c>
      <c r="M36" t="s">
        <v>189</v>
      </c>
    </row>
    <row r="37" spans="2:13" x14ac:dyDescent="0.25">
      <c r="C37" t="s">
        <v>133</v>
      </c>
      <c r="M37" t="s">
        <v>607</v>
      </c>
    </row>
    <row r="38" spans="2:13" x14ac:dyDescent="0.25">
      <c r="D38" t="s">
        <v>135</v>
      </c>
      <c r="M38" t="s">
        <v>608</v>
      </c>
    </row>
    <row r="39" spans="2:13" x14ac:dyDescent="0.25">
      <c r="C39" t="s">
        <v>137</v>
      </c>
      <c r="M39" t="s">
        <v>609</v>
      </c>
    </row>
    <row r="40" spans="2:13" x14ac:dyDescent="0.25">
      <c r="D40" t="s">
        <v>135</v>
      </c>
      <c r="M40" t="s">
        <v>139</v>
      </c>
    </row>
    <row r="41" spans="2:13" x14ac:dyDescent="0.25">
      <c r="C41" t="s">
        <v>140</v>
      </c>
      <c r="M41" t="s">
        <v>610</v>
      </c>
    </row>
    <row r="42" spans="2:13" x14ac:dyDescent="0.25">
      <c r="D42" t="s">
        <v>142</v>
      </c>
      <c r="M42" t="s">
        <v>611</v>
      </c>
    </row>
    <row r="43" spans="2:13" x14ac:dyDescent="0.25">
      <c r="D43" t="s">
        <v>144</v>
      </c>
      <c r="E43" t="s">
        <v>145</v>
      </c>
      <c r="M43" t="s">
        <v>612</v>
      </c>
    </row>
    <row r="44" spans="2:13" x14ac:dyDescent="0.25">
      <c r="F44" t="s">
        <v>147</v>
      </c>
      <c r="M44" t="s">
        <v>613</v>
      </c>
    </row>
    <row r="45" spans="2:13" x14ac:dyDescent="0.25">
      <c r="E45" t="s">
        <v>149</v>
      </c>
      <c r="M45" t="s">
        <v>614</v>
      </c>
    </row>
    <row r="46" spans="2:13" x14ac:dyDescent="0.25">
      <c r="F46" t="s">
        <v>151</v>
      </c>
      <c r="M46" t="s">
        <v>615</v>
      </c>
    </row>
    <row r="47" spans="2:13" x14ac:dyDescent="0.25">
      <c r="M47" t="s">
        <v>616</v>
      </c>
    </row>
    <row r="48" spans="2:13" x14ac:dyDescent="0.25">
      <c r="C48" t="s">
        <v>154</v>
      </c>
      <c r="M48" t="s">
        <v>617</v>
      </c>
    </row>
    <row r="49" spans="4:13" x14ac:dyDescent="0.25">
      <c r="D49" t="s">
        <v>156</v>
      </c>
      <c r="M49" t="s">
        <v>618</v>
      </c>
    </row>
    <row r="50" spans="4:13" x14ac:dyDescent="0.25">
      <c r="D50" t="s">
        <v>158</v>
      </c>
      <c r="E50" t="s">
        <v>145</v>
      </c>
      <c r="M50" t="s">
        <v>166</v>
      </c>
    </row>
    <row r="51" spans="4:13" x14ac:dyDescent="0.25">
      <c r="F51" t="s">
        <v>160</v>
      </c>
      <c r="M51" t="s">
        <v>619</v>
      </c>
    </row>
    <row r="52" spans="4:13" x14ac:dyDescent="0.25">
      <c r="E52" t="s">
        <v>149</v>
      </c>
      <c r="M52" t="s">
        <v>620</v>
      </c>
    </row>
    <row r="53" spans="4:13" x14ac:dyDescent="0.25">
      <c r="F53" t="s">
        <v>163</v>
      </c>
      <c r="M53" t="s">
        <v>621</v>
      </c>
    </row>
    <row r="54" spans="4:13" x14ac:dyDescent="0.25">
      <c r="E54" t="s">
        <v>165</v>
      </c>
      <c r="M54" t="s">
        <v>622</v>
      </c>
    </row>
    <row r="55" spans="4:13" x14ac:dyDescent="0.25">
      <c r="F55" t="s">
        <v>167</v>
      </c>
      <c r="M55" t="s">
        <v>623</v>
      </c>
    </row>
    <row r="56" spans="4:13" x14ac:dyDescent="0.25">
      <c r="F56" t="s">
        <v>144</v>
      </c>
      <c r="M56" t="s">
        <v>624</v>
      </c>
    </row>
    <row r="57" spans="4:13" x14ac:dyDescent="0.25">
      <c r="G57" t="s">
        <v>145</v>
      </c>
      <c r="M57" t="s">
        <v>173</v>
      </c>
    </row>
    <row r="58" spans="4:13" x14ac:dyDescent="0.25">
      <c r="H58" t="s">
        <v>147</v>
      </c>
      <c r="M58" t="s">
        <v>625</v>
      </c>
    </row>
    <row r="59" spans="4:13" x14ac:dyDescent="0.25">
      <c r="G59" t="s">
        <v>149</v>
      </c>
      <c r="M59" t="s">
        <v>626</v>
      </c>
    </row>
    <row r="60" spans="4:13" x14ac:dyDescent="0.25">
      <c r="H60" t="s">
        <v>151</v>
      </c>
      <c r="M60" t="s">
        <v>627</v>
      </c>
    </row>
    <row r="61" spans="4:13" x14ac:dyDescent="0.25">
      <c r="M61" t="s">
        <v>628</v>
      </c>
    </row>
    <row r="62" spans="4:13" x14ac:dyDescent="0.25">
      <c r="M62" t="s">
        <v>629</v>
      </c>
    </row>
    <row r="63" spans="4:13" x14ac:dyDescent="0.25">
      <c r="M63" t="s">
        <v>630</v>
      </c>
    </row>
    <row r="65" spans="13:13" x14ac:dyDescent="0.25">
      <c r="M65" t="s">
        <v>178</v>
      </c>
    </row>
    <row r="66" spans="13:13" x14ac:dyDescent="0.25">
      <c r="M66" t="s">
        <v>179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Q17:BU17"/>
    <mergeCell ref="BY17:CB17"/>
    <mergeCell ref="AV15:BO15"/>
    <mergeCell ref="BY16:CB16"/>
    <mergeCell ref="F17:J17"/>
    <mergeCell ref="M17:Q17"/>
    <mergeCell ref="T17:X17"/>
    <mergeCell ref="AV17:AZ17"/>
    <mergeCell ref="BC17:BG17"/>
    <mergeCell ref="BJ17:BN17"/>
    <mergeCell ref="AA17:AE17"/>
    <mergeCell ref="AH17:AL17"/>
    <mergeCell ref="AO17:AS17"/>
  </mergeCells>
  <pageMargins left="0.7" right="0.7" top="0.75" bottom="0.75" header="0.3" footer="0.3"/>
  <pageSetup paperSize="9" orientation="portrait" horizontalDpi="4294967293" verticalDpi="0" r:id="rId1"/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16"/>
  <sheetViews>
    <sheetView workbookViewId="0">
      <selection activeCell="B3" sqref="B3:O16"/>
    </sheetView>
  </sheetViews>
  <sheetFormatPr defaultRowHeight="15" x14ac:dyDescent="0.25"/>
  <cols>
    <col min="1" max="1" width="2.42578125" customWidth="1"/>
    <col min="3" max="3" width="2.5703125" customWidth="1"/>
    <col min="5" max="5" width="2.42578125" customWidth="1"/>
    <col min="6" max="6" width="6.42578125" customWidth="1"/>
    <col min="7" max="7" width="5.7109375" customWidth="1"/>
    <col min="8" max="8" width="6.42578125" customWidth="1"/>
    <col min="9" max="9" width="3.7109375" customWidth="1"/>
  </cols>
  <sheetData>
    <row r="2" spans="2:11" x14ac:dyDescent="0.25">
      <c r="B2" t="s">
        <v>511</v>
      </c>
      <c r="F2" s="137" t="s">
        <v>719</v>
      </c>
      <c r="G2" s="137"/>
      <c r="H2" s="137"/>
    </row>
    <row r="3" spans="2:11" x14ac:dyDescent="0.25">
      <c r="B3" t="s">
        <v>718</v>
      </c>
      <c r="F3">
        <v>1000</v>
      </c>
      <c r="G3">
        <v>600</v>
      </c>
      <c r="H3">
        <v>400</v>
      </c>
      <c r="J3" s="107">
        <f>D7+D8+D9 + D5/2 + D4/3 +D6/2</f>
        <v>0.18218533333333334</v>
      </c>
      <c r="K3" t="s">
        <v>721</v>
      </c>
    </row>
    <row r="4" spans="2:11" x14ac:dyDescent="0.25">
      <c r="B4">
        <v>111</v>
      </c>
      <c r="D4" s="107">
        <v>3.5409999999999999E-3</v>
      </c>
      <c r="F4">
        <v>1000</v>
      </c>
      <c r="G4">
        <v>600</v>
      </c>
      <c r="H4">
        <v>400</v>
      </c>
      <c r="J4" s="107">
        <f>D10+D12+D15 + D5/2 + D4/3+D14/2</f>
        <v>0.18218533333333334</v>
      </c>
      <c r="K4" t="s">
        <v>720</v>
      </c>
    </row>
    <row r="5" spans="2:11" x14ac:dyDescent="0.25">
      <c r="B5">
        <v>113</v>
      </c>
      <c r="D5" s="107">
        <v>0.33298800000000001</v>
      </c>
      <c r="F5">
        <v>1200</v>
      </c>
      <c r="G5">
        <v>800</v>
      </c>
      <c r="H5">
        <v>0</v>
      </c>
      <c r="J5" s="107">
        <f>D11+D13+D16 + D4/3+D14/2+D6/2</f>
        <v>0.63562833333333346</v>
      </c>
      <c r="K5" t="s">
        <v>722</v>
      </c>
    </row>
    <row r="6" spans="2:11" x14ac:dyDescent="0.25">
      <c r="B6">
        <v>131</v>
      </c>
      <c r="D6" s="107">
        <v>0</v>
      </c>
      <c r="F6">
        <v>1400</v>
      </c>
      <c r="G6">
        <v>0</v>
      </c>
      <c r="H6">
        <v>600</v>
      </c>
    </row>
    <row r="7" spans="2:11" x14ac:dyDescent="0.25">
      <c r="B7">
        <v>122</v>
      </c>
      <c r="D7" s="107">
        <v>3.57E-4</v>
      </c>
      <c r="F7">
        <v>2000</v>
      </c>
      <c r="G7">
        <v>0</v>
      </c>
      <c r="H7">
        <v>0</v>
      </c>
    </row>
    <row r="8" spans="2:11" x14ac:dyDescent="0.25">
      <c r="B8">
        <v>123</v>
      </c>
      <c r="D8" s="107">
        <v>5.0369999999999998E-3</v>
      </c>
      <c r="F8">
        <v>2000</v>
      </c>
      <c r="G8">
        <v>0</v>
      </c>
      <c r="H8">
        <v>0</v>
      </c>
    </row>
    <row r="9" spans="2:11" x14ac:dyDescent="0.25">
      <c r="B9">
        <v>132</v>
      </c>
      <c r="D9" s="107">
        <v>9.1170000000000001E-3</v>
      </c>
      <c r="F9">
        <v>2000</v>
      </c>
      <c r="G9">
        <v>0</v>
      </c>
      <c r="H9">
        <v>0</v>
      </c>
    </row>
    <row r="10" spans="2:11" x14ac:dyDescent="0.25">
      <c r="B10">
        <v>212</v>
      </c>
      <c r="D10" s="107">
        <v>3.57E-4</v>
      </c>
      <c r="F10">
        <v>400</v>
      </c>
      <c r="G10">
        <v>1600</v>
      </c>
      <c r="H10">
        <v>0</v>
      </c>
    </row>
    <row r="11" spans="2:11" x14ac:dyDescent="0.25">
      <c r="B11">
        <v>221</v>
      </c>
      <c r="D11" s="107">
        <v>0.63257600000000003</v>
      </c>
      <c r="F11">
        <v>600</v>
      </c>
      <c r="G11">
        <v>200</v>
      </c>
      <c r="H11">
        <v>1200</v>
      </c>
    </row>
    <row r="12" spans="2:11" x14ac:dyDescent="0.25">
      <c r="B12">
        <v>213</v>
      </c>
      <c r="D12" s="107">
        <v>5.0369999999999998E-3</v>
      </c>
      <c r="F12">
        <v>400</v>
      </c>
      <c r="G12">
        <v>1600</v>
      </c>
      <c r="H12">
        <v>0</v>
      </c>
    </row>
    <row r="13" spans="2:11" x14ac:dyDescent="0.25">
      <c r="B13">
        <v>231</v>
      </c>
      <c r="D13" s="107">
        <v>9.3599999999999998E-4</v>
      </c>
      <c r="F13">
        <v>800</v>
      </c>
      <c r="G13">
        <v>0</v>
      </c>
      <c r="H13">
        <v>1200</v>
      </c>
    </row>
    <row r="14" spans="2:11" x14ac:dyDescent="0.25">
      <c r="B14">
        <v>311</v>
      </c>
      <c r="D14" s="107">
        <v>0</v>
      </c>
      <c r="F14">
        <v>400</v>
      </c>
      <c r="G14">
        <v>1000</v>
      </c>
      <c r="H14">
        <v>600</v>
      </c>
    </row>
    <row r="15" spans="2:11" x14ac:dyDescent="0.25">
      <c r="B15">
        <v>312</v>
      </c>
      <c r="D15" s="107">
        <v>9.1170000000000001E-3</v>
      </c>
      <c r="F15">
        <v>400</v>
      </c>
      <c r="G15">
        <v>1600</v>
      </c>
      <c r="H15">
        <v>0</v>
      </c>
    </row>
    <row r="16" spans="2:11" x14ac:dyDescent="0.25">
      <c r="B16">
        <v>321</v>
      </c>
      <c r="D16" s="107">
        <v>9.3599999999999998E-4</v>
      </c>
      <c r="F16">
        <v>400</v>
      </c>
      <c r="G16">
        <v>400</v>
      </c>
      <c r="H16">
        <v>1200</v>
      </c>
    </row>
  </sheetData>
  <mergeCells count="1">
    <mergeCell ref="F2:H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785B-800F-4E15-A219-1841A8B47732}">
  <dimension ref="A1:BK64"/>
  <sheetViews>
    <sheetView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U17" sqref="U17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3.7109375" customWidth="1"/>
    <col min="20" max="20" width="6.7109375" customWidth="1"/>
    <col min="21" max="21" width="9.5703125" bestFit="1" customWidth="1"/>
    <col min="22" max="22" width="10.28515625" customWidth="1"/>
    <col min="26" max="26" width="4.7109375" customWidth="1"/>
    <col min="27" max="27" width="5.5703125" customWidth="1"/>
    <col min="28" max="28" width="7.7109375" customWidth="1"/>
    <col min="29" max="30" width="8.5703125" customWidth="1"/>
    <col min="31" max="31" width="9.85546875" customWidth="1"/>
    <col min="32" max="32" width="8.42578125" customWidth="1"/>
    <col min="34" max="34" width="7.28515625" customWidth="1"/>
    <col min="35" max="35" width="8.5703125" customWidth="1"/>
    <col min="36" max="36" width="10" customWidth="1"/>
    <col min="40" max="40" width="4.7109375" customWidth="1"/>
    <col min="41" max="41" width="7.28515625" customWidth="1"/>
    <col min="42" max="42" width="8.5703125" customWidth="1"/>
    <col min="43" max="43" width="10" customWidth="1"/>
    <col min="47" max="47" width="2.85546875" customWidth="1"/>
    <col min="48" max="48" width="5.85546875" customWidth="1"/>
    <col min="49" max="49" width="6.7109375" customWidth="1"/>
    <col min="53" max="53" width="10.7109375" customWidth="1"/>
    <col min="54" max="54" width="2.42578125" customWidth="1"/>
    <col min="55" max="55" width="1" customWidth="1"/>
    <col min="56" max="56" width="9.140625" customWidth="1"/>
    <col min="57" max="57" width="7.42578125" customWidth="1"/>
    <col min="58" max="58" width="10.28515625" customWidth="1"/>
  </cols>
  <sheetData>
    <row r="1" spans="1:63" ht="15.75" x14ac:dyDescent="0.25">
      <c r="A1" t="s">
        <v>644</v>
      </c>
      <c r="B1">
        <v>26.96</v>
      </c>
      <c r="C1" s="80" t="s">
        <v>0</v>
      </c>
      <c r="D1">
        <f>B1*4</f>
        <v>107.84</v>
      </c>
      <c r="F1" s="80" t="s">
        <v>71</v>
      </c>
      <c r="G1">
        <v>0.1759</v>
      </c>
      <c r="I1" s="80" t="s">
        <v>72</v>
      </c>
      <c r="J1">
        <v>0.2248</v>
      </c>
      <c r="K1">
        <v>0.2248</v>
      </c>
      <c r="M1" s="80" t="s">
        <v>73</v>
      </c>
      <c r="N1">
        <v>355</v>
      </c>
    </row>
    <row r="2" spans="1:63" ht="15.75" x14ac:dyDescent="0.25">
      <c r="C2" s="80" t="s">
        <v>1</v>
      </c>
      <c r="D2">
        <f>bounty</f>
        <v>0</v>
      </c>
      <c r="F2" s="80" t="s">
        <v>74</v>
      </c>
      <c r="G2">
        <v>0.214</v>
      </c>
      <c r="I2" s="80" t="s">
        <v>75</v>
      </c>
      <c r="J2">
        <v>0.56179999999999997</v>
      </c>
      <c r="K2">
        <v>0.56179999999999997</v>
      </c>
      <c r="M2" s="80" t="s">
        <v>76</v>
      </c>
      <c r="N2">
        <v>750</v>
      </c>
    </row>
    <row r="3" spans="1:63" ht="15.75" x14ac:dyDescent="0.25">
      <c r="C3" s="80" t="s">
        <v>77</v>
      </c>
      <c r="D3">
        <v>2000</v>
      </c>
      <c r="F3" s="80" t="s">
        <v>78</v>
      </c>
      <c r="G3">
        <v>0.54830000000000001</v>
      </c>
      <c r="M3" s="80" t="s">
        <v>79</v>
      </c>
      <c r="N3">
        <v>0</v>
      </c>
    </row>
    <row r="4" spans="1:63" ht="15.75" x14ac:dyDescent="0.25">
      <c r="F4" s="80" t="s">
        <v>80</v>
      </c>
      <c r="G4">
        <v>0</v>
      </c>
      <c r="I4" s="80" t="s">
        <v>639</v>
      </c>
      <c r="J4">
        <v>0.1067</v>
      </c>
      <c r="K4">
        <f>0.1067*2</f>
        <v>0.21340000000000001</v>
      </c>
      <c r="M4" s="80" t="s">
        <v>81</v>
      </c>
      <c r="N4">
        <v>325</v>
      </c>
    </row>
    <row r="5" spans="1:63" ht="17.25" customHeight="1" x14ac:dyDescent="0.25">
      <c r="F5" s="80" t="s">
        <v>640</v>
      </c>
      <c r="G5">
        <f>0.0206*3</f>
        <v>6.1800000000000001E-2</v>
      </c>
    </row>
    <row r="6" spans="1:63" ht="21" customHeight="1" x14ac:dyDescent="0.25">
      <c r="C6" t="s">
        <v>82</v>
      </c>
      <c r="D6" s="104" t="s">
        <v>645</v>
      </c>
    </row>
    <row r="7" spans="1:63" ht="22.5" customHeight="1" x14ac:dyDescent="0.25">
      <c r="C7" t="s">
        <v>84</v>
      </c>
      <c r="D7" s="105" t="s">
        <v>717</v>
      </c>
    </row>
    <row r="8" spans="1:63" ht="18.75" customHeight="1" x14ac:dyDescent="0.25">
      <c r="C8" t="s">
        <v>86</v>
      </c>
      <c r="D8" s="104" t="s">
        <v>87</v>
      </c>
    </row>
    <row r="9" spans="1:63" ht="6" customHeight="1" x14ac:dyDescent="0.25"/>
    <row r="10" spans="1:63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63" ht="18.75" x14ac:dyDescent="0.3">
      <c r="F11" s="128"/>
      <c r="G11" s="81">
        <v>1</v>
      </c>
      <c r="H11" s="81">
        <v>0</v>
      </c>
      <c r="I11" s="82">
        <v>0</v>
      </c>
      <c r="J11" s="96"/>
      <c r="K11" s="96"/>
    </row>
    <row r="12" spans="1:63" ht="19.5" thickBot="1" x14ac:dyDescent="0.35">
      <c r="F12" s="96"/>
      <c r="G12" s="96"/>
      <c r="H12" s="96"/>
      <c r="I12" s="96"/>
      <c r="J12" s="96"/>
      <c r="K12" s="96"/>
      <c r="AA12" t="s">
        <v>92</v>
      </c>
      <c r="AH12" t="s">
        <v>93</v>
      </c>
    </row>
    <row r="13" spans="1:63" ht="19.5" thickBot="1" x14ac:dyDescent="0.35">
      <c r="F13" s="96"/>
      <c r="G13" s="96"/>
      <c r="H13" s="96"/>
      <c r="I13" s="96"/>
      <c r="J13" s="96"/>
      <c r="K13" s="96"/>
      <c r="AA13" s="129" t="s">
        <v>94</v>
      </c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1"/>
      <c r="BB13" s="99"/>
      <c r="BC13" s="99"/>
    </row>
    <row r="14" spans="1:63" ht="20.25" thickTop="1" thickBot="1" x14ac:dyDescent="0.35">
      <c r="F14" s="96"/>
      <c r="G14" s="96"/>
      <c r="H14" s="96" t="s">
        <v>96</v>
      </c>
      <c r="I14" s="96"/>
      <c r="J14" s="96"/>
      <c r="K14" s="96"/>
      <c r="O14" t="s">
        <v>97</v>
      </c>
      <c r="V14" t="s">
        <v>642</v>
      </c>
      <c r="AA14" s="138" t="s">
        <v>98</v>
      </c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40"/>
      <c r="AX14" t="s">
        <v>99</v>
      </c>
      <c r="BD14" s="132" t="s">
        <v>95</v>
      </c>
      <c r="BE14" s="133"/>
      <c r="BF14" s="133"/>
      <c r="BG14" s="133"/>
      <c r="BH14" s="99"/>
      <c r="BI14" s="99"/>
    </row>
    <row r="15" spans="1:63" ht="19.5" thickTop="1" x14ac:dyDescent="0.3">
      <c r="F15" s="134" t="s">
        <v>100</v>
      </c>
      <c r="G15" s="135"/>
      <c r="H15" s="135"/>
      <c r="I15" s="135"/>
      <c r="J15" s="136"/>
      <c r="K15" s="96"/>
      <c r="M15" s="134" t="s">
        <v>101</v>
      </c>
      <c r="N15" s="135"/>
      <c r="O15" s="135"/>
      <c r="P15" s="135"/>
      <c r="Q15" s="136"/>
      <c r="R15" s="96"/>
      <c r="S15" s="100"/>
      <c r="T15" s="134" t="s">
        <v>642</v>
      </c>
      <c r="U15" s="135"/>
      <c r="V15" s="135"/>
      <c r="W15" s="135"/>
      <c r="X15" s="136"/>
      <c r="Y15" s="100"/>
      <c r="AA15" s="118" t="s">
        <v>102</v>
      </c>
      <c r="AB15" s="119"/>
      <c r="AC15" s="119"/>
      <c r="AD15" s="119"/>
      <c r="AE15" s="120"/>
      <c r="AF15" s="96"/>
      <c r="AH15" s="118" t="s">
        <v>103</v>
      </c>
      <c r="AI15" s="119"/>
      <c r="AJ15" s="119"/>
      <c r="AK15" s="119"/>
      <c r="AL15" s="120"/>
      <c r="AO15" s="118" t="s">
        <v>643</v>
      </c>
      <c r="AP15" s="119"/>
      <c r="AQ15" s="119"/>
      <c r="AR15" s="119"/>
      <c r="AS15" s="120"/>
      <c r="AV15" s="121" t="s">
        <v>10</v>
      </c>
      <c r="AW15" s="122"/>
      <c r="AX15" s="122"/>
      <c r="AY15" s="122"/>
      <c r="AZ15" s="123"/>
      <c r="BD15" s="124" t="s">
        <v>104</v>
      </c>
      <c r="BE15" s="125"/>
      <c r="BF15" s="125"/>
      <c r="BG15" s="126"/>
      <c r="BH15" s="96"/>
      <c r="BI15" s="96"/>
    </row>
    <row r="16" spans="1:63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S16" s="5"/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s="5" t="s">
        <v>110</v>
      </c>
      <c r="AH16" s="5" t="s">
        <v>107</v>
      </c>
      <c r="AI16" s="5" t="s">
        <v>12</v>
      </c>
      <c r="AJ16" s="5" t="s">
        <v>108</v>
      </c>
      <c r="AK16" s="5" t="s">
        <v>109</v>
      </c>
      <c r="AL16" s="5" t="s">
        <v>1</v>
      </c>
      <c r="AM16" t="s">
        <v>110</v>
      </c>
      <c r="AO16" s="5" t="s">
        <v>107</v>
      </c>
      <c r="AP16" s="5" t="s">
        <v>12</v>
      </c>
      <c r="AQ16" s="5" t="s">
        <v>108</v>
      </c>
      <c r="AR16" s="5" t="s">
        <v>109</v>
      </c>
      <c r="AS16" s="5" t="s">
        <v>1</v>
      </c>
      <c r="AT16" t="s">
        <v>110</v>
      </c>
      <c r="AV16" s="5" t="s">
        <v>107</v>
      </c>
      <c r="AW16" s="5" t="s">
        <v>12</v>
      </c>
      <c r="AX16" s="5" t="s">
        <v>108</v>
      </c>
      <c r="AY16" s="5" t="s">
        <v>109</v>
      </c>
      <c r="AZ16" s="5" t="s">
        <v>1</v>
      </c>
      <c r="BA16" t="s">
        <v>110</v>
      </c>
      <c r="BD16" s="5" t="s">
        <v>109</v>
      </c>
      <c r="BE16" s="5" t="s">
        <v>1</v>
      </c>
      <c r="BF16" s="5" t="s">
        <v>104</v>
      </c>
      <c r="BG16" s="5" t="s">
        <v>111</v>
      </c>
      <c r="BH16" s="5" t="s">
        <v>634</v>
      </c>
      <c r="BI16" s="5" t="s">
        <v>635</v>
      </c>
      <c r="BJ16" t="s">
        <v>112</v>
      </c>
      <c r="BK16" t="s">
        <v>113</v>
      </c>
    </row>
    <row r="17" spans="1:63" x14ac:dyDescent="0.25">
      <c r="A17" s="26">
        <v>3</v>
      </c>
      <c r="B17" s="26">
        <v>115</v>
      </c>
      <c r="C17" s="26" t="s">
        <v>633</v>
      </c>
      <c r="D17" s="26">
        <v>10</v>
      </c>
      <c r="F17" s="73">
        <f>COUNTIF(T_p121351975546168[stack],"&gt;0")</f>
        <v>2</v>
      </c>
      <c r="G17" s="26">
        <f>IF(T_init2034474536067[[#This Row],[p]]=1,mainpot+sidepot1+sidepot2+uncalled,IF(T_init2034474536067[[#This Row],[p]]&gt;1,0,T_init2034474536067[[#This Row],[stack]]-T_init2034474536067[[#This Row],[anteblinds]]))</f>
        <v>0</v>
      </c>
      <c r="H17" s="26"/>
      <c r="I17" s="27">
        <f>T_p121351975546168[[#This Row],[EQ]]*prize</f>
        <v>0</v>
      </c>
      <c r="J17" s="71">
        <f>IF(T_init2034474536067[[#This Row],[p]]=1,T_p121351975546168[[#This Row],[players]]*T_p121351975546168[[#This Row],[stack]]/chips+COUNTIF(T_p121351975546168[stack],0),T_p121351975546168[[#This Row],[players]]*T_p121351975546168[[#This Row],[stack]]/chips)</f>
        <v>0</v>
      </c>
      <c r="K17" s="71">
        <f>T_p121351975546168[[#This Row],[ICM]]+bounty*T_p121351975546168[[#This Row],[KO]]</f>
        <v>0</v>
      </c>
      <c r="M17" s="29">
        <f>COUNTIF(T_p222362576556269[stack],"&gt;0")</f>
        <v>3</v>
      </c>
      <c r="N17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0</v>
      </c>
      <c r="O17" s="26"/>
      <c r="P17" s="27">
        <f>T_p222362576556269[[#This Row],[EQ]]*prize</f>
        <v>0</v>
      </c>
      <c r="Q17" s="71">
        <f>IF(T_init2034474536067[[#This Row],[p]]=2,T_p222362576556269[[#This Row],[players]]*T_p222362576556269[[#This Row],[stack]]/chips+COUNTIF(T_p222362576556269[stack],0),T_p222362576556269[[#This Row],[players]]*T_p222362576556269[[#This Row],[stack]]/chips)</f>
        <v>0</v>
      </c>
      <c r="R17" s="71">
        <f>T_p222362576556269[[#This Row],[ICM]]+bounty*T_p222362576556269[[#This Row],[KO]]</f>
        <v>0</v>
      </c>
      <c r="S17" s="71"/>
      <c r="T17" s="29">
        <f>COUNTIF(T_p22236257655626974[stack],"&gt;0")</f>
        <v>4</v>
      </c>
      <c r="U17" s="26">
        <f>IF(T_init2034474536067[[#This Row],[p]]=1,ROUND(uncalled + mainpot/3, 0) + ROUND(sidepot1/2,0),IF(T_init2034474536067[[#This Row],[p]]=2,ROUND(mainpot/3,0) + ROUND(sidepot1/2,0),IF(T_init2034474536067[[#This Row],[p]]=3, ROUNDUP(mainpot/3,0),T_init2034474536067[[#This Row],[stack]]-T_init2034474536067[[#This Row],[anteblinds]])))</f>
        <v>119</v>
      </c>
      <c r="V17" s="26">
        <v>5.9499999999999997E-2</v>
      </c>
      <c r="W17" s="27">
        <f>T_p22236257655626974[[#This Row],[EQ]]*prize</f>
        <v>6.41648</v>
      </c>
      <c r="X17" s="71">
        <f>IF(T_init2034474536067[[#This Row],[p]]=2,T_p22236257655626974[[#This Row],[players]]*T_p22236257655626974[[#This Row],[stack]]/chips+COUNTIF(T_p22236257655626974[stack],0),T_p22236257655626974[[#This Row],[players]]*T_p22236257655626974[[#This Row],[stack]]/chips)</f>
        <v>0.23799999999999999</v>
      </c>
      <c r="Y17" s="71">
        <f>T_p22236257655626974[[#This Row],[ICM]]+bounty*T_p22236257655626974[[#This Row],[KO]]</f>
        <v>6.41648</v>
      </c>
      <c r="AA17" s="73">
        <f>COUNTIF(T_p3p123372677566370[stack],"&gt;0")</f>
        <v>3</v>
      </c>
      <c r="AB17" s="26">
        <f>IF(T_init2034474536067[[#This Row],[p]]=1,sidepot1+uncalled,IF(T_init2034474536067[[#This Row],[p]]=3,mainpot,IF(ISBLANK(T_init2034474536067[[#This Row],[p]]),T_init2034474536067[[#This Row],[stack]]-T_init2034474536067[[#This Row],[anteblinds]],0)))</f>
        <v>355</v>
      </c>
      <c r="AC17" s="26">
        <v>0.17749999999999999</v>
      </c>
      <c r="AD17" s="27">
        <f>T_p3p123372677566370[[#This Row],[EQ]]*prize</f>
        <v>19.1416</v>
      </c>
      <c r="AE17" s="71">
        <f>IF(T_init2034474536067[[#This Row],[p]]=1,T_p3p123372677566370[[#This Row],[players]]*T_p3p123372677566370[[#This Row],[stack]]/chips+COUNTIF(T_p3p123372677566370[stack],0),T_p3p123372677566370[[#This Row],[players]]*T_p3p123372677566370[[#This Row],[stack]]/chips)</f>
        <v>0.53249999999999997</v>
      </c>
      <c r="AF17" s="71">
        <f>T_p3p123372677566370[[#This Row],[ICM]]+bounty*T_p3p123372677566370[[#This Row],[KO]]</f>
        <v>19.1416</v>
      </c>
      <c r="AH17" s="73">
        <f>COUNTIF(T_p3p224382778576471[stack],"&gt;0")</f>
        <v>4</v>
      </c>
      <c r="AI17" s="26">
        <f>IF(T_init2034474536067[[#This Row],[p]]=1,uncalled,IF(T_init2034474536067[[#This Row],[p]]=2,sidepot1,IF(T_init2034474536067[[#This Row],[p]]=3,mainpot,IF(ISBLANK(T_init2034474536067[[#This Row],[p]]),T_init2034474536067[[#This Row],[stack]]-T_init2034474536067[[#This Row],[anteblinds]],0))))</f>
        <v>355</v>
      </c>
      <c r="AJ17" s="26">
        <v>0.17749999999999999</v>
      </c>
      <c r="AK17" s="27">
        <f>T_p3p224382778576471[[#This Row],[EQ]]*prize</f>
        <v>19.1416</v>
      </c>
      <c r="AL17" s="71">
        <f>IF(T_init2034474536067[[#This Row],[p]]=2,T_p3p224382778576471[[#This Row],[players]]*T_p3p224382778576471[[#This Row],[stack]]/chips+COUNTIF(T_p3p224382778576471[stack],0),T_p3p224382778576471[[#This Row],[players]]*T_p3p224382778576471[[#This Row],[stack]]/chips)</f>
        <v>0.71</v>
      </c>
      <c r="AM17" s="71">
        <f>T_p3p224382778576471[[#This Row],[ICM]]+bounty*T_p3p224382778576471[[#This Row],[KO]]</f>
        <v>19.1416</v>
      </c>
      <c r="AO17" s="73">
        <f>COUNTIF(T_p3p22438277857647175[stack],"&gt;0")</f>
        <v>4</v>
      </c>
      <c r="AP17" s="26">
        <f>IF(T_init2034474536067[[#This Row],[p]]=1,uncalled + ROUND(sidepot1/2,0),IF(T_init2034474536067[[#This Row],[p]]=2,ROUND(sidepot1/2,0),IF(T_init2034474536067[[#This Row],[p]]=3,mainpot,IF(ISBLANK(T_init2034474536067[[#This Row],[p]]),T_init2034474536067[[#This Row],[stack]]-T_init2034474536067[[#This Row],[anteblinds]],0))))</f>
        <v>355</v>
      </c>
      <c r="AQ17" s="26">
        <v>0.17749999999999999</v>
      </c>
      <c r="AR17" s="27">
        <f>T_p3p22438277857647175[[#This Row],[EQ]]*prize</f>
        <v>19.1416</v>
      </c>
      <c r="AS17" s="71">
        <f>IF(T_init2034474536067[[#This Row],[p]]=2,T_p3p22438277857647175[[#This Row],[players]]*T_p3p22438277857647175[[#This Row],[stack]]/chips+COUNTIF(T_p3p22438277857647175[stack],0),T_p3p22438277857647175[[#This Row],[players]]*T_p3p22438277857647175[[#This Row],[stack]]/chips)</f>
        <v>0.71</v>
      </c>
      <c r="AT17" s="71">
        <f>T_p3p22438277857647175[[#This Row],[ICM]]+bounty*T_p3p22438277857647175[[#This Row],[KO]]</f>
        <v>19.1416</v>
      </c>
      <c r="AV17" s="73">
        <v>3</v>
      </c>
      <c r="AW17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0</v>
      </c>
      <c r="AX17" s="26"/>
      <c r="AY17" s="27">
        <f>T_fact29392879586572[[#This Row],[EQ]]*prize</f>
        <v>0</v>
      </c>
      <c r="AZ17" s="71">
        <f>IF(T_init2034474536067[[#This Row],[p]]=1,T_fact29392879586572[[#This Row],[players]]*T_fact29392879586572[[#This Row],[stack]]/chips+COUNTIF(T_fact29392879586572[stack],0),T_fact29392879586572[[#This Row],[players]]*T_fact29392879586572[[#This Row],[stack]]/chips)</f>
        <v>0</v>
      </c>
      <c r="BA17" s="71">
        <f>T_fact29392879586572[[#This Row],[ICM]]+bounty*T_fact29392879586572[[#This Row],[KO]]</f>
        <v>0</v>
      </c>
      <c r="BD17" s="72">
        <f>'3way шаблон ничьи'!p3win* ('3way шаблон ничьи'!p1sp1win*T_p3p123372677566370[[#This Row],[ICM]] + '3way шаблон ничьи'!p2sp1win*T_p3p224382778576471[[#This Row],[ICM]] + tiesp1*T_p3p22438277857647175[[#This Row],[ICM]])
+'3way шаблон ничьи'!p2win*T_p222362576556269[[#This Row],[ICM]]
+'3way шаблон ничьи'!p1win*T_p121351975546168[[#This Row],[ICM]]
+[0]!tie*T_p22236257655626974[[#This Row],[ICM]]</f>
        <v>9.7720250428240014</v>
      </c>
      <c r="BE17" s="33">
        <f>('3way шаблон ничьи'!p3win* ('3way шаблон ничьи'!p1sp1win*T_p3p123372677566370[[#This Row],[KO]] + '3way шаблон ничьи'!p2sp1win*T_p3p224382778576471[[#This Row],[KO]])
+'3way шаблон ничьи'!p2win*T_p222362576556269[[#This Row],[KO]]
+'3way шаблон ничьи'!p1win*T_p121351975546168[[#This Row],[KO]])*bounty</f>
        <v>0</v>
      </c>
      <c r="BF17" s="72">
        <f>'3way шаблон ничьи'!p3win* ('3way шаблон ничьи'!p1sp1win*T_p3p123372677566370[[#This Row],[$stack]] + '3way шаблон ничьи'!p2sp1win*T_p3p224382778576471[[#This Row],[$stack]])
+'3way шаблон ничьи'!p2win*T_p222362576556269[[#This Row],[$stack]]
+'3way шаблон ничьи'!p1win*T_p121351975546168[[#This Row],[$stack]]</f>
        <v>8.2556338776480001</v>
      </c>
      <c r="BG17" s="33">
        <f>'3way шаблон ничьи'!p3win* ('3way шаблон ничьи'!p1sp1win*T_p3p123372677566370[[#This Row],[stack]] + '3way шаблон ничьи'!p2sp1win*T_p3p224382778576471[[#This Row],[stack]] + tiesp1*T_p3p22438277857647175[[#This Row],[stack]])
+'3way шаблон ничьи'!p2win*T_p222362576556269[[#This Row],[stack]]
+'3way шаблон ничьи'!p1win*T_p121351975546168[[#This Row],[stack]]
+tie*T_p22236257655626974[[#This Row],[stack]]</f>
        <v>181.23191844999997</v>
      </c>
      <c r="BH17" s="72">
        <f>T_fact29392879586572[[#This Row],[stack]]- T_init2034474536067[[#This Row],[stack]]</f>
        <v>-115</v>
      </c>
      <c r="BI17" s="72">
        <f>T_EV33403080596673[[#This Row],[netwon]]+T_EV33403080596673[[#This Row],[cEVdiff]]</f>
        <v>66.231918449999966</v>
      </c>
      <c r="BJ17" s="2">
        <f>T_EV33403080596673[[#This Row],[chipEV]]-T_fact29392879586572[[#This Row],[stack]]</f>
        <v>181.23191844999997</v>
      </c>
      <c r="BK17" s="2">
        <f>T_EV33403080596673[[#This Row],[EV]]-(T_fact29392879586572[[#This Row],[ICM]])</f>
        <v>8.2556338776480001</v>
      </c>
    </row>
    <row r="18" spans="1:63" x14ac:dyDescent="0.25">
      <c r="B18">
        <v>580</v>
      </c>
      <c r="D18">
        <v>10</v>
      </c>
      <c r="F18" s="5">
        <f>COUNTIF(T_p121351975546168[stack],"&gt;0")</f>
        <v>2</v>
      </c>
      <c r="G18">
        <f>IF(T_init2034474536067[[#This Row],[p]]=1,mainpot+sidepot1+sidepot2+uncalled,IF(T_init2034474536067[[#This Row],[p]]&gt;1,0,T_init2034474536067[[#This Row],[stack]]-T_init2034474536067[[#This Row],[anteblinds]]))</f>
        <v>570</v>
      </c>
      <c r="H18">
        <v>0.28499999999999998</v>
      </c>
      <c r="I18" s="2">
        <f>T_p121351975546168[[#This Row],[EQ]]*prize</f>
        <v>30.734399999999997</v>
      </c>
      <c r="J18" s="66">
        <f>IF(T_init2034474536067[[#This Row],[p]]=1,T_p121351975546168[[#This Row],[players]]*T_p121351975546168[[#This Row],[stack]]/chips+COUNTIF(T_p121351975546168[stack],0),T_p121351975546168[[#This Row],[players]]*T_p121351975546168[[#This Row],[stack]]/chips)</f>
        <v>0.56999999999999995</v>
      </c>
      <c r="K18" s="66">
        <f>T_p121351975546168[[#This Row],[ICM]]+bounty*T_p121351975546168[[#This Row],[KO]]</f>
        <v>30.734399999999997</v>
      </c>
      <c r="M18" s="10">
        <f>COUNTIF(T_p222362576556269[stack],"&gt;0")</f>
        <v>3</v>
      </c>
      <c r="N18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570</v>
      </c>
      <c r="O18">
        <v>0.28499999999999998</v>
      </c>
      <c r="P18" s="2">
        <f>T_p222362576556269[[#This Row],[EQ]]*prize</f>
        <v>30.734399999999997</v>
      </c>
      <c r="Q18" s="66">
        <f>IF(T_init2034474536067[[#This Row],[p]]=2,T_p222362576556269[[#This Row],[players]]*T_p222362576556269[[#This Row],[stack]]/chips+COUNTIF(T_p222362576556269[stack],0),T_p222362576556269[[#This Row],[players]]*T_p222362576556269[[#This Row],[stack]]/chips)</f>
        <v>0.85499999999999998</v>
      </c>
      <c r="R18" s="66">
        <f>T_p222362576556269[[#This Row],[ICM]]+bounty*T_p222362576556269[[#This Row],[KO]]</f>
        <v>30.734399999999997</v>
      </c>
      <c r="S18" s="66"/>
      <c r="T18" s="10">
        <f>COUNTIF(T_p22236257655626974[stack],"&gt;0")</f>
        <v>4</v>
      </c>
      <c r="U18" s="26">
        <f>IF(T_init2034474536067[[#This Row],[p]]=1,ROUND(uncalled + mainpot/3, 0) + ROUND(sidepot1/2,0),IF(T_init2034474536067[[#This Row],[p]]=2,ROUND(mainpot/3,0) + ROUND(sidepot1/2,0),IF(T_init2034474536067[[#This Row],[p]]=3, ROUNDUP(mainpot/3,0),T_init2034474536067[[#This Row],[stack]]-T_init2034474536067[[#This Row],[anteblinds]])))</f>
        <v>570</v>
      </c>
      <c r="V18">
        <v>0.28499999999999998</v>
      </c>
      <c r="W18" s="2">
        <f>T_p22236257655626974[[#This Row],[EQ]]*prize</f>
        <v>30.734399999999997</v>
      </c>
      <c r="X18" s="66">
        <f>IF(T_init2034474536067[[#This Row],[p]]=2,T_p22236257655626974[[#This Row],[players]]*T_p22236257655626974[[#This Row],[stack]]/chips+COUNTIF(T_p22236257655626974[stack],0),T_p22236257655626974[[#This Row],[players]]*T_p22236257655626974[[#This Row],[stack]]/chips)</f>
        <v>1.1399999999999999</v>
      </c>
      <c r="Y18" s="66">
        <f>T_p22236257655626974[[#This Row],[ICM]]+bounty*T_p22236257655626974[[#This Row],[KO]]</f>
        <v>30.734399999999997</v>
      </c>
      <c r="AA18" s="5">
        <f>COUNTIF(T_p3p123372677566370[stack],"&gt;0")</f>
        <v>3</v>
      </c>
      <c r="AB18" s="26">
        <f>IF(T_init2034474536067[[#This Row],[p]]=1,sidepot1+uncalled,IF(T_init2034474536067[[#This Row],[p]]=3,mainpot,IF(ISBLANK(T_init2034474536067[[#This Row],[p]]),T_init2034474536067[[#This Row],[stack]]-T_init2034474536067[[#This Row],[anteblinds]],0)))</f>
        <v>570</v>
      </c>
      <c r="AC18">
        <v>0.28499999999999998</v>
      </c>
      <c r="AD18" s="2">
        <f>T_p3p123372677566370[[#This Row],[EQ]]*prize</f>
        <v>30.734399999999997</v>
      </c>
      <c r="AE18" s="66">
        <f>IF(T_init2034474536067[[#This Row],[p]]=1,T_p3p123372677566370[[#This Row],[players]]*T_p3p123372677566370[[#This Row],[stack]]/chips+COUNTIF(T_p3p123372677566370[stack],0),T_p3p123372677566370[[#This Row],[players]]*T_p3p123372677566370[[#This Row],[stack]]/chips)</f>
        <v>0.85499999999999998</v>
      </c>
      <c r="AF18" s="66">
        <f>T_p3p123372677566370[[#This Row],[ICM]]+bounty*T_p3p123372677566370[[#This Row],[KO]]</f>
        <v>30.734399999999997</v>
      </c>
      <c r="AH18" s="5">
        <f>COUNTIF(T_p3p224382778576471[stack],"&gt;0")</f>
        <v>4</v>
      </c>
      <c r="AI18">
        <f>IF(T_init2034474536067[[#This Row],[p]]=1,uncalled,IF(T_init2034474536067[[#This Row],[p]]=2,sidepot1,IF(T_init2034474536067[[#This Row],[p]]=3,mainpot,IF(ISBLANK(T_init2034474536067[[#This Row],[p]]),T_init2034474536067[[#This Row],[stack]]-T_init2034474536067[[#This Row],[anteblinds]],0))))</f>
        <v>570</v>
      </c>
      <c r="AJ18">
        <v>0.28499999999999998</v>
      </c>
      <c r="AK18" s="2">
        <f>T_p3p224382778576471[[#This Row],[EQ]]*prize</f>
        <v>30.734399999999997</v>
      </c>
      <c r="AL18" s="66">
        <f>IF(T_init2034474536067[[#This Row],[p]]=2,T_p3p224382778576471[[#This Row],[players]]*T_p3p224382778576471[[#This Row],[stack]]/chips+COUNTIF(T_p3p224382778576471[stack],0),T_p3p224382778576471[[#This Row],[players]]*T_p3p224382778576471[[#This Row],[stack]]/chips)</f>
        <v>1.1399999999999999</v>
      </c>
      <c r="AM18" s="16">
        <f>T_p3p224382778576471[[#This Row],[ICM]]+bounty*T_p3p224382778576471[[#This Row],[KO]]</f>
        <v>30.734399999999997</v>
      </c>
      <c r="AO18" s="5">
        <f>COUNTIF(T_p3p22438277857647175[stack],"&gt;0")</f>
        <v>4</v>
      </c>
      <c r="AP18">
        <f>IF(T_init2034474536067[[#This Row],[p]]=1,uncalled + ROUND(sidepot1/2,0),IF(T_init2034474536067[[#This Row],[p]]=2,ROUND(sidepot1/2,0),IF(T_init2034474536067[[#This Row],[p]]=3,mainpot,IF(ISBLANK(T_init2034474536067[[#This Row],[p]]),T_init2034474536067[[#This Row],[stack]]-T_init2034474536067[[#This Row],[anteblinds]],0))))</f>
        <v>570</v>
      </c>
      <c r="AQ18">
        <v>0.28499999999999998</v>
      </c>
      <c r="AR18" s="2">
        <f>T_p3p22438277857647175[[#This Row],[EQ]]*prize</f>
        <v>30.734399999999997</v>
      </c>
      <c r="AS18" s="66">
        <f>IF(T_init2034474536067[[#This Row],[p]]=2,T_p3p22438277857647175[[#This Row],[players]]*T_p3p22438277857647175[[#This Row],[stack]]/chips+COUNTIF(T_p3p22438277857647175[stack],0),T_p3p22438277857647175[[#This Row],[players]]*T_p3p22438277857647175[[#This Row],[stack]]/chips)</f>
        <v>1.1399999999999999</v>
      </c>
      <c r="AT18" s="16">
        <f>T_p3p22438277857647175[[#This Row],[ICM]]+bounty*T_p3p22438277857647175[[#This Row],[KO]]</f>
        <v>30.734399999999997</v>
      </c>
      <c r="AV18" s="73">
        <v>3</v>
      </c>
      <c r="AW18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570</v>
      </c>
      <c r="AX18">
        <v>0.28499999999999998</v>
      </c>
      <c r="AY18" s="2">
        <f>T_fact29392879586572[[#This Row],[EQ]]*prize</f>
        <v>30.734399999999997</v>
      </c>
      <c r="AZ18" s="66">
        <f>IF(T_init2034474536067[[#This Row],[p]]=1,T_fact29392879586572[[#This Row],[players]]*T_fact29392879586572[[#This Row],[stack]]/chips+COUNTIF(T_fact29392879586572[stack],0),T_fact29392879586572[[#This Row],[players]]*T_fact29392879586572[[#This Row],[stack]]/chips)</f>
        <v>0.85499999999999998</v>
      </c>
      <c r="BA18" s="16">
        <f>T_fact29392879586572[[#This Row],[ICM]]+bounty*T_fact29392879586572[[#This Row],[KO]]</f>
        <v>30.734399999999997</v>
      </c>
      <c r="BD18" s="68">
        <f>'3way шаблон ничьи'!p3win* ('3way шаблон ничьи'!p1sp1win*T_p3p123372677566370[[#This Row],[ICM]] + '3way шаблон ничьи'!p2sp1win*T_p3p224382778576471[[#This Row],[ICM]] + tiesp1*T_p3p22438277857647175[[#This Row],[ICM]])
+'3way шаблон ничьи'!p2win*T_p222362576556269[[#This Row],[ICM]]
+'3way шаблон ничьи'!p1win*T_p121351975546168[[#This Row],[ICM]]
+[0]!tie*T_p22236257655626974[[#This Row],[ICM]]</f>
        <v>28.936326648815999</v>
      </c>
      <c r="BE18" s="68">
        <f>('3way шаблон ничьи'!p3win* ('3way шаблон ничьи'!p1sp1win*T_p3p123372677566370[[#This Row],[KO]] + '3way шаблон ничьи'!p2sp1win*T_p3p224382778576471[[#This Row],[KO]])
+'3way шаблон ничьи'!p2win*T_p222362576556269[[#This Row],[KO]]
+'3way шаблон ничьи'!p1win*T_p121351975546168[[#This Row],[KO]])*bounty</f>
        <v>0</v>
      </c>
      <c r="BF18" s="68">
        <f>'3way шаблон ничьи'!p3win* ('3way шаблон ничьи'!p1sp1win*T_p3p123372677566370[[#This Row],[$stack]] + '3way шаблон ничьи'!p2sp1win*T_p3p224382778576471[[#This Row],[$stack]])
+'3way шаблон ничьи'!p2win*T_p222362576556269[[#This Row],[$stack]]
+'3way шаблон ничьи'!p1win*T_p121351975546168[[#This Row],[$stack]]</f>
        <v>25.238867377631998</v>
      </c>
      <c r="BG18" s="68">
        <f>'3way шаблон ничьи'!p3win* ('3way шаблон ничьи'!p1sp1win*T_p3p123372677566370[[#This Row],[stack]] + '3way шаблон ничьи'!p2sp1win*T_p3p224382778576471[[#This Row],[stack]] + tiesp1*T_p3p22438277857647175[[#This Row],[stack]])
+'3way шаблон ничьи'!p2win*T_p222362576556269[[#This Row],[stack]]
+'3way шаблон ничьи'!p1win*T_p121351975546168[[#This Row],[stack]]
+tie*T_p22236257655626974[[#This Row],[stack]]</f>
        <v>536.65294230000006</v>
      </c>
      <c r="BH18" s="68">
        <f>T_fact29392879586572[[#This Row],[stack]]- T_init2034474536067[[#This Row],[stack]]</f>
        <v>-10</v>
      </c>
      <c r="BI18" s="68">
        <f>T_EV33403080596673[[#This Row],[netwon]]+T_EV33403080596673[[#This Row],[cEVdiff]]</f>
        <v>-43.347057699999937</v>
      </c>
      <c r="BJ18" s="2">
        <f>T_EV33403080596673[[#This Row],[chipEV]]-T_fact29392879586572[[#This Row],[stack]]</f>
        <v>-33.347057699999937</v>
      </c>
      <c r="BK18" s="2">
        <f>T_EV33403080596673[[#This Row],[EV]]-(T_fact29392879586572[[#This Row],[ICM]])</f>
        <v>-5.4955326223679997</v>
      </c>
    </row>
    <row r="19" spans="1:63" s="17" customFormat="1" x14ac:dyDescent="0.25">
      <c r="A19" s="17">
        <v>1</v>
      </c>
      <c r="B19" s="17">
        <v>815</v>
      </c>
      <c r="C19" s="17" t="s">
        <v>631</v>
      </c>
      <c r="D19" s="17">
        <v>35</v>
      </c>
      <c r="F19" s="83">
        <f>COUNTIF(T_p121351975546168[stack],"&gt;0")</f>
        <v>2</v>
      </c>
      <c r="G19" s="17">
        <f>IF(T_init2034474536067[[#This Row],[p]]=1,mainpot+sidepot1+sidepot2+uncalled,IF(T_init2034474536067[[#This Row],[p]]&gt;1,0,T_init2034474536067[[#This Row],[stack]]-T_init2034474536067[[#This Row],[anteblinds]]))</f>
        <v>1430</v>
      </c>
      <c r="H19" s="17">
        <v>0.71499999999999997</v>
      </c>
      <c r="I19" s="18">
        <f>T_p121351975546168[[#This Row],[EQ]]*prize</f>
        <v>77.105599999999995</v>
      </c>
      <c r="J19" s="67">
        <f>IF(T_init2034474536067[[#This Row],[p]]=1,T_p121351975546168[[#This Row],[players]]*T_p121351975546168[[#This Row],[stack]]/chips+COUNTIF(T_p121351975546168[stack],0),T_p121351975546168[[#This Row],[players]]*T_p121351975546168[[#This Row],[stack]]/chips)</f>
        <v>5.43</v>
      </c>
      <c r="K19" s="67">
        <f>T_p121351975546168[[#This Row],[ICM]]+bounty*T_p121351975546168[[#This Row],[KO]]</f>
        <v>77.105599999999995</v>
      </c>
      <c r="M19" s="19">
        <f>COUNTIF(T_p222362576556269[stack],"&gt;0")</f>
        <v>3</v>
      </c>
      <c r="N19" s="17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325</v>
      </c>
      <c r="O19" s="17">
        <v>0.16250000000000001</v>
      </c>
      <c r="P19" s="18">
        <f>T_p222362576556269[[#This Row],[EQ]]*prize</f>
        <v>17.524000000000001</v>
      </c>
      <c r="Q19" s="67">
        <f>IF(T_init2034474536067[[#This Row],[p]]=2,T_p222362576556269[[#This Row],[players]]*T_p222362576556269[[#This Row],[stack]]/chips+COUNTIF(T_p222362576556269[stack],0),T_p222362576556269[[#This Row],[players]]*T_p222362576556269[[#This Row],[stack]]/chips)</f>
        <v>0.48749999999999999</v>
      </c>
      <c r="R19" s="67">
        <f>T_p222362576556269[[#This Row],[ICM]]+bounty*T_p222362576556269[[#This Row],[KO]]</f>
        <v>17.524000000000001</v>
      </c>
      <c r="S19" s="67"/>
      <c r="T19" s="19">
        <f>COUNTIF(T_p22236257655626974[stack],"&gt;0")</f>
        <v>4</v>
      </c>
      <c r="U19" s="17">
        <f>IF(T_init2034474536067[[#This Row],[p]]=1,ROUND(uncalled + mainpot/3, 0) + ROUND(sidepot1/2,0),IF(T_init2034474536067[[#This Row],[p]]=2,ROUND(mainpot/3,0) + ROUND(sidepot1/2,0),IF(T_init2034474536067[[#This Row],[p]]=3, ROUNDUP(mainpot/3,0),T_init2034474536067[[#This Row],[stack]]-T_init2034474536067[[#This Row],[anteblinds]])))</f>
        <v>818</v>
      </c>
      <c r="V19" s="17">
        <v>0.40899999999999997</v>
      </c>
      <c r="W19" s="18">
        <f>T_p22236257655626974[[#This Row],[EQ]]*prize</f>
        <v>44.106560000000002</v>
      </c>
      <c r="X19" s="67">
        <f>IF(T_init2034474536067[[#This Row],[p]]=2,T_p22236257655626974[[#This Row],[players]]*T_p22236257655626974[[#This Row],[stack]]/chips+COUNTIF(T_p22236257655626974[stack],0),T_p22236257655626974[[#This Row],[players]]*T_p22236257655626974[[#This Row],[stack]]/chips)</f>
        <v>1.6359999999999999</v>
      </c>
      <c r="Y19" s="67">
        <f>T_p22236257655626974[[#This Row],[ICM]]+bounty*T_p22236257655626974[[#This Row],[KO]]</f>
        <v>44.106560000000002</v>
      </c>
      <c r="AA19" s="83">
        <f>COUNTIF(T_p3p123372677566370[stack],"&gt;0")</f>
        <v>3</v>
      </c>
      <c r="AB19" s="17">
        <f>IF(T_init2034474536067[[#This Row],[p]]=1,sidepot1+uncalled,IF(T_init2034474536067[[#This Row],[p]]=3,mainpot,IF(ISBLANK(T_init2034474536067[[#This Row],[p]]),T_init2034474536067[[#This Row],[stack]]-T_init2034474536067[[#This Row],[anteblinds]],0)))</f>
        <v>1075</v>
      </c>
      <c r="AC19" s="17">
        <v>0.53749999999999998</v>
      </c>
      <c r="AD19" s="18">
        <f>T_p3p123372677566370[[#This Row],[EQ]]*prize</f>
        <v>57.963999999999999</v>
      </c>
      <c r="AE19" s="67">
        <f>IF(T_init2034474536067[[#This Row],[p]]=1,T_p3p123372677566370[[#This Row],[players]]*T_p3p123372677566370[[#This Row],[stack]]/chips+COUNTIF(T_p3p123372677566370[stack],0),T_p3p123372677566370[[#This Row],[players]]*T_p3p123372677566370[[#This Row],[stack]]/chips)</f>
        <v>4.6124999999999998</v>
      </c>
      <c r="AF19" s="67">
        <f>T_p3p123372677566370[[#This Row],[ICM]]+bounty*T_p3p123372677566370[[#This Row],[KO]]</f>
        <v>57.963999999999999</v>
      </c>
      <c r="AH19" s="83">
        <f>COUNTIF(T_p3p224382778576471[stack],"&gt;0")</f>
        <v>4</v>
      </c>
      <c r="AI19" s="17">
        <f>IF(T_init2034474536067[[#This Row],[p]]=1,uncalled,IF(T_init2034474536067[[#This Row],[p]]=2,sidepot1,IF(T_init2034474536067[[#This Row],[p]]=3,mainpot,IF(ISBLANK(T_init2034474536067[[#This Row],[p]]),T_init2034474536067[[#This Row],[stack]]-T_init2034474536067[[#This Row],[anteblinds]],0))))</f>
        <v>325</v>
      </c>
      <c r="AJ19" s="17">
        <v>0.16250000000000001</v>
      </c>
      <c r="AK19" s="18">
        <f>T_p3p224382778576471[[#This Row],[EQ]]*prize</f>
        <v>17.524000000000001</v>
      </c>
      <c r="AL19" s="67">
        <f>IF(T_init2034474536067[[#This Row],[p]]=2,T_p3p224382778576471[[#This Row],[players]]*T_p3p224382778576471[[#This Row],[stack]]/chips+COUNTIF(T_p3p224382778576471[stack],0),T_p3p224382778576471[[#This Row],[players]]*T_p3p224382778576471[[#This Row],[stack]]/chips)</f>
        <v>0.65</v>
      </c>
      <c r="AM19" s="24">
        <f>T_p3p224382778576471[[#This Row],[ICM]]+bounty*T_p3p224382778576471[[#This Row],[KO]]</f>
        <v>17.524000000000001</v>
      </c>
      <c r="AO19" s="83">
        <f>COUNTIF(T_p3p22438277857647175[stack],"&gt;0")</f>
        <v>4</v>
      </c>
      <c r="AP19" s="17">
        <f>IF(T_init2034474536067[[#This Row],[p]]=1,uncalled + ROUND(sidepot1/2,0),IF(T_init2034474536067[[#This Row],[p]]=2,ROUND(sidepot1/2,0),IF(T_init2034474536067[[#This Row],[p]]=3,mainpot,IF(ISBLANK(T_init2034474536067[[#This Row],[p]]),T_init2034474536067[[#This Row],[stack]]-T_init2034474536067[[#This Row],[anteblinds]],0))))</f>
        <v>700</v>
      </c>
      <c r="AQ19" s="17">
        <v>0.35</v>
      </c>
      <c r="AR19" s="18">
        <f>T_p3p22438277857647175[[#This Row],[EQ]]*prize</f>
        <v>37.744</v>
      </c>
      <c r="AS19" s="67">
        <f>IF(T_init2034474536067[[#This Row],[p]]=2,T_p3p22438277857647175[[#This Row],[players]]*T_p3p22438277857647175[[#This Row],[stack]]/chips+COUNTIF(T_p3p22438277857647175[stack],0),T_p3p22438277857647175[[#This Row],[players]]*T_p3p22438277857647175[[#This Row],[stack]]/chips)</f>
        <v>1.4</v>
      </c>
      <c r="AT19" s="24">
        <f>T_p3p22438277857647175[[#This Row],[ICM]]+bounty*T_p3p22438277857647175[[#This Row],[KO]]</f>
        <v>37.744</v>
      </c>
      <c r="AV19" s="83">
        <v>3</v>
      </c>
      <c r="AW19" s="17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325</v>
      </c>
      <c r="AX19" s="17">
        <v>0.16250000000000001</v>
      </c>
      <c r="AY19" s="18">
        <f>T_fact29392879586572[[#This Row],[EQ]]*prize</f>
        <v>17.524000000000001</v>
      </c>
      <c r="AZ19" s="67">
        <f>IF(T_init2034474536067[[#This Row],[p]]=1,T_fact29392879586572[[#This Row],[players]]*T_fact29392879586572[[#This Row],[stack]]/chips+COUNTIF(T_fact29392879586572[stack],0),T_fact29392879586572[[#This Row],[players]]*T_fact29392879586572[[#This Row],[stack]]/chips)</f>
        <v>3.4874999999999998</v>
      </c>
      <c r="BA19" s="24">
        <f>T_fact29392879586572[[#This Row],[ICM]]+bounty*T_fact29392879586572[[#This Row],[KO]]</f>
        <v>17.524000000000001</v>
      </c>
      <c r="BD19" s="69">
        <f>'3way шаблон ничьи'!p3win* ('3way шаблон ничьи'!p1sp1win*T_p3p123372677566370[[#This Row],[ICM]] + '3way шаблон ничьи'!p2sp1win*T_p3p224382778576471[[#This Row],[ICM]] + tiesp1*T_p3p22438277857647175[[#This Row],[ICM]])
+'3way шаблон ничьи'!p2win*T_p222362576556269[[#This Row],[ICM]]
+'3way шаблон ничьи'!p1win*T_p121351975546168[[#This Row],[ICM]]
+[0]!tie*T_p22236257655626974[[#This Row],[ICM]]</f>
        <v>34.789478430160003</v>
      </c>
      <c r="BE19" s="69">
        <f>('3way шаблон ничьи'!p3win* ('3way шаблон ничьи'!p1sp1win*T_p3p123372677566370[[#This Row],[KO]] + '3way шаблон ничьи'!p2sp1win*T_p3p224382778576471[[#This Row],[KO]])
+'3way шаблон ничьи'!p2win*T_p222362576556269[[#This Row],[KO]]
+'3way шаблон ничьи'!p1win*T_p121351975546168[[#This Row],[KO]])*bounty</f>
        <v>0</v>
      </c>
      <c r="BF19" s="69">
        <f>'3way шаблон ничьи'!p3win* ('3way шаблон ничьи'!p1sp1win*T_p3p123372677566370[[#This Row],[$stack]] + '3way шаблон ничьи'!p2sp1win*T_p3p224382778576471[[#This Row],[$stack]])
+'3way шаблон ничьи'!p2win*T_p222362576556269[[#This Row],[$stack]]
+'3way шаблон ничьи'!p1win*T_p121351975546168[[#This Row],[$stack]]</f>
        <v>29.855532766319996</v>
      </c>
      <c r="BG19" s="69">
        <f>'3way шаблон ничьи'!p3win* ('3way шаблон ничьи'!p1sp1win*T_p3p123372677566370[[#This Row],[stack]] + '3way шаблон ничьи'!p2sp1win*T_p3p224382778576471[[#This Row],[stack]] + tiesp1*T_p3p22438277857647175[[#This Row],[stack]])
+'3way шаблон ничьи'!p2win*T_p222362576556269[[#This Row],[stack]]
+'3way шаблон ничьи'!p1win*T_p121351975546168[[#This Row],[stack]]
+tie*T_p22236257655626974[[#This Row],[stack]]</f>
        <v>645.20546050000007</v>
      </c>
      <c r="BH19" s="69">
        <f>T_fact29392879586572[[#This Row],[stack]]- T_init2034474536067[[#This Row],[stack]]</f>
        <v>-490</v>
      </c>
      <c r="BI19" s="69">
        <f>T_EV33403080596673[[#This Row],[netwon]]+T_EV33403080596673[[#This Row],[cEVdiff]]</f>
        <v>-169.79453949999993</v>
      </c>
      <c r="BJ19" s="18">
        <f>T_EV33403080596673[[#This Row],[chipEV]]-T_fact29392879586572[[#This Row],[stack]]</f>
        <v>320.20546050000007</v>
      </c>
      <c r="BK19" s="18">
        <f>T_EV33403080596673[[#This Row],[EV]]-(T_fact29392879586572[[#This Row],[ICM]])</f>
        <v>12.331532766319995</v>
      </c>
    </row>
    <row r="20" spans="1:63" x14ac:dyDescent="0.25">
      <c r="A20" s="26">
        <v>2</v>
      </c>
      <c r="B20" s="26">
        <v>490</v>
      </c>
      <c r="C20" t="s">
        <v>632</v>
      </c>
      <c r="D20" s="26">
        <v>60</v>
      </c>
      <c r="F20" s="73">
        <f>COUNTIF(T_p121351975546168[stack],"&gt;0")</f>
        <v>2</v>
      </c>
      <c r="G20" s="26">
        <f>IF(T_init2034474536067[[#This Row],[p]]=1,mainpot+sidepot1+sidepot2+uncalled,IF(T_init2034474536067[[#This Row],[p]]&gt;1,0,T_init2034474536067[[#This Row],[stack]]-T_init2034474536067[[#This Row],[anteblinds]]))</f>
        <v>0</v>
      </c>
      <c r="H20" s="26"/>
      <c r="I20" s="27">
        <f>T_p121351975546168[[#This Row],[EQ]]*prize</f>
        <v>0</v>
      </c>
      <c r="J20" s="71">
        <f>IF(T_init2034474536067[[#This Row],[p]]=1,T_p121351975546168[[#This Row],[players]]*T_p121351975546168[[#This Row],[stack]]/chips+COUNTIF(T_p121351975546168[stack],0),T_p121351975546168[[#This Row],[players]]*T_p121351975546168[[#This Row],[stack]]/chips)</f>
        <v>0</v>
      </c>
      <c r="K20" s="71">
        <f>T_p121351975546168[[#This Row],[ICM]]+bounty*T_p121351975546168[[#This Row],[KO]]</f>
        <v>0</v>
      </c>
      <c r="M20" s="29">
        <f>COUNTIF(T_p222362576556269[stack],"&gt;0")</f>
        <v>3</v>
      </c>
      <c r="N20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1105</v>
      </c>
      <c r="O20" s="26">
        <v>0.55249999999999999</v>
      </c>
      <c r="P20" s="27">
        <f>T_p222362576556269[[#This Row],[EQ]]*prize</f>
        <v>59.581600000000002</v>
      </c>
      <c r="Q20" s="71">
        <f>IF(T_init2034474536067[[#This Row],[p]]=2,T_p222362576556269[[#This Row],[players]]*T_p222362576556269[[#This Row],[stack]]/chips+COUNTIF(T_p222362576556269[stack],0),T_p222362576556269[[#This Row],[players]]*T_p222362576556269[[#This Row],[stack]]/chips)</f>
        <v>4.6574999999999998</v>
      </c>
      <c r="R20" s="71">
        <f>T_p222362576556269[[#This Row],[ICM]]+bounty*T_p222362576556269[[#This Row],[KO]]</f>
        <v>59.581600000000002</v>
      </c>
      <c r="S20" s="71"/>
      <c r="T20" s="29">
        <f>COUNTIF(T_p22236257655626974[stack],"&gt;0")</f>
        <v>4</v>
      </c>
      <c r="U20" s="26">
        <f>IF(T_init2034474536067[[#This Row],[p]]=1,ROUND(uncalled + mainpot/3, 0) + ROUND(sidepot1/2,0),IF(T_init2034474536067[[#This Row],[p]]=2,ROUND(mainpot/3,0) + ROUND(sidepot1/2,0),IF(T_init2034474536067[[#This Row],[p]]=3, ROUNDUP(mainpot/3,0),T_init2034474536067[[#This Row],[stack]]-T_init2034474536067[[#This Row],[anteblinds]])))</f>
        <v>493</v>
      </c>
      <c r="V20" s="26">
        <v>0.2465</v>
      </c>
      <c r="W20" s="27">
        <f>T_p22236257655626974[[#This Row],[EQ]]*prize</f>
        <v>26.582560000000001</v>
      </c>
      <c r="X20" s="71">
        <f>IF(T_init2034474536067[[#This Row],[p]]=2,T_p22236257655626974[[#This Row],[players]]*T_p22236257655626974[[#This Row],[stack]]/chips+COUNTIF(T_p22236257655626974[stack],0),T_p22236257655626974[[#This Row],[players]]*T_p22236257655626974[[#This Row],[stack]]/chips)</f>
        <v>2.9859999999999998</v>
      </c>
      <c r="Y20" s="71">
        <f>T_p22236257655626974[[#This Row],[ICM]]+bounty*T_p22236257655626974[[#This Row],[KO]]</f>
        <v>26.582560000000001</v>
      </c>
      <c r="AA20" s="73">
        <f>COUNTIF(T_p3p123372677566370[stack],"&gt;0")</f>
        <v>3</v>
      </c>
      <c r="AB20" s="26">
        <f>IF(T_init2034474536067[[#This Row],[p]]=1,sidepot1+uncalled,IF(T_init2034474536067[[#This Row],[p]]=3,mainpot,IF(ISBLANK(T_init2034474536067[[#This Row],[p]]),T_init2034474536067[[#This Row],[stack]]-T_init2034474536067[[#This Row],[anteblinds]],0)))</f>
        <v>0</v>
      </c>
      <c r="AC20" s="26">
        <v>0</v>
      </c>
      <c r="AD20" s="27">
        <f>T_p3p123372677566370[[#This Row],[EQ]]*prize</f>
        <v>0</v>
      </c>
      <c r="AE20" s="71">
        <f>IF(T_init2034474536067[[#This Row],[p]]=1,T_p3p123372677566370[[#This Row],[players]]*T_p3p123372677566370[[#This Row],[stack]]/chips+COUNTIF(T_p3p123372677566370[stack],0),T_p3p123372677566370[[#This Row],[players]]*T_p3p123372677566370[[#This Row],[stack]]/chips)</f>
        <v>0</v>
      </c>
      <c r="AF20" s="71">
        <f>T_p3p123372677566370[[#This Row],[ICM]]+bounty*T_p3p123372677566370[[#This Row],[KO]]</f>
        <v>0</v>
      </c>
      <c r="AH20" s="73">
        <f>COUNTIF(T_p3p224382778576471[stack],"&gt;0")</f>
        <v>4</v>
      </c>
      <c r="AI20" s="26">
        <f>IF(T_init2034474536067[[#This Row],[p]]=1,uncalled,IF(T_init2034474536067[[#This Row],[p]]=2,sidepot1,IF(T_init2034474536067[[#This Row],[p]]=3,mainpot,IF(ISBLANK(T_init2034474536067[[#This Row],[p]]),T_init2034474536067[[#This Row],[stack]]-T_init2034474536067[[#This Row],[anteblinds]],0))))</f>
        <v>750</v>
      </c>
      <c r="AJ20" s="26">
        <v>0.375</v>
      </c>
      <c r="AK20" s="27">
        <f>T_p3p224382778576471[[#This Row],[EQ]]*prize</f>
        <v>40.44</v>
      </c>
      <c r="AL20" s="71">
        <f>IF(T_init2034474536067[[#This Row],[p]]=2,T_p3p224382778576471[[#This Row],[players]]*T_p3p224382778576471[[#This Row],[stack]]/chips+COUNTIF(T_p3p224382778576471[stack],0),T_p3p224382778576471[[#This Row],[players]]*T_p3p224382778576471[[#This Row],[stack]]/chips)</f>
        <v>3.5</v>
      </c>
      <c r="AM20" s="16">
        <f>T_p3p224382778576471[[#This Row],[ICM]]+bounty*T_p3p224382778576471[[#This Row],[KO]]</f>
        <v>40.44</v>
      </c>
      <c r="AO20" s="73">
        <f>COUNTIF(T_p3p22438277857647175[stack],"&gt;0")</f>
        <v>4</v>
      </c>
      <c r="AP20" s="26">
        <f>IF(T_init2034474536067[[#This Row],[p]]=1,uncalled + ROUND(sidepot1/2,0),IF(T_init2034474536067[[#This Row],[p]]=2,ROUND(sidepot1/2,0),IF(T_init2034474536067[[#This Row],[p]]=3,mainpot,IF(ISBLANK(T_init2034474536067[[#This Row],[p]]),T_init2034474536067[[#This Row],[stack]]-T_init2034474536067[[#This Row],[anteblinds]],0))))</f>
        <v>375</v>
      </c>
      <c r="AQ20" s="26">
        <v>0.1875</v>
      </c>
      <c r="AR20" s="27">
        <f>T_p3p22438277857647175[[#This Row],[EQ]]*prize</f>
        <v>20.22</v>
      </c>
      <c r="AS20" s="71">
        <f>IF(T_init2034474536067[[#This Row],[p]]=2,T_p3p22438277857647175[[#This Row],[players]]*T_p3p22438277857647175[[#This Row],[stack]]/chips+COUNTIF(T_p3p22438277857647175[stack],0),T_p3p22438277857647175[[#This Row],[players]]*T_p3p22438277857647175[[#This Row],[stack]]/chips)</f>
        <v>2.75</v>
      </c>
      <c r="AT20" s="16">
        <f>T_p3p22438277857647175[[#This Row],[ICM]]+bounty*T_p3p22438277857647175[[#This Row],[KO]]</f>
        <v>20.22</v>
      </c>
      <c r="AV20" s="73">
        <v>3</v>
      </c>
      <c r="AW20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1105</v>
      </c>
      <c r="AX20" s="26">
        <v>0.55249999999999999</v>
      </c>
      <c r="AY20" s="27">
        <f>T_fact29392879586572[[#This Row],[EQ]]*prize</f>
        <v>59.581600000000002</v>
      </c>
      <c r="AZ20" s="71">
        <f>IF(T_init2034474536067[[#This Row],[p]]=1,T_fact29392879586572[[#This Row],[players]]*T_fact29392879586572[[#This Row],[stack]]/chips+COUNTIF(T_fact29392879586572[stack],0),T_fact29392879586572[[#This Row],[players]]*T_fact29392879586572[[#This Row],[stack]]/chips)</f>
        <v>1.6575</v>
      </c>
      <c r="BA20" s="16">
        <f>T_fact29392879586572[[#This Row],[ICM]]+bounty*T_fact29392879586572[[#This Row],[KO]]</f>
        <v>59.581600000000002</v>
      </c>
      <c r="BD20" s="68">
        <f>'3way шаблон ничьи'!p3win* ('3way шаблон ничьи'!p1sp1win*T_p3p123372677566370[[#This Row],[ICM]] + '3way шаблон ничьи'!p2sp1win*T_p3p224382778576471[[#This Row],[ICM]] + tiesp1*T_p3p22438277857647175[[#This Row],[ICM]])
+'3way шаблон ничьи'!p2win*T_p222362576556269[[#This Row],[ICM]]
+'3way шаблон ничьи'!p1win*T_p121351975546168[[#This Row],[ICM]]
+[0]!tie*T_p22236257655626974[[#This Row],[ICM]]</f>
        <v>28.033140575799997</v>
      </c>
      <c r="BE20" s="72">
        <f>('3way шаблон ничьи'!p3win* ('3way шаблон ничьи'!p1sp1win*T_p3p123372677566370[[#This Row],[KO]] + '3way шаблон ничьи'!p2sp1win*T_p3p224382778576471[[#This Row],[KO]])
+'3way шаблон ничьи'!p2win*T_p222362576556269[[#This Row],[KO]]
+'3way шаблон ничьи'!p1win*T_p121351975546168[[#This Row],[KO]])*bounty</f>
        <v>0</v>
      </c>
      <c r="BF20" s="72">
        <f>'3way шаблон ничьи'!p3win* ('3way шаблон ничьи'!p1sp1win*T_p3p123372677566370[[#This Row],[$stack]] + '3way шаблон ничьи'!p2sp1win*T_p3p224382778576471[[#This Row],[$stack]])
+'3way шаблон ничьи'!p2win*T_p222362576556269[[#This Row],[$stack]]
+'3way шаблон ничьи'!p1win*T_p121351975546168[[#This Row],[$stack]]</f>
        <v>25.207395373599997</v>
      </c>
      <c r="BG20" s="72">
        <f>'3way шаблон ничьи'!p3win* ('3way шаблон ничьи'!p1sp1win*T_p3p123372677566370[[#This Row],[stack]] + '3way шаблон ничьи'!p2sp1win*T_p3p224382778576471[[#This Row],[stack]] + tiesp1*T_p3p22438277857647175[[#This Row],[stack]])
+'3way шаблон ничьи'!p2win*T_p222362576556269[[#This Row],[stack]]
+'3way шаблон ничьи'!p1win*T_p121351975546168[[#This Row],[stack]]
+tie*T_p22236257655626974[[#This Row],[stack]]</f>
        <v>519.90245874999994</v>
      </c>
      <c r="BH20" s="72">
        <f>T_fact29392879586572[[#This Row],[stack]]- T_init2034474536067[[#This Row],[stack]]</f>
        <v>615</v>
      </c>
      <c r="BI20" s="72">
        <f>T_EV33403080596673[[#This Row],[netwon]]+T_EV33403080596673[[#This Row],[cEVdiff]]</f>
        <v>29.902458749999937</v>
      </c>
      <c r="BJ20" s="2">
        <f>T_EV33403080596673[[#This Row],[chipEV]]-T_fact29392879586572[[#This Row],[stack]]</f>
        <v>-585.09754125000006</v>
      </c>
      <c r="BK20" s="2">
        <f>T_EV33403080596673[[#This Row],[EV]]-(T_fact29392879586572[[#This Row],[ICM]])</f>
        <v>-34.374204626400001</v>
      </c>
    </row>
    <row r="21" spans="1:63" x14ac:dyDescent="0.25">
      <c r="B21">
        <v>0</v>
      </c>
      <c r="F21" s="5">
        <f>COUNTIF(T_p121351975546168[stack],"&gt;0")</f>
        <v>2</v>
      </c>
      <c r="G21">
        <f>IF(T_init2034474536067[[#This Row],[p]]=1,mainpot+sidepot1+sidepot2+uncalled,IF(T_init2034474536067[[#This Row],[p]]&gt;1,0,T_init2034474536067[[#This Row],[stack]]-T_init2034474536067[[#This Row],[anteblinds]]))</f>
        <v>0</v>
      </c>
      <c r="I21" s="2">
        <f>T_p121351975546168[[#This Row],[EQ]]*prize</f>
        <v>0</v>
      </c>
      <c r="J21" s="66">
        <f>IF(T_init2034474536067[[#This Row],[p]]=1,T_p121351975546168[[#This Row],[players]]*T_p121351975546168[[#This Row],[stack]]/chips+COUNTIF(T_p121351975546168[stack],0),T_p121351975546168[[#This Row],[players]]*T_p121351975546168[[#This Row],[stack]]/chips)</f>
        <v>0</v>
      </c>
      <c r="K21" s="66">
        <f>T_p121351975546168[[#This Row],[ICM]]+bounty*T_p121351975546168[[#This Row],[KO]]</f>
        <v>0</v>
      </c>
      <c r="M21" s="10">
        <f>COUNTIF(T_p222362576556269[stack],"&gt;0")</f>
        <v>3</v>
      </c>
      <c r="N21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0</v>
      </c>
      <c r="O21">
        <v>0</v>
      </c>
      <c r="P21" s="2">
        <f>T_p222362576556269[[#This Row],[EQ]]*prize</f>
        <v>0</v>
      </c>
      <c r="Q21" s="66">
        <f>IF(T_init2034474536067[[#This Row],[p]]=2,T_p222362576556269[[#This Row],[players]]*T_p222362576556269[[#This Row],[stack]]/chips+COUNTIF(T_p222362576556269[stack],0),T_p222362576556269[[#This Row],[players]]*T_p222362576556269[[#This Row],[stack]]/chips)</f>
        <v>0</v>
      </c>
      <c r="R21" s="66">
        <f>T_p222362576556269[[#This Row],[ICM]]+bounty*T_p222362576556269[[#This Row],[KO]]</f>
        <v>0</v>
      </c>
      <c r="S21" s="66"/>
      <c r="T21" s="10">
        <f>COUNTIF(T_p22236257655626974[stack],"&gt;0")</f>
        <v>4</v>
      </c>
      <c r="U21" s="26">
        <f>IF(T_init2034474536067[[#This Row],[p]]=1,ROUND(uncalled + mainpot/3, 0) + ROUND(sidepot1/2,0),IF(T_init2034474536067[[#This Row],[p]]=2,ROUND(mainpot/3,0) + ROUND(sidepot1/2,0),IF(T_init2034474536067[[#This Row],[p]]=3, ROUNDUP(mainpot/3,0),T_init2034474536067[[#This Row],[stack]]-T_init2034474536067[[#This Row],[anteblinds]])))</f>
        <v>0</v>
      </c>
      <c r="V21">
        <v>0</v>
      </c>
      <c r="W21" s="2">
        <f>T_p22236257655626974[[#This Row],[EQ]]*prize</f>
        <v>0</v>
      </c>
      <c r="X21" s="66">
        <f>IF(T_init2034474536067[[#This Row],[p]]=2,T_p22236257655626974[[#This Row],[players]]*T_p22236257655626974[[#This Row],[stack]]/chips+COUNTIF(T_p22236257655626974[stack],0),T_p22236257655626974[[#This Row],[players]]*T_p22236257655626974[[#This Row],[stack]]/chips)</f>
        <v>0</v>
      </c>
      <c r="Y21" s="66">
        <f>T_p22236257655626974[[#This Row],[ICM]]+bounty*T_p22236257655626974[[#This Row],[KO]]</f>
        <v>0</v>
      </c>
      <c r="AA21" s="5">
        <f>COUNTIF(T_p3p123372677566370[stack],"&gt;0")</f>
        <v>3</v>
      </c>
      <c r="AB21" s="26">
        <f>IF(T_init2034474536067[[#This Row],[p]]=1,sidepot1+uncalled,IF(T_init2034474536067[[#This Row],[p]]=3,mainpot,IF(ISBLANK(T_init2034474536067[[#This Row],[p]]),T_init2034474536067[[#This Row],[stack]]-T_init2034474536067[[#This Row],[anteblinds]],0)))</f>
        <v>0</v>
      </c>
      <c r="AC21">
        <v>0</v>
      </c>
      <c r="AD21" s="2">
        <f>T_p3p123372677566370[[#This Row],[EQ]]*prize</f>
        <v>0</v>
      </c>
      <c r="AE21" s="66">
        <f>IF(T_init2034474536067[[#This Row],[p]]=1,T_p3p123372677566370[[#This Row],[players]]*T_p3p123372677566370[[#This Row],[stack]]/chips+COUNTIF(T_p3p123372677566370[stack],0),T_p3p123372677566370[[#This Row],[players]]*T_p3p123372677566370[[#This Row],[stack]]/chips)</f>
        <v>0</v>
      </c>
      <c r="AF21" s="66">
        <f>T_p3p123372677566370[[#This Row],[ICM]]+bounty*T_p3p123372677566370[[#This Row],[KO]]</f>
        <v>0</v>
      </c>
      <c r="AH21" s="5">
        <f>COUNTIF(T_p3p224382778576471[stack],"&gt;0")</f>
        <v>4</v>
      </c>
      <c r="AI21">
        <f>IF(T_init2034474536067[[#This Row],[p]]=1,uncalled,IF(T_init2034474536067[[#This Row],[p]]=2,sidepot1,IF(T_init2034474536067[[#This Row],[p]]=3,mainpot,IF(ISBLANK(T_init2034474536067[[#This Row],[p]]),T_init2034474536067[[#This Row],[stack]]-T_init2034474536067[[#This Row],[anteblinds]],0))))</f>
        <v>0</v>
      </c>
      <c r="AJ21">
        <v>0</v>
      </c>
      <c r="AK21" s="2">
        <f>T_p3p224382778576471[[#This Row],[EQ]]*prize</f>
        <v>0</v>
      </c>
      <c r="AL21" s="66">
        <f>IF(T_init2034474536067[[#This Row],[p]]=2,T_p3p224382778576471[[#This Row],[players]]*T_p3p224382778576471[[#This Row],[stack]]/chips+COUNTIF(T_p3p224382778576471[stack],0),T_p3p224382778576471[[#This Row],[players]]*T_p3p224382778576471[[#This Row],[stack]]/chips)</f>
        <v>0</v>
      </c>
      <c r="AM21" s="16">
        <f>T_p3p224382778576471[[#This Row],[ICM]]+bounty*T_p3p224382778576471[[#This Row],[KO]]</f>
        <v>0</v>
      </c>
      <c r="AO21" s="5">
        <f>COUNTIF(T_p3p22438277857647175[stack],"&gt;0")</f>
        <v>4</v>
      </c>
      <c r="AP21">
        <f>IF(T_init2034474536067[[#This Row],[p]]=1,uncalled + ROUND(sidepot1/2,0),IF(T_init2034474536067[[#This Row],[p]]=2,ROUND(sidepot1/2,0),IF(T_init2034474536067[[#This Row],[p]]=3,mainpot,IF(ISBLANK(T_init2034474536067[[#This Row],[p]]),T_init2034474536067[[#This Row],[stack]]-T_init2034474536067[[#This Row],[anteblinds]],0))))</f>
        <v>0</v>
      </c>
      <c r="AQ21">
        <v>0</v>
      </c>
      <c r="AR21" s="2">
        <f>T_p3p22438277857647175[[#This Row],[EQ]]*prize</f>
        <v>0</v>
      </c>
      <c r="AS21" s="66">
        <f>IF(T_init2034474536067[[#This Row],[p]]=2,T_p3p22438277857647175[[#This Row],[players]]*T_p3p22438277857647175[[#This Row],[stack]]/chips+COUNTIF(T_p3p22438277857647175[stack],0),T_p3p22438277857647175[[#This Row],[players]]*T_p3p22438277857647175[[#This Row],[stack]]/chips)</f>
        <v>0</v>
      </c>
      <c r="AT21" s="16">
        <f>T_p3p22438277857647175[[#This Row],[ICM]]+bounty*T_p3p22438277857647175[[#This Row],[KO]]</f>
        <v>0</v>
      </c>
      <c r="AV21" s="73">
        <v>3</v>
      </c>
      <c r="AW21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0</v>
      </c>
      <c r="AX21">
        <v>0</v>
      </c>
      <c r="AY21" s="2">
        <f>T_fact29392879586572[[#This Row],[EQ]]*prize</f>
        <v>0</v>
      </c>
      <c r="AZ21" s="66">
        <f>IF(T_init2034474536067[[#This Row],[p]]=1,T_fact29392879586572[[#This Row],[players]]*T_fact29392879586572[[#This Row],[stack]]/chips+COUNTIF(T_fact29392879586572[stack],0),T_fact29392879586572[[#This Row],[players]]*T_fact29392879586572[[#This Row],[stack]]/chips)</f>
        <v>0</v>
      </c>
      <c r="BA21" s="16">
        <f>T_fact29392879586572[[#This Row],[ICM]]+bounty*T_fact29392879586572[[#This Row],[KO]]</f>
        <v>0</v>
      </c>
      <c r="BD21" s="68">
        <f>'3way шаблон ничьи'!p3win* ('3way шаблон ничьи'!p1sp1win*T_p3p123372677566370[[#This Row],[ICM]] + '3way шаблон ничьи'!p2sp1win*T_p3p224382778576471[[#This Row],[ICM]] + tiesp1*T_p3p22438277857647175[[#This Row],[ICM]])
+'3way шаблон ничьи'!p2win*T_p222362576556269[[#This Row],[ICM]]
+'3way шаблон ничьи'!p1win*T_p121351975546168[[#This Row],[ICM]]
+[0]!tie*T_p22236257655626974[[#This Row],[ICM]]</f>
        <v>0</v>
      </c>
      <c r="BE21" s="68">
        <f>('3way шаблон ничьи'!p3win* ('3way шаблон ничьи'!p1sp1win*T_p3p123372677566370[[#This Row],[KO]] + '3way шаблон ничьи'!p2sp1win*T_p3p224382778576471[[#This Row],[KO]])
+'3way шаблон ничьи'!p2win*T_p222362576556269[[#This Row],[KO]]
+'3way шаблон ничьи'!p1win*T_p121351975546168[[#This Row],[KO]])*bounty</f>
        <v>0</v>
      </c>
      <c r="BF21" s="68">
        <f>'3way шаблон ничьи'!p3win* ('3way шаблон ничьи'!p1sp1win*T_p3p123372677566370[[#This Row],[$stack]] + '3way шаблон ничьи'!p2sp1win*T_p3p224382778576471[[#This Row],[$stack]])
+'3way шаблон ничьи'!p2win*T_p222362576556269[[#This Row],[$stack]]
+'3way шаблон ничьи'!p1win*T_p121351975546168[[#This Row],[$stack]]</f>
        <v>0</v>
      </c>
      <c r="BG21" s="68">
        <f>'3way шаблон ничьи'!p3win* ('3way шаблон ничьи'!p1sp1win*T_p3p123372677566370[[#This Row],[stack]] + '3way шаблон ничьи'!p2sp1win*T_p3p224382778576471[[#This Row],[stack]] + tiesp1*T_p3p22438277857647175[[#This Row],[stack]])
+'3way шаблон ничьи'!p2win*T_p222362576556269[[#This Row],[stack]]
+'3way шаблон ничьи'!p1win*T_p121351975546168[[#This Row],[stack]]
+tie*T_p22236257655626974[[#This Row],[stack]]</f>
        <v>0</v>
      </c>
      <c r="BH21" s="68">
        <f>T_fact29392879586572[[#This Row],[stack]]- T_init2034474536067[[#This Row],[stack]]</f>
        <v>0</v>
      </c>
      <c r="BI21" s="68">
        <f>T_EV33403080596673[[#This Row],[netwon]]+T_EV33403080596673[[#This Row],[cEVdiff]]</f>
        <v>0</v>
      </c>
      <c r="BJ21" s="2">
        <f>T_EV33403080596673[[#This Row],[chipEV]]-T_fact29392879586572[[#This Row],[stack]]</f>
        <v>0</v>
      </c>
      <c r="BK21" s="2">
        <f>T_EV33403080596673[[#This Row],[EV]]-(T_fact29392879586572[[#This Row],[ICM]])</f>
        <v>0</v>
      </c>
    </row>
    <row r="22" spans="1:63" x14ac:dyDescent="0.25">
      <c r="B22">
        <v>0</v>
      </c>
      <c r="F22" s="5">
        <f>COUNTIF(T_p121351975546168[stack],"&gt;0")</f>
        <v>2</v>
      </c>
      <c r="G22">
        <f>IF(T_init2034474536067[[#This Row],[p]]=1,mainpot+sidepot1+sidepot2+uncalled,IF(T_init2034474536067[[#This Row],[p]]&gt;1,0,T_init2034474536067[[#This Row],[stack]]-T_init2034474536067[[#This Row],[anteblinds]]))</f>
        <v>0</v>
      </c>
      <c r="I22" s="2">
        <f>T_p121351975546168[[#This Row],[EQ]]*prize</f>
        <v>0</v>
      </c>
      <c r="J22" s="66">
        <f>IF(T_init2034474536067[[#This Row],[p]]=1,T_p121351975546168[[#This Row],[players]]*T_p121351975546168[[#This Row],[stack]]/chips+COUNTIF(T_p121351975546168[stack],0),T_p121351975546168[[#This Row],[players]]*T_p121351975546168[[#This Row],[stack]]/chips)</f>
        <v>0</v>
      </c>
      <c r="K22" s="66">
        <f>T_p121351975546168[[#This Row],[ICM]]+bounty*T_p121351975546168[[#This Row],[KO]]</f>
        <v>0</v>
      </c>
      <c r="M22" s="10">
        <f>COUNTIF(T_p222362576556269[stack],"&gt;0")</f>
        <v>3</v>
      </c>
      <c r="N22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0</v>
      </c>
      <c r="P22" s="2">
        <f>T_p222362576556269[[#This Row],[EQ]]*prize</f>
        <v>0</v>
      </c>
      <c r="Q22" s="66">
        <f>IF(T_init2034474536067[[#This Row],[p]]=2,T_p222362576556269[[#This Row],[players]]*T_p222362576556269[[#This Row],[stack]]/chips+COUNTIF(T_p222362576556269[stack],0),T_p222362576556269[[#This Row],[players]]*T_p222362576556269[[#This Row],[stack]]/chips)</f>
        <v>0</v>
      </c>
      <c r="R22" s="66">
        <f>T_p222362576556269[[#This Row],[ICM]]+bounty*T_p222362576556269[[#This Row],[KO]]</f>
        <v>0</v>
      </c>
      <c r="S22" s="66"/>
      <c r="T22" s="10">
        <f>COUNTIF(T_p22236257655626974[stack],"&gt;0")</f>
        <v>4</v>
      </c>
      <c r="U22" s="26">
        <f>IF(T_init2034474536067[[#This Row],[p]]=1,ROUND(uncalled + mainpot/3, 0) + ROUND(sidepot1/2,0),IF(T_init2034474536067[[#This Row],[p]]=2,ROUND(mainpot/3,0) + ROUND(sidepot1/2,0),IF(T_init2034474536067[[#This Row],[p]]=3, ROUNDUP(mainpot/3,0),T_init2034474536067[[#This Row],[stack]]-T_init2034474536067[[#This Row],[anteblinds]])))</f>
        <v>0</v>
      </c>
      <c r="W22" s="2">
        <f>T_p22236257655626974[[#This Row],[EQ]]*prize</f>
        <v>0</v>
      </c>
      <c r="X22" s="66">
        <f>IF(T_init2034474536067[[#This Row],[p]]=2,T_p22236257655626974[[#This Row],[players]]*T_p22236257655626974[[#This Row],[stack]]/chips+COUNTIF(T_p22236257655626974[stack],0),T_p22236257655626974[[#This Row],[players]]*T_p22236257655626974[[#This Row],[stack]]/chips)</f>
        <v>0</v>
      </c>
      <c r="Y22" s="66">
        <f>T_p22236257655626974[[#This Row],[ICM]]+bounty*T_p22236257655626974[[#This Row],[KO]]</f>
        <v>0</v>
      </c>
      <c r="AA22" s="5">
        <f>COUNTIF(T_p3p123372677566370[stack],"&gt;0")</f>
        <v>3</v>
      </c>
      <c r="AB22" s="26">
        <f>IF(T_init2034474536067[[#This Row],[p]]=1,sidepot1+uncalled,IF(T_init2034474536067[[#This Row],[p]]=3,mainpot,IF(ISBLANK(T_init2034474536067[[#This Row],[p]]),T_init2034474536067[[#This Row],[stack]]-T_init2034474536067[[#This Row],[anteblinds]],0)))</f>
        <v>0</v>
      </c>
      <c r="AC22">
        <v>0</v>
      </c>
      <c r="AD22" s="2">
        <f>T_p3p123372677566370[[#This Row],[EQ]]*prize</f>
        <v>0</v>
      </c>
      <c r="AE22" s="66">
        <f>IF(T_init2034474536067[[#This Row],[p]]=1,T_p3p123372677566370[[#This Row],[players]]*T_p3p123372677566370[[#This Row],[stack]]/chips+COUNTIF(T_p3p123372677566370[stack],0),T_p3p123372677566370[[#This Row],[players]]*T_p3p123372677566370[[#This Row],[stack]]/chips)</f>
        <v>0</v>
      </c>
      <c r="AF22" s="66">
        <f>T_p3p123372677566370[[#This Row],[ICM]]+bounty*T_p3p123372677566370[[#This Row],[KO]]</f>
        <v>0</v>
      </c>
      <c r="AH22" s="5">
        <f>COUNTIF(T_p3p224382778576471[stack],"&gt;0")</f>
        <v>4</v>
      </c>
      <c r="AI22">
        <f>IF(T_init2034474536067[[#This Row],[p]]=1,uncalled,IF(T_init2034474536067[[#This Row],[p]]=2,sidepot1,IF(T_init2034474536067[[#This Row],[p]]=3,mainpot,IF(ISBLANK(T_init2034474536067[[#This Row],[p]]),T_init2034474536067[[#This Row],[stack]]-T_init2034474536067[[#This Row],[anteblinds]],0))))</f>
        <v>0</v>
      </c>
      <c r="AJ22">
        <v>0</v>
      </c>
      <c r="AK22" s="2">
        <f>T_p3p224382778576471[[#This Row],[EQ]]*prize</f>
        <v>0</v>
      </c>
      <c r="AL22" s="66">
        <f>IF(T_init2034474536067[[#This Row],[p]]=2,T_p3p224382778576471[[#This Row],[players]]*T_p3p224382778576471[[#This Row],[stack]]/chips+COUNTIF(T_p3p224382778576471[stack],0),T_p3p224382778576471[[#This Row],[players]]*T_p3p224382778576471[[#This Row],[stack]]/chips)</f>
        <v>0</v>
      </c>
      <c r="AM22" s="16">
        <f>T_p3p224382778576471[[#This Row],[ICM]]+bounty*T_p3p224382778576471[[#This Row],[KO]]</f>
        <v>0</v>
      </c>
      <c r="AO22" s="5">
        <f>COUNTIF(T_p3p22438277857647175[stack],"&gt;0")</f>
        <v>4</v>
      </c>
      <c r="AP22">
        <f>IF(T_init2034474536067[[#This Row],[p]]=1,uncalled + ROUND(sidepot1/2,0),IF(T_init2034474536067[[#This Row],[p]]=2,ROUND(sidepot1/2,0),IF(T_init2034474536067[[#This Row],[p]]=3,mainpot,IF(ISBLANK(T_init2034474536067[[#This Row],[p]]),T_init2034474536067[[#This Row],[stack]]-T_init2034474536067[[#This Row],[anteblinds]],0))))</f>
        <v>0</v>
      </c>
      <c r="AQ22">
        <v>0</v>
      </c>
      <c r="AR22" s="2">
        <f>T_p3p22438277857647175[[#This Row],[EQ]]*prize</f>
        <v>0</v>
      </c>
      <c r="AS22" s="66">
        <f>IF(T_init2034474536067[[#This Row],[p]]=2,T_p3p22438277857647175[[#This Row],[players]]*T_p3p22438277857647175[[#This Row],[stack]]/chips+COUNTIF(T_p3p22438277857647175[stack],0),T_p3p22438277857647175[[#This Row],[players]]*T_p3p22438277857647175[[#This Row],[stack]]/chips)</f>
        <v>0</v>
      </c>
      <c r="AT22" s="16">
        <f>T_p3p22438277857647175[[#This Row],[ICM]]+bounty*T_p3p22438277857647175[[#This Row],[KO]]</f>
        <v>0</v>
      </c>
      <c r="AV22" s="73">
        <v>3</v>
      </c>
      <c r="AW22" s="26">
        <f>IF(T_init2034474536067[[#This Row],[p]]=1,uncalled,IF(T_init2034474536067[[#This Row],[p]]=2,mainpot+sidepot1+sidepot2,IF(T_init2034474536067[[#This Row],[p]]&gt;2,0,T_init2034474536067[[#This Row],[stack]]-T_init2034474536067[[#This Row],[anteblinds]])))</f>
        <v>0</v>
      </c>
      <c r="AY22" s="2">
        <f>T_fact29392879586572[[#This Row],[EQ]]*prize</f>
        <v>0</v>
      </c>
      <c r="AZ22" s="66">
        <f>IF(T_init2034474536067[[#This Row],[p]]=1,T_fact29392879586572[[#This Row],[players]]*T_fact29392879586572[[#This Row],[stack]]/chips+COUNTIF(T_fact29392879586572[stack],0),T_fact29392879586572[[#This Row],[players]]*T_fact29392879586572[[#This Row],[stack]]/chips)</f>
        <v>0</v>
      </c>
      <c r="BA22" s="16">
        <f>T_fact29392879586572[[#This Row],[ICM]]+bounty*T_fact29392879586572[[#This Row],[KO]]</f>
        <v>0</v>
      </c>
      <c r="BD22" s="68">
        <f>'3way шаблон ничьи'!p3win* ('3way шаблон ничьи'!p1sp1win*T_p3p123372677566370[[#This Row],[ICM]] + '3way шаблон ничьи'!p2sp1win*T_p3p224382778576471[[#This Row],[ICM]] + tiesp1*T_p3p22438277857647175[[#This Row],[ICM]])
+'3way шаблон ничьи'!p2win*T_p222362576556269[[#This Row],[ICM]]
+'3way шаблон ничьи'!p1win*T_p121351975546168[[#This Row],[ICM]]
+[0]!tie*T_p22236257655626974[[#This Row],[ICM]]</f>
        <v>0</v>
      </c>
      <c r="BE22" s="68">
        <f>('3way шаблон ничьи'!p3win* ('3way шаблон ничьи'!p1sp1win*T_p3p123372677566370[[#This Row],[KO]] + '3way шаблон ничьи'!p2sp1win*T_p3p224382778576471[[#This Row],[KO]])
+'3way шаблон ничьи'!p2win*T_p222362576556269[[#This Row],[KO]]
+'3way шаблон ничьи'!p1win*T_p121351975546168[[#This Row],[KO]])*bounty</f>
        <v>0</v>
      </c>
      <c r="BF22" s="68">
        <f>'3way шаблон ничьи'!p3win* ('3way шаблон ничьи'!p1sp1win*T_p3p123372677566370[[#This Row],[$stack]] + '3way шаблон ничьи'!p2sp1win*T_p3p224382778576471[[#This Row],[$stack]])
+'3way шаблон ничьи'!p2win*T_p222362576556269[[#This Row],[$stack]]
+'3way шаблон ничьи'!p1win*T_p121351975546168[[#This Row],[$stack]]</f>
        <v>0</v>
      </c>
      <c r="BG22" s="68">
        <f>'3way шаблон ничьи'!p3win* ('3way шаблон ничьи'!p1sp1win*T_p3p123372677566370[[#This Row],[stack]] + '3way шаблон ничьи'!p2sp1win*T_p3p224382778576471[[#This Row],[stack]] + tiesp1*T_p3p22438277857647175[[#This Row],[stack]])
+'3way шаблон ничьи'!p2win*T_p222362576556269[[#This Row],[stack]]
+'3way шаблон ничьи'!p1win*T_p121351975546168[[#This Row],[stack]]
+tie*T_p22236257655626974[[#This Row],[stack]]</f>
        <v>0</v>
      </c>
      <c r="BH22" s="68">
        <f>T_fact29392879586572[[#This Row],[stack]]- T_init2034474536067[[#This Row],[stack]]</f>
        <v>0</v>
      </c>
      <c r="BI22" s="68">
        <f>T_EV33403080596673[[#This Row],[netwon]]+T_EV33403080596673[[#This Row],[cEVdiff]]</f>
        <v>0</v>
      </c>
      <c r="BJ22" s="2">
        <f>T_EV33403080596673[[#This Row],[chipEV]]-T_fact29392879586572[[#This Row],[stack]]</f>
        <v>0</v>
      </c>
      <c r="BK22" s="2">
        <f>T_EV33403080596673[[#This Row],[EV]]-(T_fact29392879586572[[#This Row],[ICM]])</f>
        <v>0</v>
      </c>
    </row>
    <row r="23" spans="1:63" x14ac:dyDescent="0.25">
      <c r="A23" t="s">
        <v>95</v>
      </c>
      <c r="D23">
        <f>SUBTOTAL(109,T_init2034474536067[anteblinds])</f>
        <v>115</v>
      </c>
      <c r="F23" s="53"/>
      <c r="G23" s="50">
        <f>SUM(T_p121351975546168[stack])</f>
        <v>2000</v>
      </c>
      <c r="H23" s="50">
        <f>SUM(T_p121351975546168[EQ])</f>
        <v>1</v>
      </c>
      <c r="I23" s="50">
        <f>SUM(T_p121351975546168[ICM])</f>
        <v>107.83999999999999</v>
      </c>
      <c r="J23" s="50">
        <f>SUM(T_p121351975546168[KO])</f>
        <v>6</v>
      </c>
      <c r="K23" s="50">
        <f>SUM(T_p121351975546168[$stack])</f>
        <v>107.83999999999999</v>
      </c>
      <c r="M23" s="53"/>
      <c r="N23" s="55">
        <f>SUM(T_p222362576556269[stack])</f>
        <v>2000</v>
      </c>
      <c r="O23" s="50">
        <f>SUM(T_p222362576556269[EQ])</f>
        <v>1</v>
      </c>
      <c r="P23" s="51">
        <f>SUM(T_p222362576556269[ICM])</f>
        <v>107.84</v>
      </c>
      <c r="Q23" s="52">
        <f>SUM(T_p222362576556269[KO])</f>
        <v>6</v>
      </c>
      <c r="R23" s="50">
        <f>SUM(T_p222362576556269[$stack])</f>
        <v>107.84</v>
      </c>
      <c r="S23" s="50"/>
      <c r="T23" s="53"/>
      <c r="U23" s="55">
        <f>SUM(T_p22236257655626974[stack])</f>
        <v>2000</v>
      </c>
      <c r="V23" s="50">
        <f>SUM(T_p22236257655626974[EQ])</f>
        <v>1</v>
      </c>
      <c r="W23" s="51">
        <f>SUM(T_p22236257655626974[ICM])</f>
        <v>107.84</v>
      </c>
      <c r="X23" s="52">
        <f>SUM(T_p22236257655626974[KO])</f>
        <v>6</v>
      </c>
      <c r="Y23" s="50">
        <f>SUM(T_p22236257655626974[$stack])</f>
        <v>107.84</v>
      </c>
      <c r="AA23" s="53"/>
      <c r="AB23" s="55">
        <f>SUM(T_p3p123372677566370[stack])</f>
        <v>2000</v>
      </c>
      <c r="AC23" s="50">
        <f>SUM(T_p3p123372677566370[EQ])</f>
        <v>1</v>
      </c>
      <c r="AD23" s="51">
        <f>SUM(T_p3p123372677566370[ICM])</f>
        <v>107.84</v>
      </c>
      <c r="AE23" s="52">
        <f>SUM(T_p3p123372677566370[KO])</f>
        <v>6</v>
      </c>
      <c r="AF23" s="50">
        <f>SUM(T_p3p123372677566370[$stack])</f>
        <v>107.84</v>
      </c>
      <c r="AH23" s="53"/>
      <c r="AI23" s="55">
        <f>SUM(T_p3p224382778576471[stack])</f>
        <v>2000</v>
      </c>
      <c r="AJ23" s="50">
        <f>SUM(T_p3p224382778576471[EQ])</f>
        <v>1</v>
      </c>
      <c r="AK23" s="51">
        <f>SUM(T_p3p224382778576471[ICM])</f>
        <v>107.84</v>
      </c>
      <c r="AL23" s="52">
        <f>SUM(T_p3p224382778576471[KO])</f>
        <v>6</v>
      </c>
      <c r="AM23" s="50">
        <f>SUM(T_p3p123372677566370[$stack])</f>
        <v>107.84</v>
      </c>
      <c r="AO23" s="53"/>
      <c r="AP23" s="55">
        <f>SUM(T_p3p22438277857647175[stack])</f>
        <v>2000</v>
      </c>
      <c r="AQ23" s="50">
        <f>SUM(T_p3p22438277857647175[EQ])</f>
        <v>1</v>
      </c>
      <c r="AR23" s="51">
        <f>SUM(T_p3p22438277857647175[ICM])</f>
        <v>107.84</v>
      </c>
      <c r="AS23" s="52">
        <f>SUM(T_p3p22438277857647175[KO])</f>
        <v>6</v>
      </c>
      <c r="AT23" s="50">
        <f>SUM(T_p3p123372677566370[$stack])</f>
        <v>107.84</v>
      </c>
      <c r="AV23" s="53"/>
      <c r="AW23" s="55">
        <f>SUM(T_fact29392879586572[stack])</f>
        <v>2000</v>
      </c>
      <c r="AX23" s="50">
        <f>SUM(T_fact29392879586572[EQ])</f>
        <v>1</v>
      </c>
      <c r="AY23" s="51">
        <f>SUM(T_fact29392879586572[ICM])</f>
        <v>107.84</v>
      </c>
      <c r="AZ23" s="52">
        <f>SUM(T_fact29392879586572[KO])</f>
        <v>5.9999999999999991</v>
      </c>
      <c r="BA23" s="51">
        <f>SUM(T_fact29392879586572[$stack])</f>
        <v>107.84</v>
      </c>
      <c r="BD23" s="52">
        <f>SUM(T_EV33403080596673[ICM])</f>
        <v>101.5309706976</v>
      </c>
      <c r="BE23" s="52">
        <f>SUM(T_EV33403080596673[KO])</f>
        <v>0</v>
      </c>
      <c r="BF23" s="52">
        <f>SUM(T_EV33403080596673[EV])</f>
        <v>88.557429395199989</v>
      </c>
      <c r="BG23" s="50">
        <f>SUM(T_EV33403080596673[chipEV])</f>
        <v>1882.99278</v>
      </c>
      <c r="BH23" s="50"/>
      <c r="BI23" s="50"/>
    </row>
    <row r="25" spans="1:63" ht="18.75" x14ac:dyDescent="0.3">
      <c r="M25" s="79" t="s">
        <v>117</v>
      </c>
    </row>
    <row r="26" spans="1:63" x14ac:dyDescent="0.25">
      <c r="C26" t="s">
        <v>118</v>
      </c>
      <c r="M26" t="s">
        <v>600</v>
      </c>
    </row>
    <row r="27" spans="1:63" x14ac:dyDescent="0.25">
      <c r="C27" t="s">
        <v>120</v>
      </c>
      <c r="M27" t="s">
        <v>601</v>
      </c>
    </row>
    <row r="28" spans="1:63" x14ac:dyDescent="0.25">
      <c r="C28" t="s">
        <v>122</v>
      </c>
      <c r="M28" t="s">
        <v>602</v>
      </c>
    </row>
    <row r="29" spans="1:63" x14ac:dyDescent="0.25">
      <c r="M29" t="s">
        <v>603</v>
      </c>
    </row>
    <row r="30" spans="1:63" x14ac:dyDescent="0.25">
      <c r="M30" t="s">
        <v>604</v>
      </c>
    </row>
    <row r="31" spans="1:63" x14ac:dyDescent="0.25">
      <c r="C31" t="s">
        <v>126</v>
      </c>
      <c r="M31" t="s">
        <v>605</v>
      </c>
    </row>
    <row r="32" spans="1:63" x14ac:dyDescent="0.25">
      <c r="M32" t="s">
        <v>419</v>
      </c>
    </row>
    <row r="33" spans="2:13" x14ac:dyDescent="0.25">
      <c r="B33" t="s">
        <v>129</v>
      </c>
      <c r="M33" t="s">
        <v>606</v>
      </c>
    </row>
    <row r="34" spans="2:13" x14ac:dyDescent="0.25">
      <c r="B34" t="s">
        <v>131</v>
      </c>
      <c r="M34" t="s">
        <v>189</v>
      </c>
    </row>
    <row r="35" spans="2:13" x14ac:dyDescent="0.25">
      <c r="C35" t="s">
        <v>133</v>
      </c>
      <c r="M35" t="s">
        <v>607</v>
      </c>
    </row>
    <row r="36" spans="2:13" x14ac:dyDescent="0.25">
      <c r="D36" t="s">
        <v>135</v>
      </c>
      <c r="M36" t="s">
        <v>608</v>
      </c>
    </row>
    <row r="37" spans="2:13" x14ac:dyDescent="0.25">
      <c r="C37" t="s">
        <v>137</v>
      </c>
      <c r="M37" t="s">
        <v>609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610</v>
      </c>
    </row>
    <row r="40" spans="2:13" x14ac:dyDescent="0.25">
      <c r="D40" t="s">
        <v>142</v>
      </c>
      <c r="M40" t="s">
        <v>611</v>
      </c>
    </row>
    <row r="41" spans="2:13" x14ac:dyDescent="0.25">
      <c r="D41" t="s">
        <v>144</v>
      </c>
      <c r="E41" t="s">
        <v>145</v>
      </c>
      <c r="M41" t="s">
        <v>612</v>
      </c>
    </row>
    <row r="42" spans="2:13" x14ac:dyDescent="0.25">
      <c r="F42" t="s">
        <v>147</v>
      </c>
      <c r="M42" t="s">
        <v>613</v>
      </c>
    </row>
    <row r="43" spans="2:13" x14ac:dyDescent="0.25">
      <c r="E43" t="s">
        <v>149</v>
      </c>
      <c r="M43" t="s">
        <v>614</v>
      </c>
    </row>
    <row r="44" spans="2:13" x14ac:dyDescent="0.25">
      <c r="F44" t="s">
        <v>151</v>
      </c>
      <c r="M44" t="s">
        <v>615</v>
      </c>
    </row>
    <row r="45" spans="2:13" x14ac:dyDescent="0.25">
      <c r="M45" t="s">
        <v>616</v>
      </c>
    </row>
    <row r="46" spans="2:13" x14ac:dyDescent="0.25">
      <c r="C46" t="s">
        <v>154</v>
      </c>
      <c r="M46" t="s">
        <v>617</v>
      </c>
    </row>
    <row r="47" spans="2:13" x14ac:dyDescent="0.25">
      <c r="D47" t="s">
        <v>156</v>
      </c>
      <c r="M47" t="s">
        <v>618</v>
      </c>
    </row>
    <row r="48" spans="2:13" x14ac:dyDescent="0.25">
      <c r="D48" t="s">
        <v>158</v>
      </c>
      <c r="E48" t="s">
        <v>145</v>
      </c>
      <c r="M48" t="s">
        <v>166</v>
      </c>
    </row>
    <row r="49" spans="5:13" x14ac:dyDescent="0.25">
      <c r="F49" t="s">
        <v>160</v>
      </c>
      <c r="M49" t="s">
        <v>619</v>
      </c>
    </row>
    <row r="50" spans="5:13" x14ac:dyDescent="0.25">
      <c r="E50" t="s">
        <v>149</v>
      </c>
      <c r="M50" t="s">
        <v>620</v>
      </c>
    </row>
    <row r="51" spans="5:13" x14ac:dyDescent="0.25">
      <c r="F51" t="s">
        <v>163</v>
      </c>
      <c r="M51" t="s">
        <v>621</v>
      </c>
    </row>
    <row r="52" spans="5:13" x14ac:dyDescent="0.25">
      <c r="E52" t="s">
        <v>165</v>
      </c>
      <c r="M52" t="s">
        <v>622</v>
      </c>
    </row>
    <row r="53" spans="5:13" x14ac:dyDescent="0.25">
      <c r="F53" t="s">
        <v>167</v>
      </c>
      <c r="M53" t="s">
        <v>623</v>
      </c>
    </row>
    <row r="54" spans="5:13" x14ac:dyDescent="0.25">
      <c r="F54" t="s">
        <v>144</v>
      </c>
      <c r="M54" t="s">
        <v>624</v>
      </c>
    </row>
    <row r="55" spans="5:13" x14ac:dyDescent="0.25">
      <c r="G55" t="s">
        <v>145</v>
      </c>
      <c r="M55" t="s">
        <v>173</v>
      </c>
    </row>
    <row r="56" spans="5:13" x14ac:dyDescent="0.25">
      <c r="H56" t="s">
        <v>147</v>
      </c>
      <c r="M56" t="s">
        <v>625</v>
      </c>
    </row>
    <row r="57" spans="5:13" x14ac:dyDescent="0.25">
      <c r="G57" t="s">
        <v>149</v>
      </c>
      <c r="M57" t="s">
        <v>626</v>
      </c>
    </row>
    <row r="58" spans="5:13" x14ac:dyDescent="0.25">
      <c r="H58" t="s">
        <v>151</v>
      </c>
      <c r="M58" t="s">
        <v>627</v>
      </c>
    </row>
    <row r="59" spans="5:13" x14ac:dyDescent="0.25">
      <c r="M59" t="s">
        <v>628</v>
      </c>
    </row>
    <row r="60" spans="5:13" x14ac:dyDescent="0.25">
      <c r="M60" t="s">
        <v>629</v>
      </c>
    </row>
    <row r="61" spans="5:13" x14ac:dyDescent="0.25">
      <c r="M61" t="s">
        <v>630</v>
      </c>
    </row>
    <row r="63" spans="5:13" x14ac:dyDescent="0.25">
      <c r="M63" t="s">
        <v>178</v>
      </c>
    </row>
    <row r="64" spans="5:13" x14ac:dyDescent="0.25">
      <c r="M64" t="s">
        <v>179</v>
      </c>
    </row>
  </sheetData>
  <mergeCells count="12">
    <mergeCell ref="AA13:AT13"/>
    <mergeCell ref="BD15:BG15"/>
    <mergeCell ref="F10:F11"/>
    <mergeCell ref="BD14:BG14"/>
    <mergeCell ref="F15:J15"/>
    <mergeCell ref="M15:Q15"/>
    <mergeCell ref="AA15:AE15"/>
    <mergeCell ref="AH15:AL15"/>
    <mergeCell ref="AV15:AZ15"/>
    <mergeCell ref="T15:X15"/>
    <mergeCell ref="AO15:AS15"/>
    <mergeCell ref="AA14:AT14"/>
  </mergeCells>
  <pageMargins left="0.7" right="0.7" top="0.75" bottom="0.75" header="0.3" footer="0.3"/>
  <pageSetup paperSize="9" orientation="portrait" horizontalDpi="4294967293" verticalDpi="0" r:id="rId1"/>
  <legacy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F8F6-8F9D-4E5B-8769-EC0FFD8863CA}">
  <dimension ref="A1:AX64"/>
  <sheetViews>
    <sheetView workbookViewId="0">
      <selection activeCell="AV19" sqref="AV19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2" customWidth="1"/>
    <col min="20" max="20" width="9.5703125" bestFit="1" customWidth="1"/>
    <col min="21" max="21" width="10.28515625" customWidth="1"/>
    <col min="26" max="26" width="2" customWidth="1"/>
    <col min="27" max="27" width="7.7109375" customWidth="1"/>
    <col min="28" max="29" width="8.5703125" customWidth="1"/>
    <col min="30" max="30" width="9.85546875" customWidth="1"/>
    <col min="31" max="31" width="8.42578125" customWidth="1"/>
    <col min="33" max="33" width="2.140625" customWidth="1"/>
    <col min="34" max="34" width="2" customWidth="1"/>
    <col min="35" max="35" width="10" customWidth="1"/>
    <col min="39" max="39" width="10.5703125" customWidth="1"/>
    <col min="41" max="41" width="1.5703125" customWidth="1"/>
    <col min="42" max="42" width="1.140625" customWidth="1"/>
    <col min="46" max="48" width="10.7109375" customWidth="1"/>
    <col min="49" max="49" width="10.85546875" customWidth="1"/>
  </cols>
  <sheetData>
    <row r="1" spans="1:50" ht="15.75" x14ac:dyDescent="0.25">
      <c r="C1" s="80" t="s">
        <v>0</v>
      </c>
      <c r="D1">
        <f>2.79*4</f>
        <v>11.16</v>
      </c>
      <c r="F1" s="80" t="s">
        <v>71</v>
      </c>
      <c r="G1">
        <v>0.19650000000000001</v>
      </c>
      <c r="I1" s="80" t="s">
        <v>72</v>
      </c>
      <c r="J1">
        <v>0.33150000000000002</v>
      </c>
      <c r="M1" s="80" t="s">
        <v>73</v>
      </c>
      <c r="N1">
        <v>355</v>
      </c>
    </row>
    <row r="2" spans="1:50" ht="15.75" x14ac:dyDescent="0.25">
      <c r="C2" s="80" t="s">
        <v>1</v>
      </c>
      <c r="D2">
        <f>bounty</f>
        <v>0</v>
      </c>
      <c r="F2" s="80" t="s">
        <v>74</v>
      </c>
      <c r="G2">
        <v>0.2346</v>
      </c>
      <c r="I2" s="80" t="s">
        <v>75</v>
      </c>
      <c r="J2">
        <v>0.66849999999999998</v>
      </c>
      <c r="M2" s="80" t="s">
        <v>76</v>
      </c>
      <c r="N2">
        <v>750</v>
      </c>
    </row>
    <row r="3" spans="1:50" ht="15.75" x14ac:dyDescent="0.25">
      <c r="C3" s="80" t="s">
        <v>77</v>
      </c>
      <c r="D3">
        <v>2000</v>
      </c>
      <c r="F3" s="80" t="s">
        <v>78</v>
      </c>
      <c r="G3">
        <v>0.56889999999999996</v>
      </c>
      <c r="M3" s="80" t="s">
        <v>79</v>
      </c>
      <c r="N3">
        <v>0</v>
      </c>
    </row>
    <row r="4" spans="1:50" ht="15.75" x14ac:dyDescent="0.25">
      <c r="F4" s="80" t="s">
        <v>80</v>
      </c>
      <c r="G4">
        <v>0</v>
      </c>
      <c r="M4" s="80" t="s">
        <v>81</v>
      </c>
      <c r="N4">
        <v>325</v>
      </c>
    </row>
    <row r="5" spans="1:50" ht="6" customHeight="1" x14ac:dyDescent="0.25"/>
    <row r="6" spans="1:50" x14ac:dyDescent="0.25">
      <c r="C6" t="s">
        <v>82</v>
      </c>
      <c r="D6" t="s">
        <v>83</v>
      </c>
    </row>
    <row r="7" spans="1:50" x14ac:dyDescent="0.25">
      <c r="C7" t="s">
        <v>84</v>
      </c>
      <c r="D7" t="s">
        <v>85</v>
      </c>
    </row>
    <row r="8" spans="1:50" x14ac:dyDescent="0.25">
      <c r="C8" t="s">
        <v>86</v>
      </c>
      <c r="D8" t="s">
        <v>87</v>
      </c>
    </row>
    <row r="9" spans="1:50" ht="6" customHeight="1" x14ac:dyDescent="0.25"/>
    <row r="10" spans="1:50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50" ht="18.75" x14ac:dyDescent="0.3">
      <c r="F11" s="128"/>
      <c r="G11" s="81">
        <v>1</v>
      </c>
      <c r="H11" s="81">
        <v>0</v>
      </c>
      <c r="I11" s="82">
        <v>0</v>
      </c>
      <c r="J11" s="85"/>
      <c r="K11" s="85"/>
    </row>
    <row r="12" spans="1:50" ht="19.5" thickBot="1" x14ac:dyDescent="0.35">
      <c r="F12" s="85"/>
      <c r="G12" s="85"/>
      <c r="H12" s="85"/>
      <c r="I12" s="85"/>
      <c r="J12" s="85"/>
      <c r="K12" s="85"/>
      <c r="V12" t="s">
        <v>92</v>
      </c>
      <c r="AC12" t="s">
        <v>93</v>
      </c>
    </row>
    <row r="13" spans="1:50" ht="20.25" thickTop="1" thickBot="1" x14ac:dyDescent="0.35">
      <c r="F13" s="85"/>
      <c r="G13" s="85"/>
      <c r="H13" s="85"/>
      <c r="I13" s="85"/>
      <c r="J13" s="85"/>
      <c r="K13" s="85"/>
      <c r="T13" s="132" t="s">
        <v>94</v>
      </c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41"/>
      <c r="AQ13" s="132" t="s">
        <v>95</v>
      </c>
      <c r="AR13" s="133"/>
      <c r="AS13" s="133"/>
      <c r="AT13" s="133"/>
      <c r="AU13" s="99"/>
      <c r="AV13" s="99"/>
    </row>
    <row r="14" spans="1:50" ht="20.25" thickTop="1" thickBot="1" x14ac:dyDescent="0.35">
      <c r="F14" s="85"/>
      <c r="G14" s="85"/>
      <c r="H14" s="85" t="s">
        <v>96</v>
      </c>
      <c r="I14" s="85"/>
      <c r="J14" s="85"/>
      <c r="K14" s="85"/>
      <c r="O14" t="s">
        <v>97</v>
      </c>
      <c r="T14" s="132" t="s">
        <v>98</v>
      </c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41"/>
      <c r="AK14" t="s">
        <v>99</v>
      </c>
      <c r="AQ14" s="132"/>
      <c r="AR14" s="133"/>
      <c r="AS14" s="133"/>
      <c r="AT14" s="133"/>
      <c r="AU14" s="99"/>
      <c r="AV14" s="99"/>
    </row>
    <row r="15" spans="1:50" ht="19.5" thickTop="1" x14ac:dyDescent="0.3">
      <c r="F15" s="134" t="s">
        <v>100</v>
      </c>
      <c r="G15" s="135"/>
      <c r="H15" s="135"/>
      <c r="I15" s="135"/>
      <c r="J15" s="136"/>
      <c r="K15" s="85"/>
      <c r="M15" s="134" t="s">
        <v>101</v>
      </c>
      <c r="N15" s="135"/>
      <c r="O15" s="135"/>
      <c r="P15" s="135"/>
      <c r="Q15" s="136"/>
      <c r="R15" s="85"/>
      <c r="T15" s="118" t="s">
        <v>102</v>
      </c>
      <c r="U15" s="119"/>
      <c r="V15" s="119"/>
      <c r="W15" s="119"/>
      <c r="X15" s="120"/>
      <c r="Y15" s="85"/>
      <c r="AA15" s="118" t="s">
        <v>103</v>
      </c>
      <c r="AB15" s="119"/>
      <c r="AC15" s="119"/>
      <c r="AD15" s="119"/>
      <c r="AE15" s="120"/>
      <c r="AI15" s="121" t="s">
        <v>10</v>
      </c>
      <c r="AJ15" s="122"/>
      <c r="AK15" s="122"/>
      <c r="AL15" s="122"/>
      <c r="AM15" s="123"/>
      <c r="AQ15" s="124" t="s">
        <v>104</v>
      </c>
      <c r="AR15" s="125"/>
      <c r="AS15" s="125"/>
      <c r="AT15" s="126"/>
      <c r="AU15" s="85"/>
      <c r="AV15" s="85"/>
    </row>
    <row r="16" spans="1:50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t="s">
        <v>110</v>
      </c>
      <c r="AI16" s="5" t="s">
        <v>107</v>
      </c>
      <c r="AJ16" s="5" t="s">
        <v>12</v>
      </c>
      <c r="AK16" s="5" t="s">
        <v>108</v>
      </c>
      <c r="AL16" s="5" t="s">
        <v>109</v>
      </c>
      <c r="AM16" s="5" t="s">
        <v>1</v>
      </c>
      <c r="AN16" t="s">
        <v>110</v>
      </c>
      <c r="AQ16" s="5" t="s">
        <v>109</v>
      </c>
      <c r="AR16" s="5" t="s">
        <v>1</v>
      </c>
      <c r="AS16" s="5" t="s">
        <v>104</v>
      </c>
      <c r="AT16" s="5" t="s">
        <v>111</v>
      </c>
      <c r="AU16" s="5" t="s">
        <v>634</v>
      </c>
      <c r="AV16" s="5" t="s">
        <v>635</v>
      </c>
      <c r="AW16" t="s">
        <v>112</v>
      </c>
      <c r="AX16" t="s">
        <v>113</v>
      </c>
    </row>
    <row r="17" spans="1:50" x14ac:dyDescent="0.25">
      <c r="A17" s="26">
        <v>3</v>
      </c>
      <c r="B17" s="26">
        <v>115</v>
      </c>
      <c r="C17" s="26" t="s">
        <v>633</v>
      </c>
      <c r="D17" s="26">
        <v>10</v>
      </c>
      <c r="F17" s="73">
        <f>COUNTIF(T_p1213519755461[stack],"&gt;0")</f>
        <v>2</v>
      </c>
      <c r="G17" s="26">
        <f>IF(T_init20344745360[[#This Row],[p]]=1,mainpot+sidepot1+sidepot2+uncalled,IF(T_init20344745360[[#This Row],[p]]&gt;1,0,T_init20344745360[[#This Row],[stack]]-T_init20344745360[[#This Row],[anteblinds]]))</f>
        <v>0</v>
      </c>
      <c r="H17" s="26">
        <v>0.32500000000000001</v>
      </c>
      <c r="I17" s="27">
        <f>T_p1213519755461[[#This Row],[EQ]]*prize</f>
        <v>3.6270000000000002</v>
      </c>
      <c r="J17" s="71">
        <f>IF(T_init20344745360[[#This Row],[p]]=1,T_p1213519755461[[#This Row],[players]]*T_p1213519755461[[#This Row],[stack]]/chips+COUNTIF(T_p1213519755461[stack],0),T_p1213519755461[[#This Row],[players]]*T_p1213519755461[[#This Row],[stack]]/chips)</f>
        <v>0</v>
      </c>
      <c r="K17" s="71">
        <f>T_p1213519755461[[#This Row],[ICM]]+bounty*T_p1213519755461[[#This Row],[KO]]</f>
        <v>3.6270000000000002</v>
      </c>
      <c r="M17" s="29">
        <f>COUNTIF(T_p2223625765562[stack],"&gt;0")</f>
        <v>3</v>
      </c>
      <c r="N17" s="26">
        <f>IF(T_init20344745360[[#This Row],[p]]=1,uncalled,IF(T_init20344745360[[#This Row],[p]]=2,mainpot+sidepot1+sidepot2,IF(T_init20344745360[[#This Row],[p]]&gt;2,0,T_init20344745360[[#This Row],[stack]]-T_init20344745360[[#This Row],[anteblinds]])))</f>
        <v>0</v>
      </c>
      <c r="O17" s="26">
        <v>0.32500000000000001</v>
      </c>
      <c r="P17" s="27">
        <f>T_p2223625765562[[#This Row],[EQ]]*prize</f>
        <v>3.6270000000000002</v>
      </c>
      <c r="Q17" s="71">
        <f>IF(T_init20344745360[[#This Row],[p]]=2,T_p2223625765562[[#This Row],[players]]*T_p2223625765562[[#This Row],[stack]]/chips+COUNTIF(T_p2223625765562[stack],0),T_p2223625765562[[#This Row],[players]]*T_p2223625765562[[#This Row],[stack]]/chips)</f>
        <v>0</v>
      </c>
      <c r="R17" s="71">
        <f>T_p2223625765562[[#This Row],[ICM]]+bounty*T_p2223625765562[[#This Row],[KO]]</f>
        <v>3.6270000000000002</v>
      </c>
      <c r="T17" s="73">
        <f>COUNTIF(T_p3p1233726775663[stack],"&gt;0")</f>
        <v>3</v>
      </c>
      <c r="U17" s="26">
        <f>IF(T_init20344745360[[#This Row],[p]]=1,sidepot1+uncalled,IF(T_init20344745360[[#This Row],[p]]=3,mainpot,IF(ISBLANK(T_init20344745360[[#This Row],[p]]),T_init20344745360[[#This Row],[stack]]-T_init20344745360[[#This Row],[anteblinds]],0)))</f>
        <v>355</v>
      </c>
      <c r="V17" s="26">
        <v>0.32500000000000001</v>
      </c>
      <c r="W17" s="27">
        <f>T_p3p1233726775663[[#This Row],[EQ]]*prize</f>
        <v>3.6270000000000002</v>
      </c>
      <c r="X17" s="71">
        <f>IF(T_init20344745360[[#This Row],[p]]=1,T_p3p1233726775663[[#This Row],[players]]*T_p3p1233726775663[[#This Row],[stack]]/chips+COUNTIF(T_p3p1233726775663[stack],0),T_p3p1233726775663[[#This Row],[players]]*T_p3p1233726775663[[#This Row],[stack]]/chips)</f>
        <v>0.53249999999999997</v>
      </c>
      <c r="Y17" s="71">
        <f>T_p3p1233726775663[[#This Row],[ICM]]+bounty*T_p3p1233726775663[[#This Row],[KO]]</f>
        <v>3.6270000000000002</v>
      </c>
      <c r="AA17" s="73">
        <f>COUNTIF(T_p3p2243827785764[stack],"&gt;0")</f>
        <v>4</v>
      </c>
      <c r="AB17" s="26">
        <f>IF(T_init20344745360[[#This Row],[p]]=1,uncalled,IF(T_init20344745360[[#This Row],[p]]=2,sidepot1,IF(T_init20344745360[[#This Row],[p]]=3,mainpot,IF(ISBLANK(T_init20344745360[[#This Row],[p]]),T_init20344745360[[#This Row],[stack]]-T_init20344745360[[#This Row],[anteblinds]],0))))</f>
        <v>355</v>
      </c>
      <c r="AC17" s="26">
        <v>0.32500000000000001</v>
      </c>
      <c r="AD17" s="27">
        <f>T_p3p2243827785764[[#This Row],[EQ]]*prize</f>
        <v>3.6270000000000002</v>
      </c>
      <c r="AE17" s="71">
        <f>IF(T_init20344745360[[#This Row],[p]]=2,T_p3p2243827785764[[#This Row],[players]]*T_p3p2243827785764[[#This Row],[stack]]/chips+COUNTIF(T_p3p2243827785764[stack],0),T_p3p2243827785764[[#This Row],[players]]*T_p3p2243827785764[[#This Row],[stack]]/chips)</f>
        <v>0.71</v>
      </c>
      <c r="AF17" s="71">
        <f>T_p3p2243827785764[[#This Row],[ICM]]+bounty*T_p3p2243827785764[[#This Row],[KO]]</f>
        <v>3.6270000000000002</v>
      </c>
      <c r="AI17" s="73">
        <v>3</v>
      </c>
      <c r="AJ17" s="26">
        <v>0</v>
      </c>
      <c r="AK17" s="26">
        <v>0.32500000000000001</v>
      </c>
      <c r="AL17" s="27">
        <f>T_fact293928795865[[#This Row],[EQ]]*prize</f>
        <v>3.6270000000000002</v>
      </c>
      <c r="AM17" s="71">
        <f>IF(T_init20344745360[[#This Row],[p]]=1,T_fact293928795865[[#This Row],[players]]*T_fact293928795865[[#This Row],[stack]]/chips+COUNTIF(T_fact293928795865[stack],0),T_fact293928795865[[#This Row],[players]]*T_fact293928795865[[#This Row],[stack]]/chips)</f>
        <v>0</v>
      </c>
      <c r="AN17" s="71">
        <f>T_fact293928795865[[#This Row],[ICM]]+bounty*T_fact293928795865[[#This Row],[KO]]</f>
        <v>3.6270000000000002</v>
      </c>
      <c r="AQ17" s="72">
        <f>'3way шаблон'!p3win* ('3way шаблон'!p1sp1win*T_p3p1233726775663[[#This Row],[ICM]] + '3way шаблон'!p2sp1win*T_p3p2243827785764[[#This Row],[ICM]])
+'3way шаблон'!p2win*T_p2223625765562[[#This Row],[ICM]]
+'3way шаблон'!p1win*T_p1213519755461[[#This Row],[ICM]]</f>
        <v>3.6270000000000002</v>
      </c>
      <c r="AR17" s="33">
        <f>('3way шаблон'!p3win* ('3way шаблон'!p1sp1win*T_p3p1233726775663[[#This Row],[KO]] + '3way шаблон'!p2sp1win*T_p3p2243827785764[[#This Row],[KO]])
+'3way шаблон'!p2win*T_p2223625765562[[#This Row],[KO]]
+'3way шаблон'!p1win*T_p1213519755461[[#This Row],[KO]])*bounty</f>
        <v>0</v>
      </c>
      <c r="AS17" s="72">
        <f>'3way шаблон'!p3win* ('3way шаблон'!p1sp1win*T_p3p1233726775663[[#This Row],[$stack]] + '3way шаблон'!p2sp1win*T_p3p2243827785764[[#This Row],[$stack]])
+'3way шаблон'!p2win*T_p2223625765562[[#This Row],[$stack]]
+'3way шаблон'!p1win*T_p1213519755461[[#This Row],[$stack]]</f>
        <v>3.6270000000000002</v>
      </c>
      <c r="AT17" s="33">
        <f>'3way шаблон'!p3win* ('3way шаблон'!p1sp1win*T_p3p1233726775663[[#This Row],[stack]] + '3way шаблон'!p2sp1win*T_p3p2243827785764[[#This Row],[stack]])
+'3way шаблон'!p2win*T_p2223625765562[[#This Row],[stack]]
+'3way шаблон'!p1win*T_p1213519755461[[#This Row],[stack]]</f>
        <v>201.95949999999999</v>
      </c>
      <c r="AU17" s="72">
        <f>T_fact293928795865[[#This Row],[stack]]- T_init20344745360[[#This Row],[stack]]</f>
        <v>-115</v>
      </c>
      <c r="AV17" s="72">
        <f>T_EV334030805966[[#This Row],[netwon]]+T_EV334030805966[[#This Row],[cEVdiff]]</f>
        <v>86.959499999999991</v>
      </c>
      <c r="AW17" s="2">
        <f>T_EV334030805966[[#This Row],[chipEV]]-T_fact293928795865[[#This Row],[stack]]</f>
        <v>201.95949999999999</v>
      </c>
      <c r="AX17" s="2">
        <f>T_EV334030805966[[#This Row],[EV]]-(T_fact293928795865[[#This Row],[ICM]])</f>
        <v>0</v>
      </c>
    </row>
    <row r="18" spans="1:50" x14ac:dyDescent="0.25">
      <c r="B18">
        <v>580</v>
      </c>
      <c r="D18">
        <v>10</v>
      </c>
      <c r="F18" s="5">
        <f>COUNTIF(T_p1213519755461[stack],"&gt;0")</f>
        <v>2</v>
      </c>
      <c r="G18">
        <f>IF(T_init20344745360[[#This Row],[p]]=1,mainpot+sidepot1+sidepot2+uncalled,IF(T_init20344745360[[#This Row],[p]]&gt;1,0,T_init20344745360[[#This Row],[stack]]-T_init20344745360[[#This Row],[anteblinds]]))</f>
        <v>570</v>
      </c>
      <c r="H18">
        <v>0.67500000000000004</v>
      </c>
      <c r="I18" s="2">
        <f>T_p1213519755461[[#This Row],[EQ]]*prize</f>
        <v>7.5330000000000004</v>
      </c>
      <c r="J18" s="66">
        <f>IF(T_init20344745360[[#This Row],[p]]=1,T_p1213519755461[[#This Row],[players]]*T_p1213519755461[[#This Row],[stack]]/chips+COUNTIF(T_p1213519755461[stack],0),T_p1213519755461[[#This Row],[players]]*T_p1213519755461[[#This Row],[stack]]/chips)</f>
        <v>0.56999999999999995</v>
      </c>
      <c r="K18" s="66">
        <f>T_p1213519755461[[#This Row],[ICM]]+bounty*T_p1213519755461[[#This Row],[KO]]</f>
        <v>7.5330000000000004</v>
      </c>
      <c r="M18" s="10">
        <f>COUNTIF(T_p2223625765562[stack],"&gt;0")</f>
        <v>3</v>
      </c>
      <c r="N18" s="26">
        <f>IF(T_init20344745360[[#This Row],[p]]=1,uncalled,IF(T_init20344745360[[#This Row],[p]]=2,mainpot+sidepot1+sidepot2,IF(T_init20344745360[[#This Row],[p]]&gt;2,0,T_init20344745360[[#This Row],[stack]]-T_init20344745360[[#This Row],[anteblinds]])))</f>
        <v>570</v>
      </c>
      <c r="O18">
        <v>0.58250000000000002</v>
      </c>
      <c r="P18" s="2">
        <f>T_p2223625765562[[#This Row],[EQ]]*prize</f>
        <v>6.5007000000000001</v>
      </c>
      <c r="Q18" s="66">
        <f>IF(T_init20344745360[[#This Row],[p]]=2,T_p2223625765562[[#This Row],[players]]*T_p2223625765562[[#This Row],[stack]]/chips+COUNTIF(T_p2223625765562[stack],0),T_p2223625765562[[#This Row],[players]]*T_p2223625765562[[#This Row],[stack]]/chips)</f>
        <v>0.85499999999999998</v>
      </c>
      <c r="R18" s="66">
        <f>T_p2223625765562[[#This Row],[ICM]]+bounty*T_p2223625765562[[#This Row],[KO]]</f>
        <v>6.5007000000000001</v>
      </c>
      <c r="T18" s="5">
        <f>COUNTIF(T_p3p1233726775663[stack],"&gt;0")</f>
        <v>3</v>
      </c>
      <c r="U18" s="26">
        <f>IF(T_init20344745360[[#This Row],[p]]=1,sidepot1+uncalled,IF(T_init20344745360[[#This Row],[p]]=3,mainpot,IF(ISBLANK(T_init20344745360[[#This Row],[p]]),T_init20344745360[[#This Row],[stack]]-T_init20344745360[[#This Row],[anteblinds]],0)))</f>
        <v>570</v>
      </c>
      <c r="V18">
        <v>0</v>
      </c>
      <c r="W18" s="2">
        <f>T_p3p1233726775663[[#This Row],[EQ]]*prize</f>
        <v>0</v>
      </c>
      <c r="X18" s="66">
        <f>IF(T_init20344745360[[#This Row],[p]]=1,T_p3p1233726775663[[#This Row],[players]]*T_p3p1233726775663[[#This Row],[stack]]/chips+COUNTIF(T_p3p1233726775663[stack],0),T_p3p1233726775663[[#This Row],[players]]*T_p3p1233726775663[[#This Row],[stack]]/chips)</f>
        <v>0.85499999999999998</v>
      </c>
      <c r="Y18" s="66">
        <f>T_p3p1233726775663[[#This Row],[ICM]]+bounty*T_p3p1233726775663[[#This Row],[KO]]</f>
        <v>0</v>
      </c>
      <c r="AA18" s="5">
        <f>COUNTIF(T_p3p2243827785764[stack],"&gt;0")</f>
        <v>4</v>
      </c>
      <c r="AB18">
        <f>IF(T_init20344745360[[#This Row],[p]]=1,uncalled,IF(T_init20344745360[[#This Row],[p]]=2,sidepot1,IF(T_init20344745360[[#This Row],[p]]=3,mainpot,IF(ISBLANK(T_init20344745360[[#This Row],[p]]),T_init20344745360[[#This Row],[stack]]-T_init20344745360[[#This Row],[anteblinds]],0))))</f>
        <v>570</v>
      </c>
      <c r="AC18">
        <v>0</v>
      </c>
      <c r="AD18" s="2">
        <f>T_p3p2243827785764[[#This Row],[EQ]]*prize</f>
        <v>0</v>
      </c>
      <c r="AE18" s="66">
        <f>IF(T_init20344745360[[#This Row],[p]]=2,T_p3p2243827785764[[#This Row],[players]]*T_p3p2243827785764[[#This Row],[stack]]/chips+COUNTIF(T_p3p2243827785764[stack],0),T_p3p2243827785764[[#This Row],[players]]*T_p3p2243827785764[[#This Row],[stack]]/chips)</f>
        <v>1.1399999999999999</v>
      </c>
      <c r="AF18" s="16">
        <f>T_p3p2243827785764[[#This Row],[ICM]]+bounty*T_p3p2243827785764[[#This Row],[KO]]</f>
        <v>0</v>
      </c>
      <c r="AI18" s="73">
        <v>3</v>
      </c>
      <c r="AJ18" s="26">
        <v>570</v>
      </c>
      <c r="AK18">
        <v>0.58250000000000002</v>
      </c>
      <c r="AL18" s="2">
        <f>T_fact293928795865[[#This Row],[EQ]]*prize</f>
        <v>6.5007000000000001</v>
      </c>
      <c r="AM18" s="66">
        <f>IF(T_init20344745360[[#This Row],[p]]=1,T_fact293928795865[[#This Row],[players]]*T_fact293928795865[[#This Row],[stack]]/chips+COUNTIF(T_fact293928795865[stack],0),T_fact293928795865[[#This Row],[players]]*T_fact293928795865[[#This Row],[stack]]/chips)</f>
        <v>0.85499999999999998</v>
      </c>
      <c r="AN18" s="16">
        <f>T_fact293928795865[[#This Row],[ICM]]+bounty*T_fact293928795865[[#This Row],[KO]]</f>
        <v>6.5007000000000001</v>
      </c>
      <c r="AQ18" s="68">
        <f>'3way шаблон'!p3win* ('3way шаблон'!p1sp1win*T_p3p1233726775663[[#This Row],[ICM]] + '3way шаблон'!p2sp1win*T_p3p2243827785764[[#This Row],[ICM]])
+'3way шаблон'!p2win*T_p2223625765562[[#This Row],[ICM]]
+'3way шаблон'!p1win*T_p1213519755461[[#This Row],[ICM]]</f>
        <v>3.0052987199999999</v>
      </c>
      <c r="AR18" s="68">
        <f>('3way шаблон'!p3win* ('3way шаблон'!p1sp1win*T_p3p1233726775663[[#This Row],[KO]] + '3way шаблон'!p2sp1win*T_p3p2243827785764[[#This Row],[KO]])
+'3way шаблон'!p2win*T_p2223625765562[[#This Row],[KO]]
+'3way шаблон'!p1win*T_p1213519755461[[#This Row],[KO]])*bounty</f>
        <v>0</v>
      </c>
      <c r="AS18" s="68">
        <f>'3way шаблон'!p3win* ('3way шаблон'!p1sp1win*T_p3p1233726775663[[#This Row],[$stack]] + '3way шаблон'!p2sp1win*T_p3p2243827785764[[#This Row],[$stack]])
+'3way шаблон'!p2win*T_p2223625765562[[#This Row],[$stack]]
+'3way шаблон'!p1win*T_p1213519755461[[#This Row],[$stack]]</f>
        <v>3.0052987199999999</v>
      </c>
      <c r="AT18" s="68">
        <f>'3way шаблон'!p3win* ('3way шаблон'!p1sp1win*T_p3p1233726775663[[#This Row],[stack]] + '3way шаблон'!p2sp1win*T_p3p2243827785764[[#This Row],[stack]])
+'3way шаблон'!p2win*T_p2223625765562[[#This Row],[stack]]
+'3way шаблон'!p1win*T_p1213519755461[[#This Row],[stack]]</f>
        <v>570</v>
      </c>
      <c r="AU18" s="68">
        <f>T_fact293928795865[[#This Row],[stack]]- T_init20344745360[[#This Row],[stack]]</f>
        <v>-10</v>
      </c>
      <c r="AV18" s="68">
        <f>T_EV334030805966[[#This Row],[netwon]]+T_EV334030805966[[#This Row],[cEVdiff]]</f>
        <v>-10</v>
      </c>
      <c r="AW18" s="2">
        <f>T_EV334030805966[[#This Row],[chipEV]]-T_fact293928795865[[#This Row],[stack]]</f>
        <v>0</v>
      </c>
      <c r="AX18" s="2">
        <f>T_EV334030805966[[#This Row],[EV]]-(T_fact293928795865[[#This Row],[ICM]])</f>
        <v>-3.4954012800000003</v>
      </c>
    </row>
    <row r="19" spans="1:50" s="17" customFormat="1" x14ac:dyDescent="0.25">
      <c r="A19" s="17">
        <v>1</v>
      </c>
      <c r="B19" s="17">
        <v>815</v>
      </c>
      <c r="C19" s="17" t="s">
        <v>631</v>
      </c>
      <c r="D19" s="17">
        <v>35</v>
      </c>
      <c r="F19" s="83">
        <f>COUNTIF(T_p1213519755461[stack],"&gt;0")</f>
        <v>2</v>
      </c>
      <c r="G19" s="17">
        <f>IF(T_init20344745360[[#This Row],[p]]=1,mainpot+sidepot1+sidepot2+uncalled,IF(T_init20344745360[[#This Row],[p]]&gt;1,0,T_init20344745360[[#This Row],[stack]]-T_init20344745360[[#This Row],[anteblinds]]))</f>
        <v>1430</v>
      </c>
      <c r="I19" s="18">
        <f>T_p1213519755461[[#This Row],[EQ]]*prize</f>
        <v>0</v>
      </c>
      <c r="J19" s="67">
        <f>IF(T_init20344745360[[#This Row],[p]]=1,T_p1213519755461[[#This Row],[players]]*T_p1213519755461[[#This Row],[stack]]/chips+COUNTIF(T_p1213519755461[stack],0),T_p1213519755461[[#This Row],[players]]*T_p1213519755461[[#This Row],[stack]]/chips)</f>
        <v>5.43</v>
      </c>
      <c r="K19" s="67">
        <f>T_p1213519755461[[#This Row],[ICM]]+bounty*T_p1213519755461[[#This Row],[KO]]</f>
        <v>0</v>
      </c>
      <c r="M19" s="19">
        <f>COUNTIF(T_p2223625765562[stack],"&gt;0")</f>
        <v>3</v>
      </c>
      <c r="N19" s="17">
        <f>IF(T_init20344745360[[#This Row],[p]]=1,uncalled,IF(T_init20344745360[[#This Row],[p]]=2,mainpot+sidepot1+sidepot2,IF(T_init20344745360[[#This Row],[p]]&gt;2,0,T_init20344745360[[#This Row],[stack]]-T_init20344745360[[#This Row],[anteblinds]])))</f>
        <v>325</v>
      </c>
      <c r="P19" s="18">
        <f>T_p2223625765562[[#This Row],[EQ]]*prize</f>
        <v>0</v>
      </c>
      <c r="Q19" s="67">
        <f>IF(T_init20344745360[[#This Row],[p]]=2,T_p2223625765562[[#This Row],[players]]*T_p2223625765562[[#This Row],[stack]]/chips+COUNTIF(T_p2223625765562[stack],0),T_p2223625765562[[#This Row],[players]]*T_p2223625765562[[#This Row],[stack]]/chips)</f>
        <v>0.48749999999999999</v>
      </c>
      <c r="R19" s="67">
        <f>T_p2223625765562[[#This Row],[ICM]]+bounty*T_p2223625765562[[#This Row],[KO]]</f>
        <v>0</v>
      </c>
      <c r="T19" s="83">
        <f>COUNTIF(T_p3p1233726775663[stack],"&gt;0")</f>
        <v>3</v>
      </c>
      <c r="U19" s="17">
        <f>IF(T_init20344745360[[#This Row],[p]]=1,sidepot1+uncalled,IF(T_init20344745360[[#This Row],[p]]=3,mainpot,IF(ISBLANK(T_init20344745360[[#This Row],[p]]),T_init20344745360[[#This Row],[stack]]-T_init20344745360[[#This Row],[anteblinds]],0)))</f>
        <v>1075</v>
      </c>
      <c r="V19" s="17">
        <v>0.58250000000000002</v>
      </c>
      <c r="W19" s="18">
        <f>T_p3p1233726775663[[#This Row],[EQ]]*prize</f>
        <v>6.5007000000000001</v>
      </c>
      <c r="X19" s="67">
        <f>IF(T_init20344745360[[#This Row],[p]]=1,T_p3p1233726775663[[#This Row],[players]]*T_p3p1233726775663[[#This Row],[stack]]/chips+COUNTIF(T_p3p1233726775663[stack],0),T_p3p1233726775663[[#This Row],[players]]*T_p3p1233726775663[[#This Row],[stack]]/chips)</f>
        <v>4.6124999999999998</v>
      </c>
      <c r="Y19" s="67">
        <f>T_p3p1233726775663[[#This Row],[ICM]]+bounty*T_p3p1233726775663[[#This Row],[KO]]</f>
        <v>6.5007000000000001</v>
      </c>
      <c r="AA19" s="83">
        <f>COUNTIF(T_p3p2243827785764[stack],"&gt;0")</f>
        <v>4</v>
      </c>
      <c r="AB19" s="17">
        <f>IF(T_init20344745360[[#This Row],[p]]=1,uncalled,IF(T_init20344745360[[#This Row],[p]]=2,sidepot1,IF(T_init20344745360[[#This Row],[p]]=3,mainpot,IF(ISBLANK(T_init20344745360[[#This Row],[p]]),T_init20344745360[[#This Row],[stack]]-T_init20344745360[[#This Row],[anteblinds]],0))))</f>
        <v>325</v>
      </c>
      <c r="AC19" s="17">
        <v>0.58250000000000002</v>
      </c>
      <c r="AD19" s="18">
        <f>T_p3p2243827785764[[#This Row],[EQ]]*prize</f>
        <v>6.5007000000000001</v>
      </c>
      <c r="AE19" s="67">
        <f>IF(T_init20344745360[[#This Row],[p]]=2,T_p3p2243827785764[[#This Row],[players]]*T_p3p2243827785764[[#This Row],[stack]]/chips+COUNTIF(T_p3p2243827785764[stack],0),T_p3p2243827785764[[#This Row],[players]]*T_p3p2243827785764[[#This Row],[stack]]/chips)</f>
        <v>0.65</v>
      </c>
      <c r="AF19" s="24">
        <f>T_p3p2243827785764[[#This Row],[ICM]]+bounty*T_p3p2243827785764[[#This Row],[KO]]</f>
        <v>6.5007000000000001</v>
      </c>
      <c r="AI19" s="83">
        <v>3</v>
      </c>
      <c r="AJ19" s="17">
        <v>325</v>
      </c>
      <c r="AL19" s="18">
        <f>T_fact293928795865[[#This Row],[EQ]]*prize</f>
        <v>0</v>
      </c>
      <c r="AM19" s="67">
        <f>IF(T_init20344745360[[#This Row],[p]]=1,T_fact293928795865[[#This Row],[players]]*T_fact293928795865[[#This Row],[stack]]/chips+COUNTIF(T_fact293928795865[stack],0),T_fact293928795865[[#This Row],[players]]*T_fact293928795865[[#This Row],[stack]]/chips)</f>
        <v>3.4874999999999998</v>
      </c>
      <c r="AN19" s="24">
        <f>T_fact293928795865[[#This Row],[ICM]]+bounty*T_fact293928795865[[#This Row],[KO]]</f>
        <v>0</v>
      </c>
      <c r="AQ19" s="69">
        <f>'3way шаблон'!p3win* ('3way шаблон'!p1sp1win*T_p3p1233726775663[[#This Row],[ICM]] + '3way шаблон'!p2sp1win*T_p3p2243827785764[[#This Row],[ICM]])
+'3way шаблон'!p2win*T_p2223625765562[[#This Row],[ICM]]
+'3way шаблон'!p1win*T_p1213519755461[[#This Row],[ICM]]</f>
        <v>3.6982482299999999</v>
      </c>
      <c r="AR19" s="69">
        <f>('3way шаблон'!p3win* ('3way шаблон'!p1sp1win*T_p3p1233726775663[[#This Row],[KO]] + '3way шаблон'!p2sp1win*T_p3p2243827785764[[#This Row],[KO]])
+'3way шаблон'!p2win*T_p2223625765562[[#This Row],[KO]]
+'3way шаблон'!p1win*T_p1213519755461[[#This Row],[KO]])*bounty</f>
        <v>0</v>
      </c>
      <c r="AS19" s="69">
        <f>'3way шаблон'!p3win* ('3way шаблон'!p1sp1win*T_p3p1233726775663[[#This Row],[$stack]] + '3way шаблон'!p2sp1win*T_p3p2243827785764[[#This Row],[$stack]])
+'3way шаблон'!p2win*T_p2223625765562[[#This Row],[$stack]]
+'3way шаблон'!p1win*T_p1213519755461[[#This Row],[$stack]]</f>
        <v>3.6982482299999999</v>
      </c>
      <c r="AT19" s="69">
        <f>'3way шаблон'!p3win* ('3way шаблон'!p1sp1win*T_p3p1233726775663[[#This Row],[stack]] + '3way шаблон'!p2sp1win*T_p3p2243827785764[[#This Row],[stack]])
+'3way шаблон'!p2win*T_p2223625765562[[#This Row],[stack]]
+'3way шаблон'!p1win*T_p1213519755461[[#This Row],[stack]]</f>
        <v>683.57526250000001</v>
      </c>
      <c r="AU19" s="69">
        <f>T_fact293928795865[[#This Row],[stack]]- T_init20344745360[[#This Row],[stack]]</f>
        <v>-490</v>
      </c>
      <c r="AV19" s="69">
        <f>T_EV334030805966[[#This Row],[netwon]]+T_EV334030805966[[#This Row],[cEVdiff]]</f>
        <v>-131.42473749999999</v>
      </c>
      <c r="AW19" s="18">
        <f>T_EV334030805966[[#This Row],[chipEV]]-T_fact293928795865[[#This Row],[stack]]</f>
        <v>358.57526250000001</v>
      </c>
      <c r="AX19" s="18">
        <f>T_EV334030805966[[#This Row],[EV]]-(T_fact293928795865[[#This Row],[ICM]])</f>
        <v>3.6982482299999999</v>
      </c>
    </row>
    <row r="20" spans="1:50" x14ac:dyDescent="0.25">
      <c r="A20" s="26">
        <v>2</v>
      </c>
      <c r="B20" s="26">
        <v>490</v>
      </c>
      <c r="C20" t="s">
        <v>632</v>
      </c>
      <c r="D20" s="26">
        <v>60</v>
      </c>
      <c r="F20" s="73">
        <f>COUNTIF(T_p1213519755461[stack],"&gt;0")</f>
        <v>2</v>
      </c>
      <c r="G20" s="26">
        <f>IF(T_init20344745360[[#This Row],[p]]=1,mainpot+sidepot1+sidepot2+uncalled,IF(T_init20344745360[[#This Row],[p]]&gt;1,0,T_init20344745360[[#This Row],[stack]]-T_init20344745360[[#This Row],[anteblinds]]))</f>
        <v>0</v>
      </c>
      <c r="H20" s="26"/>
      <c r="I20" s="27">
        <f>T_p1213519755461[[#This Row],[EQ]]*prize</f>
        <v>0</v>
      </c>
      <c r="J20" s="71">
        <f>IF(T_init20344745360[[#This Row],[p]]=1,T_p1213519755461[[#This Row],[players]]*T_p1213519755461[[#This Row],[stack]]/chips+COUNTIF(T_p1213519755461[stack],0),T_p1213519755461[[#This Row],[players]]*T_p1213519755461[[#This Row],[stack]]/chips)</f>
        <v>0</v>
      </c>
      <c r="K20" s="71">
        <f>T_p1213519755461[[#This Row],[ICM]]+bounty*T_p1213519755461[[#This Row],[KO]]</f>
        <v>0</v>
      </c>
      <c r="M20" s="29">
        <f>COUNTIF(T_p2223625765562[stack],"&gt;0")</f>
        <v>3</v>
      </c>
      <c r="N20" s="26">
        <f>IF(T_init20344745360[[#This Row],[p]]=1,uncalled,IF(T_init20344745360[[#This Row],[p]]=2,mainpot+sidepot1+sidepot2,IF(T_init20344745360[[#This Row],[p]]&gt;2,0,T_init20344745360[[#This Row],[stack]]-T_init20344745360[[#This Row],[anteblinds]])))</f>
        <v>1105</v>
      </c>
      <c r="O20" s="26">
        <v>9.2499999999999999E-2</v>
      </c>
      <c r="P20" s="27">
        <f>T_p2223625765562[[#This Row],[EQ]]*prize</f>
        <v>1.0323</v>
      </c>
      <c r="Q20" s="71">
        <f>IF(T_init20344745360[[#This Row],[p]]=2,T_p2223625765562[[#This Row],[players]]*T_p2223625765562[[#This Row],[stack]]/chips+COUNTIF(T_p2223625765562[stack],0),T_p2223625765562[[#This Row],[players]]*T_p2223625765562[[#This Row],[stack]]/chips)</f>
        <v>4.6574999999999998</v>
      </c>
      <c r="R20" s="71">
        <f>T_p2223625765562[[#This Row],[ICM]]+bounty*T_p2223625765562[[#This Row],[KO]]</f>
        <v>1.0323</v>
      </c>
      <c r="T20" s="73">
        <f>COUNTIF(T_p3p1233726775663[stack],"&gt;0")</f>
        <v>3</v>
      </c>
      <c r="U20" s="26">
        <f>IF(T_init20344745360[[#This Row],[p]]=1,sidepot1+uncalled,IF(T_init20344745360[[#This Row],[p]]=3,mainpot,IF(ISBLANK(T_init20344745360[[#This Row],[p]]),T_init20344745360[[#This Row],[stack]]-T_init20344745360[[#This Row],[anteblinds]],0)))</f>
        <v>0</v>
      </c>
      <c r="V20" s="26">
        <v>9.2499999999999999E-2</v>
      </c>
      <c r="W20" s="27">
        <f>T_p3p1233726775663[[#This Row],[EQ]]*prize</f>
        <v>1.0323</v>
      </c>
      <c r="X20" s="71">
        <f>IF(T_init20344745360[[#This Row],[p]]=1,T_p3p1233726775663[[#This Row],[players]]*T_p3p1233726775663[[#This Row],[stack]]/chips+COUNTIF(T_p3p1233726775663[stack],0),T_p3p1233726775663[[#This Row],[players]]*T_p3p1233726775663[[#This Row],[stack]]/chips)</f>
        <v>0</v>
      </c>
      <c r="Y20" s="71">
        <f>T_p3p1233726775663[[#This Row],[ICM]]+bounty*T_p3p1233726775663[[#This Row],[KO]]</f>
        <v>1.0323</v>
      </c>
      <c r="AA20" s="73">
        <f>COUNTIF(T_p3p2243827785764[stack],"&gt;0")</f>
        <v>4</v>
      </c>
      <c r="AB20" s="26">
        <f>IF(T_init20344745360[[#This Row],[p]]=1,uncalled,IF(T_init20344745360[[#This Row],[p]]=2,sidepot1,IF(T_init20344745360[[#This Row],[p]]=3,mainpot,IF(ISBLANK(T_init20344745360[[#This Row],[p]]),T_init20344745360[[#This Row],[stack]]-T_init20344745360[[#This Row],[anteblinds]],0))))</f>
        <v>750</v>
      </c>
      <c r="AC20" s="26">
        <v>9.2499999999999999E-2</v>
      </c>
      <c r="AD20" s="27">
        <f>T_p3p2243827785764[[#This Row],[EQ]]*prize</f>
        <v>1.0323</v>
      </c>
      <c r="AE20" s="71">
        <f>IF(T_init20344745360[[#This Row],[p]]=2,T_p3p2243827785764[[#This Row],[players]]*T_p3p2243827785764[[#This Row],[stack]]/chips+COUNTIF(T_p3p2243827785764[stack],0),T_p3p2243827785764[[#This Row],[players]]*T_p3p2243827785764[[#This Row],[stack]]/chips)</f>
        <v>3.5</v>
      </c>
      <c r="AF20" s="16">
        <f>T_p3p2243827785764[[#This Row],[ICM]]+bounty*T_p3p2243827785764[[#This Row],[KO]]</f>
        <v>1.0323</v>
      </c>
      <c r="AI20" s="73">
        <v>3</v>
      </c>
      <c r="AJ20" s="26">
        <v>1105</v>
      </c>
      <c r="AK20" s="26">
        <v>9.2499999999999999E-2</v>
      </c>
      <c r="AL20" s="27">
        <f>T_fact293928795865[[#This Row],[EQ]]*prize</f>
        <v>1.0323</v>
      </c>
      <c r="AM20" s="71">
        <f>IF(T_init20344745360[[#This Row],[p]]=1,T_fact293928795865[[#This Row],[players]]*T_fact293928795865[[#This Row],[stack]]/chips+COUNTIF(T_fact293928795865[stack],0),T_fact293928795865[[#This Row],[players]]*T_fact293928795865[[#This Row],[stack]]/chips)</f>
        <v>1.6575</v>
      </c>
      <c r="AN20" s="16">
        <f>T_fact293928795865[[#This Row],[ICM]]+bounty*T_fact293928795865[[#This Row],[KO]]</f>
        <v>1.0323</v>
      </c>
      <c r="AQ20" s="68">
        <f>'3way шаблон'!p3win* ('3way шаблон'!p1sp1win*T_p3p1233726775663[[#This Row],[ICM]] + '3way шаблон'!p2sp1win*T_p3p2243827785764[[#This Row],[ICM]])
+'3way шаблон'!p2win*T_p2223625765562[[#This Row],[ICM]]
+'3way шаблон'!p1win*T_p1213519755461[[#This Row],[ICM]]</f>
        <v>0.82945304999999991</v>
      </c>
      <c r="AR20" s="72">
        <f>('3way шаблон'!p3win* ('3way шаблон'!p1sp1win*T_p3p1233726775663[[#This Row],[KO]] + '3way шаблон'!p2sp1win*T_p3p2243827785764[[#This Row],[KO]])
+'3way шаблон'!p2win*T_p2223625765562[[#This Row],[KO]]
+'3way шаблон'!p1win*T_p1213519755461[[#This Row],[KO]])*bounty</f>
        <v>0</v>
      </c>
      <c r="AS20" s="72">
        <f>'3way шаблон'!p3win* ('3way шаблон'!p1sp1win*T_p3p1233726775663[[#This Row],[$stack]] + '3way шаблон'!p2sp1win*T_p3p2243827785764[[#This Row],[$stack]])
+'3way шаблон'!p2win*T_p2223625765562[[#This Row],[$stack]]
+'3way шаблон'!p1win*T_p1213519755461[[#This Row],[$stack]]</f>
        <v>0.82945304999999991</v>
      </c>
      <c r="AT20" s="72">
        <f>'3way шаблон'!p3win* ('3way шаблон'!p1sp1win*T_p3p1233726775663[[#This Row],[stack]] + '3way шаблон'!p2sp1win*T_p3p2243827785764[[#This Row],[stack]])
+'3way шаблон'!p2win*T_p2223625765562[[#This Row],[stack]]
+'3way шаблон'!p1win*T_p1213519755461[[#This Row],[stack]]</f>
        <v>544.46523750000006</v>
      </c>
      <c r="AU20" s="72">
        <f>T_fact293928795865[[#This Row],[stack]]- T_init20344745360[[#This Row],[stack]]</f>
        <v>615</v>
      </c>
      <c r="AV20" s="72">
        <f>T_EV334030805966[[#This Row],[netwon]]+T_EV334030805966[[#This Row],[cEVdiff]]</f>
        <v>54.465237500000057</v>
      </c>
      <c r="AW20" s="2">
        <f>T_EV334030805966[[#This Row],[chipEV]]-T_fact293928795865[[#This Row],[stack]]</f>
        <v>-560.53476249999994</v>
      </c>
      <c r="AX20" s="2">
        <f>T_EV334030805966[[#This Row],[EV]]-(T_fact293928795865[[#This Row],[ICM]])</f>
        <v>-0.20284695000000008</v>
      </c>
    </row>
    <row r="21" spans="1:50" x14ac:dyDescent="0.25">
      <c r="B21">
        <v>0</v>
      </c>
      <c r="F21" s="5">
        <f>COUNTIF(T_p1213519755461[stack],"&gt;0")</f>
        <v>2</v>
      </c>
      <c r="G21">
        <f>IF(T_init20344745360[[#This Row],[p]]=1,mainpot+sidepot1+sidepot2+uncalled,IF(T_init20344745360[[#This Row],[p]]&gt;1,0,T_init20344745360[[#This Row],[stack]]-T_init20344745360[[#This Row],[anteblinds]]))</f>
        <v>0</v>
      </c>
      <c r="I21" s="2">
        <f>T_p1213519755461[[#This Row],[EQ]]*prize</f>
        <v>0</v>
      </c>
      <c r="J21" s="66">
        <f>IF(T_init20344745360[[#This Row],[p]]=1,T_p1213519755461[[#This Row],[players]]*T_p1213519755461[[#This Row],[stack]]/chips+COUNTIF(T_p1213519755461[stack],0),T_p1213519755461[[#This Row],[players]]*T_p1213519755461[[#This Row],[stack]]/chips)</f>
        <v>0</v>
      </c>
      <c r="K21" s="66">
        <f>T_p1213519755461[[#This Row],[ICM]]+bounty*T_p1213519755461[[#This Row],[KO]]</f>
        <v>0</v>
      </c>
      <c r="M21" s="10">
        <f>COUNTIF(T_p2223625765562[stack],"&gt;0")</f>
        <v>3</v>
      </c>
      <c r="N21" s="26">
        <f>IF(T_init20344745360[[#This Row],[p]]=1,uncalled,IF(T_init20344745360[[#This Row],[p]]=2,mainpot+sidepot1+sidepot2,IF(T_init20344745360[[#This Row],[p]]&gt;2,0,T_init20344745360[[#This Row],[stack]]-T_init20344745360[[#This Row],[anteblinds]])))</f>
        <v>0</v>
      </c>
      <c r="O21">
        <v>0</v>
      </c>
      <c r="P21" s="2">
        <f>T_p2223625765562[[#This Row],[EQ]]*prize</f>
        <v>0</v>
      </c>
      <c r="Q21" s="66">
        <f>IF(T_init20344745360[[#This Row],[p]]=2,T_p2223625765562[[#This Row],[players]]*T_p2223625765562[[#This Row],[stack]]/chips+COUNTIF(T_p2223625765562[stack],0),T_p2223625765562[[#This Row],[players]]*T_p2223625765562[[#This Row],[stack]]/chips)</f>
        <v>0</v>
      </c>
      <c r="R21" s="66">
        <f>T_p2223625765562[[#This Row],[ICM]]+bounty*T_p2223625765562[[#This Row],[KO]]</f>
        <v>0</v>
      </c>
      <c r="T21" s="5">
        <f>COUNTIF(T_p3p1233726775663[stack],"&gt;0")</f>
        <v>3</v>
      </c>
      <c r="U21" s="26">
        <f>IF(T_init20344745360[[#This Row],[p]]=1,sidepot1+uncalled,IF(T_init20344745360[[#This Row],[p]]=3,mainpot,IF(ISBLANK(T_init20344745360[[#This Row],[p]]),T_init20344745360[[#This Row],[stack]]-T_init20344745360[[#This Row],[anteblinds]],0)))</f>
        <v>0</v>
      </c>
      <c r="V21">
        <v>0</v>
      </c>
      <c r="W21" s="2">
        <f>T_p3p1233726775663[[#This Row],[EQ]]*prize</f>
        <v>0</v>
      </c>
      <c r="X21" s="66">
        <f>IF(T_init20344745360[[#This Row],[p]]=1,T_p3p1233726775663[[#This Row],[players]]*T_p3p1233726775663[[#This Row],[stack]]/chips+COUNTIF(T_p3p1233726775663[stack],0),T_p3p1233726775663[[#This Row],[players]]*T_p3p1233726775663[[#This Row],[stack]]/chips)</f>
        <v>0</v>
      </c>
      <c r="Y21" s="66">
        <f>T_p3p1233726775663[[#This Row],[ICM]]+bounty*T_p3p1233726775663[[#This Row],[KO]]</f>
        <v>0</v>
      </c>
      <c r="AA21" s="5">
        <f>COUNTIF(T_p3p2243827785764[stack],"&gt;0")</f>
        <v>4</v>
      </c>
      <c r="AB21">
        <f>IF(T_init20344745360[[#This Row],[p]]=1,uncalled,IF(T_init20344745360[[#This Row],[p]]=2,sidepot1,IF(T_init20344745360[[#This Row],[p]]=3,mainpot,IF(ISBLANK(T_init20344745360[[#This Row],[p]]),T_init20344745360[[#This Row],[stack]]-T_init20344745360[[#This Row],[anteblinds]],0))))</f>
        <v>0</v>
      </c>
      <c r="AC21">
        <v>0</v>
      </c>
      <c r="AD21" s="2">
        <f>T_p3p2243827785764[[#This Row],[EQ]]*prize</f>
        <v>0</v>
      </c>
      <c r="AE21" s="66">
        <f>IF(T_init20344745360[[#This Row],[p]]=2,T_p3p2243827785764[[#This Row],[players]]*T_p3p2243827785764[[#This Row],[stack]]/chips+COUNTIF(T_p3p2243827785764[stack],0),T_p3p2243827785764[[#This Row],[players]]*T_p3p2243827785764[[#This Row],[stack]]/chips)</f>
        <v>0</v>
      </c>
      <c r="AF21" s="16">
        <f>T_p3p2243827785764[[#This Row],[ICM]]+bounty*T_p3p2243827785764[[#This Row],[KO]]</f>
        <v>0</v>
      </c>
      <c r="AI21" s="73">
        <v>3</v>
      </c>
      <c r="AJ21" s="26">
        <v>0</v>
      </c>
      <c r="AL21" s="2">
        <f>T_fact293928795865[[#This Row],[EQ]]*prize</f>
        <v>0</v>
      </c>
      <c r="AM21" s="66">
        <f>IF(T_init20344745360[[#This Row],[p]]=1,T_fact293928795865[[#This Row],[players]]*T_fact293928795865[[#This Row],[stack]]/chips+COUNTIF(T_fact293928795865[stack],0),T_fact293928795865[[#This Row],[players]]*T_fact293928795865[[#This Row],[stack]]/chips)</f>
        <v>0</v>
      </c>
      <c r="AN21" s="16">
        <f>T_fact293928795865[[#This Row],[ICM]]+bounty*T_fact293928795865[[#This Row],[KO]]</f>
        <v>0</v>
      </c>
      <c r="AQ21" s="68">
        <f>'3way шаблон'!p3win* ('3way шаблон'!p1sp1win*T_p3p1233726775663[[#This Row],[ICM]] + '3way шаблон'!p2sp1win*T_p3p2243827785764[[#This Row],[ICM]])
+'3way шаблон'!p2win*T_p2223625765562[[#This Row],[ICM]]
+'3way шаблон'!p1win*T_p1213519755461[[#This Row],[ICM]]</f>
        <v>0</v>
      </c>
      <c r="AR21" s="68">
        <f>('3way шаблон'!p3win* ('3way шаблон'!p1sp1win*T_p3p1233726775663[[#This Row],[KO]] + '3way шаблон'!p2sp1win*T_p3p2243827785764[[#This Row],[KO]])
+'3way шаблон'!p2win*T_p2223625765562[[#This Row],[KO]]
+'3way шаблон'!p1win*T_p1213519755461[[#This Row],[KO]])*bounty</f>
        <v>0</v>
      </c>
      <c r="AS21" s="68">
        <f>'3way шаблон'!p3win* ('3way шаблон'!p1sp1win*T_p3p1233726775663[[#This Row],[$stack]] + '3way шаблон'!p2sp1win*T_p3p2243827785764[[#This Row],[$stack]])
+'3way шаблон'!p2win*T_p2223625765562[[#This Row],[$stack]]
+'3way шаблон'!p1win*T_p1213519755461[[#This Row],[$stack]]</f>
        <v>0</v>
      </c>
      <c r="AT21" s="68">
        <f>'3way шаблон'!p3win* ('3way шаблон'!p1sp1win*T_p3p1233726775663[[#This Row],[stack]] + '3way шаблон'!p2sp1win*T_p3p2243827785764[[#This Row],[stack]])
+'3way шаблон'!p2win*T_p2223625765562[[#This Row],[stack]]
+'3way шаблон'!p1win*T_p1213519755461[[#This Row],[stack]]</f>
        <v>0</v>
      </c>
      <c r="AU21" s="68">
        <f>T_fact293928795865[[#This Row],[stack]]- T_init20344745360[[#This Row],[stack]]</f>
        <v>0</v>
      </c>
      <c r="AV21" s="68">
        <f>T_EV334030805966[[#This Row],[netwon]]+T_EV334030805966[[#This Row],[cEVdiff]]</f>
        <v>0</v>
      </c>
      <c r="AW21" s="2">
        <f>T_EV334030805966[[#This Row],[chipEV]]-T_fact293928795865[[#This Row],[stack]]</f>
        <v>0</v>
      </c>
      <c r="AX21" s="2">
        <f>T_EV334030805966[[#This Row],[EV]]-(T_fact293928795865[[#This Row],[ICM]])</f>
        <v>0</v>
      </c>
    </row>
    <row r="22" spans="1:50" x14ac:dyDescent="0.25">
      <c r="B22">
        <v>0</v>
      </c>
      <c r="F22" s="5">
        <f>COUNTIF(T_p1213519755461[stack],"&gt;0")</f>
        <v>2</v>
      </c>
      <c r="G22">
        <f>IF(T_init20344745360[[#This Row],[p]]=1,mainpot+sidepot1+sidepot2+uncalled,IF(T_init20344745360[[#This Row],[p]]&gt;1,0,T_init20344745360[[#This Row],[stack]]-T_init20344745360[[#This Row],[anteblinds]]))</f>
        <v>0</v>
      </c>
      <c r="I22" s="2">
        <f>T_p1213519755461[[#This Row],[EQ]]*prize</f>
        <v>0</v>
      </c>
      <c r="J22" s="66">
        <f>IF(T_init20344745360[[#This Row],[p]]=1,T_p1213519755461[[#This Row],[players]]*T_p1213519755461[[#This Row],[stack]]/chips+COUNTIF(T_p1213519755461[stack],0),T_p1213519755461[[#This Row],[players]]*T_p1213519755461[[#This Row],[stack]]/chips)</f>
        <v>0</v>
      </c>
      <c r="K22" s="66">
        <f>T_p1213519755461[[#This Row],[ICM]]+bounty*T_p1213519755461[[#This Row],[KO]]</f>
        <v>0</v>
      </c>
      <c r="M22" s="10">
        <f>COUNTIF(T_p2223625765562[stack],"&gt;0")</f>
        <v>3</v>
      </c>
      <c r="N22" s="26">
        <f>IF(T_init20344745360[[#This Row],[p]]=1,uncalled,IF(T_init20344745360[[#This Row],[p]]=2,mainpot+sidepot1+sidepot2,IF(T_init20344745360[[#This Row],[p]]&gt;2,0,T_init20344745360[[#This Row],[stack]]-T_init20344745360[[#This Row],[anteblinds]])))</f>
        <v>0</v>
      </c>
      <c r="P22" s="2">
        <f>T_p2223625765562[[#This Row],[EQ]]*prize</f>
        <v>0</v>
      </c>
      <c r="Q22" s="66">
        <f>IF(T_init20344745360[[#This Row],[p]]=2,T_p2223625765562[[#This Row],[players]]*T_p2223625765562[[#This Row],[stack]]/chips+COUNTIF(T_p2223625765562[stack],0),T_p2223625765562[[#This Row],[players]]*T_p2223625765562[[#This Row],[stack]]/chips)</f>
        <v>0</v>
      </c>
      <c r="R22" s="66">
        <f>T_p2223625765562[[#This Row],[ICM]]+bounty*T_p2223625765562[[#This Row],[KO]]</f>
        <v>0</v>
      </c>
      <c r="T22" s="5">
        <f>COUNTIF(T_p3p1233726775663[stack],"&gt;0")</f>
        <v>3</v>
      </c>
      <c r="U22" s="26">
        <f>IF(T_init20344745360[[#This Row],[p]]=1,sidepot1+uncalled,IF(T_init20344745360[[#This Row],[p]]=3,mainpot,IF(ISBLANK(T_init20344745360[[#This Row],[p]]),T_init20344745360[[#This Row],[stack]]-T_init20344745360[[#This Row],[anteblinds]],0)))</f>
        <v>0</v>
      </c>
      <c r="V22">
        <v>0</v>
      </c>
      <c r="W22" s="2">
        <f>T_p3p1233726775663[[#This Row],[EQ]]*prize</f>
        <v>0</v>
      </c>
      <c r="X22" s="66">
        <f>IF(T_init20344745360[[#This Row],[p]]=1,T_p3p1233726775663[[#This Row],[players]]*T_p3p1233726775663[[#This Row],[stack]]/chips+COUNTIF(T_p3p1233726775663[stack],0),T_p3p1233726775663[[#This Row],[players]]*T_p3p1233726775663[[#This Row],[stack]]/chips)</f>
        <v>0</v>
      </c>
      <c r="Y22" s="66">
        <f>T_p3p1233726775663[[#This Row],[ICM]]+bounty*T_p3p1233726775663[[#This Row],[KO]]</f>
        <v>0</v>
      </c>
      <c r="AA22" s="5">
        <f>COUNTIF(T_p3p2243827785764[stack],"&gt;0")</f>
        <v>4</v>
      </c>
      <c r="AB22">
        <f>IF(T_init20344745360[[#This Row],[p]]=1,uncalled,IF(T_init20344745360[[#This Row],[p]]=2,sidepot1,IF(T_init20344745360[[#This Row],[p]]=3,mainpot,IF(ISBLANK(T_init20344745360[[#This Row],[p]]),T_init20344745360[[#This Row],[stack]]-T_init20344745360[[#This Row],[anteblinds]],0))))</f>
        <v>0</v>
      </c>
      <c r="AC22">
        <v>0</v>
      </c>
      <c r="AD22" s="2">
        <f>T_p3p2243827785764[[#This Row],[EQ]]*prize</f>
        <v>0</v>
      </c>
      <c r="AE22" s="66">
        <f>IF(T_init20344745360[[#This Row],[p]]=2,T_p3p2243827785764[[#This Row],[players]]*T_p3p2243827785764[[#This Row],[stack]]/chips+COUNTIF(T_p3p2243827785764[stack],0),T_p3p2243827785764[[#This Row],[players]]*T_p3p2243827785764[[#This Row],[stack]]/chips)</f>
        <v>0</v>
      </c>
      <c r="AF22" s="16">
        <f>T_p3p2243827785764[[#This Row],[ICM]]+bounty*T_p3p2243827785764[[#This Row],[KO]]</f>
        <v>0</v>
      </c>
      <c r="AI22" s="73">
        <v>3</v>
      </c>
      <c r="AJ22" s="26">
        <v>0</v>
      </c>
      <c r="AL22" s="2">
        <f>T_fact293928795865[[#This Row],[EQ]]*prize</f>
        <v>0</v>
      </c>
      <c r="AM22" s="66">
        <f>IF(T_init20344745360[[#This Row],[p]]=1,T_fact293928795865[[#This Row],[players]]*T_fact293928795865[[#This Row],[stack]]/chips+COUNTIF(T_fact293928795865[stack],0),T_fact293928795865[[#This Row],[players]]*T_fact293928795865[[#This Row],[stack]]/chips)</f>
        <v>0</v>
      </c>
      <c r="AN22" s="16">
        <f>T_fact293928795865[[#This Row],[ICM]]+bounty*T_fact293928795865[[#This Row],[KO]]</f>
        <v>0</v>
      </c>
      <c r="AQ22" s="68">
        <f>'3way шаблон'!p3win* ('3way шаблон'!p1sp1win*T_p3p1233726775663[[#This Row],[ICM]] + '3way шаблон'!p2sp1win*T_p3p2243827785764[[#This Row],[ICM]])
+'3way шаблон'!p2win*T_p2223625765562[[#This Row],[ICM]]
+'3way шаблон'!p1win*T_p1213519755461[[#This Row],[ICM]]</f>
        <v>0</v>
      </c>
      <c r="AR22" s="68">
        <f>('3way шаблон'!p3win* ('3way шаблон'!p1sp1win*T_p3p1233726775663[[#This Row],[KO]] + '3way шаблон'!p2sp1win*T_p3p2243827785764[[#This Row],[KO]])
+'3way шаблон'!p2win*T_p2223625765562[[#This Row],[KO]]
+'3way шаблон'!p1win*T_p1213519755461[[#This Row],[KO]])*bounty</f>
        <v>0</v>
      </c>
      <c r="AS22" s="68">
        <f>'3way шаблон'!p3win* ('3way шаблон'!p1sp1win*T_p3p1233726775663[[#This Row],[$stack]] + '3way шаблон'!p2sp1win*T_p3p2243827785764[[#This Row],[$stack]])
+'3way шаблон'!p2win*T_p2223625765562[[#This Row],[$stack]]
+'3way шаблон'!p1win*T_p1213519755461[[#This Row],[$stack]]</f>
        <v>0</v>
      </c>
      <c r="AT22" s="68">
        <f>'3way шаблон'!p3win* ('3way шаблон'!p1sp1win*T_p3p1233726775663[[#This Row],[stack]] + '3way шаблон'!p2sp1win*T_p3p2243827785764[[#This Row],[stack]])
+'3way шаблон'!p2win*T_p2223625765562[[#This Row],[stack]]
+'3way шаблон'!p1win*T_p1213519755461[[#This Row],[stack]]</f>
        <v>0</v>
      </c>
      <c r="AU22" s="68">
        <f>T_fact293928795865[[#This Row],[stack]]- T_init20344745360[[#This Row],[stack]]</f>
        <v>0</v>
      </c>
      <c r="AV22" s="68">
        <f>T_EV334030805966[[#This Row],[netwon]]+T_EV334030805966[[#This Row],[cEVdiff]]</f>
        <v>0</v>
      </c>
      <c r="AW22" s="2">
        <f>T_EV334030805966[[#This Row],[chipEV]]-T_fact293928795865[[#This Row],[stack]]</f>
        <v>0</v>
      </c>
      <c r="AX22" s="2">
        <f>T_EV334030805966[[#This Row],[EV]]-(T_fact293928795865[[#This Row],[ICM]])</f>
        <v>0</v>
      </c>
    </row>
    <row r="23" spans="1:50" x14ac:dyDescent="0.25">
      <c r="A23" t="s">
        <v>95</v>
      </c>
      <c r="D23">
        <f>SUBTOTAL(109,T_init20344745360[anteblinds])</f>
        <v>115</v>
      </c>
      <c r="F23" s="53"/>
      <c r="G23" s="50">
        <f>SUM(T_p1213519755461[stack])</f>
        <v>2000</v>
      </c>
      <c r="H23" s="50">
        <f>SUM(T_p1213519755461[EQ])</f>
        <v>1</v>
      </c>
      <c r="I23" s="50">
        <f>SUM(T_p1213519755461[ICM])</f>
        <v>11.16</v>
      </c>
      <c r="J23" s="50">
        <f>SUM(T_p1213519755461[KO])</f>
        <v>6</v>
      </c>
      <c r="K23" s="50">
        <f>SUM(T_p1213519755461[$stack])</f>
        <v>11.16</v>
      </c>
      <c r="M23" s="53"/>
      <c r="N23" s="55">
        <f>SUM(T_p2223625765562[stack])</f>
        <v>2000</v>
      </c>
      <c r="O23" s="50">
        <f>SUM(T_p2223625765562[EQ])</f>
        <v>1</v>
      </c>
      <c r="P23" s="51">
        <f>SUM(T_p2223625765562[ICM])</f>
        <v>11.16</v>
      </c>
      <c r="Q23" s="52">
        <f>SUM(T_p2223625765562[KO])</f>
        <v>6</v>
      </c>
      <c r="R23" s="50">
        <f>SUM(T_p2223625765562[$stack])</f>
        <v>11.16</v>
      </c>
      <c r="T23" s="53"/>
      <c r="U23" s="55">
        <f>SUM(T_p3p1233726775663[stack])</f>
        <v>2000</v>
      </c>
      <c r="V23" s="50">
        <f>SUM(T_p3p1233726775663[EQ])</f>
        <v>1</v>
      </c>
      <c r="W23" s="51">
        <f>SUM(T_p3p1233726775663[ICM])</f>
        <v>11.16</v>
      </c>
      <c r="X23" s="52">
        <f>SUM(T_p3p1233726775663[KO])</f>
        <v>6</v>
      </c>
      <c r="Y23" s="50">
        <f>SUM(T_p3p1233726775663[$stack])</f>
        <v>11.16</v>
      </c>
      <c r="AA23" s="53"/>
      <c r="AB23" s="55">
        <f>SUM(T_p3p2243827785764[stack])</f>
        <v>2000</v>
      </c>
      <c r="AC23" s="50">
        <f>SUM(T_p3p2243827785764[EQ])</f>
        <v>1</v>
      </c>
      <c r="AD23" s="51">
        <f>SUM(T_p3p2243827785764[ICM])</f>
        <v>11.16</v>
      </c>
      <c r="AE23" s="52">
        <f>SUM(T_p3p2243827785764[KO])</f>
        <v>6</v>
      </c>
      <c r="AF23" s="50">
        <f>SUM(T_p3p1233726775663[$stack])</f>
        <v>11.16</v>
      </c>
      <c r="AI23" s="53"/>
      <c r="AJ23" s="55">
        <f>SUM(T_fact293928795865[stack])</f>
        <v>2000</v>
      </c>
      <c r="AK23" s="50">
        <f>SUM(T_fact293928795865[EQ])</f>
        <v>1</v>
      </c>
      <c r="AL23" s="51">
        <f>SUM(T_fact293928795865[ICM])</f>
        <v>11.16</v>
      </c>
      <c r="AM23" s="52">
        <f>SUM(T_fact293928795865[KO])</f>
        <v>5.9999999999999991</v>
      </c>
      <c r="AN23" s="51">
        <f>SUM(T_fact293928795865[$stack])</f>
        <v>11.16</v>
      </c>
      <c r="AQ23" s="52">
        <f>SUM(T_EV334030805966[ICM])</f>
        <v>11.159999999999998</v>
      </c>
      <c r="AR23" s="52">
        <f>SUM(T_EV334030805966[KO])</f>
        <v>0</v>
      </c>
      <c r="AS23" s="52">
        <f>SUM(T_EV334030805966[EV])</f>
        <v>11.159999999999998</v>
      </c>
      <c r="AT23" s="50">
        <f>SUM(T_EV334030805966[chipEV])</f>
        <v>2000</v>
      </c>
      <c r="AU23" s="50"/>
      <c r="AV23" s="50"/>
    </row>
    <row r="25" spans="1:50" ht="18.75" x14ac:dyDescent="0.3">
      <c r="M25" s="79" t="s">
        <v>117</v>
      </c>
    </row>
    <row r="26" spans="1:50" x14ac:dyDescent="0.25">
      <c r="C26" t="s">
        <v>118</v>
      </c>
      <c r="M26" t="s">
        <v>600</v>
      </c>
    </row>
    <row r="27" spans="1:50" x14ac:dyDescent="0.25">
      <c r="C27" t="s">
        <v>120</v>
      </c>
      <c r="M27" t="s">
        <v>601</v>
      </c>
    </row>
    <row r="28" spans="1:50" x14ac:dyDescent="0.25">
      <c r="C28" t="s">
        <v>122</v>
      </c>
      <c r="M28" t="s">
        <v>602</v>
      </c>
    </row>
    <row r="29" spans="1:50" x14ac:dyDescent="0.25">
      <c r="M29" t="s">
        <v>603</v>
      </c>
    </row>
    <row r="30" spans="1:50" x14ac:dyDescent="0.25">
      <c r="M30" t="s">
        <v>604</v>
      </c>
    </row>
    <row r="31" spans="1:50" x14ac:dyDescent="0.25">
      <c r="C31" t="s">
        <v>126</v>
      </c>
      <c r="M31" t="s">
        <v>605</v>
      </c>
    </row>
    <row r="32" spans="1:50" x14ac:dyDescent="0.25">
      <c r="M32" t="s">
        <v>419</v>
      </c>
    </row>
    <row r="33" spans="2:13" x14ac:dyDescent="0.25">
      <c r="B33" t="s">
        <v>129</v>
      </c>
      <c r="M33" t="s">
        <v>606</v>
      </c>
    </row>
    <row r="34" spans="2:13" x14ac:dyDescent="0.25">
      <c r="B34" t="s">
        <v>131</v>
      </c>
      <c r="M34" t="s">
        <v>189</v>
      </c>
    </row>
    <row r="35" spans="2:13" x14ac:dyDescent="0.25">
      <c r="C35" t="s">
        <v>133</v>
      </c>
      <c r="M35" t="s">
        <v>607</v>
      </c>
    </row>
    <row r="36" spans="2:13" x14ac:dyDescent="0.25">
      <c r="D36" t="s">
        <v>135</v>
      </c>
      <c r="M36" t="s">
        <v>608</v>
      </c>
    </row>
    <row r="37" spans="2:13" x14ac:dyDescent="0.25">
      <c r="C37" t="s">
        <v>137</v>
      </c>
      <c r="M37" t="s">
        <v>609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610</v>
      </c>
    </row>
    <row r="40" spans="2:13" x14ac:dyDescent="0.25">
      <c r="D40" t="s">
        <v>142</v>
      </c>
      <c r="M40" t="s">
        <v>611</v>
      </c>
    </row>
    <row r="41" spans="2:13" x14ac:dyDescent="0.25">
      <c r="D41" t="s">
        <v>144</v>
      </c>
      <c r="E41" t="s">
        <v>145</v>
      </c>
      <c r="M41" t="s">
        <v>612</v>
      </c>
    </row>
    <row r="42" spans="2:13" x14ac:dyDescent="0.25">
      <c r="F42" t="s">
        <v>147</v>
      </c>
      <c r="M42" t="s">
        <v>613</v>
      </c>
    </row>
    <row r="43" spans="2:13" x14ac:dyDescent="0.25">
      <c r="E43" t="s">
        <v>149</v>
      </c>
      <c r="M43" t="s">
        <v>614</v>
      </c>
    </row>
    <row r="44" spans="2:13" x14ac:dyDescent="0.25">
      <c r="F44" t="s">
        <v>151</v>
      </c>
      <c r="M44" t="s">
        <v>615</v>
      </c>
    </row>
    <row r="45" spans="2:13" x14ac:dyDescent="0.25">
      <c r="M45" t="s">
        <v>616</v>
      </c>
    </row>
    <row r="46" spans="2:13" x14ac:dyDescent="0.25">
      <c r="C46" t="s">
        <v>154</v>
      </c>
      <c r="M46" t="s">
        <v>617</v>
      </c>
    </row>
    <row r="47" spans="2:13" x14ac:dyDescent="0.25">
      <c r="D47" t="s">
        <v>156</v>
      </c>
      <c r="M47" t="s">
        <v>618</v>
      </c>
    </row>
    <row r="48" spans="2:13" x14ac:dyDescent="0.25">
      <c r="D48" t="s">
        <v>158</v>
      </c>
      <c r="E48" t="s">
        <v>145</v>
      </c>
      <c r="M48" t="s">
        <v>166</v>
      </c>
    </row>
    <row r="49" spans="5:13" x14ac:dyDescent="0.25">
      <c r="F49" t="s">
        <v>160</v>
      </c>
      <c r="M49" t="s">
        <v>619</v>
      </c>
    </row>
    <row r="50" spans="5:13" x14ac:dyDescent="0.25">
      <c r="E50" t="s">
        <v>149</v>
      </c>
      <c r="M50" t="s">
        <v>620</v>
      </c>
    </row>
    <row r="51" spans="5:13" x14ac:dyDescent="0.25">
      <c r="F51" t="s">
        <v>163</v>
      </c>
      <c r="M51" t="s">
        <v>621</v>
      </c>
    </row>
    <row r="52" spans="5:13" x14ac:dyDescent="0.25">
      <c r="E52" t="s">
        <v>165</v>
      </c>
      <c r="M52" t="s">
        <v>622</v>
      </c>
    </row>
    <row r="53" spans="5:13" x14ac:dyDescent="0.25">
      <c r="F53" t="s">
        <v>167</v>
      </c>
      <c r="M53" t="s">
        <v>623</v>
      </c>
    </row>
    <row r="54" spans="5:13" x14ac:dyDescent="0.25">
      <c r="F54" t="s">
        <v>144</v>
      </c>
      <c r="M54" t="s">
        <v>624</v>
      </c>
    </row>
    <row r="55" spans="5:13" x14ac:dyDescent="0.25">
      <c r="G55" t="s">
        <v>145</v>
      </c>
      <c r="M55" t="s">
        <v>173</v>
      </c>
    </row>
    <row r="56" spans="5:13" x14ac:dyDescent="0.25">
      <c r="H56" t="s">
        <v>147</v>
      </c>
      <c r="M56" t="s">
        <v>625</v>
      </c>
    </row>
    <row r="57" spans="5:13" x14ac:dyDescent="0.25">
      <c r="G57" t="s">
        <v>149</v>
      </c>
      <c r="M57" t="s">
        <v>626</v>
      </c>
    </row>
    <row r="58" spans="5:13" x14ac:dyDescent="0.25">
      <c r="H58" t="s">
        <v>151</v>
      </c>
      <c r="M58" t="s">
        <v>627</v>
      </c>
    </row>
    <row r="59" spans="5:13" x14ac:dyDescent="0.25">
      <c r="M59" t="s">
        <v>628</v>
      </c>
    </row>
    <row r="60" spans="5:13" x14ac:dyDescent="0.25">
      <c r="M60" t="s">
        <v>629</v>
      </c>
    </row>
    <row r="61" spans="5:13" x14ac:dyDescent="0.25">
      <c r="M61" t="s">
        <v>630</v>
      </c>
    </row>
    <row r="63" spans="5:13" x14ac:dyDescent="0.25">
      <c r="M63" t="s">
        <v>178</v>
      </c>
    </row>
    <row r="64" spans="5:13" x14ac:dyDescent="0.25">
      <c r="M64" t="s">
        <v>179</v>
      </c>
    </row>
  </sheetData>
  <mergeCells count="11">
    <mergeCell ref="AQ15:AT15"/>
    <mergeCell ref="F10:F11"/>
    <mergeCell ref="T13:AE13"/>
    <mergeCell ref="AQ13:AT13"/>
    <mergeCell ref="T14:AE14"/>
    <mergeCell ref="AQ14:AT14"/>
    <mergeCell ref="F15:J15"/>
    <mergeCell ref="M15:Q15"/>
    <mergeCell ref="T15:X15"/>
    <mergeCell ref="AA15:AE15"/>
    <mergeCell ref="AI15:AM15"/>
  </mergeCells>
  <pageMargins left="0.7" right="0.7" top="0.75" bottom="0.75" header="0.3" footer="0.3"/>
  <pageSetup paperSize="9" orientation="portrait" horizontalDpi="4294967293" verticalDpi="0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EBD5-E5ED-45F3-9211-33BB10C302FB}">
  <dimension ref="A1:BK64"/>
  <sheetViews>
    <sheetView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R30" sqref="R30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3.7109375" customWidth="1"/>
    <col min="20" max="20" width="6.7109375" customWidth="1"/>
    <col min="21" max="21" width="9.5703125" bestFit="1" customWidth="1"/>
    <col min="22" max="22" width="10.28515625" customWidth="1"/>
    <col min="26" max="26" width="4.7109375" customWidth="1"/>
    <col min="27" max="27" width="5.5703125" customWidth="1"/>
    <col min="28" max="28" width="7.7109375" customWidth="1"/>
    <col min="29" max="30" width="8.5703125" customWidth="1"/>
    <col min="31" max="31" width="9.85546875" customWidth="1"/>
    <col min="32" max="32" width="8.42578125" customWidth="1"/>
    <col min="34" max="34" width="7.28515625" customWidth="1"/>
    <col min="35" max="35" width="8.5703125" customWidth="1"/>
    <col min="36" max="36" width="10" customWidth="1"/>
    <col min="40" max="40" width="4.7109375" customWidth="1"/>
    <col min="41" max="41" width="7.28515625" customWidth="1"/>
    <col min="42" max="42" width="8.5703125" customWidth="1"/>
    <col min="43" max="43" width="10" customWidth="1"/>
    <col min="47" max="47" width="2.85546875" customWidth="1"/>
    <col min="48" max="48" width="5.85546875" customWidth="1"/>
    <col min="49" max="49" width="6.7109375" customWidth="1"/>
    <col min="53" max="53" width="10.7109375" customWidth="1"/>
    <col min="54" max="54" width="2.42578125" customWidth="1"/>
    <col min="55" max="55" width="1" customWidth="1"/>
    <col min="56" max="56" width="9.140625" customWidth="1"/>
    <col min="57" max="57" width="7.42578125" customWidth="1"/>
    <col min="58" max="58" width="10.28515625" customWidth="1"/>
  </cols>
  <sheetData>
    <row r="1" spans="1:63" ht="15.75" x14ac:dyDescent="0.25">
      <c r="A1" t="s">
        <v>644</v>
      </c>
      <c r="B1">
        <v>14.71</v>
      </c>
      <c r="C1" s="80" t="s">
        <v>0</v>
      </c>
      <c r="D1">
        <f>B1*4</f>
        <v>58.84</v>
      </c>
      <c r="F1" s="80" t="s">
        <v>71</v>
      </c>
      <c r="G1">
        <v>0.1759</v>
      </c>
      <c r="I1" s="80" t="s">
        <v>72</v>
      </c>
      <c r="J1">
        <v>0.2248</v>
      </c>
      <c r="K1">
        <v>0.2248</v>
      </c>
      <c r="M1" s="80" t="s">
        <v>73</v>
      </c>
      <c r="N1">
        <v>1190</v>
      </c>
    </row>
    <row r="2" spans="1:63" ht="15.75" x14ac:dyDescent="0.25">
      <c r="C2" s="80" t="s">
        <v>1</v>
      </c>
      <c r="D2">
        <f>bounty</f>
        <v>0</v>
      </c>
      <c r="F2" s="80" t="s">
        <v>74</v>
      </c>
      <c r="G2">
        <v>0.214</v>
      </c>
      <c r="I2" s="80" t="s">
        <v>75</v>
      </c>
      <c r="J2">
        <v>0.56179999999999997</v>
      </c>
      <c r="K2">
        <v>0.56179999999999997</v>
      </c>
      <c r="M2" s="80" t="s">
        <v>76</v>
      </c>
      <c r="N2">
        <v>150</v>
      </c>
    </row>
    <row r="3" spans="1:63" ht="15.75" x14ac:dyDescent="0.25">
      <c r="C3" s="80" t="s">
        <v>77</v>
      </c>
      <c r="D3">
        <v>2000</v>
      </c>
      <c r="F3" s="80" t="s">
        <v>78</v>
      </c>
      <c r="G3">
        <v>0.54830000000000001</v>
      </c>
      <c r="M3" s="80" t="s">
        <v>79</v>
      </c>
      <c r="N3">
        <v>0</v>
      </c>
    </row>
    <row r="4" spans="1:63" ht="15.75" x14ac:dyDescent="0.25">
      <c r="F4" s="80" t="s">
        <v>80</v>
      </c>
      <c r="G4">
        <v>0</v>
      </c>
      <c r="I4" s="80" t="s">
        <v>639</v>
      </c>
      <c r="J4">
        <v>0.1067</v>
      </c>
      <c r="K4">
        <f>0.1067*2</f>
        <v>0.21340000000000001</v>
      </c>
      <c r="M4" s="80" t="s">
        <v>81</v>
      </c>
      <c r="N4">
        <f>745-465</f>
        <v>280</v>
      </c>
    </row>
    <row r="5" spans="1:63" ht="17.25" customHeight="1" x14ac:dyDescent="0.25">
      <c r="F5" s="80" t="s">
        <v>640</v>
      </c>
      <c r="G5">
        <f>0.0206*3</f>
        <v>6.1800000000000001E-2</v>
      </c>
    </row>
    <row r="6" spans="1:63" x14ac:dyDescent="0.25">
      <c r="C6" t="s">
        <v>82</v>
      </c>
      <c r="D6" t="s">
        <v>645</v>
      </c>
    </row>
    <row r="7" spans="1:63" x14ac:dyDescent="0.25">
      <c r="C7" t="s">
        <v>84</v>
      </c>
      <c r="D7" t="s">
        <v>641</v>
      </c>
    </row>
    <row r="8" spans="1:63" x14ac:dyDescent="0.25">
      <c r="C8" t="s">
        <v>86</v>
      </c>
      <c r="D8" t="s">
        <v>87</v>
      </c>
    </row>
    <row r="9" spans="1:63" ht="6" customHeight="1" x14ac:dyDescent="0.25"/>
    <row r="10" spans="1:63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63" ht="18.75" x14ac:dyDescent="0.3">
      <c r="F11" s="128"/>
      <c r="G11" s="81">
        <v>1</v>
      </c>
      <c r="H11" s="81">
        <v>0</v>
      </c>
      <c r="I11" s="82">
        <v>0</v>
      </c>
      <c r="J11" s="102"/>
      <c r="K11" s="102"/>
    </row>
    <row r="12" spans="1:63" ht="19.5" thickBot="1" x14ac:dyDescent="0.35">
      <c r="F12" s="102"/>
      <c r="G12" s="102"/>
      <c r="H12" s="102"/>
      <c r="I12" s="102"/>
      <c r="J12" s="102"/>
      <c r="K12" s="102"/>
      <c r="AA12" t="s">
        <v>92</v>
      </c>
      <c r="AH12" t="s">
        <v>93</v>
      </c>
    </row>
    <row r="13" spans="1:63" ht="19.5" thickBot="1" x14ac:dyDescent="0.35">
      <c r="F13" s="102"/>
      <c r="G13" s="102"/>
      <c r="H13" s="102"/>
      <c r="I13" s="102"/>
      <c r="J13" s="102"/>
      <c r="K13" s="102"/>
      <c r="AA13" s="129" t="s">
        <v>94</v>
      </c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1"/>
      <c r="BB13" s="99"/>
      <c r="BC13" s="99"/>
    </row>
    <row r="14" spans="1:63" ht="20.25" thickTop="1" thickBot="1" x14ac:dyDescent="0.35">
      <c r="F14" s="102"/>
      <c r="G14" s="102"/>
      <c r="H14" s="102" t="s">
        <v>96</v>
      </c>
      <c r="I14" s="102"/>
      <c r="J14" s="102"/>
      <c r="K14" s="102"/>
      <c r="O14" t="s">
        <v>97</v>
      </c>
      <c r="V14" t="s">
        <v>642</v>
      </c>
      <c r="AA14" s="138" t="s">
        <v>98</v>
      </c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40"/>
      <c r="AX14" t="s">
        <v>99</v>
      </c>
      <c r="BD14" s="132" t="s">
        <v>95</v>
      </c>
      <c r="BE14" s="133"/>
      <c r="BF14" s="133"/>
      <c r="BG14" s="133"/>
      <c r="BH14" s="99"/>
      <c r="BI14" s="99"/>
    </row>
    <row r="15" spans="1:63" ht="19.5" thickTop="1" x14ac:dyDescent="0.3">
      <c r="F15" s="134" t="s">
        <v>100</v>
      </c>
      <c r="G15" s="135"/>
      <c r="H15" s="135"/>
      <c r="I15" s="135"/>
      <c r="J15" s="136"/>
      <c r="K15" s="102"/>
      <c r="M15" s="134" t="s">
        <v>101</v>
      </c>
      <c r="N15" s="135"/>
      <c r="O15" s="135"/>
      <c r="P15" s="135"/>
      <c r="Q15" s="136"/>
      <c r="R15" s="102"/>
      <c r="S15" s="102"/>
      <c r="T15" s="134" t="s">
        <v>642</v>
      </c>
      <c r="U15" s="135"/>
      <c r="V15" s="135"/>
      <c r="W15" s="135"/>
      <c r="X15" s="136"/>
      <c r="Y15" s="102"/>
      <c r="AA15" s="118" t="s">
        <v>102</v>
      </c>
      <c r="AB15" s="119"/>
      <c r="AC15" s="119"/>
      <c r="AD15" s="119"/>
      <c r="AE15" s="120"/>
      <c r="AF15" s="102"/>
      <c r="AH15" s="118" t="s">
        <v>103</v>
      </c>
      <c r="AI15" s="119"/>
      <c r="AJ15" s="119"/>
      <c r="AK15" s="119"/>
      <c r="AL15" s="120"/>
      <c r="AO15" s="118" t="s">
        <v>643</v>
      </c>
      <c r="AP15" s="119"/>
      <c r="AQ15" s="119"/>
      <c r="AR15" s="119"/>
      <c r="AS15" s="120"/>
      <c r="AV15" s="121" t="s">
        <v>10</v>
      </c>
      <c r="AW15" s="122"/>
      <c r="AX15" s="122"/>
      <c r="AY15" s="122"/>
      <c r="AZ15" s="123"/>
      <c r="BD15" s="124" t="s">
        <v>104</v>
      </c>
      <c r="BE15" s="125"/>
      <c r="BF15" s="125"/>
      <c r="BG15" s="126"/>
      <c r="BH15" s="102"/>
      <c r="BI15" s="102"/>
    </row>
    <row r="16" spans="1:63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S16" s="5"/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s="5" t="s">
        <v>110</v>
      </c>
      <c r="AH16" s="5" t="s">
        <v>107</v>
      </c>
      <c r="AI16" s="5" t="s">
        <v>12</v>
      </c>
      <c r="AJ16" s="5" t="s">
        <v>108</v>
      </c>
      <c r="AK16" s="5" t="s">
        <v>109</v>
      </c>
      <c r="AL16" s="5" t="s">
        <v>1</v>
      </c>
      <c r="AM16" t="s">
        <v>110</v>
      </c>
      <c r="AO16" s="5" t="s">
        <v>107</v>
      </c>
      <c r="AP16" s="5" t="s">
        <v>12</v>
      </c>
      <c r="AQ16" s="5" t="s">
        <v>108</v>
      </c>
      <c r="AR16" s="5" t="s">
        <v>109</v>
      </c>
      <c r="AS16" s="5" t="s">
        <v>1</v>
      </c>
      <c r="AT16" t="s">
        <v>110</v>
      </c>
      <c r="AV16" s="5" t="s">
        <v>107</v>
      </c>
      <c r="AW16" s="5" t="s">
        <v>12</v>
      </c>
      <c r="AX16" s="5" t="s">
        <v>108</v>
      </c>
      <c r="AY16" s="5" t="s">
        <v>109</v>
      </c>
      <c r="AZ16" s="5" t="s">
        <v>1</v>
      </c>
      <c r="BA16" t="s">
        <v>110</v>
      </c>
      <c r="BD16" s="5" t="s">
        <v>109</v>
      </c>
      <c r="BE16" s="5" t="s">
        <v>1</v>
      </c>
      <c r="BF16" s="5" t="s">
        <v>104</v>
      </c>
      <c r="BG16" s="5" t="s">
        <v>111</v>
      </c>
      <c r="BH16" s="5" t="s">
        <v>634</v>
      </c>
      <c r="BI16" s="5" t="s">
        <v>635</v>
      </c>
      <c r="BJ16" t="s">
        <v>112</v>
      </c>
      <c r="BK16" t="s">
        <v>113</v>
      </c>
    </row>
    <row r="17" spans="1:63" x14ac:dyDescent="0.25">
      <c r="A17" s="26"/>
      <c r="B17" s="26">
        <v>400</v>
      </c>
      <c r="C17" s="26"/>
      <c r="D17" s="26">
        <v>20</v>
      </c>
      <c r="F17" s="73">
        <f>COUNTIF(T_p121351975546168114[stack],"&gt;0")</f>
        <v>2</v>
      </c>
      <c r="G17" s="26">
        <f>IF(T_init2034474536067113[[#This Row],[p]]=1,mainpot+sidepot1+sidepot2+uncalled,IF(T_init2034474536067113[[#This Row],[p]]&gt;1,0,T_init2034474536067113[[#This Row],[stack]]-T_init2034474536067113[[#This Row],[anteblinds]]))</f>
        <v>380</v>
      </c>
      <c r="H17" s="26"/>
      <c r="I17" s="27">
        <f>T_p121351975546168114[[#This Row],[EQ]]*prize</f>
        <v>0</v>
      </c>
      <c r="J17" s="71">
        <f>IF(T_init2034474536067113[[#This Row],[p]]=1,T_p121351975546168114[[#This Row],[players]]*T_p121351975546168114[[#This Row],[stack]]/chips+COUNTIF(T_p121351975546168114[stack],0),T_p121351975546168114[[#This Row],[players]]*T_p121351975546168114[[#This Row],[stack]]/chips)</f>
        <v>0.38</v>
      </c>
      <c r="K17" s="71">
        <f>T_p121351975546168114[[#This Row],[ICM]]+bounty*T_p121351975546168114[[#This Row],[KO]]</f>
        <v>0</v>
      </c>
      <c r="M17" s="29">
        <f>COUNTIF(T_p222362576556269115[stack],"&gt;0")</f>
        <v>3</v>
      </c>
      <c r="N17" s="2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380</v>
      </c>
      <c r="O17" s="26"/>
      <c r="P17" s="27">
        <f>T_p222362576556269115[[#This Row],[EQ]]*prize</f>
        <v>0</v>
      </c>
      <c r="Q17" s="71">
        <f>IF(T_init2034474536067113[[#This Row],[p]]=2,T_p222362576556269115[[#This Row],[players]]*T_p222362576556269115[[#This Row],[stack]]/chips+COUNTIF(T_p222362576556269115[stack],0),T_p222362576556269115[[#This Row],[players]]*T_p222362576556269115[[#This Row],[stack]]/chips)</f>
        <v>0.56999999999999995</v>
      </c>
      <c r="R17" s="71">
        <f>T_p222362576556269115[[#This Row],[ICM]]+bounty*T_p222362576556269115[[#This Row],[KO]]</f>
        <v>0</v>
      </c>
      <c r="S17" s="71"/>
      <c r="T17" s="29">
        <f>COUNTIF(T_p22236257655626974148[stack],"&gt;0")</f>
        <v>4</v>
      </c>
      <c r="U17" s="26">
        <f>IF(T_init2034474536067113[[#This Row],[p]]=1,ROUND(uncalled + mainpot/3, 0) + ROUND(sidepot1/2,0),IF(T_init2034474536067113[[#This Row],[p]]=2,ROUND(mainpot/3,0) + ROUND(sidepot1/2,0),IF(T_init2034474536067113[[#This Row],[p]]=3, ROUNDUP(mainpot/3,0),T_init2034474536067113[[#This Row],[stack]]-T_init2034474536067113[[#This Row],[anteblinds]])))</f>
        <v>380</v>
      </c>
      <c r="V17" s="26">
        <v>5.9499999999999997E-2</v>
      </c>
      <c r="W17" s="27">
        <f>T_p22236257655626974148[[#This Row],[EQ]]*prize</f>
        <v>3.5009800000000002</v>
      </c>
      <c r="X17" s="71">
        <f>IF(T_init2034474536067113[[#This Row],[p]]=2,T_p22236257655626974148[[#This Row],[players]]*T_p22236257655626974148[[#This Row],[stack]]/chips+COUNTIF(T_p22236257655626974148[stack],0),T_p22236257655626974148[[#This Row],[players]]*T_p22236257655626974148[[#This Row],[stack]]/chips)</f>
        <v>0.76</v>
      </c>
      <c r="Y17" s="71">
        <f>T_p22236257655626974148[[#This Row],[ICM]]+bounty*T_p22236257655626974148[[#This Row],[KO]]</f>
        <v>3.5009800000000002</v>
      </c>
      <c r="AA17" s="73">
        <f>COUNTIF(T_p3p123372677566370144[stack],"&gt;0")</f>
        <v>3</v>
      </c>
      <c r="AB17" s="26">
        <f>IF(T_init2034474536067113[[#This Row],[p]]=1,sidepot1+uncalled,IF(T_init2034474536067113[[#This Row],[p]]=3,mainpot,IF(ISBLANK(T_init2034474536067113[[#This Row],[p]]),T_init2034474536067113[[#This Row],[stack]]-T_init2034474536067113[[#This Row],[anteblinds]],0)))</f>
        <v>380</v>
      </c>
      <c r="AC17" s="26">
        <v>0.17749999999999999</v>
      </c>
      <c r="AD17" s="27">
        <f>T_p3p123372677566370144[[#This Row],[EQ]]*prize</f>
        <v>10.444100000000001</v>
      </c>
      <c r="AE17" s="71">
        <f>IF(T_init2034474536067113[[#This Row],[p]]=1,T_p3p123372677566370144[[#This Row],[players]]*T_p3p123372677566370144[[#This Row],[stack]]/chips+COUNTIF(T_p3p123372677566370144[stack],0),T_p3p123372677566370144[[#This Row],[players]]*T_p3p123372677566370144[[#This Row],[stack]]/chips)</f>
        <v>0.56999999999999995</v>
      </c>
      <c r="AF17" s="71">
        <f>T_p3p123372677566370144[[#This Row],[ICM]]+bounty*T_p3p123372677566370144[[#This Row],[KO]]</f>
        <v>10.444100000000001</v>
      </c>
      <c r="AH17" s="73">
        <f>COUNTIF(T_p3p224382778576471145[stack],"&gt;0")</f>
        <v>4</v>
      </c>
      <c r="AI17" s="26">
        <f>IF(T_init2034474536067113[[#This Row],[p]]=1,uncalled,IF(T_init2034474536067113[[#This Row],[p]]=2,sidepot1,IF(T_init2034474536067113[[#This Row],[p]]=3,mainpot,IF(ISBLANK(T_init2034474536067113[[#This Row],[p]]),T_init2034474536067113[[#This Row],[stack]]-T_init2034474536067113[[#This Row],[anteblinds]],0))))</f>
        <v>380</v>
      </c>
      <c r="AJ17" s="26">
        <v>0.17749999999999999</v>
      </c>
      <c r="AK17" s="27">
        <f>T_p3p224382778576471145[[#This Row],[EQ]]*prize</f>
        <v>10.444100000000001</v>
      </c>
      <c r="AL17" s="71">
        <f>IF(T_init2034474536067113[[#This Row],[p]]=2,T_p3p224382778576471145[[#This Row],[players]]*T_p3p224382778576471145[[#This Row],[stack]]/chips+COUNTIF(T_p3p224382778576471145[stack],0),T_p3p224382778576471145[[#This Row],[players]]*T_p3p224382778576471145[[#This Row],[stack]]/chips)</f>
        <v>0.76</v>
      </c>
      <c r="AM17" s="71">
        <f>T_p3p224382778576471145[[#This Row],[ICM]]+bounty*T_p3p224382778576471145[[#This Row],[KO]]</f>
        <v>10.444100000000001</v>
      </c>
      <c r="AO17" s="73">
        <f>COUNTIF(T_p3p22438277857647175149[stack],"&gt;0")</f>
        <v>4</v>
      </c>
      <c r="AP17" s="26">
        <f>IF(T_init2034474536067113[[#This Row],[p]]=1,uncalled + ROUND(sidepot1/2,0),IF(T_init2034474536067113[[#This Row],[p]]=2,ROUND(sidepot1/2,0),IF(T_init2034474536067113[[#This Row],[p]]=3,mainpot,IF(ISBLANK(T_init2034474536067113[[#This Row],[p]]),T_init2034474536067113[[#This Row],[stack]]-T_init2034474536067113[[#This Row],[anteblinds]],0))))</f>
        <v>380</v>
      </c>
      <c r="AQ17" s="26">
        <v>0.17749999999999999</v>
      </c>
      <c r="AR17" s="27">
        <f>T_p3p22438277857647175149[[#This Row],[EQ]]*prize</f>
        <v>10.444100000000001</v>
      </c>
      <c r="AS17" s="71">
        <f>IF(T_init2034474536067113[[#This Row],[p]]=2,T_p3p22438277857647175149[[#This Row],[players]]*T_p3p22438277857647175149[[#This Row],[stack]]/chips+COUNTIF(T_p3p22438277857647175149[stack],0),T_p3p22438277857647175149[[#This Row],[players]]*T_p3p22438277857647175149[[#This Row],[stack]]/chips)</f>
        <v>0.76</v>
      </c>
      <c r="AT17" s="71">
        <f>T_p3p22438277857647175149[[#This Row],[ICM]]+bounty*T_p3p22438277857647175149[[#This Row],[KO]]</f>
        <v>10.444100000000001</v>
      </c>
      <c r="AV17" s="73">
        <v>3</v>
      </c>
      <c r="AW17" s="2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380</v>
      </c>
      <c r="AX17" s="26"/>
      <c r="AY17" s="27">
        <f>T_fact29392879586572146[[#This Row],[EQ]]*prize</f>
        <v>0</v>
      </c>
      <c r="AZ17" s="71">
        <f>IF(T_init2034474536067113[[#This Row],[p]]=1,T_fact29392879586572146[[#This Row],[players]]*T_fact29392879586572146[[#This Row],[stack]]/chips+COUNTIF(T_fact29392879586572146[stack],0),T_fact29392879586572146[[#This Row],[players]]*T_fact29392879586572146[[#This Row],[stack]]/chips)</f>
        <v>0.56999999999999995</v>
      </c>
      <c r="BA17" s="71">
        <f>T_fact29392879586572146[[#This Row],[ICM]]+bounty*T_fact29392879586572146[[#This Row],[KO]]</f>
        <v>0</v>
      </c>
      <c r="BD17" s="72">
        <f>'3way 8c Kh ничьи'!p3win* ('3way 8c Kh ничьи'!p1sp1win*T_p3p123372677566370144[[#This Row],[ICM]] + '3way 8c Kh ничьи'!p2sp1win*T_p3p224382778576471145[[#This Row],[ICM]] + tiesp1*T_p3p22438277857647175149[[#This Row],[ICM]])
+'3way 8c Kh ничьи'!p2win*T_p222362576556269115[[#This Row],[ICM]]
+'3way 8c Kh ничьи'!p1win*T_p121351975546168114[[#This Row],[ICM]]
+'3way 8c Kh ничьи'!tie*T_p22236257655626974148[[#This Row],[ICM]]</f>
        <v>5.3318430407990007</v>
      </c>
      <c r="BE17" s="33">
        <f>('3way 8c Kh ничьи'!p3win* ('3way 8c Kh ничьи'!p1sp1win*T_p3p123372677566370144[[#This Row],[KO]] + '3way 8c Kh ничьи'!p2sp1win*T_p3p224382778576471145[[#This Row],[KO]])
+'3way 8c Kh ничьи'!p2win*T_p222362576556269115[[#This Row],[KO]]
+'3way 8c Kh ничьи'!p1win*T_p121351975546168114[[#This Row],[KO]])*bounty</f>
        <v>0</v>
      </c>
      <c r="BF17" s="72">
        <f>'3way 8c Kh ничьи'!p3win* ('3way 8c Kh ничьи'!p1sp1win*T_p3p123372677566370144[[#This Row],[$stack]] + '3way 8c Kh ничьи'!p2sp1win*T_p3p224382778576471145[[#This Row],[$stack]])
+'3way 8c Kh ничьи'!p2win*T_p222362576556269115[[#This Row],[$stack]]
+'3way 8c Kh ничьи'!p1win*T_p121351975546168114[[#This Row],[$stack]]</f>
        <v>4.5044649235980003</v>
      </c>
      <c r="BG17" s="33">
        <f>'3way 8c Kh ничьи'!p3win* ('3way 8c Kh ничьи'!p1sp1win*T_p3p123372677566370144[[#This Row],[stack]] + '3way 8c Kh ничьи'!p2sp1win*T_p3p224382778576471145[[#This Row],[stack]] + tiesp1*T_p3p22438277857647175149[[#This Row],[stack]])
+'3way 8c Kh ничьи'!p2win*T_p222362576556269115[[#This Row],[stack]]
+'3way 8c Kh ничьи'!p1win*T_p121351975546168114[[#This Row],[stack]]
+tie*T_p22236257655626974148[[#This Row],[stack]]</f>
        <v>357.76862819999997</v>
      </c>
      <c r="BH17" s="72">
        <f>T_fact29392879586572146[[#This Row],[stack]]- T_init2034474536067113[[#This Row],[stack]]</f>
        <v>-20</v>
      </c>
      <c r="BI17" s="72">
        <f>T_EV33403080596673147[[#This Row],[netwon]]+T_EV33403080596673147[[#This Row],[cEVdiff]]</f>
        <v>-42.231371800000034</v>
      </c>
      <c r="BJ17" s="2">
        <f>T_EV33403080596673147[[#This Row],[chipEV]]-T_fact29392879586572146[[#This Row],[stack]]</f>
        <v>-22.231371800000034</v>
      </c>
      <c r="BK17" s="2">
        <f>T_EV33403080596673147[[#This Row],[EV]]-(T_fact29392879586572146[[#This Row],[ICM]])</f>
        <v>4.5044649235980003</v>
      </c>
    </row>
    <row r="18" spans="1:63" x14ac:dyDescent="0.25">
      <c r="A18">
        <v>2</v>
      </c>
      <c r="B18">
        <v>465</v>
      </c>
      <c r="C18" t="s">
        <v>715</v>
      </c>
      <c r="D18">
        <v>70</v>
      </c>
      <c r="F18" s="5">
        <f>COUNTIF(T_p121351975546168114[stack],"&gt;0")</f>
        <v>2</v>
      </c>
      <c r="G18">
        <f>IF(T_init2034474536067113[[#This Row],[p]]=1,mainpot+sidepot1+sidepot2+uncalled,IF(T_init2034474536067113[[#This Row],[p]]&gt;1,0,T_init2034474536067113[[#This Row],[stack]]-T_init2034474536067113[[#This Row],[anteblinds]]))</f>
        <v>0</v>
      </c>
      <c r="H18">
        <v>0.28499999999999998</v>
      </c>
      <c r="I18" s="2">
        <f>T_p121351975546168114[[#This Row],[EQ]]*prize</f>
        <v>16.769400000000001</v>
      </c>
      <c r="J18" s="66">
        <f>IF(T_init2034474536067113[[#This Row],[p]]=1,T_p121351975546168114[[#This Row],[players]]*T_p121351975546168114[[#This Row],[stack]]/chips+COUNTIF(T_p121351975546168114[stack],0),T_p121351975546168114[[#This Row],[players]]*T_p121351975546168114[[#This Row],[stack]]/chips)</f>
        <v>0</v>
      </c>
      <c r="K18" s="66">
        <f>T_p121351975546168114[[#This Row],[ICM]]+bounty*T_p121351975546168114[[#This Row],[KO]]</f>
        <v>16.769400000000001</v>
      </c>
      <c r="M18" s="10">
        <f>COUNTIF(T_p222362576556269115[stack],"&gt;0")</f>
        <v>3</v>
      </c>
      <c r="N18" s="2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1340</v>
      </c>
      <c r="O18">
        <v>0.28499999999999998</v>
      </c>
      <c r="P18" s="2">
        <f>T_p222362576556269115[[#This Row],[EQ]]*prize</f>
        <v>16.769400000000001</v>
      </c>
      <c r="Q18" s="66">
        <f>IF(T_init2034474536067113[[#This Row],[p]]=2,T_p222362576556269115[[#This Row],[players]]*T_p222362576556269115[[#This Row],[stack]]/chips+COUNTIF(T_p222362576556269115[stack],0),T_p222362576556269115[[#This Row],[players]]*T_p222362576556269115[[#This Row],[stack]]/chips)</f>
        <v>5.01</v>
      </c>
      <c r="R18" s="66">
        <f>T_p222362576556269115[[#This Row],[ICM]]+bounty*T_p222362576556269115[[#This Row],[KO]]</f>
        <v>16.769400000000001</v>
      </c>
      <c r="S18" s="66"/>
      <c r="T18" s="10">
        <f>COUNTIF(T_p22236257655626974148[stack],"&gt;0")</f>
        <v>4</v>
      </c>
      <c r="U18" s="26">
        <f>IF(T_init2034474536067113[[#This Row],[p]]=1,ROUND(uncalled + mainpot/3, 0) + ROUND(sidepot1/2,0),IF(T_init2034474536067113[[#This Row],[p]]=2,ROUND(mainpot/3,0) + ROUND(sidepot1/2,0),IF(T_init2034474536067113[[#This Row],[p]]=3, ROUNDUP(mainpot/3,0),T_init2034474536067113[[#This Row],[stack]]-T_init2034474536067113[[#This Row],[anteblinds]])))</f>
        <v>472</v>
      </c>
      <c r="V18">
        <v>0.28499999999999998</v>
      </c>
      <c r="W18" s="2">
        <f>T_p22236257655626974148[[#This Row],[EQ]]*prize</f>
        <v>16.769400000000001</v>
      </c>
      <c r="X18" s="66">
        <f>IF(T_init2034474536067113[[#This Row],[p]]=2,T_p22236257655626974148[[#This Row],[players]]*T_p22236257655626974148[[#This Row],[stack]]/chips+COUNTIF(T_p22236257655626974148[stack],0),T_p22236257655626974148[[#This Row],[players]]*T_p22236257655626974148[[#This Row],[stack]]/chips)</f>
        <v>2.944</v>
      </c>
      <c r="Y18" s="66">
        <f>T_p22236257655626974148[[#This Row],[ICM]]+bounty*T_p22236257655626974148[[#This Row],[KO]]</f>
        <v>16.769400000000001</v>
      </c>
      <c r="AA18" s="5">
        <f>COUNTIF(T_p3p123372677566370144[stack],"&gt;0")</f>
        <v>3</v>
      </c>
      <c r="AB18" s="26">
        <f>IF(T_init2034474536067113[[#This Row],[p]]=1,sidepot1+uncalled,IF(T_init2034474536067113[[#This Row],[p]]=3,mainpot,IF(ISBLANK(T_init2034474536067113[[#This Row],[p]]),T_init2034474536067113[[#This Row],[stack]]-T_init2034474536067113[[#This Row],[anteblinds]],0)))</f>
        <v>0</v>
      </c>
      <c r="AC18">
        <v>0.28499999999999998</v>
      </c>
      <c r="AD18" s="2">
        <f>T_p3p123372677566370144[[#This Row],[EQ]]*prize</f>
        <v>16.769400000000001</v>
      </c>
      <c r="AE18" s="66">
        <f>IF(T_init2034474536067113[[#This Row],[p]]=1,T_p3p123372677566370144[[#This Row],[players]]*T_p3p123372677566370144[[#This Row],[stack]]/chips+COUNTIF(T_p3p123372677566370144[stack],0),T_p3p123372677566370144[[#This Row],[players]]*T_p3p123372677566370144[[#This Row],[stack]]/chips)</f>
        <v>0</v>
      </c>
      <c r="AF18" s="66">
        <f>T_p3p123372677566370144[[#This Row],[ICM]]+bounty*T_p3p123372677566370144[[#This Row],[KO]]</f>
        <v>16.769400000000001</v>
      </c>
      <c r="AH18" s="5">
        <f>COUNTIF(T_p3p224382778576471145[stack],"&gt;0")</f>
        <v>4</v>
      </c>
      <c r="AI18">
        <f>IF(T_init2034474536067113[[#This Row],[p]]=1,uncalled,IF(T_init2034474536067113[[#This Row],[p]]=2,sidepot1,IF(T_init2034474536067113[[#This Row],[p]]=3,mainpot,IF(ISBLANK(T_init2034474536067113[[#This Row],[p]]),T_init2034474536067113[[#This Row],[stack]]-T_init2034474536067113[[#This Row],[anteblinds]],0))))</f>
        <v>150</v>
      </c>
      <c r="AJ18">
        <v>0.28499999999999998</v>
      </c>
      <c r="AK18" s="2">
        <f>T_p3p224382778576471145[[#This Row],[EQ]]*prize</f>
        <v>16.769400000000001</v>
      </c>
      <c r="AL18" s="66">
        <f>IF(T_init2034474536067113[[#This Row],[p]]=2,T_p3p224382778576471145[[#This Row],[players]]*T_p3p224382778576471145[[#This Row],[stack]]/chips+COUNTIF(T_p3p224382778576471145[stack],0),T_p3p224382778576471145[[#This Row],[players]]*T_p3p224382778576471145[[#This Row],[stack]]/chips)</f>
        <v>2.2999999999999998</v>
      </c>
      <c r="AM18" s="16">
        <f>T_p3p224382778576471145[[#This Row],[ICM]]+bounty*T_p3p224382778576471145[[#This Row],[KO]]</f>
        <v>16.769400000000001</v>
      </c>
      <c r="AO18" s="5">
        <f>COUNTIF(T_p3p22438277857647175149[stack],"&gt;0")</f>
        <v>4</v>
      </c>
      <c r="AP18">
        <f>IF(T_init2034474536067113[[#This Row],[p]]=1,uncalled + ROUND(sidepot1/2,0),IF(T_init2034474536067113[[#This Row],[p]]=2,ROUND(sidepot1/2,0),IF(T_init2034474536067113[[#This Row],[p]]=3,mainpot,IF(ISBLANK(T_init2034474536067113[[#This Row],[p]]),T_init2034474536067113[[#This Row],[stack]]-T_init2034474536067113[[#This Row],[anteblinds]],0))))</f>
        <v>75</v>
      </c>
      <c r="AQ18">
        <v>0.28499999999999998</v>
      </c>
      <c r="AR18" s="2">
        <f>T_p3p22438277857647175149[[#This Row],[EQ]]*prize</f>
        <v>16.769400000000001</v>
      </c>
      <c r="AS18" s="66">
        <f>IF(T_init2034474536067113[[#This Row],[p]]=2,T_p3p22438277857647175149[[#This Row],[players]]*T_p3p22438277857647175149[[#This Row],[stack]]/chips+COUNTIF(T_p3p22438277857647175149[stack],0),T_p3p22438277857647175149[[#This Row],[players]]*T_p3p22438277857647175149[[#This Row],[stack]]/chips)</f>
        <v>2.15</v>
      </c>
      <c r="AT18" s="16">
        <f>T_p3p22438277857647175149[[#This Row],[ICM]]+bounty*T_p3p22438277857647175149[[#This Row],[KO]]</f>
        <v>16.769400000000001</v>
      </c>
      <c r="AV18" s="73">
        <v>3</v>
      </c>
      <c r="AW18" s="2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1340</v>
      </c>
      <c r="AX18">
        <v>0.28499999999999998</v>
      </c>
      <c r="AY18" s="2">
        <f>T_fact29392879586572146[[#This Row],[EQ]]*prize</f>
        <v>16.769400000000001</v>
      </c>
      <c r="AZ18" s="66">
        <f>IF(T_init2034474536067113[[#This Row],[p]]=1,T_fact29392879586572146[[#This Row],[players]]*T_fact29392879586572146[[#This Row],[stack]]/chips+COUNTIF(T_fact29392879586572146[stack],0),T_fact29392879586572146[[#This Row],[players]]*T_fact29392879586572146[[#This Row],[stack]]/chips)</f>
        <v>2.0099999999999998</v>
      </c>
      <c r="BA18" s="16">
        <f>T_fact29392879586572146[[#This Row],[ICM]]+bounty*T_fact29392879586572146[[#This Row],[KO]]</f>
        <v>16.769400000000001</v>
      </c>
      <c r="BD18" s="68">
        <f>'3way 8c Kh ничьи'!p3win* ('3way 8c Kh ничьи'!p1sp1win*T_p3p123372677566370144[[#This Row],[ICM]] + '3way 8c Kh ничьи'!p2sp1win*T_p3p224382778576471145[[#This Row],[ICM]] + tiesp1*T_p3p22438277857647175149[[#This Row],[ICM]])
+'3way 8c Kh ничьи'!p2win*T_p222362576556269115[[#This Row],[ICM]]
+'3way 8c Kh ничьи'!p1win*T_p121351975546168114[[#This Row],[ICM]]
+'3way 8c Kh ничьи'!tie*T_p22236257655626974148[[#This Row],[ICM]]</f>
        <v>15.788329562466</v>
      </c>
      <c r="BE18" s="68">
        <f>('3way 8c Kh ничьи'!p3win* ('3way 8c Kh ничьи'!p1sp1win*T_p3p123372677566370144[[#This Row],[KO]] + '3way 8c Kh ничьи'!p2sp1win*T_p3p224382778576471145[[#This Row],[KO]])
+'3way 8c Kh ничьи'!p2win*T_p222362576556269115[[#This Row],[KO]]
+'3way 8c Kh ничьи'!p1win*T_p121351975546168114[[#This Row],[KO]])*bounty</f>
        <v>0</v>
      </c>
      <c r="BF18" s="68">
        <f>'3way 8c Kh ничьи'!p3win* ('3way 8c Kh ничьи'!p1sp1win*T_p3p123372677566370144[[#This Row],[$stack]] + '3way 8c Kh ничьи'!p2sp1win*T_p3p224382778576471145[[#This Row],[$stack]])
+'3way 8c Kh ничьи'!p2win*T_p222362576556269115[[#This Row],[$stack]]
+'3way 8c Kh ничьи'!p1win*T_p121351975546168114[[#This Row],[$stack]]</f>
        <v>13.770910204932001</v>
      </c>
      <c r="BG18" s="68">
        <f>'3way 8c Kh ничьи'!p3win* ('3way 8c Kh ничьи'!p1sp1win*T_p3p123372677566370144[[#This Row],[stack]] + '3way 8c Kh ничьи'!p2sp1win*T_p3p224382778576471145[[#This Row],[stack]] + tiesp1*T_p3p22438277857647175149[[#This Row],[stack]])
+'3way 8c Kh ничьи'!p2win*T_p222362576556269115[[#This Row],[stack]]
+'3way 8c Kh ничьи'!p1win*T_p121351975546168114[[#This Row],[stack]]
+tie*T_p22236257655626974148[[#This Row],[stack]]</f>
        <v>366.52261175000001</v>
      </c>
      <c r="BH18" s="68">
        <f>T_fact29392879586572146[[#This Row],[stack]]- T_init2034474536067113[[#This Row],[stack]]</f>
        <v>875</v>
      </c>
      <c r="BI18" s="68">
        <f>T_EV33403080596673147[[#This Row],[netwon]]+T_EV33403080596673147[[#This Row],[cEVdiff]]</f>
        <v>-98.47738824999999</v>
      </c>
      <c r="BJ18" s="2">
        <f>T_EV33403080596673147[[#This Row],[chipEV]]-T_fact29392879586572146[[#This Row],[stack]]</f>
        <v>-973.47738824999999</v>
      </c>
      <c r="BK18" s="2">
        <f>T_EV33403080596673147[[#This Row],[EV]]-(T_fact29392879586572146[[#This Row],[ICM]])</f>
        <v>-2.9984897950680001</v>
      </c>
    </row>
    <row r="19" spans="1:63" s="86" customFormat="1" x14ac:dyDescent="0.25">
      <c r="A19" s="86">
        <v>3</v>
      </c>
      <c r="B19" s="86">
        <v>390</v>
      </c>
      <c r="C19" s="86" t="s">
        <v>716</v>
      </c>
      <c r="D19" s="86">
        <v>120</v>
      </c>
      <c r="F19" s="87">
        <f>COUNTIF(T_p121351975546168114[stack],"&gt;0")</f>
        <v>2</v>
      </c>
      <c r="G19" s="86">
        <f>IF(T_init2034474536067113[[#This Row],[p]]=1,mainpot+sidepot1+sidepot2+uncalled,IF(T_init2034474536067113[[#This Row],[p]]&gt;1,0,T_init2034474536067113[[#This Row],[stack]]-T_init2034474536067113[[#This Row],[anteblinds]]))</f>
        <v>0</v>
      </c>
      <c r="H19" s="86">
        <v>0.71499999999999997</v>
      </c>
      <c r="I19" s="88">
        <f>T_p121351975546168114[[#This Row],[EQ]]*prize</f>
        <v>42.070599999999999</v>
      </c>
      <c r="J19" s="89">
        <f>IF(T_init2034474536067113[[#This Row],[p]]=1,T_p121351975546168114[[#This Row],[players]]*T_p121351975546168114[[#This Row],[stack]]/chips+COUNTIF(T_p121351975546168114[stack],0),T_p121351975546168114[[#This Row],[players]]*T_p121351975546168114[[#This Row],[stack]]/chips)</f>
        <v>0</v>
      </c>
      <c r="K19" s="89">
        <f>T_p121351975546168114[[#This Row],[ICM]]+bounty*T_p121351975546168114[[#This Row],[KO]]</f>
        <v>42.070599999999999</v>
      </c>
      <c r="M19" s="90">
        <f>COUNTIF(T_p222362576556269115[stack],"&gt;0")</f>
        <v>3</v>
      </c>
      <c r="N19" s="8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0</v>
      </c>
      <c r="O19" s="86">
        <v>0.16250000000000001</v>
      </c>
      <c r="P19" s="88">
        <f>T_p222362576556269115[[#This Row],[EQ]]*prize</f>
        <v>9.5615000000000006</v>
      </c>
      <c r="Q19" s="89">
        <f>IF(T_init2034474536067113[[#This Row],[p]]=2,T_p222362576556269115[[#This Row],[players]]*T_p222362576556269115[[#This Row],[stack]]/chips+COUNTIF(T_p222362576556269115[stack],0),T_p222362576556269115[[#This Row],[players]]*T_p222362576556269115[[#This Row],[stack]]/chips)</f>
        <v>0</v>
      </c>
      <c r="R19" s="89">
        <f>T_p222362576556269115[[#This Row],[ICM]]+bounty*T_p222362576556269115[[#This Row],[KO]]</f>
        <v>9.5615000000000006</v>
      </c>
      <c r="S19" s="89"/>
      <c r="T19" s="90">
        <f>COUNTIF(T_p22236257655626974148[stack],"&gt;0")</f>
        <v>4</v>
      </c>
      <c r="U19" s="86">
        <f>IF(T_init2034474536067113[[#This Row],[p]]=1,ROUND(uncalled + mainpot/3, 0) + ROUND(sidepot1/2,0),IF(T_init2034474536067113[[#This Row],[p]]=2,ROUND(mainpot/3,0) + ROUND(sidepot1/2,0),IF(T_init2034474536067113[[#This Row],[p]]=3, ROUNDUP(mainpot/3,0),T_init2034474536067113[[#This Row],[stack]]-T_init2034474536067113[[#This Row],[anteblinds]])))</f>
        <v>397</v>
      </c>
      <c r="V19" s="86">
        <v>0.40899999999999997</v>
      </c>
      <c r="W19" s="88">
        <f>T_p22236257655626974148[[#This Row],[EQ]]*prize</f>
        <v>24.065560000000001</v>
      </c>
      <c r="X19" s="89">
        <f>IF(T_init2034474536067113[[#This Row],[p]]=2,T_p22236257655626974148[[#This Row],[players]]*T_p22236257655626974148[[#This Row],[stack]]/chips+COUNTIF(T_p22236257655626974148[stack],0),T_p22236257655626974148[[#This Row],[players]]*T_p22236257655626974148[[#This Row],[stack]]/chips)</f>
        <v>0.79400000000000004</v>
      </c>
      <c r="Y19" s="89">
        <f>T_p22236257655626974148[[#This Row],[ICM]]+bounty*T_p22236257655626974148[[#This Row],[KO]]</f>
        <v>24.065560000000001</v>
      </c>
      <c r="AA19" s="87">
        <f>COUNTIF(T_p3p123372677566370144[stack],"&gt;0")</f>
        <v>3</v>
      </c>
      <c r="AB19" s="86">
        <f>IF(T_init2034474536067113[[#This Row],[p]]=1,sidepot1+uncalled,IF(T_init2034474536067113[[#This Row],[p]]=3,mainpot,IF(ISBLANK(T_init2034474536067113[[#This Row],[p]]),T_init2034474536067113[[#This Row],[stack]]-T_init2034474536067113[[#This Row],[anteblinds]],0)))</f>
        <v>1190</v>
      </c>
      <c r="AC19" s="86">
        <v>0.53749999999999998</v>
      </c>
      <c r="AD19" s="88">
        <f>T_p3p123372677566370144[[#This Row],[EQ]]*prize</f>
        <v>31.6265</v>
      </c>
      <c r="AE19" s="89">
        <f>IF(T_init2034474536067113[[#This Row],[p]]=1,T_p3p123372677566370144[[#This Row],[players]]*T_p3p123372677566370144[[#This Row],[stack]]/chips+COUNTIF(T_p3p123372677566370144[stack],0),T_p3p123372677566370144[[#This Row],[players]]*T_p3p123372677566370144[[#This Row],[stack]]/chips)</f>
        <v>1.7849999999999999</v>
      </c>
      <c r="AF19" s="89">
        <f>T_p3p123372677566370144[[#This Row],[ICM]]+bounty*T_p3p123372677566370144[[#This Row],[KO]]</f>
        <v>31.6265</v>
      </c>
      <c r="AH19" s="87">
        <f>COUNTIF(T_p3p224382778576471145[stack],"&gt;0")</f>
        <v>4</v>
      </c>
      <c r="AI19" s="86">
        <f>IF(T_init2034474536067113[[#This Row],[p]]=1,uncalled,IF(T_init2034474536067113[[#This Row],[p]]=2,sidepot1,IF(T_init2034474536067113[[#This Row],[p]]=3,mainpot,IF(ISBLANK(T_init2034474536067113[[#This Row],[p]]),T_init2034474536067113[[#This Row],[stack]]-T_init2034474536067113[[#This Row],[anteblinds]],0))))</f>
        <v>1190</v>
      </c>
      <c r="AJ19" s="86">
        <v>0.16250000000000001</v>
      </c>
      <c r="AK19" s="88">
        <f>T_p3p224382778576471145[[#This Row],[EQ]]*prize</f>
        <v>9.5615000000000006</v>
      </c>
      <c r="AL19" s="89">
        <f>IF(T_init2034474536067113[[#This Row],[p]]=2,T_p3p224382778576471145[[#This Row],[players]]*T_p3p224382778576471145[[#This Row],[stack]]/chips+COUNTIF(T_p3p224382778576471145[stack],0),T_p3p224382778576471145[[#This Row],[players]]*T_p3p224382778576471145[[#This Row],[stack]]/chips)</f>
        <v>2.38</v>
      </c>
      <c r="AM19" s="103">
        <f>T_p3p224382778576471145[[#This Row],[ICM]]+bounty*T_p3p224382778576471145[[#This Row],[KO]]</f>
        <v>9.5615000000000006</v>
      </c>
      <c r="AO19" s="87">
        <f>COUNTIF(T_p3p22438277857647175149[stack],"&gt;0")</f>
        <v>4</v>
      </c>
      <c r="AP19" s="86">
        <f>IF(T_init2034474536067113[[#This Row],[p]]=1,uncalled + ROUND(sidepot1/2,0),IF(T_init2034474536067113[[#This Row],[p]]=2,ROUND(sidepot1/2,0),IF(T_init2034474536067113[[#This Row],[p]]=3,mainpot,IF(ISBLANK(T_init2034474536067113[[#This Row],[p]]),T_init2034474536067113[[#This Row],[stack]]-T_init2034474536067113[[#This Row],[anteblinds]],0))))</f>
        <v>1190</v>
      </c>
      <c r="AQ19" s="86">
        <v>0.35</v>
      </c>
      <c r="AR19" s="88">
        <f>T_p3p22438277857647175149[[#This Row],[EQ]]*prize</f>
        <v>20.594000000000001</v>
      </c>
      <c r="AS19" s="89">
        <f>IF(T_init2034474536067113[[#This Row],[p]]=2,T_p3p22438277857647175149[[#This Row],[players]]*T_p3p22438277857647175149[[#This Row],[stack]]/chips+COUNTIF(T_p3p22438277857647175149[stack],0),T_p3p22438277857647175149[[#This Row],[players]]*T_p3p22438277857647175149[[#This Row],[stack]]/chips)</f>
        <v>2.38</v>
      </c>
      <c r="AT19" s="103">
        <f>T_p3p22438277857647175149[[#This Row],[ICM]]+bounty*T_p3p22438277857647175149[[#This Row],[KO]]</f>
        <v>20.594000000000001</v>
      </c>
      <c r="AV19" s="87">
        <v>3</v>
      </c>
      <c r="AW19" s="8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0</v>
      </c>
      <c r="AX19" s="86">
        <v>0.16250000000000001</v>
      </c>
      <c r="AY19" s="88">
        <f>T_fact29392879586572146[[#This Row],[EQ]]*prize</f>
        <v>9.5615000000000006</v>
      </c>
      <c r="AZ19" s="89">
        <f>IF(T_init2034474536067113[[#This Row],[p]]=1,T_fact29392879586572146[[#This Row],[players]]*T_fact29392879586572146[[#This Row],[stack]]/chips+COUNTIF(T_fact29392879586572146[stack],0),T_fact29392879586572146[[#This Row],[players]]*T_fact29392879586572146[[#This Row],[stack]]/chips)</f>
        <v>0</v>
      </c>
      <c r="BA19" s="103">
        <f>T_fact29392879586572146[[#This Row],[ICM]]+bounty*T_fact29392879586572146[[#This Row],[KO]]</f>
        <v>9.5615000000000006</v>
      </c>
      <c r="BD19" s="91">
        <f>'3way 8c Kh ничьи'!p3win* ('3way 8c Kh ничьи'!p1sp1win*T_p3p123372677566370144[[#This Row],[ICM]] + '3way 8c Kh ничьи'!p2sp1win*T_p3p224382778576471145[[#This Row],[ICM]] + tiesp1*T_p3p22438277857647175149[[#This Row],[ICM]])
+'3way 8c Kh ничьи'!p2win*T_p222362576556269115[[#This Row],[ICM]]
+'3way 8c Kh ничьи'!p1win*T_p121351975546168114[[#This Row],[ICM]]
+'3way 8c Kh ничьи'!tie*T_p22236257655626974148[[#This Row],[ICM]]</f>
        <v>18.981944647910002</v>
      </c>
      <c r="BE19" s="91">
        <f>('3way 8c Kh ничьи'!p3win* ('3way 8c Kh ничьи'!p1sp1win*T_p3p123372677566370144[[#This Row],[KO]] + '3way 8c Kh ничьи'!p2sp1win*T_p3p224382778576471145[[#This Row],[KO]])
+'3way 8c Kh ничьи'!p2win*T_p222362576556269115[[#This Row],[KO]]
+'3way 8c Kh ничьи'!p1win*T_p121351975546168114[[#This Row],[KO]])*bounty</f>
        <v>0</v>
      </c>
      <c r="BF19" s="91">
        <f>'3way 8c Kh ничьи'!p3win* ('3way 8c Kh ничьи'!p1sp1win*T_p3p123372677566370144[[#This Row],[$stack]] + '3way 8c Kh ничьи'!p2sp1win*T_p3p224382778576471145[[#This Row],[$stack]])
+'3way 8c Kh ничьи'!p2win*T_p222362576556269115[[#This Row],[$stack]]
+'3way 8c Kh ничьи'!p1win*T_p121351975546168114[[#This Row],[$stack]]</f>
        <v>16.289869695570001</v>
      </c>
      <c r="BG19" s="91">
        <f>'3way 8c Kh ничьи'!p3win* ('3way 8c Kh ничьи'!p1sp1win*T_p3p123372677566370144[[#This Row],[stack]] + '3way 8c Kh ничьи'!p2sp1win*T_p3p224382778576471145[[#This Row],[stack]] + tiesp1*T_p3p22438277857647175149[[#This Row],[stack]])
+'3way 8c Kh ничьи'!p2win*T_p222362576556269115[[#This Row],[stack]]
+'3way 8c Kh ничьи'!p1win*T_p121351975546168114[[#This Row],[stack]]
+tie*T_p22236257655626974148[[#This Row],[stack]]</f>
        <v>607.39230409999982</v>
      </c>
      <c r="BH19" s="91">
        <f>T_fact29392879586572146[[#This Row],[stack]]- T_init2034474536067113[[#This Row],[stack]]</f>
        <v>-390</v>
      </c>
      <c r="BI19" s="91">
        <f>T_EV33403080596673147[[#This Row],[netwon]]+T_EV33403080596673147[[#This Row],[cEVdiff]]</f>
        <v>217.39230409999982</v>
      </c>
      <c r="BJ19" s="88">
        <f>T_EV33403080596673147[[#This Row],[chipEV]]-T_fact29392879586572146[[#This Row],[stack]]</f>
        <v>607.39230409999982</v>
      </c>
      <c r="BK19" s="88">
        <f>T_EV33403080596673147[[#This Row],[EV]]-(T_fact29392879586572146[[#This Row],[ICM]])</f>
        <v>6.7283696955700005</v>
      </c>
    </row>
    <row r="20" spans="1:63" s="17" customFormat="1" x14ac:dyDescent="0.25">
      <c r="A20" s="17">
        <v>1</v>
      </c>
      <c r="B20" s="17">
        <v>745</v>
      </c>
      <c r="C20" s="17" t="s">
        <v>714</v>
      </c>
      <c r="D20" s="17">
        <v>20</v>
      </c>
      <c r="F20" s="83">
        <f>COUNTIF(T_p121351975546168114[stack],"&gt;0")</f>
        <v>2</v>
      </c>
      <c r="G20" s="17">
        <f>IF(T_init2034474536067113[[#This Row],[p]]=1,mainpot+sidepot1+sidepot2+uncalled,IF(T_init2034474536067113[[#This Row],[p]]&gt;1,0,T_init2034474536067113[[#This Row],[stack]]-T_init2034474536067113[[#This Row],[anteblinds]]))</f>
        <v>1620</v>
      </c>
      <c r="I20" s="18">
        <f>T_p121351975546168114[[#This Row],[EQ]]*prize</f>
        <v>0</v>
      </c>
      <c r="J20" s="67">
        <f>IF(T_init2034474536067113[[#This Row],[p]]=1,T_p121351975546168114[[#This Row],[players]]*T_p121351975546168114[[#This Row],[stack]]/chips+COUNTIF(T_p121351975546168114[stack],0),T_p121351975546168114[[#This Row],[players]]*T_p121351975546168114[[#This Row],[stack]]/chips)</f>
        <v>5.62</v>
      </c>
      <c r="K20" s="67">
        <f>T_p121351975546168114[[#This Row],[ICM]]+bounty*T_p121351975546168114[[#This Row],[KO]]</f>
        <v>0</v>
      </c>
      <c r="M20" s="19">
        <f>COUNTIF(T_p222362576556269115[stack],"&gt;0")</f>
        <v>3</v>
      </c>
      <c r="N20" s="17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280</v>
      </c>
      <c r="O20" s="17">
        <v>0.55249999999999999</v>
      </c>
      <c r="P20" s="18">
        <f>T_p222362576556269115[[#This Row],[EQ]]*prize</f>
        <v>32.509100000000004</v>
      </c>
      <c r="Q20" s="67">
        <f>IF(T_init2034474536067113[[#This Row],[p]]=2,T_p222362576556269115[[#This Row],[players]]*T_p222362576556269115[[#This Row],[stack]]/chips+COUNTIF(T_p222362576556269115[stack],0),T_p222362576556269115[[#This Row],[players]]*T_p222362576556269115[[#This Row],[stack]]/chips)</f>
        <v>0.42</v>
      </c>
      <c r="R20" s="67">
        <f>T_p222362576556269115[[#This Row],[ICM]]+bounty*T_p222362576556269115[[#This Row],[KO]]</f>
        <v>32.509100000000004</v>
      </c>
      <c r="S20" s="67"/>
      <c r="T20" s="19">
        <f>COUNTIF(T_p22236257655626974148[stack],"&gt;0")</f>
        <v>4</v>
      </c>
      <c r="U20" s="17">
        <f>IF(T_init2034474536067113[[#This Row],[p]]=1,ROUND(uncalled + mainpot/3, 0) + ROUND(sidepot1/2,0),IF(T_init2034474536067113[[#This Row],[p]]=2,ROUND(mainpot/3,0) + ROUND(sidepot1/2,0),IF(T_init2034474536067113[[#This Row],[p]]=3, ROUNDUP(mainpot/3,0),T_init2034474536067113[[#This Row],[stack]]-T_init2034474536067113[[#This Row],[anteblinds]])))</f>
        <v>752</v>
      </c>
      <c r="V20" s="17">
        <v>0.2465</v>
      </c>
      <c r="W20" s="18">
        <f>T_p22236257655626974148[[#This Row],[EQ]]*prize</f>
        <v>14.504060000000001</v>
      </c>
      <c r="X20" s="67">
        <f>IF(T_init2034474536067113[[#This Row],[p]]=2,T_p22236257655626974148[[#This Row],[players]]*T_p22236257655626974148[[#This Row],[stack]]/chips+COUNTIF(T_p22236257655626974148[stack],0),T_p22236257655626974148[[#This Row],[players]]*T_p22236257655626974148[[#This Row],[stack]]/chips)</f>
        <v>1.504</v>
      </c>
      <c r="Y20" s="67">
        <f>T_p22236257655626974148[[#This Row],[ICM]]+bounty*T_p22236257655626974148[[#This Row],[KO]]</f>
        <v>14.504060000000001</v>
      </c>
      <c r="AA20" s="83">
        <f>COUNTIF(T_p3p123372677566370144[stack],"&gt;0")</f>
        <v>3</v>
      </c>
      <c r="AB20" s="17">
        <f>IF(T_init2034474536067113[[#This Row],[p]]=1,sidepot1+uncalled,IF(T_init2034474536067113[[#This Row],[p]]=3,mainpot,IF(ISBLANK(T_init2034474536067113[[#This Row],[p]]),T_init2034474536067113[[#This Row],[stack]]-T_init2034474536067113[[#This Row],[anteblinds]],0)))</f>
        <v>430</v>
      </c>
      <c r="AC20" s="17">
        <v>0</v>
      </c>
      <c r="AD20" s="18">
        <f>T_p3p123372677566370144[[#This Row],[EQ]]*prize</f>
        <v>0</v>
      </c>
      <c r="AE20" s="67">
        <f>IF(T_init2034474536067113[[#This Row],[p]]=1,T_p3p123372677566370144[[#This Row],[players]]*T_p3p123372677566370144[[#This Row],[stack]]/chips+COUNTIF(T_p3p123372677566370144[stack],0),T_p3p123372677566370144[[#This Row],[players]]*T_p3p123372677566370144[[#This Row],[stack]]/chips)</f>
        <v>3.645</v>
      </c>
      <c r="AF20" s="67">
        <f>T_p3p123372677566370144[[#This Row],[ICM]]+bounty*T_p3p123372677566370144[[#This Row],[KO]]</f>
        <v>0</v>
      </c>
      <c r="AH20" s="83">
        <f>COUNTIF(T_p3p224382778576471145[stack],"&gt;0")</f>
        <v>4</v>
      </c>
      <c r="AI20" s="17">
        <f>IF(T_init2034474536067113[[#This Row],[p]]=1,uncalled,IF(T_init2034474536067113[[#This Row],[p]]=2,sidepot1,IF(T_init2034474536067113[[#This Row],[p]]=3,mainpot,IF(ISBLANK(T_init2034474536067113[[#This Row],[p]]),T_init2034474536067113[[#This Row],[stack]]-T_init2034474536067113[[#This Row],[anteblinds]],0))))</f>
        <v>280</v>
      </c>
      <c r="AJ20" s="17">
        <v>0.375</v>
      </c>
      <c r="AK20" s="18">
        <f>T_p3p224382778576471145[[#This Row],[EQ]]*prize</f>
        <v>22.065000000000001</v>
      </c>
      <c r="AL20" s="67">
        <f>IF(T_init2034474536067113[[#This Row],[p]]=2,T_p3p224382778576471145[[#This Row],[players]]*T_p3p224382778576471145[[#This Row],[stack]]/chips+COUNTIF(T_p3p224382778576471145[stack],0),T_p3p224382778576471145[[#This Row],[players]]*T_p3p224382778576471145[[#This Row],[stack]]/chips)</f>
        <v>0.56000000000000005</v>
      </c>
      <c r="AM20" s="24">
        <f>T_p3p224382778576471145[[#This Row],[ICM]]+bounty*T_p3p224382778576471145[[#This Row],[KO]]</f>
        <v>22.065000000000001</v>
      </c>
      <c r="AO20" s="83">
        <f>COUNTIF(T_p3p22438277857647175149[stack],"&gt;0")</f>
        <v>4</v>
      </c>
      <c r="AP20" s="17">
        <f>IF(T_init2034474536067113[[#This Row],[p]]=1,uncalled + ROUND(sidepot1/2,0),IF(T_init2034474536067113[[#This Row],[p]]=2,ROUND(sidepot1/2,0),IF(T_init2034474536067113[[#This Row],[p]]=3,mainpot,IF(ISBLANK(T_init2034474536067113[[#This Row],[p]]),T_init2034474536067113[[#This Row],[stack]]-T_init2034474536067113[[#This Row],[anteblinds]],0))))</f>
        <v>355</v>
      </c>
      <c r="AQ20" s="17">
        <v>0.1875</v>
      </c>
      <c r="AR20" s="18">
        <f>T_p3p22438277857647175149[[#This Row],[EQ]]*prize</f>
        <v>11.032500000000001</v>
      </c>
      <c r="AS20" s="67">
        <f>IF(T_init2034474536067113[[#This Row],[p]]=2,T_p3p22438277857647175149[[#This Row],[players]]*T_p3p22438277857647175149[[#This Row],[stack]]/chips+COUNTIF(T_p3p22438277857647175149[stack],0),T_p3p22438277857647175149[[#This Row],[players]]*T_p3p22438277857647175149[[#This Row],[stack]]/chips)</f>
        <v>0.71</v>
      </c>
      <c r="AT20" s="24">
        <f>T_p3p22438277857647175149[[#This Row],[ICM]]+bounty*T_p3p22438277857647175149[[#This Row],[KO]]</f>
        <v>11.032500000000001</v>
      </c>
      <c r="AV20" s="83">
        <v>3</v>
      </c>
      <c r="AW20" s="17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280</v>
      </c>
      <c r="AX20" s="17">
        <v>0.55249999999999999</v>
      </c>
      <c r="AY20" s="18">
        <f>T_fact29392879586572146[[#This Row],[EQ]]*prize</f>
        <v>32.509100000000004</v>
      </c>
      <c r="AZ20" s="67">
        <f>IF(T_init2034474536067113[[#This Row],[p]]=1,T_fact29392879586572146[[#This Row],[players]]*T_fact29392879586572146[[#This Row],[stack]]/chips+COUNTIF(T_fact29392879586572146[stack],0),T_fact29392879586572146[[#This Row],[players]]*T_fact29392879586572146[[#This Row],[stack]]/chips)</f>
        <v>3.42</v>
      </c>
      <c r="BA20" s="24">
        <f>T_fact29392879586572146[[#This Row],[ICM]]+bounty*T_fact29392879586572146[[#This Row],[KO]]</f>
        <v>32.509100000000004</v>
      </c>
      <c r="BD20" s="69">
        <f>'3way 8c Kh ничьи'!p3win* ('3way 8c Kh ничьи'!p1sp1win*T_p3p123372677566370144[[#This Row],[ICM]] + '3way 8c Kh ничьи'!p2sp1win*T_p3p224382778576471145[[#This Row],[ICM]] + tiesp1*T_p3p22438277857647175149[[#This Row],[ICM]])
+'3way 8c Kh ничьи'!p2win*T_p222362576556269115[[#This Row],[ICM]]
+'3way 8c Kh ничьи'!p1win*T_p121351975546168114[[#This Row],[ICM]]
+'3way 8c Kh ничьи'!tie*T_p22236257655626974148[[#This Row],[ICM]]</f>
        <v>15.295530336425001</v>
      </c>
      <c r="BE20" s="69">
        <f>('3way 8c Kh ничьи'!p3win* ('3way 8c Kh ничьи'!p1sp1win*T_p3p123372677566370144[[#This Row],[KO]] + '3way 8c Kh ничьи'!p2sp1win*T_p3p224382778576471145[[#This Row],[KO]])
+'3way 8c Kh ничьи'!p2win*T_p222362576556269115[[#This Row],[KO]]
+'3way 8c Kh ничьи'!p1win*T_p121351975546168114[[#This Row],[KO]])*bounty</f>
        <v>0</v>
      </c>
      <c r="BF20" s="69">
        <f>'3way 8c Kh ничьи'!p3win* ('3way 8c Kh ничьи'!p1sp1win*T_p3p123372677566370144[[#This Row],[$stack]] + '3way 8c Kh ничьи'!p2sp1win*T_p3p224382778576471145[[#This Row],[$stack]])
+'3way 8c Kh ничьи'!p2win*T_p222362576556269115[[#This Row],[$stack]]
+'3way 8c Kh ничьи'!p1win*T_p121351975546168114[[#This Row],[$stack]]</f>
        <v>13.753738351100001</v>
      </c>
      <c r="BG20" s="69">
        <f>'3way 8c Kh ничьи'!p3win* ('3way 8c Kh ничьи'!p1sp1win*T_p3p123372677566370144[[#This Row],[stack]] + '3way 8c Kh ничьи'!p2sp1win*T_p3p224382778576471145[[#This Row],[stack]] + tiesp1*T_p3p22438277857647175149[[#This Row],[stack]])
+'3way 8c Kh ничьи'!p2win*T_p222362576556269115[[#This Row],[stack]]
+'3way 8c Kh ничьи'!p1win*T_p121351975546168114[[#This Row],[stack]]
+tie*T_p22236257655626974148[[#This Row],[stack]]</f>
        <v>551.37103595000008</v>
      </c>
      <c r="BH20" s="69">
        <f>T_fact29392879586572146[[#This Row],[stack]]- T_init2034474536067113[[#This Row],[stack]]</f>
        <v>-465</v>
      </c>
      <c r="BI20" s="69">
        <f>T_EV33403080596673147[[#This Row],[netwon]]+T_EV33403080596673147[[#This Row],[cEVdiff]]</f>
        <v>-193.62896404999992</v>
      </c>
      <c r="BJ20" s="18">
        <f>T_EV33403080596673147[[#This Row],[chipEV]]-T_fact29392879586572146[[#This Row],[stack]]</f>
        <v>271.37103595000008</v>
      </c>
      <c r="BK20" s="18">
        <f>T_EV33403080596673147[[#This Row],[EV]]-(T_fact29392879586572146[[#This Row],[ICM]])</f>
        <v>-18.755361648900003</v>
      </c>
    </row>
    <row r="21" spans="1:63" x14ac:dyDescent="0.25">
      <c r="B21">
        <v>0</v>
      </c>
      <c r="F21" s="5">
        <f>COUNTIF(T_p121351975546168114[stack],"&gt;0")</f>
        <v>2</v>
      </c>
      <c r="G21">
        <f>IF(T_init2034474536067113[[#This Row],[p]]=1,mainpot+sidepot1+sidepot2+uncalled,IF(T_init2034474536067113[[#This Row],[p]]&gt;1,0,T_init2034474536067113[[#This Row],[stack]]-T_init2034474536067113[[#This Row],[anteblinds]]))</f>
        <v>0</v>
      </c>
      <c r="I21" s="2">
        <f>T_p121351975546168114[[#This Row],[EQ]]*prize</f>
        <v>0</v>
      </c>
      <c r="J21" s="66">
        <f>IF(T_init2034474536067113[[#This Row],[p]]=1,T_p121351975546168114[[#This Row],[players]]*T_p121351975546168114[[#This Row],[stack]]/chips+COUNTIF(T_p121351975546168114[stack],0),T_p121351975546168114[[#This Row],[players]]*T_p121351975546168114[[#This Row],[stack]]/chips)</f>
        <v>0</v>
      </c>
      <c r="K21" s="66">
        <f>T_p121351975546168114[[#This Row],[ICM]]+bounty*T_p121351975546168114[[#This Row],[KO]]</f>
        <v>0</v>
      </c>
      <c r="M21" s="10">
        <f>COUNTIF(T_p222362576556269115[stack],"&gt;0")</f>
        <v>3</v>
      </c>
      <c r="N21" s="2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0</v>
      </c>
      <c r="O21">
        <v>0</v>
      </c>
      <c r="P21" s="2">
        <f>T_p222362576556269115[[#This Row],[EQ]]*prize</f>
        <v>0</v>
      </c>
      <c r="Q21" s="66">
        <f>IF(T_init2034474536067113[[#This Row],[p]]=2,T_p222362576556269115[[#This Row],[players]]*T_p222362576556269115[[#This Row],[stack]]/chips+COUNTIF(T_p222362576556269115[stack],0),T_p222362576556269115[[#This Row],[players]]*T_p222362576556269115[[#This Row],[stack]]/chips)</f>
        <v>0</v>
      </c>
      <c r="R21" s="66">
        <f>T_p222362576556269115[[#This Row],[ICM]]+bounty*T_p222362576556269115[[#This Row],[KO]]</f>
        <v>0</v>
      </c>
      <c r="S21" s="66"/>
      <c r="T21" s="10">
        <f>COUNTIF(T_p22236257655626974148[stack],"&gt;0")</f>
        <v>4</v>
      </c>
      <c r="U21" s="26">
        <f>IF(T_init2034474536067113[[#This Row],[p]]=1,ROUND(uncalled + mainpot/3, 0) + ROUND(sidepot1/2,0),IF(T_init2034474536067113[[#This Row],[p]]=2,ROUND(mainpot/3,0) + ROUND(sidepot1/2,0),IF(T_init2034474536067113[[#This Row],[p]]=3, ROUNDUP(mainpot/3,0),T_init2034474536067113[[#This Row],[stack]]-T_init2034474536067113[[#This Row],[anteblinds]])))</f>
        <v>0</v>
      </c>
      <c r="V21">
        <v>0</v>
      </c>
      <c r="W21" s="2">
        <f>T_p22236257655626974148[[#This Row],[EQ]]*prize</f>
        <v>0</v>
      </c>
      <c r="X21" s="66">
        <f>IF(T_init2034474536067113[[#This Row],[p]]=2,T_p22236257655626974148[[#This Row],[players]]*T_p22236257655626974148[[#This Row],[stack]]/chips+COUNTIF(T_p22236257655626974148[stack],0),T_p22236257655626974148[[#This Row],[players]]*T_p22236257655626974148[[#This Row],[stack]]/chips)</f>
        <v>0</v>
      </c>
      <c r="Y21" s="66">
        <f>T_p22236257655626974148[[#This Row],[ICM]]+bounty*T_p22236257655626974148[[#This Row],[KO]]</f>
        <v>0</v>
      </c>
      <c r="AA21" s="5">
        <f>COUNTIF(T_p3p123372677566370144[stack],"&gt;0")</f>
        <v>3</v>
      </c>
      <c r="AB21" s="26">
        <f>IF(T_init2034474536067113[[#This Row],[p]]=1,sidepot1+uncalled,IF(T_init2034474536067113[[#This Row],[p]]=3,mainpot,IF(ISBLANK(T_init2034474536067113[[#This Row],[p]]),T_init2034474536067113[[#This Row],[stack]]-T_init2034474536067113[[#This Row],[anteblinds]],0)))</f>
        <v>0</v>
      </c>
      <c r="AC21">
        <v>0</v>
      </c>
      <c r="AD21" s="2">
        <f>T_p3p123372677566370144[[#This Row],[EQ]]*prize</f>
        <v>0</v>
      </c>
      <c r="AE21" s="66">
        <f>IF(T_init2034474536067113[[#This Row],[p]]=1,T_p3p123372677566370144[[#This Row],[players]]*T_p3p123372677566370144[[#This Row],[stack]]/chips+COUNTIF(T_p3p123372677566370144[stack],0),T_p3p123372677566370144[[#This Row],[players]]*T_p3p123372677566370144[[#This Row],[stack]]/chips)</f>
        <v>0</v>
      </c>
      <c r="AF21" s="66">
        <f>T_p3p123372677566370144[[#This Row],[ICM]]+bounty*T_p3p123372677566370144[[#This Row],[KO]]</f>
        <v>0</v>
      </c>
      <c r="AH21" s="5">
        <f>COUNTIF(T_p3p224382778576471145[stack],"&gt;0")</f>
        <v>4</v>
      </c>
      <c r="AI21">
        <f>IF(T_init2034474536067113[[#This Row],[p]]=1,uncalled,IF(T_init2034474536067113[[#This Row],[p]]=2,sidepot1,IF(T_init2034474536067113[[#This Row],[p]]=3,mainpot,IF(ISBLANK(T_init2034474536067113[[#This Row],[p]]),T_init2034474536067113[[#This Row],[stack]]-T_init2034474536067113[[#This Row],[anteblinds]],0))))</f>
        <v>0</v>
      </c>
      <c r="AJ21">
        <v>0</v>
      </c>
      <c r="AK21" s="2">
        <f>T_p3p224382778576471145[[#This Row],[EQ]]*prize</f>
        <v>0</v>
      </c>
      <c r="AL21" s="66">
        <f>IF(T_init2034474536067113[[#This Row],[p]]=2,T_p3p224382778576471145[[#This Row],[players]]*T_p3p224382778576471145[[#This Row],[stack]]/chips+COUNTIF(T_p3p224382778576471145[stack],0),T_p3p224382778576471145[[#This Row],[players]]*T_p3p224382778576471145[[#This Row],[stack]]/chips)</f>
        <v>0</v>
      </c>
      <c r="AM21" s="16">
        <f>T_p3p224382778576471145[[#This Row],[ICM]]+bounty*T_p3p224382778576471145[[#This Row],[KO]]</f>
        <v>0</v>
      </c>
      <c r="AO21" s="5">
        <f>COUNTIF(T_p3p22438277857647175149[stack],"&gt;0")</f>
        <v>4</v>
      </c>
      <c r="AP21">
        <f>IF(T_init2034474536067113[[#This Row],[p]]=1,uncalled + ROUND(sidepot1/2,0),IF(T_init2034474536067113[[#This Row],[p]]=2,ROUND(sidepot1/2,0),IF(T_init2034474536067113[[#This Row],[p]]=3,mainpot,IF(ISBLANK(T_init2034474536067113[[#This Row],[p]]),T_init2034474536067113[[#This Row],[stack]]-T_init2034474536067113[[#This Row],[anteblinds]],0))))</f>
        <v>0</v>
      </c>
      <c r="AQ21">
        <v>0</v>
      </c>
      <c r="AR21" s="2">
        <f>T_p3p22438277857647175149[[#This Row],[EQ]]*prize</f>
        <v>0</v>
      </c>
      <c r="AS21" s="66">
        <f>IF(T_init2034474536067113[[#This Row],[p]]=2,T_p3p22438277857647175149[[#This Row],[players]]*T_p3p22438277857647175149[[#This Row],[stack]]/chips+COUNTIF(T_p3p22438277857647175149[stack],0),T_p3p22438277857647175149[[#This Row],[players]]*T_p3p22438277857647175149[[#This Row],[stack]]/chips)</f>
        <v>0</v>
      </c>
      <c r="AT21" s="16">
        <f>T_p3p22438277857647175149[[#This Row],[ICM]]+bounty*T_p3p22438277857647175149[[#This Row],[KO]]</f>
        <v>0</v>
      </c>
      <c r="AV21" s="73">
        <v>3</v>
      </c>
      <c r="AW21" s="2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0</v>
      </c>
      <c r="AX21">
        <v>0</v>
      </c>
      <c r="AY21" s="2">
        <f>T_fact29392879586572146[[#This Row],[EQ]]*prize</f>
        <v>0</v>
      </c>
      <c r="AZ21" s="66">
        <f>IF(T_init2034474536067113[[#This Row],[p]]=1,T_fact29392879586572146[[#This Row],[players]]*T_fact29392879586572146[[#This Row],[stack]]/chips+COUNTIF(T_fact29392879586572146[stack],0),T_fact29392879586572146[[#This Row],[players]]*T_fact29392879586572146[[#This Row],[stack]]/chips)</f>
        <v>0</v>
      </c>
      <c r="BA21" s="16">
        <f>T_fact29392879586572146[[#This Row],[ICM]]+bounty*T_fact29392879586572146[[#This Row],[KO]]</f>
        <v>0</v>
      </c>
      <c r="BD21" s="68">
        <f>'3way 8c Kh ничьи'!p3win* ('3way 8c Kh ничьи'!p1sp1win*T_p3p123372677566370144[[#This Row],[ICM]] + '3way 8c Kh ничьи'!p2sp1win*T_p3p224382778576471145[[#This Row],[ICM]] + tiesp1*T_p3p22438277857647175149[[#This Row],[ICM]])
+'3way 8c Kh ничьи'!p2win*T_p222362576556269115[[#This Row],[ICM]]
+'3way 8c Kh ничьи'!p1win*T_p121351975546168114[[#This Row],[ICM]]
+'3way 8c Kh ничьи'!tie*T_p22236257655626974148[[#This Row],[ICM]]</f>
        <v>0</v>
      </c>
      <c r="BE21" s="68">
        <f>('3way 8c Kh ничьи'!p3win* ('3way 8c Kh ничьи'!p1sp1win*T_p3p123372677566370144[[#This Row],[KO]] + '3way 8c Kh ничьи'!p2sp1win*T_p3p224382778576471145[[#This Row],[KO]])
+'3way 8c Kh ничьи'!p2win*T_p222362576556269115[[#This Row],[KO]]
+'3way 8c Kh ничьи'!p1win*T_p121351975546168114[[#This Row],[KO]])*bounty</f>
        <v>0</v>
      </c>
      <c r="BF21" s="68">
        <f>'3way 8c Kh ничьи'!p3win* ('3way 8c Kh ничьи'!p1sp1win*T_p3p123372677566370144[[#This Row],[$stack]] + '3way 8c Kh ничьи'!p2sp1win*T_p3p224382778576471145[[#This Row],[$stack]])
+'3way 8c Kh ничьи'!p2win*T_p222362576556269115[[#This Row],[$stack]]
+'3way 8c Kh ничьи'!p1win*T_p121351975546168114[[#This Row],[$stack]]</f>
        <v>0</v>
      </c>
      <c r="BG21" s="68">
        <f>'3way 8c Kh ничьи'!p3win* ('3way 8c Kh ничьи'!p1sp1win*T_p3p123372677566370144[[#This Row],[stack]] + '3way 8c Kh ничьи'!p2sp1win*T_p3p224382778576471145[[#This Row],[stack]] + tiesp1*T_p3p22438277857647175149[[#This Row],[stack]])
+'3way 8c Kh ничьи'!p2win*T_p222362576556269115[[#This Row],[stack]]
+'3way 8c Kh ничьи'!p1win*T_p121351975546168114[[#This Row],[stack]]
+tie*T_p22236257655626974148[[#This Row],[stack]]</f>
        <v>0</v>
      </c>
      <c r="BH21" s="68">
        <f>T_fact29392879586572146[[#This Row],[stack]]- T_init2034474536067113[[#This Row],[stack]]</f>
        <v>0</v>
      </c>
      <c r="BI21" s="68">
        <f>T_EV33403080596673147[[#This Row],[netwon]]+T_EV33403080596673147[[#This Row],[cEVdiff]]</f>
        <v>0</v>
      </c>
      <c r="BJ21" s="2">
        <f>T_EV33403080596673147[[#This Row],[chipEV]]-T_fact29392879586572146[[#This Row],[stack]]</f>
        <v>0</v>
      </c>
      <c r="BK21" s="2">
        <f>T_EV33403080596673147[[#This Row],[EV]]-(T_fact29392879586572146[[#This Row],[ICM]])</f>
        <v>0</v>
      </c>
    </row>
    <row r="22" spans="1:63" x14ac:dyDescent="0.25">
      <c r="B22">
        <v>0</v>
      </c>
      <c r="F22" s="5">
        <f>COUNTIF(T_p121351975546168114[stack],"&gt;0")</f>
        <v>2</v>
      </c>
      <c r="G22">
        <f>IF(T_init2034474536067113[[#This Row],[p]]=1,mainpot+sidepot1+sidepot2+uncalled,IF(T_init2034474536067113[[#This Row],[p]]&gt;1,0,T_init2034474536067113[[#This Row],[stack]]-T_init2034474536067113[[#This Row],[anteblinds]]))</f>
        <v>0</v>
      </c>
      <c r="I22" s="2">
        <f>T_p121351975546168114[[#This Row],[EQ]]*prize</f>
        <v>0</v>
      </c>
      <c r="J22" s="66">
        <f>IF(T_init2034474536067113[[#This Row],[p]]=1,T_p121351975546168114[[#This Row],[players]]*T_p121351975546168114[[#This Row],[stack]]/chips+COUNTIF(T_p121351975546168114[stack],0),T_p121351975546168114[[#This Row],[players]]*T_p121351975546168114[[#This Row],[stack]]/chips)</f>
        <v>0</v>
      </c>
      <c r="K22" s="66">
        <f>T_p121351975546168114[[#This Row],[ICM]]+bounty*T_p121351975546168114[[#This Row],[KO]]</f>
        <v>0</v>
      </c>
      <c r="M22" s="10">
        <f>COUNTIF(T_p222362576556269115[stack],"&gt;0")</f>
        <v>3</v>
      </c>
      <c r="N22" s="2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0</v>
      </c>
      <c r="P22" s="2">
        <f>T_p222362576556269115[[#This Row],[EQ]]*prize</f>
        <v>0</v>
      </c>
      <c r="Q22" s="66">
        <f>IF(T_init2034474536067113[[#This Row],[p]]=2,T_p222362576556269115[[#This Row],[players]]*T_p222362576556269115[[#This Row],[stack]]/chips+COUNTIF(T_p222362576556269115[stack],0),T_p222362576556269115[[#This Row],[players]]*T_p222362576556269115[[#This Row],[stack]]/chips)</f>
        <v>0</v>
      </c>
      <c r="R22" s="66">
        <f>T_p222362576556269115[[#This Row],[ICM]]+bounty*T_p222362576556269115[[#This Row],[KO]]</f>
        <v>0</v>
      </c>
      <c r="S22" s="66"/>
      <c r="T22" s="10">
        <f>COUNTIF(T_p22236257655626974148[stack],"&gt;0")</f>
        <v>4</v>
      </c>
      <c r="U22" s="26">
        <f>IF(T_init2034474536067113[[#This Row],[p]]=1,ROUND(uncalled + mainpot/3, 0) + ROUND(sidepot1/2,0),IF(T_init2034474536067113[[#This Row],[p]]=2,ROUND(mainpot/3,0) + ROUND(sidepot1/2,0),IF(T_init2034474536067113[[#This Row],[p]]=3, ROUNDUP(mainpot/3,0),T_init2034474536067113[[#This Row],[stack]]-T_init2034474536067113[[#This Row],[anteblinds]])))</f>
        <v>0</v>
      </c>
      <c r="W22" s="2">
        <f>T_p22236257655626974148[[#This Row],[EQ]]*prize</f>
        <v>0</v>
      </c>
      <c r="X22" s="66">
        <f>IF(T_init2034474536067113[[#This Row],[p]]=2,T_p22236257655626974148[[#This Row],[players]]*T_p22236257655626974148[[#This Row],[stack]]/chips+COUNTIF(T_p22236257655626974148[stack],0),T_p22236257655626974148[[#This Row],[players]]*T_p22236257655626974148[[#This Row],[stack]]/chips)</f>
        <v>0</v>
      </c>
      <c r="Y22" s="66">
        <f>T_p22236257655626974148[[#This Row],[ICM]]+bounty*T_p22236257655626974148[[#This Row],[KO]]</f>
        <v>0</v>
      </c>
      <c r="AA22" s="5">
        <f>COUNTIF(T_p3p123372677566370144[stack],"&gt;0")</f>
        <v>3</v>
      </c>
      <c r="AB22" s="26">
        <f>IF(T_init2034474536067113[[#This Row],[p]]=1,sidepot1+uncalled,IF(T_init2034474536067113[[#This Row],[p]]=3,mainpot,IF(ISBLANK(T_init2034474536067113[[#This Row],[p]]),T_init2034474536067113[[#This Row],[stack]]-T_init2034474536067113[[#This Row],[anteblinds]],0)))</f>
        <v>0</v>
      </c>
      <c r="AC22">
        <v>0</v>
      </c>
      <c r="AD22" s="2">
        <f>T_p3p123372677566370144[[#This Row],[EQ]]*prize</f>
        <v>0</v>
      </c>
      <c r="AE22" s="66">
        <f>IF(T_init2034474536067113[[#This Row],[p]]=1,T_p3p123372677566370144[[#This Row],[players]]*T_p3p123372677566370144[[#This Row],[stack]]/chips+COUNTIF(T_p3p123372677566370144[stack],0),T_p3p123372677566370144[[#This Row],[players]]*T_p3p123372677566370144[[#This Row],[stack]]/chips)</f>
        <v>0</v>
      </c>
      <c r="AF22" s="66">
        <f>T_p3p123372677566370144[[#This Row],[ICM]]+bounty*T_p3p123372677566370144[[#This Row],[KO]]</f>
        <v>0</v>
      </c>
      <c r="AH22" s="5">
        <f>COUNTIF(T_p3p224382778576471145[stack],"&gt;0")</f>
        <v>4</v>
      </c>
      <c r="AI22">
        <f>IF(T_init2034474536067113[[#This Row],[p]]=1,uncalled,IF(T_init2034474536067113[[#This Row],[p]]=2,sidepot1,IF(T_init2034474536067113[[#This Row],[p]]=3,mainpot,IF(ISBLANK(T_init2034474536067113[[#This Row],[p]]),T_init2034474536067113[[#This Row],[stack]]-T_init2034474536067113[[#This Row],[anteblinds]],0))))</f>
        <v>0</v>
      </c>
      <c r="AJ22">
        <v>0</v>
      </c>
      <c r="AK22" s="2">
        <f>T_p3p224382778576471145[[#This Row],[EQ]]*prize</f>
        <v>0</v>
      </c>
      <c r="AL22" s="66">
        <f>IF(T_init2034474536067113[[#This Row],[p]]=2,T_p3p224382778576471145[[#This Row],[players]]*T_p3p224382778576471145[[#This Row],[stack]]/chips+COUNTIF(T_p3p224382778576471145[stack],0),T_p3p224382778576471145[[#This Row],[players]]*T_p3p224382778576471145[[#This Row],[stack]]/chips)</f>
        <v>0</v>
      </c>
      <c r="AM22" s="16">
        <f>T_p3p224382778576471145[[#This Row],[ICM]]+bounty*T_p3p224382778576471145[[#This Row],[KO]]</f>
        <v>0</v>
      </c>
      <c r="AO22" s="5">
        <f>COUNTIF(T_p3p22438277857647175149[stack],"&gt;0")</f>
        <v>4</v>
      </c>
      <c r="AP22">
        <f>IF(T_init2034474536067113[[#This Row],[p]]=1,uncalled + ROUND(sidepot1/2,0),IF(T_init2034474536067113[[#This Row],[p]]=2,ROUND(sidepot1/2,0),IF(T_init2034474536067113[[#This Row],[p]]=3,mainpot,IF(ISBLANK(T_init2034474536067113[[#This Row],[p]]),T_init2034474536067113[[#This Row],[stack]]-T_init2034474536067113[[#This Row],[anteblinds]],0))))</f>
        <v>0</v>
      </c>
      <c r="AQ22">
        <v>0</v>
      </c>
      <c r="AR22" s="2">
        <f>T_p3p22438277857647175149[[#This Row],[EQ]]*prize</f>
        <v>0</v>
      </c>
      <c r="AS22" s="66">
        <f>IF(T_init2034474536067113[[#This Row],[p]]=2,T_p3p22438277857647175149[[#This Row],[players]]*T_p3p22438277857647175149[[#This Row],[stack]]/chips+COUNTIF(T_p3p22438277857647175149[stack],0),T_p3p22438277857647175149[[#This Row],[players]]*T_p3p22438277857647175149[[#This Row],[stack]]/chips)</f>
        <v>0</v>
      </c>
      <c r="AT22" s="16">
        <f>T_p3p22438277857647175149[[#This Row],[ICM]]+bounty*T_p3p22438277857647175149[[#This Row],[KO]]</f>
        <v>0</v>
      </c>
      <c r="AV22" s="73">
        <v>3</v>
      </c>
      <c r="AW22" s="26">
        <f>IF(T_init2034474536067113[[#This Row],[p]]=1,uncalled,IF(T_init2034474536067113[[#This Row],[p]]=2,mainpot+sidepot1+sidepot2,IF(T_init2034474536067113[[#This Row],[p]]&gt;2,0,T_init2034474536067113[[#This Row],[stack]]-T_init2034474536067113[[#This Row],[anteblinds]])))</f>
        <v>0</v>
      </c>
      <c r="AY22" s="2">
        <f>T_fact29392879586572146[[#This Row],[EQ]]*prize</f>
        <v>0</v>
      </c>
      <c r="AZ22" s="66">
        <f>IF(T_init2034474536067113[[#This Row],[p]]=1,T_fact29392879586572146[[#This Row],[players]]*T_fact29392879586572146[[#This Row],[stack]]/chips+COUNTIF(T_fact29392879586572146[stack],0),T_fact29392879586572146[[#This Row],[players]]*T_fact29392879586572146[[#This Row],[stack]]/chips)</f>
        <v>0</v>
      </c>
      <c r="BA22" s="16">
        <f>T_fact29392879586572146[[#This Row],[ICM]]+bounty*T_fact29392879586572146[[#This Row],[KO]]</f>
        <v>0</v>
      </c>
      <c r="BD22" s="68">
        <f>'3way 8c Kh ничьи'!p3win* ('3way 8c Kh ничьи'!p1sp1win*T_p3p123372677566370144[[#This Row],[ICM]] + '3way 8c Kh ничьи'!p2sp1win*T_p3p224382778576471145[[#This Row],[ICM]] + tiesp1*T_p3p22438277857647175149[[#This Row],[ICM]])
+'3way 8c Kh ничьи'!p2win*T_p222362576556269115[[#This Row],[ICM]]
+'3way 8c Kh ничьи'!p1win*T_p121351975546168114[[#This Row],[ICM]]
+'3way 8c Kh ничьи'!tie*T_p22236257655626974148[[#This Row],[ICM]]</f>
        <v>0</v>
      </c>
      <c r="BE22" s="68">
        <f>('3way 8c Kh ничьи'!p3win* ('3way 8c Kh ничьи'!p1sp1win*T_p3p123372677566370144[[#This Row],[KO]] + '3way 8c Kh ничьи'!p2sp1win*T_p3p224382778576471145[[#This Row],[KO]])
+'3way 8c Kh ничьи'!p2win*T_p222362576556269115[[#This Row],[KO]]
+'3way 8c Kh ничьи'!p1win*T_p121351975546168114[[#This Row],[KO]])*bounty</f>
        <v>0</v>
      </c>
      <c r="BF22" s="68">
        <f>'3way 8c Kh ничьи'!p3win* ('3way 8c Kh ничьи'!p1sp1win*T_p3p123372677566370144[[#This Row],[$stack]] + '3way 8c Kh ничьи'!p2sp1win*T_p3p224382778576471145[[#This Row],[$stack]])
+'3way 8c Kh ничьи'!p2win*T_p222362576556269115[[#This Row],[$stack]]
+'3way 8c Kh ничьи'!p1win*T_p121351975546168114[[#This Row],[$stack]]</f>
        <v>0</v>
      </c>
      <c r="BG22" s="68">
        <f>'3way 8c Kh ничьи'!p3win* ('3way 8c Kh ничьи'!p1sp1win*T_p3p123372677566370144[[#This Row],[stack]] + '3way 8c Kh ничьи'!p2sp1win*T_p3p224382778576471145[[#This Row],[stack]] + tiesp1*T_p3p22438277857647175149[[#This Row],[stack]])
+'3way 8c Kh ничьи'!p2win*T_p222362576556269115[[#This Row],[stack]]
+'3way 8c Kh ничьи'!p1win*T_p121351975546168114[[#This Row],[stack]]
+tie*T_p22236257655626974148[[#This Row],[stack]]</f>
        <v>0</v>
      </c>
      <c r="BH22" s="68">
        <f>T_fact29392879586572146[[#This Row],[stack]]- T_init2034474536067113[[#This Row],[stack]]</f>
        <v>0</v>
      </c>
      <c r="BI22" s="68">
        <f>T_EV33403080596673147[[#This Row],[netwon]]+T_EV33403080596673147[[#This Row],[cEVdiff]]</f>
        <v>0</v>
      </c>
      <c r="BJ22" s="2">
        <f>T_EV33403080596673147[[#This Row],[chipEV]]-T_fact29392879586572146[[#This Row],[stack]]</f>
        <v>0</v>
      </c>
      <c r="BK22" s="2">
        <f>T_EV33403080596673147[[#This Row],[EV]]-(T_fact29392879586572146[[#This Row],[ICM]])</f>
        <v>0</v>
      </c>
    </row>
    <row r="23" spans="1:63" x14ac:dyDescent="0.25">
      <c r="A23" t="s">
        <v>95</v>
      </c>
      <c r="D23">
        <f>SUBTOTAL(109,T_init2034474536067113[anteblinds])</f>
        <v>230</v>
      </c>
      <c r="F23" s="53"/>
      <c r="G23" s="50">
        <f>SUM(T_p121351975546168114[stack])</f>
        <v>2000</v>
      </c>
      <c r="H23" s="50">
        <f>SUM(T_p121351975546168114[EQ])</f>
        <v>1</v>
      </c>
      <c r="I23" s="50">
        <f>SUM(T_p121351975546168114[ICM])</f>
        <v>58.84</v>
      </c>
      <c r="J23" s="50">
        <f>SUM(T_p121351975546168114[KO])</f>
        <v>6</v>
      </c>
      <c r="K23" s="50">
        <f>SUM(T_p121351975546168114[$stack])</f>
        <v>58.84</v>
      </c>
      <c r="M23" s="53"/>
      <c r="N23" s="55">
        <f>SUM(T_p222362576556269115[stack])</f>
        <v>2000</v>
      </c>
      <c r="O23" s="50">
        <f>SUM(T_p222362576556269115[EQ])</f>
        <v>1</v>
      </c>
      <c r="P23" s="51">
        <f>SUM(T_p222362576556269115[ICM])</f>
        <v>58.84</v>
      </c>
      <c r="Q23" s="52">
        <f>SUM(T_p222362576556269115[KO])</f>
        <v>6</v>
      </c>
      <c r="R23" s="50">
        <f>SUM(T_p222362576556269115[$stack])</f>
        <v>58.84</v>
      </c>
      <c r="S23" s="50"/>
      <c r="T23" s="53"/>
      <c r="U23" s="55">
        <f>SUM(T_p22236257655626974148[stack])</f>
        <v>2001</v>
      </c>
      <c r="V23" s="50">
        <f>SUM(T_p22236257655626974148[EQ])</f>
        <v>1</v>
      </c>
      <c r="W23" s="51">
        <f>SUM(T_p22236257655626974148[ICM])</f>
        <v>58.840000000000011</v>
      </c>
      <c r="X23" s="52">
        <f>SUM(T_p22236257655626974148[KO])</f>
        <v>6.0019999999999989</v>
      </c>
      <c r="Y23" s="50">
        <f>SUM(T_p22236257655626974148[$stack])</f>
        <v>58.840000000000011</v>
      </c>
      <c r="AA23" s="53"/>
      <c r="AB23" s="55">
        <f>SUM(T_p3p123372677566370144[stack])</f>
        <v>2000</v>
      </c>
      <c r="AC23" s="50">
        <f>SUM(T_p3p123372677566370144[EQ])</f>
        <v>1</v>
      </c>
      <c r="AD23" s="51">
        <f>SUM(T_p3p123372677566370144[ICM])</f>
        <v>58.84</v>
      </c>
      <c r="AE23" s="52">
        <f>SUM(T_p3p123372677566370144[KO])</f>
        <v>6</v>
      </c>
      <c r="AF23" s="50">
        <f>SUM(T_p3p123372677566370144[$stack])</f>
        <v>58.84</v>
      </c>
      <c r="AH23" s="53"/>
      <c r="AI23" s="55">
        <f>SUM(T_p3p224382778576471145[stack])</f>
        <v>2000</v>
      </c>
      <c r="AJ23" s="50">
        <f>SUM(T_p3p224382778576471145[EQ])</f>
        <v>1</v>
      </c>
      <c r="AK23" s="51">
        <f>SUM(T_p3p224382778576471145[ICM])</f>
        <v>58.84</v>
      </c>
      <c r="AL23" s="52">
        <f>SUM(T_p3p224382778576471145[KO])</f>
        <v>6</v>
      </c>
      <c r="AM23" s="50">
        <f>SUM(T_p3p123372677566370144[$stack])</f>
        <v>58.84</v>
      </c>
      <c r="AO23" s="53"/>
      <c r="AP23" s="55">
        <f>SUM(T_p3p22438277857647175149[stack])</f>
        <v>2000</v>
      </c>
      <c r="AQ23" s="50">
        <f>SUM(T_p3p22438277857647175149[EQ])</f>
        <v>1</v>
      </c>
      <c r="AR23" s="51">
        <f>SUM(T_p3p22438277857647175149[ICM])</f>
        <v>58.84</v>
      </c>
      <c r="AS23" s="52">
        <f>SUM(T_p3p22438277857647175149[KO])</f>
        <v>6</v>
      </c>
      <c r="AT23" s="50">
        <f>SUM(T_p3p123372677566370144[$stack])</f>
        <v>58.84</v>
      </c>
      <c r="AV23" s="53"/>
      <c r="AW23" s="55">
        <f>SUM(T_fact29392879586572146[stack])</f>
        <v>2000</v>
      </c>
      <c r="AX23" s="50">
        <f>SUM(T_fact29392879586572146[EQ])</f>
        <v>1</v>
      </c>
      <c r="AY23" s="51">
        <f>SUM(T_fact29392879586572146[ICM])</f>
        <v>58.84</v>
      </c>
      <c r="AZ23" s="52">
        <f>SUM(T_fact29392879586572146[KO])</f>
        <v>6</v>
      </c>
      <c r="BA23" s="51">
        <f>SUM(T_fact29392879586572146[$stack])</f>
        <v>58.84</v>
      </c>
      <c r="BD23" s="52">
        <f>SUM(T_EV33403080596673147[ICM])</f>
        <v>55.397647587600005</v>
      </c>
      <c r="BE23" s="52">
        <f>SUM(T_EV33403080596673147[KO])</f>
        <v>0</v>
      </c>
      <c r="BF23" s="52">
        <f>SUM(T_EV33403080596673147[EV])</f>
        <v>48.318983175200003</v>
      </c>
      <c r="BG23" s="50">
        <f>SUM(T_EV33403080596673147[chipEV])</f>
        <v>1883.05458</v>
      </c>
      <c r="BH23" s="50"/>
      <c r="BI23" s="50"/>
    </row>
    <row r="25" spans="1:63" ht="18.75" x14ac:dyDescent="0.3">
      <c r="M25" s="79" t="s">
        <v>117</v>
      </c>
    </row>
    <row r="26" spans="1:63" x14ac:dyDescent="0.25">
      <c r="C26" t="s">
        <v>118</v>
      </c>
      <c r="M26" t="s">
        <v>680</v>
      </c>
    </row>
    <row r="27" spans="1:63" x14ac:dyDescent="0.25">
      <c r="C27" t="s">
        <v>120</v>
      </c>
      <c r="M27" t="s">
        <v>681</v>
      </c>
    </row>
    <row r="28" spans="1:63" x14ac:dyDescent="0.25">
      <c r="C28" t="s">
        <v>122</v>
      </c>
      <c r="M28" t="s">
        <v>682</v>
      </c>
    </row>
    <row r="29" spans="1:63" x14ac:dyDescent="0.25">
      <c r="M29" t="s">
        <v>683</v>
      </c>
    </row>
    <row r="30" spans="1:63" x14ac:dyDescent="0.25">
      <c r="M30" t="s">
        <v>684</v>
      </c>
    </row>
    <row r="31" spans="1:63" x14ac:dyDescent="0.25">
      <c r="C31" t="s">
        <v>126</v>
      </c>
      <c r="M31" t="s">
        <v>685</v>
      </c>
    </row>
    <row r="32" spans="1:63" x14ac:dyDescent="0.25">
      <c r="M32" t="s">
        <v>686</v>
      </c>
    </row>
    <row r="33" spans="2:13" x14ac:dyDescent="0.25">
      <c r="B33" t="s">
        <v>129</v>
      </c>
      <c r="M33" t="s">
        <v>687</v>
      </c>
    </row>
    <row r="34" spans="2:13" x14ac:dyDescent="0.25">
      <c r="B34" t="s">
        <v>131</v>
      </c>
      <c r="M34" t="s">
        <v>688</v>
      </c>
    </row>
    <row r="35" spans="2:13" x14ac:dyDescent="0.25">
      <c r="C35" t="s">
        <v>133</v>
      </c>
      <c r="M35" t="s">
        <v>355</v>
      </c>
    </row>
    <row r="36" spans="2:13" x14ac:dyDescent="0.25">
      <c r="D36" t="s">
        <v>135</v>
      </c>
      <c r="M36" t="s">
        <v>689</v>
      </c>
    </row>
    <row r="37" spans="2:13" x14ac:dyDescent="0.25">
      <c r="C37" t="s">
        <v>137</v>
      </c>
      <c r="M37" t="s">
        <v>690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691</v>
      </c>
    </row>
    <row r="40" spans="2:13" x14ac:dyDescent="0.25">
      <c r="D40" t="s">
        <v>142</v>
      </c>
      <c r="M40" t="s">
        <v>692</v>
      </c>
    </row>
    <row r="41" spans="2:13" x14ac:dyDescent="0.25">
      <c r="D41" t="s">
        <v>144</v>
      </c>
      <c r="E41" t="s">
        <v>145</v>
      </c>
      <c r="M41" t="s">
        <v>693</v>
      </c>
    </row>
    <row r="42" spans="2:13" x14ac:dyDescent="0.25">
      <c r="F42" t="s">
        <v>147</v>
      </c>
      <c r="M42" t="s">
        <v>694</v>
      </c>
    </row>
    <row r="43" spans="2:13" x14ac:dyDescent="0.25">
      <c r="E43" t="s">
        <v>149</v>
      </c>
      <c r="M43" t="s">
        <v>695</v>
      </c>
    </row>
    <row r="44" spans="2:13" x14ac:dyDescent="0.25">
      <c r="F44" t="s">
        <v>151</v>
      </c>
      <c r="M44" t="s">
        <v>696</v>
      </c>
    </row>
    <row r="45" spans="2:13" x14ac:dyDescent="0.25">
      <c r="M45" t="s">
        <v>697</v>
      </c>
    </row>
    <row r="46" spans="2:13" x14ac:dyDescent="0.25">
      <c r="C46" t="s">
        <v>154</v>
      </c>
      <c r="M46" t="s">
        <v>698</v>
      </c>
    </row>
    <row r="47" spans="2:13" x14ac:dyDescent="0.25">
      <c r="D47" t="s">
        <v>156</v>
      </c>
      <c r="M47" t="s">
        <v>699</v>
      </c>
    </row>
    <row r="48" spans="2:13" x14ac:dyDescent="0.25">
      <c r="D48" t="s">
        <v>158</v>
      </c>
      <c r="E48" t="s">
        <v>145</v>
      </c>
      <c r="M48" t="s">
        <v>166</v>
      </c>
    </row>
    <row r="49" spans="5:13" x14ac:dyDescent="0.25">
      <c r="F49" t="s">
        <v>160</v>
      </c>
      <c r="M49" t="s">
        <v>700</v>
      </c>
    </row>
    <row r="50" spans="5:13" x14ac:dyDescent="0.25">
      <c r="E50" t="s">
        <v>149</v>
      </c>
      <c r="M50" t="s">
        <v>701</v>
      </c>
    </row>
    <row r="51" spans="5:13" x14ac:dyDescent="0.25">
      <c r="F51" t="s">
        <v>163</v>
      </c>
      <c r="M51" t="s">
        <v>702</v>
      </c>
    </row>
    <row r="52" spans="5:13" x14ac:dyDescent="0.25">
      <c r="E52" t="s">
        <v>165</v>
      </c>
      <c r="M52" t="s">
        <v>703</v>
      </c>
    </row>
    <row r="53" spans="5:13" x14ac:dyDescent="0.25">
      <c r="F53" t="s">
        <v>167</v>
      </c>
      <c r="M53" t="s">
        <v>704</v>
      </c>
    </row>
    <row r="54" spans="5:13" x14ac:dyDescent="0.25">
      <c r="F54" t="s">
        <v>144</v>
      </c>
      <c r="M54" t="s">
        <v>705</v>
      </c>
    </row>
    <row r="55" spans="5:13" x14ac:dyDescent="0.25">
      <c r="G55" t="s">
        <v>145</v>
      </c>
      <c r="M55" t="s">
        <v>706</v>
      </c>
    </row>
    <row r="56" spans="5:13" x14ac:dyDescent="0.25">
      <c r="H56" t="s">
        <v>147</v>
      </c>
      <c r="M56" t="s">
        <v>707</v>
      </c>
    </row>
    <row r="57" spans="5:13" x14ac:dyDescent="0.25">
      <c r="G57" t="s">
        <v>149</v>
      </c>
      <c r="M57" t="s">
        <v>173</v>
      </c>
    </row>
    <row r="58" spans="5:13" x14ac:dyDescent="0.25">
      <c r="H58" t="s">
        <v>151</v>
      </c>
      <c r="M58" t="s">
        <v>708</v>
      </c>
    </row>
    <row r="59" spans="5:13" x14ac:dyDescent="0.25">
      <c r="M59" t="s">
        <v>709</v>
      </c>
    </row>
    <row r="60" spans="5:13" x14ac:dyDescent="0.25">
      <c r="M60" t="s">
        <v>710</v>
      </c>
    </row>
    <row r="61" spans="5:13" x14ac:dyDescent="0.25">
      <c r="M61" t="s">
        <v>711</v>
      </c>
    </row>
    <row r="62" spans="5:13" x14ac:dyDescent="0.25">
      <c r="M62" t="s">
        <v>712</v>
      </c>
    </row>
    <row r="63" spans="5:13" x14ac:dyDescent="0.25">
      <c r="M63" t="s">
        <v>713</v>
      </c>
    </row>
    <row r="64" spans="5:13" x14ac:dyDescent="0.25">
      <c r="M64" t="s">
        <v>179</v>
      </c>
    </row>
  </sheetData>
  <mergeCells count="12">
    <mergeCell ref="AV15:AZ15"/>
    <mergeCell ref="BD15:BG15"/>
    <mergeCell ref="F10:F11"/>
    <mergeCell ref="AA13:AT13"/>
    <mergeCell ref="AA14:AT14"/>
    <mergeCell ref="BD14:BG14"/>
    <mergeCell ref="F15:J15"/>
    <mergeCell ref="M15:Q15"/>
    <mergeCell ref="T15:X15"/>
    <mergeCell ref="AA15:AE15"/>
    <mergeCell ref="AH15:AL15"/>
    <mergeCell ref="AO15:AS15"/>
  </mergeCells>
  <pageMargins left="0.7" right="0.7" top="0.75" bottom="0.75" header="0.3" footer="0.3"/>
  <pageSetup paperSize="9" orientation="portrait" horizontalDpi="4294967293" verticalDpi="0" r:id="rId1"/>
  <legacy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39F0-7506-4BF7-948B-4314CB42026C}">
  <dimension ref="A1:BK64"/>
  <sheetViews>
    <sheetView workbookViewId="0">
      <pane xSplit="5" ySplit="11" topLeftCell="F34" activePane="bottomRight" state="frozen"/>
      <selection pane="topRight" activeCell="F1" sqref="F1"/>
      <selection pane="bottomLeft" activeCell="A12" sqref="A12"/>
      <selection pane="bottomRight" activeCell="M26" sqref="M26:M61"/>
    </sheetView>
  </sheetViews>
  <sheetFormatPr defaultRowHeight="15" x14ac:dyDescent="0.25"/>
  <cols>
    <col min="1" max="1" width="9.28515625" customWidth="1"/>
    <col min="5" max="5" width="2.7109375" customWidth="1"/>
    <col min="6" max="6" width="10.28515625" customWidth="1"/>
    <col min="12" max="12" width="2.140625" customWidth="1"/>
    <col min="13" max="13" width="10.28515625" customWidth="1"/>
    <col min="19" max="19" width="3.7109375" customWidth="1"/>
    <col min="20" max="20" width="6.7109375" customWidth="1"/>
    <col min="21" max="21" width="9.5703125" bestFit="1" customWidth="1"/>
    <col min="22" max="22" width="10.28515625" customWidth="1"/>
    <col min="26" max="26" width="4.7109375" customWidth="1"/>
    <col min="27" max="27" width="5.5703125" customWidth="1"/>
    <col min="28" max="28" width="7.7109375" customWidth="1"/>
    <col min="29" max="30" width="8.5703125" customWidth="1"/>
    <col min="31" max="31" width="9.85546875" customWidth="1"/>
    <col min="32" max="32" width="8.42578125" customWidth="1"/>
    <col min="34" max="34" width="7.28515625" customWidth="1"/>
    <col min="35" max="35" width="8.5703125" customWidth="1"/>
    <col min="36" max="36" width="10" customWidth="1"/>
    <col min="40" max="40" width="4.7109375" customWidth="1"/>
    <col min="41" max="41" width="7.28515625" customWidth="1"/>
    <col min="42" max="42" width="8.5703125" customWidth="1"/>
    <col min="43" max="43" width="10" customWidth="1"/>
    <col min="47" max="47" width="2.85546875" customWidth="1"/>
    <col min="48" max="48" width="5.85546875" customWidth="1"/>
    <col min="49" max="49" width="6.7109375" customWidth="1"/>
    <col min="53" max="53" width="10.7109375" customWidth="1"/>
    <col min="54" max="54" width="2.42578125" customWidth="1"/>
    <col min="55" max="55" width="1" customWidth="1"/>
    <col min="56" max="56" width="9.140625" customWidth="1"/>
    <col min="57" max="57" width="7.42578125" customWidth="1"/>
    <col min="58" max="58" width="10.28515625" customWidth="1"/>
  </cols>
  <sheetData>
    <row r="1" spans="1:63" ht="15.75" x14ac:dyDescent="0.25">
      <c r="A1" t="s">
        <v>644</v>
      </c>
      <c r="B1">
        <v>14.71</v>
      </c>
      <c r="C1" s="80" t="s">
        <v>0</v>
      </c>
      <c r="D1">
        <f>B1*4</f>
        <v>58.84</v>
      </c>
      <c r="F1" s="80" t="s">
        <v>71</v>
      </c>
      <c r="G1">
        <v>0.14860000000000001</v>
      </c>
      <c r="I1" s="80" t="s">
        <v>72</v>
      </c>
      <c r="J1">
        <v>0.3342</v>
      </c>
      <c r="M1" s="80" t="s">
        <v>73</v>
      </c>
      <c r="N1">
        <v>145</v>
      </c>
    </row>
    <row r="2" spans="1:63" ht="15.75" x14ac:dyDescent="0.25">
      <c r="C2" s="80" t="s">
        <v>1</v>
      </c>
      <c r="D2">
        <f>bounty</f>
        <v>0</v>
      </c>
      <c r="F2" s="80" t="s">
        <v>74</v>
      </c>
      <c r="G2">
        <v>0.50600000000000001</v>
      </c>
      <c r="I2" s="80" t="s">
        <v>75</v>
      </c>
      <c r="J2">
        <v>0.65559999999999996</v>
      </c>
      <c r="M2" s="80" t="s">
        <v>76</v>
      </c>
      <c r="N2">
        <v>440</v>
      </c>
    </row>
    <row r="3" spans="1:63" ht="15.75" x14ac:dyDescent="0.25">
      <c r="C3" s="80" t="s">
        <v>77</v>
      </c>
      <c r="D3">
        <v>2000</v>
      </c>
      <c r="F3" s="80" t="s">
        <v>78</v>
      </c>
      <c r="G3">
        <v>0.31009999999999999</v>
      </c>
      <c r="M3" s="80" t="s">
        <v>79</v>
      </c>
      <c r="N3">
        <v>0</v>
      </c>
    </row>
    <row r="4" spans="1:63" ht="15.75" x14ac:dyDescent="0.25">
      <c r="F4" s="80" t="s">
        <v>80</v>
      </c>
      <c r="G4">
        <v>0</v>
      </c>
      <c r="I4" s="80" t="s">
        <v>639</v>
      </c>
      <c r="M4" s="80" t="s">
        <v>81</v>
      </c>
      <c r="N4">
        <v>665</v>
      </c>
    </row>
    <row r="5" spans="1:63" ht="17.25" customHeight="1" x14ac:dyDescent="0.25">
      <c r="F5" s="80" t="s">
        <v>640</v>
      </c>
      <c r="G5">
        <f>0.0163+0.0163+0.0027</f>
        <v>3.5299999999999998E-2</v>
      </c>
    </row>
    <row r="6" spans="1:63" x14ac:dyDescent="0.25">
      <c r="C6" t="s">
        <v>82</v>
      </c>
      <c r="D6" t="s">
        <v>645</v>
      </c>
    </row>
    <row r="7" spans="1:63" x14ac:dyDescent="0.25">
      <c r="C7" t="s">
        <v>84</v>
      </c>
      <c r="D7" t="s">
        <v>641</v>
      </c>
    </row>
    <row r="8" spans="1:63" x14ac:dyDescent="0.25">
      <c r="C8" t="s">
        <v>86</v>
      </c>
      <c r="D8" t="s">
        <v>87</v>
      </c>
    </row>
    <row r="9" spans="1:63" ht="6" customHeight="1" x14ac:dyDescent="0.25"/>
    <row r="10" spans="1:63" x14ac:dyDescent="0.25">
      <c r="F10" s="127" t="s">
        <v>88</v>
      </c>
      <c r="G10" s="81" t="s">
        <v>89</v>
      </c>
      <c r="H10" s="81" t="s">
        <v>90</v>
      </c>
      <c r="I10" s="81" t="s">
        <v>91</v>
      </c>
    </row>
    <row r="11" spans="1:63" ht="18.75" x14ac:dyDescent="0.3">
      <c r="F11" s="128"/>
      <c r="G11" s="81">
        <v>1</v>
      </c>
      <c r="H11" s="81">
        <v>0</v>
      </c>
      <c r="I11" s="82">
        <v>0</v>
      </c>
      <c r="J11" s="101"/>
      <c r="K11" s="101"/>
    </row>
    <row r="12" spans="1:63" ht="19.5" thickBot="1" x14ac:dyDescent="0.35">
      <c r="F12" s="101"/>
      <c r="G12" s="101"/>
      <c r="H12" s="101"/>
      <c r="I12" s="101"/>
      <c r="J12" s="101"/>
      <c r="K12" s="101"/>
      <c r="AA12" t="s">
        <v>92</v>
      </c>
      <c r="AH12" t="s">
        <v>93</v>
      </c>
    </row>
    <row r="13" spans="1:63" ht="19.5" thickBot="1" x14ac:dyDescent="0.35">
      <c r="F13" s="101"/>
      <c r="G13" s="101"/>
      <c r="H13" s="101"/>
      <c r="I13" s="101"/>
      <c r="J13" s="101"/>
      <c r="K13" s="101"/>
      <c r="AA13" s="129" t="s">
        <v>94</v>
      </c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1"/>
      <c r="BB13" s="99"/>
      <c r="BC13" s="99"/>
    </row>
    <row r="14" spans="1:63" ht="20.25" thickTop="1" thickBot="1" x14ac:dyDescent="0.35">
      <c r="F14" s="101"/>
      <c r="G14" s="101"/>
      <c r="H14" s="101" t="s">
        <v>96</v>
      </c>
      <c r="I14" s="101"/>
      <c r="J14" s="101"/>
      <c r="K14" s="101"/>
      <c r="O14" t="s">
        <v>97</v>
      </c>
      <c r="V14" t="s">
        <v>642</v>
      </c>
      <c r="AA14" s="138" t="s">
        <v>98</v>
      </c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40"/>
      <c r="AX14" t="s">
        <v>99</v>
      </c>
      <c r="BD14" s="132" t="s">
        <v>95</v>
      </c>
      <c r="BE14" s="133"/>
      <c r="BF14" s="133"/>
      <c r="BG14" s="133"/>
      <c r="BH14" s="99"/>
      <c r="BI14" s="99"/>
    </row>
    <row r="15" spans="1:63" ht="19.5" thickTop="1" x14ac:dyDescent="0.3">
      <c r="F15" s="134" t="s">
        <v>100</v>
      </c>
      <c r="G15" s="135"/>
      <c r="H15" s="135"/>
      <c r="I15" s="135"/>
      <c r="J15" s="136"/>
      <c r="K15" s="101"/>
      <c r="M15" s="134" t="s">
        <v>101</v>
      </c>
      <c r="N15" s="135"/>
      <c r="O15" s="135"/>
      <c r="P15" s="135"/>
      <c r="Q15" s="136"/>
      <c r="R15" s="101"/>
      <c r="S15" s="101"/>
      <c r="T15" s="134" t="s">
        <v>642</v>
      </c>
      <c r="U15" s="135"/>
      <c r="V15" s="135"/>
      <c r="W15" s="135"/>
      <c r="X15" s="136"/>
      <c r="Y15" s="101"/>
      <c r="AA15" s="118" t="s">
        <v>102</v>
      </c>
      <c r="AB15" s="119"/>
      <c r="AC15" s="119"/>
      <c r="AD15" s="119"/>
      <c r="AE15" s="120"/>
      <c r="AF15" s="101"/>
      <c r="AH15" s="118" t="s">
        <v>103</v>
      </c>
      <c r="AI15" s="119"/>
      <c r="AJ15" s="119"/>
      <c r="AK15" s="119"/>
      <c r="AL15" s="120"/>
      <c r="AO15" s="118" t="s">
        <v>643</v>
      </c>
      <c r="AP15" s="119"/>
      <c r="AQ15" s="119"/>
      <c r="AR15" s="119"/>
      <c r="AS15" s="120"/>
      <c r="AV15" s="121" t="s">
        <v>10</v>
      </c>
      <c r="AW15" s="122"/>
      <c r="AX15" s="122"/>
      <c r="AY15" s="122"/>
      <c r="AZ15" s="123"/>
      <c r="BD15" s="124" t="s">
        <v>104</v>
      </c>
      <c r="BE15" s="125"/>
      <c r="BF15" s="125"/>
      <c r="BG15" s="126"/>
      <c r="BH15" s="101"/>
      <c r="BI15" s="101"/>
    </row>
    <row r="16" spans="1:63" x14ac:dyDescent="0.25">
      <c r="A16" t="s">
        <v>105</v>
      </c>
      <c r="B16" t="s">
        <v>12</v>
      </c>
      <c r="C16" t="s">
        <v>13</v>
      </c>
      <c r="D16" t="s">
        <v>106</v>
      </c>
      <c r="F16" s="5" t="s">
        <v>107</v>
      </c>
      <c r="G16" t="s">
        <v>12</v>
      </c>
      <c r="H16" t="s">
        <v>108</v>
      </c>
      <c r="I16" t="s">
        <v>109</v>
      </c>
      <c r="J16" s="5" t="s">
        <v>1</v>
      </c>
      <c r="K16" s="5" t="s">
        <v>110</v>
      </c>
      <c r="M16" s="5" t="s">
        <v>107</v>
      </c>
      <c r="N16" s="5" t="s">
        <v>12</v>
      </c>
      <c r="O16" s="5" t="s">
        <v>108</v>
      </c>
      <c r="P16" s="5" t="s">
        <v>109</v>
      </c>
      <c r="Q16" s="5" t="s">
        <v>1</v>
      </c>
      <c r="R16" s="5" t="s">
        <v>110</v>
      </c>
      <c r="S16" s="5"/>
      <c r="T16" s="5" t="s">
        <v>107</v>
      </c>
      <c r="U16" s="5" t="s">
        <v>12</v>
      </c>
      <c r="V16" s="5" t="s">
        <v>108</v>
      </c>
      <c r="W16" s="5" t="s">
        <v>109</v>
      </c>
      <c r="X16" s="5" t="s">
        <v>1</v>
      </c>
      <c r="Y16" s="5" t="s">
        <v>110</v>
      </c>
      <c r="AA16" s="5" t="s">
        <v>107</v>
      </c>
      <c r="AB16" s="5" t="s">
        <v>12</v>
      </c>
      <c r="AC16" s="5" t="s">
        <v>108</v>
      </c>
      <c r="AD16" s="5" t="s">
        <v>109</v>
      </c>
      <c r="AE16" s="5" t="s">
        <v>1</v>
      </c>
      <c r="AF16" s="5" t="s">
        <v>110</v>
      </c>
      <c r="AH16" s="5" t="s">
        <v>107</v>
      </c>
      <c r="AI16" s="5" t="s">
        <v>12</v>
      </c>
      <c r="AJ16" s="5" t="s">
        <v>108</v>
      </c>
      <c r="AK16" s="5" t="s">
        <v>109</v>
      </c>
      <c r="AL16" s="5" t="s">
        <v>1</v>
      </c>
      <c r="AM16" t="s">
        <v>110</v>
      </c>
      <c r="AO16" s="5" t="s">
        <v>107</v>
      </c>
      <c r="AP16" s="5" t="s">
        <v>12</v>
      </c>
      <c r="AQ16" s="5" t="s">
        <v>108</v>
      </c>
      <c r="AR16" s="5" t="s">
        <v>109</v>
      </c>
      <c r="AS16" s="5" t="s">
        <v>1</v>
      </c>
      <c r="AT16" t="s">
        <v>110</v>
      </c>
      <c r="AV16" s="5" t="s">
        <v>107</v>
      </c>
      <c r="AW16" s="5" t="s">
        <v>12</v>
      </c>
      <c r="AX16" s="5" t="s">
        <v>108</v>
      </c>
      <c r="AY16" s="5" t="s">
        <v>109</v>
      </c>
      <c r="AZ16" s="5" t="s">
        <v>1</v>
      </c>
      <c r="BA16" t="s">
        <v>110</v>
      </c>
      <c r="BD16" s="5" t="s">
        <v>109</v>
      </c>
      <c r="BE16" s="5" t="s">
        <v>1</v>
      </c>
      <c r="BF16" s="5" t="s">
        <v>104</v>
      </c>
      <c r="BG16" s="5" t="s">
        <v>111</v>
      </c>
      <c r="BH16" s="5" t="s">
        <v>634</v>
      </c>
      <c r="BI16" s="5" t="s">
        <v>635</v>
      </c>
      <c r="BJ16" t="s">
        <v>112</v>
      </c>
      <c r="BK16" t="s">
        <v>113</v>
      </c>
    </row>
    <row r="17" spans="1:63" x14ac:dyDescent="0.25">
      <c r="A17" s="26"/>
      <c r="B17" s="26">
        <v>760</v>
      </c>
      <c r="D17" s="26">
        <v>10</v>
      </c>
      <c r="F17" s="73">
        <f>COUNTIF(T_p12135197554616877[stack],"&gt;0")</f>
        <v>2</v>
      </c>
      <c r="G17" s="26">
        <f>IF(T_init203447453606776[[#This Row],[p]]=1,mainpot+sidepot1+sidepot2+uncalled,IF(T_init203447453606776[[#This Row],[p]]&gt;1,0,T_init203447453606776[[#This Row],[stack]]-T_init203447453606776[[#This Row],[anteblinds]]))</f>
        <v>750</v>
      </c>
      <c r="H17" s="26"/>
      <c r="I17" s="27">
        <f>T_p12135197554616877[[#This Row],[EQ]]*prize</f>
        <v>0</v>
      </c>
      <c r="J17" s="71">
        <f>IF(T_init203447453606776[[#This Row],[p]]=1,T_p12135197554616877[[#This Row],[players]]*T_p12135197554616877[[#This Row],[stack]]/chips+COUNTIF(T_p12135197554616877[stack],0),T_p12135197554616877[[#This Row],[players]]*T_p12135197554616877[[#This Row],[stack]]/chips)</f>
        <v>0.75</v>
      </c>
      <c r="K17" s="71">
        <f>T_p12135197554616877[[#This Row],[ICM]]+bounty*T_p12135197554616877[[#This Row],[KO]]</f>
        <v>0</v>
      </c>
      <c r="M17" s="29">
        <f>COUNTIF(T_p22236257655626978[stack],"&gt;0")</f>
        <v>3</v>
      </c>
      <c r="N17" s="26">
        <f>IF(T_init203447453606776[[#This Row],[p]]=1,uncalled,IF(T_init203447453606776[[#This Row],[p]]=2,mainpot+sidepot1+sidepot2,IF(T_init203447453606776[[#This Row],[p]]&gt;2,0,T_init203447453606776[[#This Row],[stack]]-T_init203447453606776[[#This Row],[anteblinds]])))</f>
        <v>750</v>
      </c>
      <c r="O17" s="26"/>
      <c r="P17" s="27">
        <f>T_p22236257655626978[[#This Row],[EQ]]*prize</f>
        <v>0</v>
      </c>
      <c r="Q17" s="71">
        <f>IF(T_init203447453606776[[#This Row],[p]]=2,T_p22236257655626978[[#This Row],[players]]*T_p22236257655626978[[#This Row],[stack]]/chips+COUNTIF(T_p22236257655626978[stack],0),T_p22236257655626978[[#This Row],[players]]*T_p22236257655626978[[#This Row],[stack]]/chips)</f>
        <v>1.125</v>
      </c>
      <c r="R17" s="71">
        <f>T_p22236257655626978[[#This Row],[ICM]]+bounty*T_p22236257655626978[[#This Row],[KO]]</f>
        <v>0</v>
      </c>
      <c r="S17" s="71"/>
      <c r="T17" s="29">
        <f>COUNTIF(T_p22236257655626974111[stack],"&gt;0")</f>
        <v>4</v>
      </c>
      <c r="U17" s="26">
        <f>IF(T_init203447453606776[[#This Row],[p]]=1,ROUND(uncalled + mainpot/3, 0) + ROUND(sidepot1/2,0),IF(T_init203447453606776[[#This Row],[p]]=2,ROUND(mainpot/3,0) + ROUND(sidepot1/2,0),IF(T_init203447453606776[[#This Row],[p]]=3, ROUNDUP(mainpot/3,0),T_init203447453606776[[#This Row],[stack]]-T_init203447453606776[[#This Row],[anteblinds]])))</f>
        <v>750</v>
      </c>
      <c r="V17" s="26">
        <v>5.9499999999999997E-2</v>
      </c>
      <c r="W17" s="27">
        <f>T_p22236257655626974111[[#This Row],[EQ]]*prize</f>
        <v>3.5009800000000002</v>
      </c>
      <c r="X17" s="71">
        <f>IF(T_init203447453606776[[#This Row],[p]]=2,T_p22236257655626974111[[#This Row],[players]]*T_p22236257655626974111[[#This Row],[stack]]/chips+COUNTIF(T_p22236257655626974111[stack],0),T_p22236257655626974111[[#This Row],[players]]*T_p22236257655626974111[[#This Row],[stack]]/chips)</f>
        <v>1.5</v>
      </c>
      <c r="Y17" s="71">
        <f>T_p22236257655626974111[[#This Row],[ICM]]+bounty*T_p22236257655626974111[[#This Row],[KO]]</f>
        <v>3.5009800000000002</v>
      </c>
      <c r="AA17" s="73">
        <f>COUNTIF(T_p3p12337267756637079[stack],"&gt;0")</f>
        <v>3</v>
      </c>
      <c r="AB17" s="26">
        <f>IF(T_init203447453606776[[#This Row],[p]]=1,sidepot1+uncalled,IF(T_init203447453606776[[#This Row],[p]]=3,mainpot,IF(ISBLANK(T_init203447453606776[[#This Row],[p]]),T_init203447453606776[[#This Row],[stack]]-T_init203447453606776[[#This Row],[anteblinds]],0)))</f>
        <v>750</v>
      </c>
      <c r="AC17" s="26">
        <v>0.17749999999999999</v>
      </c>
      <c r="AD17" s="27">
        <f>T_p3p12337267756637079[[#This Row],[EQ]]*prize</f>
        <v>10.444100000000001</v>
      </c>
      <c r="AE17" s="71">
        <f>IF(T_init203447453606776[[#This Row],[p]]=1,T_p3p12337267756637079[[#This Row],[players]]*T_p3p12337267756637079[[#This Row],[stack]]/chips+COUNTIF(T_p3p12337267756637079[stack],0),T_p3p12337267756637079[[#This Row],[players]]*T_p3p12337267756637079[[#This Row],[stack]]/chips)</f>
        <v>1.125</v>
      </c>
      <c r="AF17" s="71">
        <f>T_p3p12337267756637079[[#This Row],[ICM]]+bounty*T_p3p12337267756637079[[#This Row],[KO]]</f>
        <v>10.444100000000001</v>
      </c>
      <c r="AH17" s="73">
        <f>COUNTIF(T_p3p22438277857647180[stack],"&gt;0")</f>
        <v>4</v>
      </c>
      <c r="AI17" s="26">
        <f>IF(T_init203447453606776[[#This Row],[p]]=1,uncalled,IF(T_init203447453606776[[#This Row],[p]]=2,sidepot1,IF(T_init203447453606776[[#This Row],[p]]=3,mainpot,IF(ISBLANK(T_init203447453606776[[#This Row],[p]]),T_init203447453606776[[#This Row],[stack]]-T_init203447453606776[[#This Row],[anteblinds]],0))))</f>
        <v>750</v>
      </c>
      <c r="AJ17" s="26">
        <v>0.17749999999999999</v>
      </c>
      <c r="AK17" s="27">
        <f>T_p3p22438277857647180[[#This Row],[EQ]]*prize</f>
        <v>10.444100000000001</v>
      </c>
      <c r="AL17" s="71">
        <f>IF(T_init203447453606776[[#This Row],[p]]=2,T_p3p22438277857647180[[#This Row],[players]]*T_p3p22438277857647180[[#This Row],[stack]]/chips+COUNTIF(T_p3p22438277857647180[stack],0),T_p3p22438277857647180[[#This Row],[players]]*T_p3p22438277857647180[[#This Row],[stack]]/chips)</f>
        <v>1.5</v>
      </c>
      <c r="AM17" s="71">
        <f>T_p3p22438277857647180[[#This Row],[ICM]]+bounty*T_p3p22438277857647180[[#This Row],[KO]]</f>
        <v>10.444100000000001</v>
      </c>
      <c r="AO17" s="73">
        <f>COUNTIF(T_p3p22438277857647175112[stack],"&gt;0")</f>
        <v>4</v>
      </c>
      <c r="AP17" s="26">
        <f>IF(T_init203447453606776[[#This Row],[p]]=1,uncalled + ROUND(sidepot1/2,0),IF(T_init203447453606776[[#This Row],[p]]=2,ROUND(sidepot1/2,0),IF(T_init203447453606776[[#This Row],[p]]=3,mainpot,IF(ISBLANK(T_init203447453606776[[#This Row],[p]]),T_init203447453606776[[#This Row],[stack]]-T_init203447453606776[[#This Row],[anteblinds]],0))))</f>
        <v>750</v>
      </c>
      <c r="AQ17" s="26">
        <v>0.17749999999999999</v>
      </c>
      <c r="AR17" s="27">
        <f>T_p3p22438277857647175112[[#This Row],[EQ]]*prize</f>
        <v>10.444100000000001</v>
      </c>
      <c r="AS17" s="71">
        <f>IF(T_init203447453606776[[#This Row],[p]]=2,T_p3p22438277857647175112[[#This Row],[players]]*T_p3p22438277857647175112[[#This Row],[stack]]/chips+COUNTIF(T_p3p22438277857647175112[stack],0),T_p3p22438277857647175112[[#This Row],[players]]*T_p3p22438277857647175112[[#This Row],[stack]]/chips)</f>
        <v>1.5</v>
      </c>
      <c r="AT17" s="71">
        <f>T_p3p22438277857647175112[[#This Row],[ICM]]+bounty*T_p3p22438277857647175112[[#This Row],[KO]]</f>
        <v>10.444100000000001</v>
      </c>
      <c r="AV17" s="73">
        <f>COUNTIF(T_fact29392879586572109[stack],"&gt;0")</f>
        <v>3</v>
      </c>
      <c r="AW17" s="26">
        <v>750</v>
      </c>
      <c r="AX17" s="26"/>
      <c r="AY17" s="27">
        <f>T_fact29392879586572109[[#This Row],[EQ]]*prize</f>
        <v>0</v>
      </c>
      <c r="AZ17" s="71">
        <f>IF(T_init203447453606776[[#This Row],[p]]=1,T_fact29392879586572109[[#This Row],[players]]*T_fact29392879586572109[[#This Row],[stack]]/chips+COUNTIF(T_fact29392879586572109[stack],0),T_fact29392879586572109[[#This Row],[players]]*T_fact29392879586572109[[#This Row],[stack]]/chips)</f>
        <v>1.125</v>
      </c>
      <c r="BA17" s="71">
        <f>T_fact29392879586572109[[#This Row],[ICM]]+bounty*T_fact29392879586572109[[#This Row],[KO]]</f>
        <v>0</v>
      </c>
      <c r="BD17" s="72">
        <f>'3way 7d Jd ничьи'!p3win* ('3way 7d Jd ничьи'!p1sp1win*T_p3p12337267756637079[[#This Row],[ICM]] + '3way 7d Jd ничьи'!p2sp1win*T_p3p22438277857647180[[#This Row],[ICM]] + tiesp1*T_p3p22438277857647175112[[#This Row],[ICM]])
+'3way 7d Jd ничьи'!p2win*T_p22236257655626978[[#This Row],[ICM]]
+'3way 7d Jd ничьи'!p1win*T_p12135197554616877[[#This Row],[ICM]]
+'3way 7d Jd ничьи'!tie*T_p22236257655626974111[[#This Row],[ICM]]</f>
        <v>3.3292651068179997</v>
      </c>
      <c r="BE17" s="33">
        <f>('3way 7d Jd ничьи'!p3win* ('3way 7d Jd ничьи'!p1sp1win*T_p3p12337267756637079[[#This Row],[KO]] + '3way 7d Jd ничьи'!p2sp1win*T_p3p22438277857647180[[#This Row],[KO]])
+'3way 7d Jd ничьи'!p2win*T_p22236257655626978[[#This Row],[KO]]
+'3way 7d Jd ничьи'!p1win*T_p12135197554616877[[#This Row],[KO]])*bounty</f>
        <v>0</v>
      </c>
      <c r="BF17" s="72">
        <f>'3way 7d Jd ничьи'!p3win* ('3way 7d Jd ничьи'!p1sp1win*T_p3p12337267756637079[[#This Row],[$stack]] + '3way 7d Jd ничьи'!p2sp1win*T_p3p22438277857647180[[#This Row],[$stack]])
+'3way 7d Jd ничьи'!p2win*T_p22236257655626978[[#This Row],[$stack]]
+'3way 7d Jd ничьи'!p1win*T_p12135197554616877[[#This Row],[$stack]]</f>
        <v>3.2056805128179997</v>
      </c>
      <c r="BG17" s="33">
        <f>'3way 7d Jd ничьи'!p3win* ('3way 7d Jd ничьи'!p1sp1win*T_p3p12337267756637079[[#This Row],[stack]] + '3way 7d Jd ничьи'!p2sp1win*T_p3p22438277857647180[[#This Row],[stack]] + tiesp1*T_p3p22438277857647175112[[#This Row],[stack]])
+'3way 7d Jd ничьи'!p2win*T_p22236257655626978[[#This Row],[stack]]
+'3way 7d Jd ничьи'!p1win*T_p12135197554616877[[#This Row],[stack]]
+tie*T_p22236257655626974111[[#This Row],[stack]]</f>
        <v>747.62773500000003</v>
      </c>
      <c r="BH17" s="72">
        <f>T_fact29392879586572109[[#This Row],[stack]]- T_init203447453606776[[#This Row],[stack]]</f>
        <v>-10</v>
      </c>
      <c r="BI17" s="72">
        <f>T_EV33403080596673110[[#This Row],[netwon]]+T_EV33403080596673110[[#This Row],[cEVdiff]]</f>
        <v>-12.37226499999997</v>
      </c>
      <c r="BJ17" s="2">
        <f>T_EV33403080596673110[[#This Row],[chipEV]]-T_fact29392879586572109[[#This Row],[stack]]</f>
        <v>-2.3722649999999703</v>
      </c>
      <c r="BK17" s="2">
        <f>T_EV33403080596673110[[#This Row],[EV]]-(T_fact29392879586572109[[#This Row],[ICM]])</f>
        <v>3.2056805128179997</v>
      </c>
    </row>
    <row r="18" spans="1:63" x14ac:dyDescent="0.25">
      <c r="A18">
        <v>2</v>
      </c>
      <c r="B18">
        <v>265</v>
      </c>
      <c r="C18" s="26" t="s">
        <v>677</v>
      </c>
      <c r="D18">
        <v>35</v>
      </c>
      <c r="F18" s="5">
        <f>COUNTIF(T_p12135197554616877[stack],"&gt;0")</f>
        <v>2</v>
      </c>
      <c r="G18">
        <f>IF(T_init203447453606776[[#This Row],[p]]=1,mainpot+sidepot1+sidepot2+uncalled,IF(T_init203447453606776[[#This Row],[p]]&gt;1,0,T_init203447453606776[[#This Row],[stack]]-T_init203447453606776[[#This Row],[anteblinds]]))</f>
        <v>0</v>
      </c>
      <c r="H18">
        <v>0.28499999999999998</v>
      </c>
      <c r="I18" s="2">
        <f>T_p12135197554616877[[#This Row],[EQ]]*prize</f>
        <v>16.769400000000001</v>
      </c>
      <c r="J18" s="66">
        <f>IF(T_init203447453606776[[#This Row],[p]]=1,T_p12135197554616877[[#This Row],[players]]*T_p12135197554616877[[#This Row],[stack]]/chips+COUNTIF(T_p12135197554616877[stack],0),T_p12135197554616877[[#This Row],[players]]*T_p12135197554616877[[#This Row],[stack]]/chips)</f>
        <v>0</v>
      </c>
      <c r="K18" s="66">
        <f>T_p12135197554616877[[#This Row],[ICM]]+bounty*T_p12135197554616877[[#This Row],[KO]]</f>
        <v>16.769400000000001</v>
      </c>
      <c r="M18" s="10">
        <f>COUNTIF(T_p22236257655626978[stack],"&gt;0")</f>
        <v>3</v>
      </c>
      <c r="N18" s="26">
        <f>IF(T_init203447453606776[[#This Row],[p]]=1,uncalled,IF(T_init203447453606776[[#This Row],[p]]=2,mainpot+sidepot1+sidepot2,IF(T_init203447453606776[[#This Row],[p]]&gt;2,0,T_init203447453606776[[#This Row],[stack]]-T_init203447453606776[[#This Row],[anteblinds]])))</f>
        <v>585</v>
      </c>
      <c r="O18">
        <v>0.28499999999999998</v>
      </c>
      <c r="P18" s="2">
        <f>T_p22236257655626978[[#This Row],[EQ]]*prize</f>
        <v>16.769400000000001</v>
      </c>
      <c r="Q18" s="66">
        <f>IF(T_init203447453606776[[#This Row],[p]]=2,T_p22236257655626978[[#This Row],[players]]*T_p22236257655626978[[#This Row],[stack]]/chips+COUNTIF(T_p22236257655626978[stack],0),T_p22236257655626978[[#This Row],[players]]*T_p22236257655626978[[#This Row],[stack]]/chips)</f>
        <v>3.8774999999999999</v>
      </c>
      <c r="R18" s="66">
        <f>T_p22236257655626978[[#This Row],[ICM]]+bounty*T_p22236257655626978[[#This Row],[KO]]</f>
        <v>16.769400000000001</v>
      </c>
      <c r="S18" s="66"/>
      <c r="T18" s="10">
        <f>COUNTIF(T_p22236257655626974111[stack],"&gt;0")</f>
        <v>4</v>
      </c>
      <c r="U18" s="26">
        <f>IF(T_init203447453606776[[#This Row],[p]]=1,ROUND(uncalled + mainpot/3, 0) + ROUND(sidepot1/2,0),IF(T_init203447453606776[[#This Row],[p]]=2,ROUND(mainpot/3,0) + ROUND(sidepot1/2,0),IF(T_init203447453606776[[#This Row],[p]]=3, ROUNDUP(mainpot/3,0),T_init203447453606776[[#This Row],[stack]]-T_init203447453606776[[#This Row],[anteblinds]])))</f>
        <v>268</v>
      </c>
      <c r="V18">
        <v>0.28499999999999998</v>
      </c>
      <c r="W18" s="2">
        <f>T_p22236257655626974111[[#This Row],[EQ]]*prize</f>
        <v>16.769400000000001</v>
      </c>
      <c r="X18" s="66">
        <f>IF(T_init203447453606776[[#This Row],[p]]=2,T_p22236257655626974111[[#This Row],[players]]*T_p22236257655626974111[[#This Row],[stack]]/chips+COUNTIF(T_p22236257655626974111[stack],0),T_p22236257655626974111[[#This Row],[players]]*T_p22236257655626974111[[#This Row],[stack]]/chips)</f>
        <v>2.536</v>
      </c>
      <c r="Y18" s="66">
        <f>T_p22236257655626974111[[#This Row],[ICM]]+bounty*T_p22236257655626974111[[#This Row],[KO]]</f>
        <v>16.769400000000001</v>
      </c>
      <c r="AA18" s="5">
        <f>COUNTIF(T_p3p12337267756637079[stack],"&gt;0")</f>
        <v>3</v>
      </c>
      <c r="AB18" s="26">
        <f>IF(T_init203447453606776[[#This Row],[p]]=1,sidepot1+uncalled,IF(T_init203447453606776[[#This Row],[p]]=3,mainpot,IF(ISBLANK(T_init203447453606776[[#This Row],[p]]),T_init203447453606776[[#This Row],[stack]]-T_init203447453606776[[#This Row],[anteblinds]],0)))</f>
        <v>0</v>
      </c>
      <c r="AC18">
        <v>0.28499999999999998</v>
      </c>
      <c r="AD18" s="2">
        <f>T_p3p12337267756637079[[#This Row],[EQ]]*prize</f>
        <v>16.769400000000001</v>
      </c>
      <c r="AE18" s="66">
        <f>IF(T_init203447453606776[[#This Row],[p]]=1,T_p3p12337267756637079[[#This Row],[players]]*T_p3p12337267756637079[[#This Row],[stack]]/chips+COUNTIF(T_p3p12337267756637079[stack],0),T_p3p12337267756637079[[#This Row],[players]]*T_p3p12337267756637079[[#This Row],[stack]]/chips)</f>
        <v>0</v>
      </c>
      <c r="AF18" s="66">
        <f>T_p3p12337267756637079[[#This Row],[ICM]]+bounty*T_p3p12337267756637079[[#This Row],[KO]]</f>
        <v>16.769400000000001</v>
      </c>
      <c r="AH18" s="5">
        <f>COUNTIF(T_p3p22438277857647180[stack],"&gt;0")</f>
        <v>4</v>
      </c>
      <c r="AI18">
        <f>IF(T_init203447453606776[[#This Row],[p]]=1,uncalled,IF(T_init203447453606776[[#This Row],[p]]=2,sidepot1,IF(T_init203447453606776[[#This Row],[p]]=3,mainpot,IF(ISBLANK(T_init203447453606776[[#This Row],[p]]),T_init203447453606776[[#This Row],[stack]]-T_init203447453606776[[#This Row],[anteblinds]],0))))</f>
        <v>440</v>
      </c>
      <c r="AJ18">
        <v>0.28499999999999998</v>
      </c>
      <c r="AK18" s="2">
        <f>T_p3p22438277857647180[[#This Row],[EQ]]*prize</f>
        <v>16.769400000000001</v>
      </c>
      <c r="AL18" s="66">
        <f>IF(T_init203447453606776[[#This Row],[p]]=2,T_p3p22438277857647180[[#This Row],[players]]*T_p3p22438277857647180[[#This Row],[stack]]/chips+COUNTIF(T_p3p22438277857647180[stack],0),T_p3p22438277857647180[[#This Row],[players]]*T_p3p22438277857647180[[#This Row],[stack]]/chips)</f>
        <v>2.88</v>
      </c>
      <c r="AM18" s="16">
        <f>T_p3p22438277857647180[[#This Row],[ICM]]+bounty*T_p3p22438277857647180[[#This Row],[KO]]</f>
        <v>16.769400000000001</v>
      </c>
      <c r="AO18" s="5">
        <f>COUNTIF(T_p3p22438277857647175112[stack],"&gt;0")</f>
        <v>4</v>
      </c>
      <c r="AP18">
        <f>IF(T_init203447453606776[[#This Row],[p]]=1,uncalled + ROUND(sidepot1/2,0),IF(T_init203447453606776[[#This Row],[p]]=2,ROUND(sidepot1/2,0),IF(T_init203447453606776[[#This Row],[p]]=3,mainpot,IF(ISBLANK(T_init203447453606776[[#This Row],[p]]),T_init203447453606776[[#This Row],[stack]]-T_init203447453606776[[#This Row],[anteblinds]],0))))</f>
        <v>220</v>
      </c>
      <c r="AQ18">
        <v>0.28499999999999998</v>
      </c>
      <c r="AR18" s="2">
        <f>T_p3p22438277857647175112[[#This Row],[EQ]]*prize</f>
        <v>16.769400000000001</v>
      </c>
      <c r="AS18" s="66">
        <f>IF(T_init203447453606776[[#This Row],[p]]=2,T_p3p22438277857647175112[[#This Row],[players]]*T_p3p22438277857647175112[[#This Row],[stack]]/chips+COUNTIF(T_p3p22438277857647175112[stack],0),T_p3p22438277857647175112[[#This Row],[players]]*T_p3p22438277857647175112[[#This Row],[stack]]/chips)</f>
        <v>2.44</v>
      </c>
      <c r="AT18" s="16">
        <f>T_p3p22438277857647175112[[#This Row],[ICM]]+bounty*T_p3p22438277857647175112[[#This Row],[KO]]</f>
        <v>16.769400000000001</v>
      </c>
      <c r="AV18" s="5">
        <f>COUNTIF(T_fact29392879586572109[stack],"&gt;0")</f>
        <v>3</v>
      </c>
      <c r="AW18" s="26">
        <v>0</v>
      </c>
      <c r="AX18">
        <v>0.28499999999999998</v>
      </c>
      <c r="AY18" s="2">
        <f>T_fact29392879586572109[[#This Row],[EQ]]*prize</f>
        <v>16.769400000000001</v>
      </c>
      <c r="AZ18" s="66">
        <f>IF(T_init203447453606776[[#This Row],[p]]=1,T_fact29392879586572109[[#This Row],[players]]*T_fact29392879586572109[[#This Row],[stack]]/chips+COUNTIF(T_fact29392879586572109[stack],0),T_fact29392879586572109[[#This Row],[players]]*T_fact29392879586572109[[#This Row],[stack]]/chips)</f>
        <v>0</v>
      </c>
      <c r="BA18" s="16">
        <f>T_fact29392879586572109[[#This Row],[ICM]]+bounty*T_fact29392879586572109[[#This Row],[KO]]</f>
        <v>16.769400000000001</v>
      </c>
      <c r="BD18" s="68">
        <f>'3way 7d Jd ничьи'!p3win* ('3way 7d Jd ничьи'!p1sp1win*T_p3p12337267756637079[[#This Row],[ICM]] + '3way 7d Jd ничьи'!p2sp1win*T_p3p22438277857647180[[#This Row],[ICM]] + tiesp1*T_p3p22438277857647175112[[#This Row],[ICM]])
+'3way 7d Jd ничьи'!p2win*T_p22236257655626978[[#This Row],[ICM]]
+'3way 7d Jd ничьи'!p1win*T_p12135197554616877[[#This Row],[ICM]]
+'3way 7d Jd ничьи'!tie*T_p22236257655626974111[[#This Row],[ICM]]</f>
        <v>16.716358052412001</v>
      </c>
      <c r="BE18" s="68">
        <f>('3way 7d Jd ничьи'!p3win* ('3way 7d Jd ничьи'!p1sp1win*T_p3p12337267756637079[[#This Row],[KO]] + '3way 7d Jd ничьи'!p2sp1win*T_p3p22438277857647180[[#This Row],[KO]])
+'3way 7d Jd ничьи'!p2win*T_p22236257655626978[[#This Row],[KO]]
+'3way 7d Jd ничьи'!p1win*T_p12135197554616877[[#This Row],[KO]])*bounty</f>
        <v>0</v>
      </c>
      <c r="BF18" s="68">
        <f>'3way 7d Jd ничьи'!p3win* ('3way 7d Jd ничьи'!p1sp1win*T_p3p12337267756637079[[#This Row],[$stack]] + '3way 7d Jd ничьи'!p2sp1win*T_p3p22438277857647180[[#This Row],[$stack]])
+'3way 7d Jd ничьи'!p2win*T_p22236257655626978[[#This Row],[$stack]]
+'3way 7d Jd ничьи'!p1win*T_p12135197554616877[[#This Row],[$stack]]</f>
        <v>16.124398232412002</v>
      </c>
      <c r="BG18" s="68">
        <f>'3way 7d Jd ничьи'!p3win* ('3way 7d Jd ничьи'!p1sp1win*T_p3p12337267756637079[[#This Row],[stack]] + '3way 7d Jd ничьи'!p2sp1win*T_p3p22438277857647180[[#This Row],[stack]] + tiesp1*T_p3p22438277857647175112[[#This Row],[stack]])
+'3way 7d Jd ничьи'!p2win*T_p22236257655626978[[#This Row],[stack]]
+'3way 7d Jd ничьи'!p1win*T_p12135197554616877[[#This Row],[stack]]
+tie*T_p22236257655626974111[[#This Row],[stack]]</f>
        <v>394.92308639999999</v>
      </c>
      <c r="BH18" s="68">
        <f>T_fact29392879586572109[[#This Row],[stack]]- T_init203447453606776[[#This Row],[stack]]</f>
        <v>-265</v>
      </c>
      <c r="BI18" s="68">
        <f>T_EV33403080596673110[[#This Row],[netwon]]+T_EV33403080596673110[[#This Row],[cEVdiff]]</f>
        <v>129.92308639999999</v>
      </c>
      <c r="BJ18" s="2">
        <f>T_EV33403080596673110[[#This Row],[chipEV]]-T_fact29392879586572109[[#This Row],[stack]]</f>
        <v>394.92308639999999</v>
      </c>
      <c r="BK18" s="2">
        <f>T_EV33403080596673110[[#This Row],[EV]]-(T_fact29392879586572109[[#This Row],[ICM]])</f>
        <v>-0.6450017675879991</v>
      </c>
    </row>
    <row r="19" spans="1:63" s="17" customFormat="1" x14ac:dyDescent="0.25">
      <c r="A19" s="17">
        <v>1</v>
      </c>
      <c r="B19" s="17">
        <v>930</v>
      </c>
      <c r="C19" s="17" t="s">
        <v>676</v>
      </c>
      <c r="D19" s="17">
        <v>60</v>
      </c>
      <c r="F19" s="83">
        <f>COUNTIF(T_p12135197554616877[stack],"&gt;0")</f>
        <v>2</v>
      </c>
      <c r="G19" s="17">
        <f>IF(T_init203447453606776[[#This Row],[p]]=1,mainpot+sidepot1+sidepot2+uncalled,IF(T_init203447453606776[[#This Row],[p]]&gt;1,0,T_init203447453606776[[#This Row],[stack]]-T_init203447453606776[[#This Row],[anteblinds]]))</f>
        <v>1250</v>
      </c>
      <c r="H19" s="17">
        <v>0.71499999999999997</v>
      </c>
      <c r="I19" s="18">
        <f>T_p12135197554616877[[#This Row],[EQ]]*prize</f>
        <v>42.070599999999999</v>
      </c>
      <c r="J19" s="67">
        <f>IF(T_init203447453606776[[#This Row],[p]]=1,T_p12135197554616877[[#This Row],[players]]*T_p12135197554616877[[#This Row],[stack]]/chips+COUNTIF(T_p12135197554616877[stack],0),T_p12135197554616877[[#This Row],[players]]*T_p12135197554616877[[#This Row],[stack]]/chips)</f>
        <v>5.25</v>
      </c>
      <c r="K19" s="67">
        <f>T_p12135197554616877[[#This Row],[ICM]]+bounty*T_p12135197554616877[[#This Row],[KO]]</f>
        <v>42.070599999999999</v>
      </c>
      <c r="M19" s="19">
        <f>COUNTIF(T_p22236257655626978[stack],"&gt;0")</f>
        <v>3</v>
      </c>
      <c r="N19" s="17">
        <f>IF(T_init203447453606776[[#This Row],[p]]=1,uncalled,IF(T_init203447453606776[[#This Row],[p]]=2,mainpot+sidepot1+sidepot2,IF(T_init203447453606776[[#This Row],[p]]&gt;2,0,T_init203447453606776[[#This Row],[stack]]-T_init203447453606776[[#This Row],[anteblinds]])))</f>
        <v>665</v>
      </c>
      <c r="O19" s="17">
        <v>0.16250000000000001</v>
      </c>
      <c r="P19" s="18">
        <f>T_p22236257655626978[[#This Row],[EQ]]*prize</f>
        <v>9.5615000000000006</v>
      </c>
      <c r="Q19" s="67">
        <f>IF(T_init203447453606776[[#This Row],[p]]=2,T_p22236257655626978[[#This Row],[players]]*T_p22236257655626978[[#This Row],[stack]]/chips+COUNTIF(T_p22236257655626978[stack],0),T_p22236257655626978[[#This Row],[players]]*T_p22236257655626978[[#This Row],[stack]]/chips)</f>
        <v>0.99750000000000005</v>
      </c>
      <c r="R19" s="67">
        <f>T_p22236257655626978[[#This Row],[ICM]]+bounty*T_p22236257655626978[[#This Row],[KO]]</f>
        <v>9.5615000000000006</v>
      </c>
      <c r="S19" s="67"/>
      <c r="T19" s="19">
        <f>COUNTIF(T_p22236257655626974111[stack],"&gt;0")</f>
        <v>4</v>
      </c>
      <c r="U19" s="17">
        <f>IF(T_init203447453606776[[#This Row],[p]]=1,ROUND(uncalled + mainpot/3, 0) + ROUND(sidepot1/2,0),IF(T_init203447453606776[[#This Row],[p]]=2,ROUND(mainpot/3,0) + ROUND(sidepot1/2,0),IF(T_init203447453606776[[#This Row],[p]]=3, ROUNDUP(mainpot/3,0),T_init203447453606776[[#This Row],[stack]]-T_init203447453606776[[#This Row],[anteblinds]])))</f>
        <v>933</v>
      </c>
      <c r="V19" s="17">
        <v>0.40899999999999997</v>
      </c>
      <c r="W19" s="18">
        <f>T_p22236257655626974111[[#This Row],[EQ]]*prize</f>
        <v>24.065560000000001</v>
      </c>
      <c r="X19" s="67">
        <f>IF(T_init203447453606776[[#This Row],[p]]=2,T_p22236257655626974111[[#This Row],[players]]*T_p22236257655626974111[[#This Row],[stack]]/chips+COUNTIF(T_p22236257655626974111[stack],0),T_p22236257655626974111[[#This Row],[players]]*T_p22236257655626974111[[#This Row],[stack]]/chips)</f>
        <v>1.8660000000000001</v>
      </c>
      <c r="Y19" s="67">
        <f>T_p22236257655626974111[[#This Row],[ICM]]+bounty*T_p22236257655626974111[[#This Row],[KO]]</f>
        <v>24.065560000000001</v>
      </c>
      <c r="AA19" s="83">
        <f>COUNTIF(T_p3p12337267756637079[stack],"&gt;0")</f>
        <v>3</v>
      </c>
      <c r="AB19" s="17">
        <f>IF(T_init203447453606776[[#This Row],[p]]=1,sidepot1+uncalled,IF(T_init203447453606776[[#This Row],[p]]=3,mainpot,IF(ISBLANK(T_init203447453606776[[#This Row],[p]]),T_init203447453606776[[#This Row],[stack]]-T_init203447453606776[[#This Row],[anteblinds]],0)))</f>
        <v>1105</v>
      </c>
      <c r="AC19" s="17">
        <v>0.53749999999999998</v>
      </c>
      <c r="AD19" s="18">
        <f>T_p3p12337267756637079[[#This Row],[EQ]]*prize</f>
        <v>31.6265</v>
      </c>
      <c r="AE19" s="67">
        <f>IF(T_init203447453606776[[#This Row],[p]]=1,T_p3p12337267756637079[[#This Row],[players]]*T_p3p12337267756637079[[#This Row],[stack]]/chips+COUNTIF(T_p3p12337267756637079[stack],0),T_p3p12337267756637079[[#This Row],[players]]*T_p3p12337267756637079[[#This Row],[stack]]/chips)</f>
        <v>4.6574999999999998</v>
      </c>
      <c r="AF19" s="67">
        <f>T_p3p12337267756637079[[#This Row],[ICM]]+bounty*T_p3p12337267756637079[[#This Row],[KO]]</f>
        <v>31.6265</v>
      </c>
      <c r="AH19" s="83">
        <f>COUNTIF(T_p3p22438277857647180[stack],"&gt;0")</f>
        <v>4</v>
      </c>
      <c r="AI19" s="17">
        <f>IF(T_init203447453606776[[#This Row],[p]]=1,uncalled,IF(T_init203447453606776[[#This Row],[p]]=2,sidepot1,IF(T_init203447453606776[[#This Row],[p]]=3,mainpot,IF(ISBLANK(T_init203447453606776[[#This Row],[p]]),T_init203447453606776[[#This Row],[stack]]-T_init203447453606776[[#This Row],[anteblinds]],0))))</f>
        <v>665</v>
      </c>
      <c r="AJ19" s="17">
        <v>0.16250000000000001</v>
      </c>
      <c r="AK19" s="18">
        <f>T_p3p22438277857647180[[#This Row],[EQ]]*prize</f>
        <v>9.5615000000000006</v>
      </c>
      <c r="AL19" s="67">
        <f>IF(T_init203447453606776[[#This Row],[p]]=2,T_p3p22438277857647180[[#This Row],[players]]*T_p3p22438277857647180[[#This Row],[stack]]/chips+COUNTIF(T_p3p22438277857647180[stack],0),T_p3p22438277857647180[[#This Row],[players]]*T_p3p22438277857647180[[#This Row],[stack]]/chips)</f>
        <v>1.33</v>
      </c>
      <c r="AM19" s="24">
        <f>T_p3p22438277857647180[[#This Row],[ICM]]+bounty*T_p3p22438277857647180[[#This Row],[KO]]</f>
        <v>9.5615000000000006</v>
      </c>
      <c r="AO19" s="83">
        <f>COUNTIF(T_p3p22438277857647175112[stack],"&gt;0")</f>
        <v>4</v>
      </c>
      <c r="AP19" s="17">
        <f>IF(T_init203447453606776[[#This Row],[p]]=1,uncalled + ROUND(sidepot1/2,0),IF(T_init203447453606776[[#This Row],[p]]=2,ROUND(sidepot1/2,0),IF(T_init203447453606776[[#This Row],[p]]=3,mainpot,IF(ISBLANK(T_init203447453606776[[#This Row],[p]]),T_init203447453606776[[#This Row],[stack]]-T_init203447453606776[[#This Row],[anteblinds]],0))))</f>
        <v>885</v>
      </c>
      <c r="AQ19" s="17">
        <v>0.35</v>
      </c>
      <c r="AR19" s="18">
        <f>T_p3p22438277857647175112[[#This Row],[EQ]]*prize</f>
        <v>20.594000000000001</v>
      </c>
      <c r="AS19" s="67">
        <f>IF(T_init203447453606776[[#This Row],[p]]=2,T_p3p22438277857647175112[[#This Row],[players]]*T_p3p22438277857647175112[[#This Row],[stack]]/chips+COUNTIF(T_p3p22438277857647175112[stack],0),T_p3p22438277857647175112[[#This Row],[players]]*T_p3p22438277857647175112[[#This Row],[stack]]/chips)</f>
        <v>1.77</v>
      </c>
      <c r="AT19" s="24">
        <f>T_p3p22438277857647175112[[#This Row],[ICM]]+bounty*T_p3p22438277857647175112[[#This Row],[KO]]</f>
        <v>20.594000000000001</v>
      </c>
      <c r="AV19" s="83">
        <f>COUNTIF(T_fact29392879586572109[stack],"&gt;0")</f>
        <v>3</v>
      </c>
      <c r="AW19" s="17">
        <v>1105</v>
      </c>
      <c r="AX19" s="17">
        <v>0.16250000000000001</v>
      </c>
      <c r="AY19" s="18">
        <f>T_fact29392879586572109[[#This Row],[EQ]]*prize</f>
        <v>9.5615000000000006</v>
      </c>
      <c r="AZ19" s="67">
        <f>IF(T_init203447453606776[[#This Row],[p]]=1,T_fact29392879586572109[[#This Row],[players]]*T_fact29392879586572109[[#This Row],[stack]]/chips+COUNTIF(T_fact29392879586572109[stack],0),T_fact29392879586572109[[#This Row],[players]]*T_fact29392879586572109[[#This Row],[stack]]/chips)</f>
        <v>4.6574999999999998</v>
      </c>
      <c r="BA19" s="24">
        <f>T_fact29392879586572109[[#This Row],[ICM]]+bounty*T_fact29392879586572109[[#This Row],[KO]]</f>
        <v>9.5615000000000006</v>
      </c>
      <c r="BD19" s="69">
        <f>'3way 7d Jd ничьи'!p3win* ('3way 7d Jd ничьи'!p1sp1win*T_p3p12337267756637079[[#This Row],[ICM]] + '3way 7d Jd ничьи'!p2sp1win*T_p3p22438277857647180[[#This Row],[ICM]] + tiesp1*T_p3p22438277857647175112[[#This Row],[ICM]])
+'3way 7d Jd ничьи'!p2win*T_p22236257655626978[[#This Row],[ICM]]
+'3way 7d Jd ничьи'!p1win*T_p12135197554616877[[#This Row],[ICM]]
+'3way 7d Jd ничьи'!tie*T_p22236257655626974111[[#This Row],[ICM]]</f>
        <v>17.160817904570003</v>
      </c>
      <c r="BE19" s="69">
        <f>('3way 7d Jd ничьи'!p3win* ('3way 7d Jd ничьи'!p1sp1win*T_p3p12337267756637079[[#This Row],[KO]] + '3way 7d Jd ничьи'!p2sp1win*T_p3p22438277857647180[[#This Row],[KO]])
+'3way 7d Jd ничьи'!p2win*T_p22236257655626978[[#This Row],[KO]]
+'3way 7d Jd ничьи'!p1win*T_p12135197554616877[[#This Row],[KO]])*bounty</f>
        <v>0</v>
      </c>
      <c r="BF19" s="69">
        <f>'3way 7d Jd ничьи'!p3win* ('3way 7d Jd ничьи'!p1sp1win*T_p3p12337267756637079[[#This Row],[$stack]] + '3way 7d Jd ничьи'!p2sp1win*T_p3p22438277857647180[[#This Row],[$stack]])
+'3way 7d Jd ничьи'!p2win*T_p22236257655626978[[#This Row],[$stack]]
+'3way 7d Jd ничьи'!p1win*T_p12135197554616877[[#This Row],[$stack]]</f>
        <v>16.311303636570003</v>
      </c>
      <c r="BG19" s="69">
        <f>'3way 7d Jd ничьи'!p3win* ('3way 7d Jd ничьи'!p1sp1win*T_p3p12337267756637079[[#This Row],[stack]] + '3way 7d Jd ничьи'!p2sp1win*T_p3p22438277857647180[[#This Row],[stack]] + tiesp1*T_p3p22438277857647175112[[#This Row],[stack]])
+'3way 7d Jd ничьи'!p2win*T_p22236257655626978[[#This Row],[stack]]
+'3way 7d Jd ничьи'!p1win*T_p12135197554616877[[#This Row],[stack]]
+tie*T_p22236257655626974111[[#This Row],[stack]]</f>
        <v>804.88757650000002</v>
      </c>
      <c r="BH19" s="69">
        <f>T_fact29392879586572109[[#This Row],[stack]]- T_init203447453606776[[#This Row],[stack]]</f>
        <v>175</v>
      </c>
      <c r="BI19" s="69">
        <f>T_EV33403080596673110[[#This Row],[netwon]]+T_EV33403080596673110[[#This Row],[cEVdiff]]</f>
        <v>-125.11242349999998</v>
      </c>
      <c r="BJ19" s="18">
        <f>T_EV33403080596673110[[#This Row],[chipEV]]-T_fact29392879586572109[[#This Row],[stack]]</f>
        <v>-300.11242349999998</v>
      </c>
      <c r="BK19" s="18">
        <f>T_EV33403080596673110[[#This Row],[EV]]-(T_fact29392879586572109[[#This Row],[ICM]])</f>
        <v>6.749803636570002</v>
      </c>
    </row>
    <row r="20" spans="1:63" x14ac:dyDescent="0.25">
      <c r="A20" s="26">
        <v>3</v>
      </c>
      <c r="B20" s="26">
        <v>45</v>
      </c>
      <c r="C20" t="s">
        <v>678</v>
      </c>
      <c r="D20" s="26">
        <v>10</v>
      </c>
      <c r="F20" s="73">
        <f>COUNTIF(T_p12135197554616877[stack],"&gt;0")</f>
        <v>2</v>
      </c>
      <c r="G20" s="26">
        <f>IF(T_init203447453606776[[#This Row],[p]]=1,mainpot+sidepot1+sidepot2+uncalled,IF(T_init203447453606776[[#This Row],[p]]&gt;1,0,T_init203447453606776[[#This Row],[stack]]-T_init203447453606776[[#This Row],[anteblinds]]))</f>
        <v>0</v>
      </c>
      <c r="H20" s="26"/>
      <c r="I20" s="27">
        <f>T_p12135197554616877[[#This Row],[EQ]]*prize</f>
        <v>0</v>
      </c>
      <c r="J20" s="71">
        <f>IF(T_init203447453606776[[#This Row],[p]]=1,T_p12135197554616877[[#This Row],[players]]*T_p12135197554616877[[#This Row],[stack]]/chips+COUNTIF(T_p12135197554616877[stack],0),T_p12135197554616877[[#This Row],[players]]*T_p12135197554616877[[#This Row],[stack]]/chips)</f>
        <v>0</v>
      </c>
      <c r="K20" s="71">
        <f>T_p12135197554616877[[#This Row],[ICM]]+bounty*T_p12135197554616877[[#This Row],[KO]]</f>
        <v>0</v>
      </c>
      <c r="M20" s="29">
        <f>COUNTIF(T_p22236257655626978[stack],"&gt;0")</f>
        <v>3</v>
      </c>
      <c r="N20" s="26">
        <f>IF(T_init203447453606776[[#This Row],[p]]=1,uncalled,IF(T_init203447453606776[[#This Row],[p]]=2,mainpot+sidepot1+sidepot2,IF(T_init203447453606776[[#This Row],[p]]&gt;2,0,T_init203447453606776[[#This Row],[stack]]-T_init203447453606776[[#This Row],[anteblinds]])))</f>
        <v>0</v>
      </c>
      <c r="O20" s="26">
        <v>0.55249999999999999</v>
      </c>
      <c r="P20" s="27">
        <f>T_p22236257655626978[[#This Row],[EQ]]*prize</f>
        <v>32.509100000000004</v>
      </c>
      <c r="Q20" s="71">
        <f>IF(T_init203447453606776[[#This Row],[p]]=2,T_p22236257655626978[[#This Row],[players]]*T_p22236257655626978[[#This Row],[stack]]/chips+COUNTIF(T_p22236257655626978[stack],0),T_p22236257655626978[[#This Row],[players]]*T_p22236257655626978[[#This Row],[stack]]/chips)</f>
        <v>0</v>
      </c>
      <c r="R20" s="71">
        <f>T_p22236257655626978[[#This Row],[ICM]]+bounty*T_p22236257655626978[[#This Row],[KO]]</f>
        <v>32.509100000000004</v>
      </c>
      <c r="S20" s="71"/>
      <c r="T20" s="29">
        <f>COUNTIF(T_p22236257655626974111[stack],"&gt;0")</f>
        <v>4</v>
      </c>
      <c r="U20" s="26">
        <f>IF(T_init203447453606776[[#This Row],[p]]=1,ROUND(uncalled + mainpot/3, 0) + ROUND(sidepot1/2,0),IF(T_init203447453606776[[#This Row],[p]]=2,ROUND(mainpot/3,0) + ROUND(sidepot1/2,0),IF(T_init203447453606776[[#This Row],[p]]=3, ROUNDUP(mainpot/3,0),T_init203447453606776[[#This Row],[stack]]-T_init203447453606776[[#This Row],[anteblinds]])))</f>
        <v>49</v>
      </c>
      <c r="V20" s="26">
        <v>0.2465</v>
      </c>
      <c r="W20" s="27">
        <f>T_p22236257655626974111[[#This Row],[EQ]]*prize</f>
        <v>14.504060000000001</v>
      </c>
      <c r="X20" s="71">
        <f>IF(T_init203447453606776[[#This Row],[p]]=2,T_p22236257655626974111[[#This Row],[players]]*T_p22236257655626974111[[#This Row],[stack]]/chips+COUNTIF(T_p22236257655626974111[stack],0),T_p22236257655626974111[[#This Row],[players]]*T_p22236257655626974111[[#This Row],[stack]]/chips)</f>
        <v>9.8000000000000004E-2</v>
      </c>
      <c r="Y20" s="71">
        <f>T_p22236257655626974111[[#This Row],[ICM]]+bounty*T_p22236257655626974111[[#This Row],[KO]]</f>
        <v>14.504060000000001</v>
      </c>
      <c r="AA20" s="73">
        <f>COUNTIF(T_p3p12337267756637079[stack],"&gt;0")</f>
        <v>3</v>
      </c>
      <c r="AB20" s="26">
        <f>IF(T_init203447453606776[[#This Row],[p]]=1,sidepot1+uncalled,IF(T_init203447453606776[[#This Row],[p]]=3,mainpot,IF(ISBLANK(T_init203447453606776[[#This Row],[p]]),T_init203447453606776[[#This Row],[stack]]-T_init203447453606776[[#This Row],[anteblinds]],0)))</f>
        <v>145</v>
      </c>
      <c r="AC20" s="26">
        <v>0</v>
      </c>
      <c r="AD20" s="27">
        <f>T_p3p12337267756637079[[#This Row],[EQ]]*prize</f>
        <v>0</v>
      </c>
      <c r="AE20" s="71">
        <f>IF(T_init203447453606776[[#This Row],[p]]=1,T_p3p12337267756637079[[#This Row],[players]]*T_p3p12337267756637079[[#This Row],[stack]]/chips+COUNTIF(T_p3p12337267756637079[stack],0),T_p3p12337267756637079[[#This Row],[players]]*T_p3p12337267756637079[[#This Row],[stack]]/chips)</f>
        <v>0.2175</v>
      </c>
      <c r="AF20" s="71">
        <f>T_p3p12337267756637079[[#This Row],[ICM]]+bounty*T_p3p12337267756637079[[#This Row],[KO]]</f>
        <v>0</v>
      </c>
      <c r="AH20" s="73">
        <f>COUNTIF(T_p3p22438277857647180[stack],"&gt;0")</f>
        <v>4</v>
      </c>
      <c r="AI20" s="26">
        <f>IF(T_init203447453606776[[#This Row],[p]]=1,uncalled,IF(T_init203447453606776[[#This Row],[p]]=2,sidepot1,IF(T_init203447453606776[[#This Row],[p]]=3,mainpot,IF(ISBLANK(T_init203447453606776[[#This Row],[p]]),T_init203447453606776[[#This Row],[stack]]-T_init203447453606776[[#This Row],[anteblinds]],0))))</f>
        <v>145</v>
      </c>
      <c r="AJ20" s="26">
        <v>0.375</v>
      </c>
      <c r="AK20" s="27">
        <f>T_p3p22438277857647180[[#This Row],[EQ]]*prize</f>
        <v>22.065000000000001</v>
      </c>
      <c r="AL20" s="71">
        <f>IF(T_init203447453606776[[#This Row],[p]]=2,T_p3p22438277857647180[[#This Row],[players]]*T_p3p22438277857647180[[#This Row],[stack]]/chips+COUNTIF(T_p3p22438277857647180[stack],0),T_p3p22438277857647180[[#This Row],[players]]*T_p3p22438277857647180[[#This Row],[stack]]/chips)</f>
        <v>0.28999999999999998</v>
      </c>
      <c r="AM20" s="16">
        <f>T_p3p22438277857647180[[#This Row],[ICM]]+bounty*T_p3p22438277857647180[[#This Row],[KO]]</f>
        <v>22.065000000000001</v>
      </c>
      <c r="AO20" s="73">
        <f>COUNTIF(T_p3p22438277857647175112[stack],"&gt;0")</f>
        <v>4</v>
      </c>
      <c r="AP20" s="26">
        <f>IF(T_init203447453606776[[#This Row],[p]]=1,uncalled + ROUND(sidepot1/2,0),IF(T_init203447453606776[[#This Row],[p]]=2,ROUND(sidepot1/2,0),IF(T_init203447453606776[[#This Row],[p]]=3,mainpot,IF(ISBLANK(T_init203447453606776[[#This Row],[p]]),T_init203447453606776[[#This Row],[stack]]-T_init203447453606776[[#This Row],[anteblinds]],0))))</f>
        <v>145</v>
      </c>
      <c r="AQ20" s="26">
        <v>0.1875</v>
      </c>
      <c r="AR20" s="27">
        <f>T_p3p22438277857647175112[[#This Row],[EQ]]*prize</f>
        <v>11.032500000000001</v>
      </c>
      <c r="AS20" s="71">
        <f>IF(T_init203447453606776[[#This Row],[p]]=2,T_p3p22438277857647175112[[#This Row],[players]]*T_p3p22438277857647175112[[#This Row],[stack]]/chips+COUNTIF(T_p3p22438277857647175112[stack],0),T_p3p22438277857647175112[[#This Row],[players]]*T_p3p22438277857647175112[[#This Row],[stack]]/chips)</f>
        <v>0.28999999999999998</v>
      </c>
      <c r="AT20" s="16">
        <f>T_p3p22438277857647175112[[#This Row],[ICM]]+bounty*T_p3p22438277857647175112[[#This Row],[KO]]</f>
        <v>11.032500000000001</v>
      </c>
      <c r="AV20" s="73">
        <f>COUNTIF(T_fact29392879586572109[stack],"&gt;0")</f>
        <v>3</v>
      </c>
      <c r="AW20" s="26">
        <v>145</v>
      </c>
      <c r="AX20" s="26">
        <v>0.55249999999999999</v>
      </c>
      <c r="AY20" s="27">
        <f>T_fact29392879586572109[[#This Row],[EQ]]*prize</f>
        <v>32.509100000000004</v>
      </c>
      <c r="AZ20" s="71">
        <f>IF(T_init203447453606776[[#This Row],[p]]=1,T_fact29392879586572109[[#This Row],[players]]*T_fact29392879586572109[[#This Row],[stack]]/chips+COUNTIF(T_fact29392879586572109[stack],0),T_fact29392879586572109[[#This Row],[players]]*T_fact29392879586572109[[#This Row],[stack]]/chips)</f>
        <v>0.2175</v>
      </c>
      <c r="BA20" s="16">
        <f>T_fact29392879586572109[[#This Row],[ICM]]+bounty*T_fact29392879586572109[[#This Row],[KO]]</f>
        <v>32.509100000000004</v>
      </c>
      <c r="BD20" s="68">
        <f>'3way 7d Jd ничьи'!p3win* ('3way 7d Jd ничьи'!p1sp1win*T_p3p12337267756637079[[#This Row],[ICM]] + '3way 7d Jd ничьи'!p2sp1win*T_p3p22438277857647180[[#This Row],[ICM]] + tiesp1*T_p3p22438277857647175112[[#This Row],[ICM]])
+'3way 7d Jd ничьи'!p2win*T_p22236257655626978[[#This Row],[ICM]]
+'3way 7d Jd ничьи'!p1win*T_p12135197554616877[[#This Row],[ICM]]
+'3way 7d Jd ничьи'!tie*T_p22236257655626974111[[#This Row],[ICM]]</f>
        <v>21.447446839400001</v>
      </c>
      <c r="BE20" s="72">
        <f>('3way 7d Jd ничьи'!p3win* ('3way 7d Jd ничьи'!p1sp1win*T_p3p12337267756637079[[#This Row],[KO]] + '3way 7d Jd ничьи'!p2sp1win*T_p3p22438277857647180[[#This Row],[KO]])
+'3way 7d Jd ничьи'!p2win*T_p22236257655626978[[#This Row],[KO]]
+'3way 7d Jd ничьи'!p1win*T_p12135197554616877[[#This Row],[KO]])*bounty</f>
        <v>0</v>
      </c>
      <c r="BF20" s="72">
        <f>'3way 7d Jd ничьи'!p3win* ('3way 7d Jd ничьи'!p1sp1win*T_p3p12337267756637079[[#This Row],[$stack]] + '3way 7d Jd ничьи'!p2sp1win*T_p3p22438277857647180[[#This Row],[$stack]])
+'3way 7d Jd ничьи'!p2win*T_p22236257655626978[[#This Row],[$stack]]
+'3way 7d Jd ничьи'!p1win*T_p12135197554616877[[#This Row],[$stack]]</f>
        <v>20.935453521399999</v>
      </c>
      <c r="BG20" s="72">
        <f>'3way 7d Jd ничьи'!p3win* ('3way 7d Jd ничьи'!p1sp1win*T_p3p12337267756637079[[#This Row],[stack]] + '3way 7d Jd ничьи'!p2sp1win*T_p3p22438277857647180[[#This Row],[stack]] + tiesp1*T_p3p22438277857647175112[[#This Row],[stack]])
+'3way 7d Jd ничьи'!p2win*T_p22236257655626978[[#This Row],[stack]]
+'3way 7d Jd ничьи'!p1win*T_p12135197554616877[[#This Row],[stack]]
+tie*T_p22236257655626974111[[#This Row],[stack]]</f>
        <v>46.235562099999996</v>
      </c>
      <c r="BH20" s="72">
        <f>T_fact29392879586572109[[#This Row],[stack]]- T_init203447453606776[[#This Row],[stack]]</f>
        <v>100</v>
      </c>
      <c r="BI20" s="72">
        <f>T_EV33403080596673110[[#This Row],[netwon]]+T_EV33403080596673110[[#This Row],[cEVdiff]]</f>
        <v>1.2355620999999957</v>
      </c>
      <c r="BJ20" s="2">
        <f>T_EV33403080596673110[[#This Row],[chipEV]]-T_fact29392879586572109[[#This Row],[stack]]</f>
        <v>-98.764437900000004</v>
      </c>
      <c r="BK20" s="2">
        <f>T_EV33403080596673110[[#This Row],[EV]]-(T_fact29392879586572109[[#This Row],[ICM]])</f>
        <v>-11.573646478600004</v>
      </c>
    </row>
    <row r="21" spans="1:63" x14ac:dyDescent="0.25">
      <c r="B21">
        <v>0</v>
      </c>
      <c r="F21" s="5">
        <f>COUNTIF(T_p12135197554616877[stack],"&gt;0")</f>
        <v>2</v>
      </c>
      <c r="G21">
        <f>IF(T_init203447453606776[[#This Row],[p]]=1,mainpot+sidepot1+sidepot2+uncalled,IF(T_init203447453606776[[#This Row],[p]]&gt;1,0,T_init203447453606776[[#This Row],[stack]]-T_init203447453606776[[#This Row],[anteblinds]]))</f>
        <v>0</v>
      </c>
      <c r="I21" s="2">
        <f>T_p12135197554616877[[#This Row],[EQ]]*prize</f>
        <v>0</v>
      </c>
      <c r="J21" s="66">
        <f>IF(T_init203447453606776[[#This Row],[p]]=1,T_p12135197554616877[[#This Row],[players]]*T_p12135197554616877[[#This Row],[stack]]/chips+COUNTIF(T_p12135197554616877[stack],0),T_p12135197554616877[[#This Row],[players]]*T_p12135197554616877[[#This Row],[stack]]/chips)</f>
        <v>0</v>
      </c>
      <c r="K21" s="66">
        <f>T_p12135197554616877[[#This Row],[ICM]]+bounty*T_p12135197554616877[[#This Row],[KO]]</f>
        <v>0</v>
      </c>
      <c r="M21" s="10">
        <f>COUNTIF(T_p22236257655626978[stack],"&gt;0")</f>
        <v>3</v>
      </c>
      <c r="N21" s="26">
        <f>IF(T_init203447453606776[[#This Row],[p]]=1,uncalled,IF(T_init203447453606776[[#This Row],[p]]=2,mainpot+sidepot1+sidepot2,IF(T_init203447453606776[[#This Row],[p]]&gt;2,0,T_init203447453606776[[#This Row],[stack]]-T_init203447453606776[[#This Row],[anteblinds]])))</f>
        <v>0</v>
      </c>
      <c r="O21">
        <v>0</v>
      </c>
      <c r="P21" s="2">
        <f>T_p22236257655626978[[#This Row],[EQ]]*prize</f>
        <v>0</v>
      </c>
      <c r="Q21" s="66">
        <f>IF(T_init203447453606776[[#This Row],[p]]=2,T_p22236257655626978[[#This Row],[players]]*T_p22236257655626978[[#This Row],[stack]]/chips+COUNTIF(T_p22236257655626978[stack],0),T_p22236257655626978[[#This Row],[players]]*T_p22236257655626978[[#This Row],[stack]]/chips)</f>
        <v>0</v>
      </c>
      <c r="R21" s="66">
        <f>T_p22236257655626978[[#This Row],[ICM]]+bounty*T_p22236257655626978[[#This Row],[KO]]</f>
        <v>0</v>
      </c>
      <c r="S21" s="66"/>
      <c r="T21" s="10">
        <f>COUNTIF(T_p22236257655626974111[stack],"&gt;0")</f>
        <v>4</v>
      </c>
      <c r="U21" s="26">
        <f>IF(T_init203447453606776[[#This Row],[p]]=1,ROUND(uncalled + mainpot/3, 0) + ROUND(sidepot1/2,0),IF(T_init203447453606776[[#This Row],[p]]=2,ROUND(mainpot/3,0) + ROUND(sidepot1/2,0),IF(T_init203447453606776[[#This Row],[p]]=3, ROUNDUP(mainpot/3,0),T_init203447453606776[[#This Row],[stack]]-T_init203447453606776[[#This Row],[anteblinds]])))</f>
        <v>0</v>
      </c>
      <c r="V21">
        <v>0</v>
      </c>
      <c r="W21" s="2">
        <f>T_p22236257655626974111[[#This Row],[EQ]]*prize</f>
        <v>0</v>
      </c>
      <c r="X21" s="66">
        <f>IF(T_init203447453606776[[#This Row],[p]]=2,T_p22236257655626974111[[#This Row],[players]]*T_p22236257655626974111[[#This Row],[stack]]/chips+COUNTIF(T_p22236257655626974111[stack],0),T_p22236257655626974111[[#This Row],[players]]*T_p22236257655626974111[[#This Row],[stack]]/chips)</f>
        <v>0</v>
      </c>
      <c r="Y21" s="66">
        <f>T_p22236257655626974111[[#This Row],[ICM]]+bounty*T_p22236257655626974111[[#This Row],[KO]]</f>
        <v>0</v>
      </c>
      <c r="AA21" s="5">
        <f>COUNTIF(T_p3p12337267756637079[stack],"&gt;0")</f>
        <v>3</v>
      </c>
      <c r="AB21" s="26">
        <f>IF(T_init203447453606776[[#This Row],[p]]=1,sidepot1+uncalled,IF(T_init203447453606776[[#This Row],[p]]=3,mainpot,IF(ISBLANK(T_init203447453606776[[#This Row],[p]]),T_init203447453606776[[#This Row],[stack]]-T_init203447453606776[[#This Row],[anteblinds]],0)))</f>
        <v>0</v>
      </c>
      <c r="AC21">
        <v>0</v>
      </c>
      <c r="AD21" s="2">
        <f>T_p3p12337267756637079[[#This Row],[EQ]]*prize</f>
        <v>0</v>
      </c>
      <c r="AE21" s="66">
        <f>IF(T_init203447453606776[[#This Row],[p]]=1,T_p3p12337267756637079[[#This Row],[players]]*T_p3p12337267756637079[[#This Row],[stack]]/chips+COUNTIF(T_p3p12337267756637079[stack],0),T_p3p12337267756637079[[#This Row],[players]]*T_p3p12337267756637079[[#This Row],[stack]]/chips)</f>
        <v>0</v>
      </c>
      <c r="AF21" s="66">
        <f>T_p3p12337267756637079[[#This Row],[ICM]]+bounty*T_p3p12337267756637079[[#This Row],[KO]]</f>
        <v>0</v>
      </c>
      <c r="AH21" s="5">
        <f>COUNTIF(T_p3p22438277857647180[stack],"&gt;0")</f>
        <v>4</v>
      </c>
      <c r="AI21">
        <f>IF(T_init203447453606776[[#This Row],[p]]=1,uncalled,IF(T_init203447453606776[[#This Row],[p]]=2,sidepot1,IF(T_init203447453606776[[#This Row],[p]]=3,mainpot,IF(ISBLANK(T_init203447453606776[[#This Row],[p]]),T_init203447453606776[[#This Row],[stack]]-T_init203447453606776[[#This Row],[anteblinds]],0))))</f>
        <v>0</v>
      </c>
      <c r="AJ21">
        <v>0</v>
      </c>
      <c r="AK21" s="2">
        <f>T_p3p22438277857647180[[#This Row],[EQ]]*prize</f>
        <v>0</v>
      </c>
      <c r="AL21" s="66">
        <f>IF(T_init203447453606776[[#This Row],[p]]=2,T_p3p22438277857647180[[#This Row],[players]]*T_p3p22438277857647180[[#This Row],[stack]]/chips+COUNTIF(T_p3p22438277857647180[stack],0),T_p3p22438277857647180[[#This Row],[players]]*T_p3p22438277857647180[[#This Row],[stack]]/chips)</f>
        <v>0</v>
      </c>
      <c r="AM21" s="16">
        <f>T_p3p22438277857647180[[#This Row],[ICM]]+bounty*T_p3p22438277857647180[[#This Row],[KO]]</f>
        <v>0</v>
      </c>
      <c r="AO21" s="5">
        <f>COUNTIF(T_p3p22438277857647175112[stack],"&gt;0")</f>
        <v>4</v>
      </c>
      <c r="AP21">
        <f>IF(T_init203447453606776[[#This Row],[p]]=1,uncalled + ROUND(sidepot1/2,0),IF(T_init203447453606776[[#This Row],[p]]=2,ROUND(sidepot1/2,0),IF(T_init203447453606776[[#This Row],[p]]=3,mainpot,IF(ISBLANK(T_init203447453606776[[#This Row],[p]]),T_init203447453606776[[#This Row],[stack]]-T_init203447453606776[[#This Row],[anteblinds]],0))))</f>
        <v>0</v>
      </c>
      <c r="AQ21">
        <v>0</v>
      </c>
      <c r="AR21" s="2">
        <f>T_p3p22438277857647175112[[#This Row],[EQ]]*prize</f>
        <v>0</v>
      </c>
      <c r="AS21" s="66">
        <f>IF(T_init203447453606776[[#This Row],[p]]=2,T_p3p22438277857647175112[[#This Row],[players]]*T_p3p22438277857647175112[[#This Row],[stack]]/chips+COUNTIF(T_p3p22438277857647175112[stack],0),T_p3p22438277857647175112[[#This Row],[players]]*T_p3p22438277857647175112[[#This Row],[stack]]/chips)</f>
        <v>0</v>
      </c>
      <c r="AT21" s="16">
        <f>T_p3p22438277857647175112[[#This Row],[ICM]]+bounty*T_p3p22438277857647175112[[#This Row],[KO]]</f>
        <v>0</v>
      </c>
      <c r="AV21" s="5">
        <f>COUNTIF(T_fact29392879586572109[stack],"&gt;0")</f>
        <v>3</v>
      </c>
      <c r="AW21" s="26">
        <v>0</v>
      </c>
      <c r="AX21">
        <v>0</v>
      </c>
      <c r="AY21" s="2">
        <f>T_fact29392879586572109[[#This Row],[EQ]]*prize</f>
        <v>0</v>
      </c>
      <c r="AZ21" s="66">
        <f>IF(T_init203447453606776[[#This Row],[p]]=1,T_fact29392879586572109[[#This Row],[players]]*T_fact29392879586572109[[#This Row],[stack]]/chips+COUNTIF(T_fact29392879586572109[stack],0),T_fact29392879586572109[[#This Row],[players]]*T_fact29392879586572109[[#This Row],[stack]]/chips)</f>
        <v>0</v>
      </c>
      <c r="BA21" s="16">
        <f>T_fact29392879586572109[[#This Row],[ICM]]+bounty*T_fact29392879586572109[[#This Row],[KO]]</f>
        <v>0</v>
      </c>
      <c r="BD21" s="68">
        <f>'3way 7d Jd ничьи'!p3win* ('3way 7d Jd ничьи'!p1sp1win*T_p3p12337267756637079[[#This Row],[ICM]] + '3way 7d Jd ничьи'!p2sp1win*T_p3p22438277857647180[[#This Row],[ICM]] + tiesp1*T_p3p22438277857647175112[[#This Row],[ICM]])
+'3way 7d Jd ничьи'!p2win*T_p22236257655626978[[#This Row],[ICM]]
+'3way 7d Jd ничьи'!p1win*T_p12135197554616877[[#This Row],[ICM]]
+'3way 7d Jd ничьи'!tie*T_p22236257655626974111[[#This Row],[ICM]]</f>
        <v>0</v>
      </c>
      <c r="BE21" s="68">
        <f>('3way 7d Jd ничьи'!p3win* ('3way 7d Jd ничьи'!p1sp1win*T_p3p12337267756637079[[#This Row],[KO]] + '3way 7d Jd ничьи'!p2sp1win*T_p3p22438277857647180[[#This Row],[KO]])
+'3way 7d Jd ничьи'!p2win*T_p22236257655626978[[#This Row],[KO]]
+'3way 7d Jd ничьи'!p1win*T_p12135197554616877[[#This Row],[KO]])*bounty</f>
        <v>0</v>
      </c>
      <c r="BF21" s="68">
        <f>'3way 7d Jd ничьи'!p3win* ('3way 7d Jd ничьи'!p1sp1win*T_p3p12337267756637079[[#This Row],[$stack]] + '3way 7d Jd ничьи'!p2sp1win*T_p3p22438277857647180[[#This Row],[$stack]])
+'3way 7d Jd ничьи'!p2win*T_p22236257655626978[[#This Row],[$stack]]
+'3way 7d Jd ничьи'!p1win*T_p12135197554616877[[#This Row],[$stack]]</f>
        <v>0</v>
      </c>
      <c r="BG21" s="68">
        <f>'3way 7d Jd ничьи'!p3win* ('3way 7d Jd ничьи'!p1sp1win*T_p3p12337267756637079[[#This Row],[stack]] + '3way 7d Jd ничьи'!p2sp1win*T_p3p22438277857647180[[#This Row],[stack]] + tiesp1*T_p3p22438277857647175112[[#This Row],[stack]])
+'3way 7d Jd ничьи'!p2win*T_p22236257655626978[[#This Row],[stack]]
+'3way 7d Jd ничьи'!p1win*T_p12135197554616877[[#This Row],[stack]]
+tie*T_p22236257655626974111[[#This Row],[stack]]</f>
        <v>0</v>
      </c>
      <c r="BH21" s="68">
        <f>T_fact29392879586572109[[#This Row],[stack]]- T_init203447453606776[[#This Row],[stack]]</f>
        <v>0</v>
      </c>
      <c r="BI21" s="68">
        <f>T_EV33403080596673110[[#This Row],[netwon]]+T_EV33403080596673110[[#This Row],[cEVdiff]]</f>
        <v>0</v>
      </c>
      <c r="BJ21" s="2">
        <f>T_EV33403080596673110[[#This Row],[chipEV]]-T_fact29392879586572109[[#This Row],[stack]]</f>
        <v>0</v>
      </c>
      <c r="BK21" s="2">
        <f>T_EV33403080596673110[[#This Row],[EV]]-(T_fact29392879586572109[[#This Row],[ICM]])</f>
        <v>0</v>
      </c>
    </row>
    <row r="22" spans="1:63" x14ac:dyDescent="0.25">
      <c r="B22">
        <v>0</v>
      </c>
      <c r="F22" s="5">
        <f>COUNTIF(T_p12135197554616877[stack],"&gt;0")</f>
        <v>2</v>
      </c>
      <c r="G22">
        <f>IF(T_init203447453606776[[#This Row],[p]]=1,mainpot+sidepot1+sidepot2+uncalled,IF(T_init203447453606776[[#This Row],[p]]&gt;1,0,T_init203447453606776[[#This Row],[stack]]-T_init203447453606776[[#This Row],[anteblinds]]))</f>
        <v>0</v>
      </c>
      <c r="I22" s="2">
        <f>T_p12135197554616877[[#This Row],[EQ]]*prize</f>
        <v>0</v>
      </c>
      <c r="J22" s="66">
        <f>IF(T_init203447453606776[[#This Row],[p]]=1,T_p12135197554616877[[#This Row],[players]]*T_p12135197554616877[[#This Row],[stack]]/chips+COUNTIF(T_p12135197554616877[stack],0),T_p12135197554616877[[#This Row],[players]]*T_p12135197554616877[[#This Row],[stack]]/chips)</f>
        <v>0</v>
      </c>
      <c r="K22" s="66">
        <f>T_p12135197554616877[[#This Row],[ICM]]+bounty*T_p12135197554616877[[#This Row],[KO]]</f>
        <v>0</v>
      </c>
      <c r="M22" s="10">
        <f>COUNTIF(T_p22236257655626978[stack],"&gt;0")</f>
        <v>3</v>
      </c>
      <c r="N22" s="26">
        <f>IF(T_init203447453606776[[#This Row],[p]]=1,uncalled,IF(T_init203447453606776[[#This Row],[p]]=2,mainpot+sidepot1+sidepot2,IF(T_init203447453606776[[#This Row],[p]]&gt;2,0,T_init203447453606776[[#This Row],[stack]]-T_init203447453606776[[#This Row],[anteblinds]])))</f>
        <v>0</v>
      </c>
      <c r="P22" s="2">
        <f>T_p22236257655626978[[#This Row],[EQ]]*prize</f>
        <v>0</v>
      </c>
      <c r="Q22" s="66">
        <f>IF(T_init203447453606776[[#This Row],[p]]=2,T_p22236257655626978[[#This Row],[players]]*T_p22236257655626978[[#This Row],[stack]]/chips+COUNTIF(T_p22236257655626978[stack],0),T_p22236257655626978[[#This Row],[players]]*T_p22236257655626978[[#This Row],[stack]]/chips)</f>
        <v>0</v>
      </c>
      <c r="R22" s="66">
        <f>T_p22236257655626978[[#This Row],[ICM]]+bounty*T_p22236257655626978[[#This Row],[KO]]</f>
        <v>0</v>
      </c>
      <c r="S22" s="66"/>
      <c r="T22" s="10">
        <f>COUNTIF(T_p22236257655626974111[stack],"&gt;0")</f>
        <v>4</v>
      </c>
      <c r="U22" s="26">
        <f>IF(T_init203447453606776[[#This Row],[p]]=1,ROUND(uncalled + mainpot/3, 0) + ROUND(sidepot1/2,0),IF(T_init203447453606776[[#This Row],[p]]=2,ROUND(mainpot/3,0) + ROUND(sidepot1/2,0),IF(T_init203447453606776[[#This Row],[p]]=3, ROUNDUP(mainpot/3,0),T_init203447453606776[[#This Row],[stack]]-T_init203447453606776[[#This Row],[anteblinds]])))</f>
        <v>0</v>
      </c>
      <c r="W22" s="2">
        <f>T_p22236257655626974111[[#This Row],[EQ]]*prize</f>
        <v>0</v>
      </c>
      <c r="X22" s="66">
        <f>IF(T_init203447453606776[[#This Row],[p]]=2,T_p22236257655626974111[[#This Row],[players]]*T_p22236257655626974111[[#This Row],[stack]]/chips+COUNTIF(T_p22236257655626974111[stack],0),T_p22236257655626974111[[#This Row],[players]]*T_p22236257655626974111[[#This Row],[stack]]/chips)</f>
        <v>0</v>
      </c>
      <c r="Y22" s="66">
        <f>T_p22236257655626974111[[#This Row],[ICM]]+bounty*T_p22236257655626974111[[#This Row],[KO]]</f>
        <v>0</v>
      </c>
      <c r="AA22" s="5">
        <f>COUNTIF(T_p3p12337267756637079[stack],"&gt;0")</f>
        <v>3</v>
      </c>
      <c r="AB22" s="26">
        <f>IF(T_init203447453606776[[#This Row],[p]]=1,sidepot1+uncalled,IF(T_init203447453606776[[#This Row],[p]]=3,mainpot,IF(ISBLANK(T_init203447453606776[[#This Row],[p]]),T_init203447453606776[[#This Row],[stack]]-T_init203447453606776[[#This Row],[anteblinds]],0)))</f>
        <v>0</v>
      </c>
      <c r="AC22">
        <v>0</v>
      </c>
      <c r="AD22" s="2">
        <f>T_p3p12337267756637079[[#This Row],[EQ]]*prize</f>
        <v>0</v>
      </c>
      <c r="AE22" s="66">
        <f>IF(T_init203447453606776[[#This Row],[p]]=1,T_p3p12337267756637079[[#This Row],[players]]*T_p3p12337267756637079[[#This Row],[stack]]/chips+COUNTIF(T_p3p12337267756637079[stack],0),T_p3p12337267756637079[[#This Row],[players]]*T_p3p12337267756637079[[#This Row],[stack]]/chips)</f>
        <v>0</v>
      </c>
      <c r="AF22" s="66">
        <f>T_p3p12337267756637079[[#This Row],[ICM]]+bounty*T_p3p12337267756637079[[#This Row],[KO]]</f>
        <v>0</v>
      </c>
      <c r="AH22" s="5">
        <f>COUNTIF(T_p3p22438277857647180[stack],"&gt;0")</f>
        <v>4</v>
      </c>
      <c r="AI22">
        <f>IF(T_init203447453606776[[#This Row],[p]]=1,uncalled,IF(T_init203447453606776[[#This Row],[p]]=2,sidepot1,IF(T_init203447453606776[[#This Row],[p]]=3,mainpot,IF(ISBLANK(T_init203447453606776[[#This Row],[p]]),T_init203447453606776[[#This Row],[stack]]-T_init203447453606776[[#This Row],[anteblinds]],0))))</f>
        <v>0</v>
      </c>
      <c r="AJ22">
        <v>0</v>
      </c>
      <c r="AK22" s="2">
        <f>T_p3p22438277857647180[[#This Row],[EQ]]*prize</f>
        <v>0</v>
      </c>
      <c r="AL22" s="66">
        <f>IF(T_init203447453606776[[#This Row],[p]]=2,T_p3p22438277857647180[[#This Row],[players]]*T_p3p22438277857647180[[#This Row],[stack]]/chips+COUNTIF(T_p3p22438277857647180[stack],0),T_p3p22438277857647180[[#This Row],[players]]*T_p3p22438277857647180[[#This Row],[stack]]/chips)</f>
        <v>0</v>
      </c>
      <c r="AM22" s="16">
        <f>T_p3p22438277857647180[[#This Row],[ICM]]+bounty*T_p3p22438277857647180[[#This Row],[KO]]</f>
        <v>0</v>
      </c>
      <c r="AO22" s="5">
        <f>COUNTIF(T_p3p22438277857647175112[stack],"&gt;0")</f>
        <v>4</v>
      </c>
      <c r="AP22">
        <f>IF(T_init203447453606776[[#This Row],[p]]=1,uncalled + ROUND(sidepot1/2,0),IF(T_init203447453606776[[#This Row],[p]]=2,ROUND(sidepot1/2,0),IF(T_init203447453606776[[#This Row],[p]]=3,mainpot,IF(ISBLANK(T_init203447453606776[[#This Row],[p]]),T_init203447453606776[[#This Row],[stack]]-T_init203447453606776[[#This Row],[anteblinds]],0))))</f>
        <v>0</v>
      </c>
      <c r="AQ22">
        <v>0</v>
      </c>
      <c r="AR22" s="2">
        <f>T_p3p22438277857647175112[[#This Row],[EQ]]*prize</f>
        <v>0</v>
      </c>
      <c r="AS22" s="66">
        <f>IF(T_init203447453606776[[#This Row],[p]]=2,T_p3p22438277857647175112[[#This Row],[players]]*T_p3p22438277857647175112[[#This Row],[stack]]/chips+COUNTIF(T_p3p22438277857647175112[stack],0),T_p3p22438277857647175112[[#This Row],[players]]*T_p3p22438277857647175112[[#This Row],[stack]]/chips)</f>
        <v>0</v>
      </c>
      <c r="AT22" s="16">
        <f>T_p3p22438277857647175112[[#This Row],[ICM]]+bounty*T_p3p22438277857647175112[[#This Row],[KO]]</f>
        <v>0</v>
      </c>
      <c r="AV22" s="5">
        <f>COUNTIF(T_fact29392879586572109[stack],"&gt;0")</f>
        <v>3</v>
      </c>
      <c r="AW22" s="26">
        <v>0</v>
      </c>
      <c r="AY22" s="2">
        <f>T_fact29392879586572109[[#This Row],[EQ]]*prize</f>
        <v>0</v>
      </c>
      <c r="AZ22" s="66">
        <f>IF(T_init203447453606776[[#This Row],[p]]=1,T_fact29392879586572109[[#This Row],[players]]*T_fact29392879586572109[[#This Row],[stack]]/chips+COUNTIF(T_fact29392879586572109[stack],0),T_fact29392879586572109[[#This Row],[players]]*T_fact29392879586572109[[#This Row],[stack]]/chips)</f>
        <v>0</v>
      </c>
      <c r="BA22" s="16">
        <f>T_fact29392879586572109[[#This Row],[ICM]]+bounty*T_fact29392879586572109[[#This Row],[KO]]</f>
        <v>0</v>
      </c>
      <c r="BD22" s="68">
        <f>'3way 7d Jd ничьи'!p3win* ('3way 7d Jd ничьи'!p1sp1win*T_p3p12337267756637079[[#This Row],[ICM]] + '3way 7d Jd ничьи'!p2sp1win*T_p3p22438277857647180[[#This Row],[ICM]] + tiesp1*T_p3p22438277857647175112[[#This Row],[ICM]])
+'3way 7d Jd ничьи'!p2win*T_p22236257655626978[[#This Row],[ICM]]
+'3way 7d Jd ничьи'!p1win*T_p12135197554616877[[#This Row],[ICM]]
+'3way 7d Jd ничьи'!tie*T_p22236257655626974111[[#This Row],[ICM]]</f>
        <v>0</v>
      </c>
      <c r="BE22" s="68">
        <f>('3way 7d Jd ничьи'!p3win* ('3way 7d Jd ничьи'!p1sp1win*T_p3p12337267756637079[[#This Row],[KO]] + '3way 7d Jd ничьи'!p2sp1win*T_p3p22438277857647180[[#This Row],[KO]])
+'3way 7d Jd ничьи'!p2win*T_p22236257655626978[[#This Row],[KO]]
+'3way 7d Jd ничьи'!p1win*T_p12135197554616877[[#This Row],[KO]])*bounty</f>
        <v>0</v>
      </c>
      <c r="BF22" s="68">
        <f>'3way 7d Jd ничьи'!p3win* ('3way 7d Jd ничьи'!p1sp1win*T_p3p12337267756637079[[#This Row],[$stack]] + '3way 7d Jd ничьи'!p2sp1win*T_p3p22438277857647180[[#This Row],[$stack]])
+'3way 7d Jd ничьи'!p2win*T_p22236257655626978[[#This Row],[$stack]]
+'3way 7d Jd ничьи'!p1win*T_p12135197554616877[[#This Row],[$stack]]</f>
        <v>0</v>
      </c>
      <c r="BG22" s="68">
        <f>'3way 7d Jd ничьи'!p3win* ('3way 7d Jd ничьи'!p1sp1win*T_p3p12337267756637079[[#This Row],[stack]] + '3way 7d Jd ничьи'!p2sp1win*T_p3p22438277857647180[[#This Row],[stack]] + tiesp1*T_p3p22438277857647175112[[#This Row],[stack]])
+'3way 7d Jd ничьи'!p2win*T_p22236257655626978[[#This Row],[stack]]
+'3way 7d Jd ничьи'!p1win*T_p12135197554616877[[#This Row],[stack]]
+tie*T_p22236257655626974111[[#This Row],[stack]]</f>
        <v>0</v>
      </c>
      <c r="BH22" s="68">
        <f>T_fact29392879586572109[[#This Row],[stack]]- T_init203447453606776[[#This Row],[stack]]</f>
        <v>0</v>
      </c>
      <c r="BI22" s="68">
        <f>T_EV33403080596673110[[#This Row],[netwon]]+T_EV33403080596673110[[#This Row],[cEVdiff]]</f>
        <v>0</v>
      </c>
      <c r="BJ22" s="2">
        <f>T_EV33403080596673110[[#This Row],[chipEV]]-T_fact29392879586572109[[#This Row],[stack]]</f>
        <v>0</v>
      </c>
      <c r="BK22" s="2">
        <f>T_EV33403080596673110[[#This Row],[EV]]-(T_fact29392879586572109[[#This Row],[ICM]])</f>
        <v>0</v>
      </c>
    </row>
    <row r="23" spans="1:63" x14ac:dyDescent="0.25">
      <c r="A23" t="s">
        <v>95</v>
      </c>
      <c r="D23">
        <f>SUBTOTAL(109,T_init203447453606776[anteblinds])</f>
        <v>115</v>
      </c>
      <c r="F23" s="53"/>
      <c r="G23" s="50">
        <f>SUM(T_p12135197554616877[stack])</f>
        <v>2000</v>
      </c>
      <c r="H23" s="50">
        <f>SUM(T_p12135197554616877[EQ])</f>
        <v>1</v>
      </c>
      <c r="I23" s="50">
        <f>SUM(T_p12135197554616877[ICM])</f>
        <v>58.84</v>
      </c>
      <c r="J23" s="50">
        <f>SUM(T_p12135197554616877[KO])</f>
        <v>6</v>
      </c>
      <c r="K23" s="50">
        <f>SUM(T_p12135197554616877[$stack])</f>
        <v>58.84</v>
      </c>
      <c r="M23" s="53"/>
      <c r="N23" s="55">
        <f>SUM(T_p22236257655626978[stack])</f>
        <v>2000</v>
      </c>
      <c r="O23" s="50">
        <f>SUM(T_p22236257655626978[EQ])</f>
        <v>1</v>
      </c>
      <c r="P23" s="51">
        <f>SUM(T_p22236257655626978[ICM])</f>
        <v>58.84</v>
      </c>
      <c r="Q23" s="52">
        <f>SUM(T_p22236257655626978[KO])</f>
        <v>6</v>
      </c>
      <c r="R23" s="50">
        <f>SUM(T_p22236257655626978[$stack])</f>
        <v>58.84</v>
      </c>
      <c r="S23" s="50"/>
      <c r="T23" s="53"/>
      <c r="U23" s="55">
        <f>SUM(T_p22236257655626974111[stack])</f>
        <v>2000</v>
      </c>
      <c r="V23" s="50">
        <f>SUM(T_p22236257655626974111[EQ])</f>
        <v>1</v>
      </c>
      <c r="W23" s="51">
        <f>SUM(T_p22236257655626974111[ICM])</f>
        <v>58.840000000000011</v>
      </c>
      <c r="X23" s="52">
        <f>SUM(T_p22236257655626974111[KO])</f>
        <v>5.9999999999999991</v>
      </c>
      <c r="Y23" s="50">
        <f>SUM(T_p22236257655626974111[$stack])</f>
        <v>58.840000000000011</v>
      </c>
      <c r="AA23" s="53"/>
      <c r="AB23" s="55">
        <f>SUM(T_p3p12337267756637079[stack])</f>
        <v>2000</v>
      </c>
      <c r="AC23" s="50">
        <f>SUM(T_p3p12337267756637079[EQ])</f>
        <v>1</v>
      </c>
      <c r="AD23" s="51">
        <f>SUM(T_p3p12337267756637079[ICM])</f>
        <v>58.84</v>
      </c>
      <c r="AE23" s="52">
        <f>SUM(T_p3p12337267756637079[KO])</f>
        <v>6</v>
      </c>
      <c r="AF23" s="50">
        <f>SUM(T_p3p12337267756637079[$stack])</f>
        <v>58.84</v>
      </c>
      <c r="AH23" s="53"/>
      <c r="AI23" s="55">
        <f>SUM(T_p3p22438277857647180[stack])</f>
        <v>2000</v>
      </c>
      <c r="AJ23" s="50">
        <f>SUM(T_p3p22438277857647180[EQ])</f>
        <v>1</v>
      </c>
      <c r="AK23" s="51">
        <f>SUM(T_p3p22438277857647180[ICM])</f>
        <v>58.84</v>
      </c>
      <c r="AL23" s="52">
        <f>SUM(T_p3p22438277857647180[KO])</f>
        <v>6</v>
      </c>
      <c r="AM23" s="50">
        <f>SUM(T_p3p12337267756637079[$stack])</f>
        <v>58.84</v>
      </c>
      <c r="AO23" s="53"/>
      <c r="AP23" s="55">
        <f>SUM(T_p3p22438277857647175112[stack])</f>
        <v>2000</v>
      </c>
      <c r="AQ23" s="50">
        <f>SUM(T_p3p22438277857647175112[EQ])</f>
        <v>1</v>
      </c>
      <c r="AR23" s="51">
        <f>SUM(T_p3p22438277857647175112[ICM])</f>
        <v>58.84</v>
      </c>
      <c r="AS23" s="52">
        <f>SUM(T_p3p22438277857647175112[KO])</f>
        <v>6</v>
      </c>
      <c r="AT23" s="50">
        <f>SUM(T_p3p12337267756637079[$stack])</f>
        <v>58.84</v>
      </c>
      <c r="AV23" s="53"/>
      <c r="AW23" s="55">
        <f>SUM(T_fact29392879586572109[stack])</f>
        <v>2000</v>
      </c>
      <c r="AX23" s="50">
        <f>SUM(T_fact29392879586572109[EQ])</f>
        <v>1</v>
      </c>
      <c r="AY23" s="51">
        <f>SUM(T_fact29392879586572109[ICM])</f>
        <v>58.84</v>
      </c>
      <c r="AZ23" s="52">
        <f>SUM(T_fact29392879586572109[KO])</f>
        <v>6</v>
      </c>
      <c r="BA23" s="51">
        <f>SUM(T_fact29392879586572109[$stack])</f>
        <v>58.84</v>
      </c>
      <c r="BD23" s="52">
        <f>SUM(T_EV33403080596673110[ICM])</f>
        <v>58.653887903200001</v>
      </c>
      <c r="BE23" s="52">
        <f>SUM(T_EV33403080596673110[KO])</f>
        <v>0</v>
      </c>
      <c r="BF23" s="52">
        <f>SUM(T_EV33403080596673110[EV])</f>
        <v>56.576835903199999</v>
      </c>
      <c r="BG23" s="50">
        <f>SUM(T_EV33403080596673110[chipEV])</f>
        <v>1993.6739600000001</v>
      </c>
      <c r="BH23" s="50"/>
      <c r="BI23" s="50"/>
    </row>
    <row r="24" spans="1:63" x14ac:dyDescent="0.25">
      <c r="M24" t="s">
        <v>679</v>
      </c>
    </row>
    <row r="25" spans="1:63" ht="18.75" x14ac:dyDescent="0.3">
      <c r="M25" s="79" t="s">
        <v>117</v>
      </c>
    </row>
    <row r="26" spans="1:63" x14ac:dyDescent="0.25">
      <c r="C26" t="s">
        <v>118</v>
      </c>
      <c r="M26" t="s">
        <v>646</v>
      </c>
    </row>
    <row r="27" spans="1:63" x14ac:dyDescent="0.25">
      <c r="C27" t="s">
        <v>120</v>
      </c>
      <c r="M27" t="s">
        <v>647</v>
      </c>
    </row>
    <row r="28" spans="1:63" x14ac:dyDescent="0.25">
      <c r="C28" t="s">
        <v>122</v>
      </c>
      <c r="M28" t="s">
        <v>648</v>
      </c>
    </row>
    <row r="29" spans="1:63" x14ac:dyDescent="0.25">
      <c r="M29" t="s">
        <v>649</v>
      </c>
    </row>
    <row r="30" spans="1:63" x14ac:dyDescent="0.25">
      <c r="M30" t="s">
        <v>650</v>
      </c>
    </row>
    <row r="31" spans="1:63" x14ac:dyDescent="0.25">
      <c r="C31" t="s">
        <v>126</v>
      </c>
      <c r="M31" t="s">
        <v>651</v>
      </c>
    </row>
    <row r="32" spans="1:63" x14ac:dyDescent="0.25">
      <c r="M32" t="s">
        <v>652</v>
      </c>
    </row>
    <row r="33" spans="2:13" x14ac:dyDescent="0.25">
      <c r="B33" t="s">
        <v>129</v>
      </c>
      <c r="M33" t="s">
        <v>653</v>
      </c>
    </row>
    <row r="34" spans="2:13" x14ac:dyDescent="0.25">
      <c r="B34" t="s">
        <v>131</v>
      </c>
      <c r="M34" t="s">
        <v>132</v>
      </c>
    </row>
    <row r="35" spans="2:13" x14ac:dyDescent="0.25">
      <c r="C35" t="s">
        <v>133</v>
      </c>
      <c r="M35" t="s">
        <v>654</v>
      </c>
    </row>
    <row r="36" spans="2:13" x14ac:dyDescent="0.25">
      <c r="D36" t="s">
        <v>135</v>
      </c>
      <c r="M36" t="s">
        <v>655</v>
      </c>
    </row>
    <row r="37" spans="2:13" x14ac:dyDescent="0.25">
      <c r="C37" t="s">
        <v>137</v>
      </c>
      <c r="M37" t="s">
        <v>138</v>
      </c>
    </row>
    <row r="38" spans="2:13" x14ac:dyDescent="0.25">
      <c r="D38" t="s">
        <v>135</v>
      </c>
      <c r="M38" t="s">
        <v>139</v>
      </c>
    </row>
    <row r="39" spans="2:13" x14ac:dyDescent="0.25">
      <c r="C39" t="s">
        <v>140</v>
      </c>
      <c r="M39" t="s">
        <v>656</v>
      </c>
    </row>
    <row r="40" spans="2:13" x14ac:dyDescent="0.25">
      <c r="D40" t="s">
        <v>142</v>
      </c>
      <c r="M40" t="s">
        <v>657</v>
      </c>
    </row>
    <row r="41" spans="2:13" x14ac:dyDescent="0.25">
      <c r="D41" t="s">
        <v>144</v>
      </c>
      <c r="E41" t="s">
        <v>145</v>
      </c>
      <c r="M41" t="s">
        <v>658</v>
      </c>
    </row>
    <row r="42" spans="2:13" x14ac:dyDescent="0.25">
      <c r="F42" t="s">
        <v>147</v>
      </c>
      <c r="M42" t="s">
        <v>659</v>
      </c>
    </row>
    <row r="43" spans="2:13" x14ac:dyDescent="0.25">
      <c r="E43" t="s">
        <v>149</v>
      </c>
      <c r="M43" t="s">
        <v>660</v>
      </c>
    </row>
    <row r="44" spans="2:13" x14ac:dyDescent="0.25">
      <c r="F44" t="s">
        <v>151</v>
      </c>
      <c r="M44" t="s">
        <v>661</v>
      </c>
    </row>
    <row r="45" spans="2:13" x14ac:dyDescent="0.25">
      <c r="M45" t="s">
        <v>662</v>
      </c>
    </row>
    <row r="46" spans="2:13" x14ac:dyDescent="0.25">
      <c r="C46" t="s">
        <v>154</v>
      </c>
      <c r="M46" t="s">
        <v>663</v>
      </c>
    </row>
    <row r="47" spans="2:13" x14ac:dyDescent="0.25">
      <c r="D47" t="s">
        <v>156</v>
      </c>
      <c r="M47" t="s">
        <v>166</v>
      </c>
    </row>
    <row r="48" spans="2:13" x14ac:dyDescent="0.25">
      <c r="D48" t="s">
        <v>158</v>
      </c>
      <c r="E48" t="s">
        <v>145</v>
      </c>
      <c r="M48" t="s">
        <v>664</v>
      </c>
    </row>
    <row r="49" spans="5:13" x14ac:dyDescent="0.25">
      <c r="F49" t="s">
        <v>160</v>
      </c>
      <c r="M49" t="s">
        <v>665</v>
      </c>
    </row>
    <row r="50" spans="5:13" x14ac:dyDescent="0.25">
      <c r="E50" t="s">
        <v>149</v>
      </c>
      <c r="M50" t="s">
        <v>666</v>
      </c>
    </row>
    <row r="51" spans="5:13" x14ac:dyDescent="0.25">
      <c r="F51" t="s">
        <v>163</v>
      </c>
      <c r="M51" t="s">
        <v>667</v>
      </c>
    </row>
    <row r="52" spans="5:13" x14ac:dyDescent="0.25">
      <c r="E52" t="s">
        <v>165</v>
      </c>
      <c r="M52" t="s">
        <v>668</v>
      </c>
    </row>
    <row r="53" spans="5:13" x14ac:dyDescent="0.25">
      <c r="F53" t="s">
        <v>167</v>
      </c>
      <c r="M53" t="s">
        <v>669</v>
      </c>
    </row>
    <row r="54" spans="5:13" x14ac:dyDescent="0.25">
      <c r="F54" t="s">
        <v>144</v>
      </c>
      <c r="M54" t="s">
        <v>173</v>
      </c>
    </row>
    <row r="55" spans="5:13" x14ac:dyDescent="0.25">
      <c r="G55" t="s">
        <v>145</v>
      </c>
      <c r="M55" t="s">
        <v>670</v>
      </c>
    </row>
    <row r="56" spans="5:13" x14ac:dyDescent="0.25">
      <c r="H56" t="s">
        <v>147</v>
      </c>
      <c r="M56" t="s">
        <v>671</v>
      </c>
    </row>
    <row r="57" spans="5:13" x14ac:dyDescent="0.25">
      <c r="G57" t="s">
        <v>149</v>
      </c>
      <c r="M57" t="s">
        <v>672</v>
      </c>
    </row>
    <row r="58" spans="5:13" x14ac:dyDescent="0.25">
      <c r="H58" t="s">
        <v>151</v>
      </c>
      <c r="M58" t="s">
        <v>673</v>
      </c>
    </row>
    <row r="59" spans="5:13" x14ac:dyDescent="0.25">
      <c r="M59" t="s">
        <v>674</v>
      </c>
    </row>
    <row r="60" spans="5:13" x14ac:dyDescent="0.25">
      <c r="M60" t="s">
        <v>675</v>
      </c>
    </row>
    <row r="61" spans="5:13" x14ac:dyDescent="0.25">
      <c r="M61" t="s">
        <v>630</v>
      </c>
    </row>
    <row r="63" spans="5:13" x14ac:dyDescent="0.25">
      <c r="M63" t="s">
        <v>178</v>
      </c>
    </row>
    <row r="64" spans="5:13" x14ac:dyDescent="0.25">
      <c r="M64" t="s">
        <v>179</v>
      </c>
    </row>
  </sheetData>
  <mergeCells count="12">
    <mergeCell ref="AV15:AZ15"/>
    <mergeCell ref="BD15:BG15"/>
    <mergeCell ref="F10:F11"/>
    <mergeCell ref="AA13:AT13"/>
    <mergeCell ref="AA14:AT14"/>
    <mergeCell ref="BD14:BG14"/>
    <mergeCell ref="F15:J15"/>
    <mergeCell ref="M15:Q15"/>
    <mergeCell ref="T15:X15"/>
    <mergeCell ref="AA15:AE15"/>
    <mergeCell ref="AH15:AL15"/>
    <mergeCell ref="AO15:AS15"/>
  </mergeCells>
  <pageMargins left="0.7" right="0.7" top="0.75" bottom="0.75" header="0.3" footer="0.3"/>
  <pageSetup paperSize="9" orientation="portrait" horizontalDpi="4294967293" verticalDpi="0" r:id="rId1"/>
  <legacy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I q j T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c i q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q j T i i K R 7 g O A A A A E Q A A A B M A H A B G b 3 J t d W x h c y 9 T Z W N 0 a W 9 u M S 5 t I K I Y A C i g F A A A A A A A A A A A A A A A A A A A A A A A A A A A A C t O T S 7 J z M 9 T C I b Q h t Y A U E s B A i 0 A F A A C A A g A X I q j T v H / x O + m A A A A + Q A A A B I A A A A A A A A A A A A A A A A A A A A A A E N v b m Z p Z y 9 Q Y W N r Y W d l L n h t b F B L A Q I t A B Q A A g A I A F y K o 0 4 P y u m r p A A A A O k A A A A T A A A A A A A A A A A A A A A A A P I A A A B b Q 2 9 u d G V u d F 9 U e X B l c 1 0 u e G 1 s U E s B A i 0 A F A A C A A g A X I q j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5 g 7 T Y U g A Q 4 F o X i j 0 x G 6 D A A A A A A I A A A A A A B B m A A A A A Q A A I A A A A O z e 8 G C V 8 o Y + a D B e w F P i F b K + s o m / o R 8 C + x 0 v C / w s W R u Z A A A A A A 6 A A A A A A g A A I A A A A A A Y G 1 X d O p X 5 h G L + 9 x f d + s O W M Y L y d v B 5 K B p v x 8 L 1 w v y r U A A A A O 9 M p 3 I Q D s 3 l t y z Q A l J z K 7 Q M j U L W 2 H o L w n 1 o 1 R x / x + E W X Q F R x l Y k A 1 z c C 4 U k 0 / h k 1 K 5 L m l J 6 9 F Q Q w + z 7 g d a m n N d v R R r 5 H e z t R r g u k e J j o i V I Q A A A A K H w S F 1 D + j G j e j a h g Y X F z b / L G u U 4 s P 8 E k 7 V x y n E 6 v q 7 L h + I x 1 C t A o b 6 0 Y 3 u v T X O N I o b g S y j R w A x Q 7 d n D H a g f 2 1 g = < / D a t a M a s h u p > 
</file>

<file path=customXml/itemProps1.xml><?xml version="1.0" encoding="utf-8"?>
<ds:datastoreItem xmlns:ds="http://schemas.openxmlformats.org/officeDocument/2006/customXml" ds:itemID="{7730965F-3E55-48C9-A4F9-04BC255DDD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26</vt:i4>
      </vt:variant>
      <vt:variant>
        <vt:lpstr>Именованные диапазоны</vt:lpstr>
      </vt:variant>
      <vt:variant>
        <vt:i4>371</vt:i4>
      </vt:variant>
    </vt:vector>
  </HeadingPairs>
  <TitlesOfParts>
    <vt:vector size="397" baseType="lpstr">
      <vt:lpstr>7d Jd разбивка</vt:lpstr>
      <vt:lpstr>3way-bu-call-sb-call разбивка</vt:lpstr>
      <vt:lpstr>3way-ai-preflo разбивка</vt:lpstr>
      <vt:lpstr>3way шаблон разбивка</vt:lpstr>
      <vt:lpstr>разбивка</vt:lpstr>
      <vt:lpstr>3way шаблон ничьи</vt:lpstr>
      <vt:lpstr>3way шаблон</vt:lpstr>
      <vt:lpstr>3way 8c Kh ничьи</vt:lpstr>
      <vt:lpstr>3way 7d Jd ничьи</vt:lpstr>
      <vt:lpstr>2way</vt:lpstr>
      <vt:lpstr>3wKs7h</vt:lpstr>
      <vt:lpstr>3wAsQc</vt:lpstr>
      <vt:lpstr>3w9h9s</vt:lpstr>
      <vt:lpstr>3wKs2s Ден v2</vt:lpstr>
      <vt:lpstr>3w Ac5c Ден</vt:lpstr>
      <vt:lpstr>3w 98s v2</vt:lpstr>
      <vt:lpstr>3w KsJs Ден v2 </vt:lpstr>
      <vt:lpstr>3w 8h8c Ден</vt:lpstr>
      <vt:lpstr>3w 5h5c Ден</vt:lpstr>
      <vt:lpstr>3w Kc5c Ден</vt:lpstr>
      <vt:lpstr>3w postflop 9c7s Ден v2</vt:lpstr>
      <vt:lpstr>3wKhQs</vt:lpstr>
      <vt:lpstr>3wAdKd</vt:lpstr>
      <vt:lpstr>3wAh9s</vt:lpstr>
      <vt:lpstr>3way</vt:lpstr>
      <vt:lpstr>4way</vt:lpstr>
      <vt:lpstr>asdasd</vt:lpstr>
      <vt:lpstr>bounty</vt:lpstr>
      <vt:lpstr>'3w 5h5c Ден'!chips</vt:lpstr>
      <vt:lpstr>'3w 8h8c Ден'!chips</vt:lpstr>
      <vt:lpstr>'3w 98s v2'!chips</vt:lpstr>
      <vt:lpstr>'3w Ac5c Ден'!chips</vt:lpstr>
      <vt:lpstr>'3w Kc5c Ден'!chips</vt:lpstr>
      <vt:lpstr>'3w KsJs Ден v2 '!chips</vt:lpstr>
      <vt:lpstr>'3w postflop 9c7s Ден v2'!chips</vt:lpstr>
      <vt:lpstr>'3w9h9s'!chips</vt:lpstr>
      <vt:lpstr>'3wAdKd'!chips</vt:lpstr>
      <vt:lpstr>'3wAh9s'!chips</vt:lpstr>
      <vt:lpstr>'3wAsQc'!chips</vt:lpstr>
      <vt:lpstr>'3way 7d Jd ничьи'!chips</vt:lpstr>
      <vt:lpstr>'3way 8c Kh ничьи'!chips</vt:lpstr>
      <vt:lpstr>'3way шаблон'!chips</vt:lpstr>
      <vt:lpstr>'3way шаблон ничьи'!chips</vt:lpstr>
      <vt:lpstr>'3way шаблон разбивка'!chips</vt:lpstr>
      <vt:lpstr>'3way-ai-preflo разбивка'!chips</vt:lpstr>
      <vt:lpstr>'3way-bu-call-sb-call разбивка'!chips</vt:lpstr>
      <vt:lpstr>'3wKhQs'!chips</vt:lpstr>
      <vt:lpstr>'3wKs2s Ден v2'!chips</vt:lpstr>
      <vt:lpstr>'3wKs7h'!chips</vt:lpstr>
      <vt:lpstr>'4way'!chips</vt:lpstr>
      <vt:lpstr>'7d Jd разбивка'!chips</vt:lpstr>
      <vt:lpstr>chips</vt:lpstr>
      <vt:lpstr>KO</vt:lpstr>
      <vt:lpstr>'3w 5h5c Ден'!mainpot</vt:lpstr>
      <vt:lpstr>'3w 8h8c Ден'!mainpot</vt:lpstr>
      <vt:lpstr>'3w 98s v2'!mainpot</vt:lpstr>
      <vt:lpstr>'3w Ac5c Ден'!mainpot</vt:lpstr>
      <vt:lpstr>'3w Kc5c Ден'!mainpot</vt:lpstr>
      <vt:lpstr>'3w KsJs Ден v2 '!mainpot</vt:lpstr>
      <vt:lpstr>'3w postflop 9c7s Ден v2'!mainpot</vt:lpstr>
      <vt:lpstr>'3w9h9s'!mainpot</vt:lpstr>
      <vt:lpstr>'3wAdKd'!mainpot</vt:lpstr>
      <vt:lpstr>'3wAh9s'!mainpot</vt:lpstr>
      <vt:lpstr>'3wAsQc'!mainpot</vt:lpstr>
      <vt:lpstr>'3way 7d Jd ничьи'!mainpot</vt:lpstr>
      <vt:lpstr>'3way 8c Kh ничьи'!mainpot</vt:lpstr>
      <vt:lpstr>'3way шаблон'!mainpot</vt:lpstr>
      <vt:lpstr>'3way шаблон ничьи'!mainpot</vt:lpstr>
      <vt:lpstr>'3way шаблон разбивка'!mainpot</vt:lpstr>
      <vt:lpstr>'3way-ai-preflo разбивка'!mainpot</vt:lpstr>
      <vt:lpstr>'3way-bu-call-sb-call разбивка'!mainpot</vt:lpstr>
      <vt:lpstr>'3wKhQs'!mainpot</vt:lpstr>
      <vt:lpstr>'3wKs2s Ден v2'!mainpot</vt:lpstr>
      <vt:lpstr>'3wKs7h'!mainpot</vt:lpstr>
      <vt:lpstr>'7d Jd разбивка'!mainpot</vt:lpstr>
      <vt:lpstr>mainpot</vt:lpstr>
      <vt:lpstr>'3w 5h5c Ден'!p1sp1win</vt:lpstr>
      <vt:lpstr>'3w 8h8c Ден'!p1sp1win</vt:lpstr>
      <vt:lpstr>'3w 98s v2'!p1sp1win</vt:lpstr>
      <vt:lpstr>'3w Ac5c Ден'!p1sp1win</vt:lpstr>
      <vt:lpstr>'3w Kc5c Ден'!p1sp1win</vt:lpstr>
      <vt:lpstr>'3w KsJs Ден v2 '!p1sp1win</vt:lpstr>
      <vt:lpstr>'3w postflop 9c7s Ден v2'!p1sp1win</vt:lpstr>
      <vt:lpstr>'3w9h9s'!p1sp1win</vt:lpstr>
      <vt:lpstr>'3wAdKd'!p1sp1win</vt:lpstr>
      <vt:lpstr>'3wAh9s'!p1sp1win</vt:lpstr>
      <vt:lpstr>'3wAsQc'!p1sp1win</vt:lpstr>
      <vt:lpstr>'3way 7d Jd ничьи'!p1sp1win</vt:lpstr>
      <vt:lpstr>'3way 8c Kh ничьи'!p1sp1win</vt:lpstr>
      <vt:lpstr>'3way шаблон'!p1sp1win</vt:lpstr>
      <vt:lpstr>'3way шаблон ничьи'!p1sp1win</vt:lpstr>
      <vt:lpstr>'3way-ai-preflo разбивка'!p1sp1win</vt:lpstr>
      <vt:lpstr>'3way-bu-call-sb-call разбивка'!p1sp1win</vt:lpstr>
      <vt:lpstr>'3wKhQs'!p1sp1win</vt:lpstr>
      <vt:lpstr>'3wKs2s Ден v2'!p1sp1win</vt:lpstr>
      <vt:lpstr>'3wKs7h'!p1sp1win</vt:lpstr>
      <vt:lpstr>'7d Jd разбивка'!p1sp1win</vt:lpstr>
      <vt:lpstr>p1sp1win</vt:lpstr>
      <vt:lpstr>'3wAdKd'!p1sp2win</vt:lpstr>
      <vt:lpstr>'3wAh9s'!p1sp2win</vt:lpstr>
      <vt:lpstr>'3wKhQs'!p1sp2win</vt:lpstr>
      <vt:lpstr>p1sp2win</vt:lpstr>
      <vt:lpstr>'3w 5h5c Ден'!p1spwin</vt:lpstr>
      <vt:lpstr>'3w 8h8c Ден'!p1spwin</vt:lpstr>
      <vt:lpstr>'3w 98s v2'!p1spwin</vt:lpstr>
      <vt:lpstr>'3w Ac5c Ден'!p1spwin</vt:lpstr>
      <vt:lpstr>'3w Kc5c Ден'!p1spwin</vt:lpstr>
      <vt:lpstr>'3w KsJs Ден v2 '!p1spwin</vt:lpstr>
      <vt:lpstr>'3w postflop 9c7s Ден v2'!p1spwin</vt:lpstr>
      <vt:lpstr>'3w9h9s'!p1spwin</vt:lpstr>
      <vt:lpstr>'3wAdKd'!p1spwin</vt:lpstr>
      <vt:lpstr>'3wAh9s'!p1spwin</vt:lpstr>
      <vt:lpstr>'3wAsQc'!p1spwin</vt:lpstr>
      <vt:lpstr>'3way 7d Jd ничьи'!p1spwin</vt:lpstr>
      <vt:lpstr>'3way 8c Kh ничьи'!p1spwin</vt:lpstr>
      <vt:lpstr>'3way шаблон'!p1spwin</vt:lpstr>
      <vt:lpstr>'3way шаблон ничьи'!p1spwin</vt:lpstr>
      <vt:lpstr>'3way-ai-preflo разбивка'!p1spwin</vt:lpstr>
      <vt:lpstr>'3way-bu-call-sb-call разбивка'!p1spwin</vt:lpstr>
      <vt:lpstr>'3wKhQs'!p1spwin</vt:lpstr>
      <vt:lpstr>'3wKs2s Ден v2'!p1spwin</vt:lpstr>
      <vt:lpstr>'3wKs7h'!p1spwin</vt:lpstr>
      <vt:lpstr>'4way'!p1spwin</vt:lpstr>
      <vt:lpstr>'7d Jd разбивка'!p1spwin</vt:lpstr>
      <vt:lpstr>p1spwin</vt:lpstr>
      <vt:lpstr>'3w 5h5c Ден'!p1win</vt:lpstr>
      <vt:lpstr>'3w 8h8c Ден'!p1win</vt:lpstr>
      <vt:lpstr>'3w 98s v2'!p1win</vt:lpstr>
      <vt:lpstr>'3w Ac5c Ден'!p1win</vt:lpstr>
      <vt:lpstr>'3w Kc5c Ден'!p1win</vt:lpstr>
      <vt:lpstr>'3w KsJs Ден v2 '!p1win</vt:lpstr>
      <vt:lpstr>'3w postflop 9c7s Ден v2'!p1win</vt:lpstr>
      <vt:lpstr>'3w9h9s'!p1win</vt:lpstr>
      <vt:lpstr>'3wAdKd'!p1win</vt:lpstr>
      <vt:lpstr>'3wAh9s'!p1win</vt:lpstr>
      <vt:lpstr>'3wAsQc'!p1win</vt:lpstr>
      <vt:lpstr>'3way 7d Jd ничьи'!p1win</vt:lpstr>
      <vt:lpstr>'3way 8c Kh ничьи'!p1win</vt:lpstr>
      <vt:lpstr>'3way шаблон'!p1win</vt:lpstr>
      <vt:lpstr>'3way шаблон ничьи'!p1win</vt:lpstr>
      <vt:lpstr>'3way-ai-preflo разбивка'!p1win</vt:lpstr>
      <vt:lpstr>'3way-bu-call-sb-call разбивка'!p1win</vt:lpstr>
      <vt:lpstr>'3wKhQs'!p1win</vt:lpstr>
      <vt:lpstr>'3wKs2s Ден v2'!p1win</vt:lpstr>
      <vt:lpstr>'3wKs7h'!p1win</vt:lpstr>
      <vt:lpstr>'4way'!p1win</vt:lpstr>
      <vt:lpstr>'7d Jd разбивка'!p1win</vt:lpstr>
      <vt:lpstr>p1win</vt:lpstr>
      <vt:lpstr>'3w 5h5c Ден'!p2sp1win</vt:lpstr>
      <vt:lpstr>'3w 8h8c Ден'!p2sp1win</vt:lpstr>
      <vt:lpstr>'3w 98s v2'!p2sp1win</vt:lpstr>
      <vt:lpstr>'3w Ac5c Ден'!p2sp1win</vt:lpstr>
      <vt:lpstr>'3w Kc5c Ден'!p2sp1win</vt:lpstr>
      <vt:lpstr>'3w KsJs Ден v2 '!p2sp1win</vt:lpstr>
      <vt:lpstr>'3w postflop 9c7s Ден v2'!p2sp1win</vt:lpstr>
      <vt:lpstr>'3w9h9s'!p2sp1win</vt:lpstr>
      <vt:lpstr>'3wAdKd'!p2sp1win</vt:lpstr>
      <vt:lpstr>'3wAh9s'!p2sp1win</vt:lpstr>
      <vt:lpstr>'3wAsQc'!p2sp1win</vt:lpstr>
      <vt:lpstr>'3way 7d Jd ничьи'!p2sp1win</vt:lpstr>
      <vt:lpstr>'3way 8c Kh ничьи'!p2sp1win</vt:lpstr>
      <vt:lpstr>'3way шаблон'!p2sp1win</vt:lpstr>
      <vt:lpstr>'3way шаблон ничьи'!p2sp1win</vt:lpstr>
      <vt:lpstr>'3way-ai-preflo разбивка'!p2sp1win</vt:lpstr>
      <vt:lpstr>'3way-bu-call-sb-call разбивка'!p2sp1win</vt:lpstr>
      <vt:lpstr>'3wKhQs'!p2sp1win</vt:lpstr>
      <vt:lpstr>'3wKs2s Ден v2'!p2sp1win</vt:lpstr>
      <vt:lpstr>'3wKs7h'!p2sp1win</vt:lpstr>
      <vt:lpstr>'7d Jd разбивка'!p2sp1win</vt:lpstr>
      <vt:lpstr>p2sp1win</vt:lpstr>
      <vt:lpstr>'3wAdKd'!p2sp2win</vt:lpstr>
      <vt:lpstr>'3wAh9s'!p2sp2win</vt:lpstr>
      <vt:lpstr>'3wKhQs'!p2sp2win</vt:lpstr>
      <vt:lpstr>p2sp2win</vt:lpstr>
      <vt:lpstr>'3w 5h5c Ден'!p2spwin</vt:lpstr>
      <vt:lpstr>'3w 8h8c Ден'!p2spwin</vt:lpstr>
      <vt:lpstr>'3w 98s v2'!p2spwin</vt:lpstr>
      <vt:lpstr>'3w Ac5c Ден'!p2spwin</vt:lpstr>
      <vt:lpstr>'3w Kc5c Ден'!p2spwin</vt:lpstr>
      <vt:lpstr>'3w KsJs Ден v2 '!p2spwin</vt:lpstr>
      <vt:lpstr>'3w postflop 9c7s Ден v2'!p2spwin</vt:lpstr>
      <vt:lpstr>'3w9h9s'!p2spwin</vt:lpstr>
      <vt:lpstr>'3wAdKd'!p2spwin</vt:lpstr>
      <vt:lpstr>'3wAh9s'!p2spwin</vt:lpstr>
      <vt:lpstr>'3wAsQc'!p2spwin</vt:lpstr>
      <vt:lpstr>'3way 7d Jd ничьи'!p2spwin</vt:lpstr>
      <vt:lpstr>'3way 8c Kh ничьи'!p2spwin</vt:lpstr>
      <vt:lpstr>'3way шаблон'!p2spwin</vt:lpstr>
      <vt:lpstr>'3way шаблон ничьи'!p2spwin</vt:lpstr>
      <vt:lpstr>'3way-ai-preflo разбивка'!p2spwin</vt:lpstr>
      <vt:lpstr>'3way-bu-call-sb-call разбивка'!p2spwin</vt:lpstr>
      <vt:lpstr>'3wKhQs'!p2spwin</vt:lpstr>
      <vt:lpstr>'3wKs2s Ден v2'!p2spwin</vt:lpstr>
      <vt:lpstr>'3wKs7h'!p2spwin</vt:lpstr>
      <vt:lpstr>'4way'!p2spwin</vt:lpstr>
      <vt:lpstr>'7d Jd разбивка'!p2spwin</vt:lpstr>
      <vt:lpstr>p2spwin</vt:lpstr>
      <vt:lpstr>'3w 5h5c Ден'!p2win</vt:lpstr>
      <vt:lpstr>'3w 8h8c Ден'!p2win</vt:lpstr>
      <vt:lpstr>'3w 98s v2'!p2win</vt:lpstr>
      <vt:lpstr>'3w Ac5c Ден'!p2win</vt:lpstr>
      <vt:lpstr>'3w Kc5c Ден'!p2win</vt:lpstr>
      <vt:lpstr>'3w KsJs Ден v2 '!p2win</vt:lpstr>
      <vt:lpstr>'3w postflop 9c7s Ден v2'!p2win</vt:lpstr>
      <vt:lpstr>'3w9h9s'!p2win</vt:lpstr>
      <vt:lpstr>'3wAdKd'!p2win</vt:lpstr>
      <vt:lpstr>'3wAh9s'!p2win</vt:lpstr>
      <vt:lpstr>'3wAsQc'!p2win</vt:lpstr>
      <vt:lpstr>'3way 7d Jd ничьи'!p2win</vt:lpstr>
      <vt:lpstr>'3way 8c Kh ничьи'!p2win</vt:lpstr>
      <vt:lpstr>'3way шаблон'!p2win</vt:lpstr>
      <vt:lpstr>'3way шаблон ничьи'!p2win</vt:lpstr>
      <vt:lpstr>'3way-ai-preflo разбивка'!p2win</vt:lpstr>
      <vt:lpstr>'3way-bu-call-sb-call разбивка'!p2win</vt:lpstr>
      <vt:lpstr>'3wKhQs'!p2win</vt:lpstr>
      <vt:lpstr>'3wKs2s Ден v2'!p2win</vt:lpstr>
      <vt:lpstr>'3wKs7h'!p2win</vt:lpstr>
      <vt:lpstr>'4way'!p2win</vt:lpstr>
      <vt:lpstr>'7d Jd разбивка'!p2win</vt:lpstr>
      <vt:lpstr>p2win</vt:lpstr>
      <vt:lpstr>'3w 5h5c Ден'!p3sp1win</vt:lpstr>
      <vt:lpstr>'3w 8h8c Ден'!p3sp1win</vt:lpstr>
      <vt:lpstr>'3w 98s v2'!p3sp1win</vt:lpstr>
      <vt:lpstr>'3w Ac5c Ден'!p3sp1win</vt:lpstr>
      <vt:lpstr>'3w Kc5c Ден'!p3sp1win</vt:lpstr>
      <vt:lpstr>'3w KsJs Ден v2 '!p3sp1win</vt:lpstr>
      <vt:lpstr>'3w postflop 9c7s Ден v2'!p3sp1win</vt:lpstr>
      <vt:lpstr>'3w9h9s'!p3sp1win</vt:lpstr>
      <vt:lpstr>'3wAdKd'!p3sp1win</vt:lpstr>
      <vt:lpstr>'3wAh9s'!p3sp1win</vt:lpstr>
      <vt:lpstr>'3wAsQc'!p3sp1win</vt:lpstr>
      <vt:lpstr>'3way 7d Jd ничьи'!p3sp1win</vt:lpstr>
      <vt:lpstr>'3way 8c Kh ничьи'!p3sp1win</vt:lpstr>
      <vt:lpstr>'3way шаблон'!p3sp1win</vt:lpstr>
      <vt:lpstr>'3way шаблон ничьи'!p3sp1win</vt:lpstr>
      <vt:lpstr>'3way-ai-preflo разбивка'!p3sp1win</vt:lpstr>
      <vt:lpstr>'3way-bu-call-sb-call разбивка'!p3sp1win</vt:lpstr>
      <vt:lpstr>'3wKhQs'!p3sp1win</vt:lpstr>
      <vt:lpstr>'3wKs2s Ден v2'!p3sp1win</vt:lpstr>
      <vt:lpstr>'3wKs7h'!p3sp1win</vt:lpstr>
      <vt:lpstr>'7d Jd разбивка'!p3sp1win</vt:lpstr>
      <vt:lpstr>p3sp1win</vt:lpstr>
      <vt:lpstr>'3w 5h5c Ден'!p3win</vt:lpstr>
      <vt:lpstr>'3w 8h8c Ден'!p3win</vt:lpstr>
      <vt:lpstr>'3w 98s v2'!p3win</vt:lpstr>
      <vt:lpstr>'3w Ac5c Ден'!p3win</vt:lpstr>
      <vt:lpstr>'3w Kc5c Ден'!p3win</vt:lpstr>
      <vt:lpstr>'3w KsJs Ден v2 '!p3win</vt:lpstr>
      <vt:lpstr>'3w postflop 9c7s Ден v2'!p3win</vt:lpstr>
      <vt:lpstr>'3w9h9s'!p3win</vt:lpstr>
      <vt:lpstr>'3wAdKd'!p3win</vt:lpstr>
      <vt:lpstr>'3wAh9s'!p3win</vt:lpstr>
      <vt:lpstr>'3wAsQc'!p3win</vt:lpstr>
      <vt:lpstr>'3way 7d Jd ничьи'!p3win</vt:lpstr>
      <vt:lpstr>'3way 8c Kh ничьи'!p3win</vt:lpstr>
      <vt:lpstr>'3way шаблон'!p3win</vt:lpstr>
      <vt:lpstr>'3way шаблон ничьи'!p3win</vt:lpstr>
      <vt:lpstr>'3way-ai-preflo разбивка'!p3win</vt:lpstr>
      <vt:lpstr>'3way-bu-call-sb-call разбивка'!p3win</vt:lpstr>
      <vt:lpstr>'3wKhQs'!p3win</vt:lpstr>
      <vt:lpstr>'3wKs2s Ден v2'!p3win</vt:lpstr>
      <vt:lpstr>'3wKs7h'!p3win</vt:lpstr>
      <vt:lpstr>'4way'!p3win</vt:lpstr>
      <vt:lpstr>'7d Jd разбивка'!p3win</vt:lpstr>
      <vt:lpstr>p3win</vt:lpstr>
      <vt:lpstr>'3w 5h5c Ден'!p4win</vt:lpstr>
      <vt:lpstr>'3w 8h8c Ден'!p4win</vt:lpstr>
      <vt:lpstr>'3w 98s v2'!p4win</vt:lpstr>
      <vt:lpstr>'3w Ac5c Ден'!p4win</vt:lpstr>
      <vt:lpstr>'3w Kc5c Ден'!p4win</vt:lpstr>
      <vt:lpstr>'3w KsJs Ден v2 '!p4win</vt:lpstr>
      <vt:lpstr>'3w postflop 9c7s Ден v2'!p4win</vt:lpstr>
      <vt:lpstr>'3w9h9s'!p4win</vt:lpstr>
      <vt:lpstr>'3wAdKd'!p4win</vt:lpstr>
      <vt:lpstr>'3wAh9s'!p4win</vt:lpstr>
      <vt:lpstr>'3wAsQc'!p4win</vt:lpstr>
      <vt:lpstr>'3way 7d Jd ничьи'!p4win</vt:lpstr>
      <vt:lpstr>'3way 8c Kh ничьи'!p4win</vt:lpstr>
      <vt:lpstr>'3way шаблон'!p4win</vt:lpstr>
      <vt:lpstr>'3way шаблон ничьи'!p4win</vt:lpstr>
      <vt:lpstr>'3way шаблон разбивка'!p4win</vt:lpstr>
      <vt:lpstr>'3way-ai-preflo разбивка'!p4win</vt:lpstr>
      <vt:lpstr>'3way-bu-call-sb-call разбивка'!p4win</vt:lpstr>
      <vt:lpstr>'3wKhQs'!p4win</vt:lpstr>
      <vt:lpstr>'3wKs2s Ден v2'!p4win</vt:lpstr>
      <vt:lpstr>'3wKs7h'!p4win</vt:lpstr>
      <vt:lpstr>'7d Jd разбивка'!p4win</vt:lpstr>
      <vt:lpstr>p4win</vt:lpstr>
      <vt:lpstr>'3w 5h5c Ден'!prize</vt:lpstr>
      <vt:lpstr>'3w 8h8c Ден'!prize</vt:lpstr>
      <vt:lpstr>'3w 98s v2'!prize</vt:lpstr>
      <vt:lpstr>'3w Ac5c Ден'!prize</vt:lpstr>
      <vt:lpstr>'3w Kc5c Ден'!prize</vt:lpstr>
      <vt:lpstr>'3w KsJs Ден v2 '!prize</vt:lpstr>
      <vt:lpstr>'3w postflop 9c7s Ден v2'!prize</vt:lpstr>
      <vt:lpstr>'3w9h9s'!prize</vt:lpstr>
      <vt:lpstr>'3wAdKd'!prize</vt:lpstr>
      <vt:lpstr>'3wAh9s'!prize</vt:lpstr>
      <vt:lpstr>'3wAsQc'!prize</vt:lpstr>
      <vt:lpstr>'3way 7d Jd ничьи'!prize</vt:lpstr>
      <vt:lpstr>'3way 8c Kh ничьи'!prize</vt:lpstr>
      <vt:lpstr>'3way шаблон'!prize</vt:lpstr>
      <vt:lpstr>'3way шаблон ничьи'!prize</vt:lpstr>
      <vt:lpstr>'3way шаблон разбивка'!prize</vt:lpstr>
      <vt:lpstr>'3way-ai-preflo разбивка'!prize</vt:lpstr>
      <vt:lpstr>'3way-bu-call-sb-call разбивка'!prize</vt:lpstr>
      <vt:lpstr>'3wKhQs'!prize</vt:lpstr>
      <vt:lpstr>'3wKs2s Ден v2'!prize</vt:lpstr>
      <vt:lpstr>'3wKs7h'!prize</vt:lpstr>
      <vt:lpstr>'4way'!prize</vt:lpstr>
      <vt:lpstr>'7d Jd разбивка'!prize</vt:lpstr>
      <vt:lpstr>prize</vt:lpstr>
      <vt:lpstr>qweqwe</vt:lpstr>
      <vt:lpstr>'3w 5h5c Ден'!sidepot1</vt:lpstr>
      <vt:lpstr>'3w 8h8c Ден'!sidepot1</vt:lpstr>
      <vt:lpstr>'3w 98s v2'!sidepot1</vt:lpstr>
      <vt:lpstr>'3w Ac5c Ден'!sidepot1</vt:lpstr>
      <vt:lpstr>'3w Kc5c Ден'!sidepot1</vt:lpstr>
      <vt:lpstr>'3w KsJs Ден v2 '!sidepot1</vt:lpstr>
      <vt:lpstr>'3w postflop 9c7s Ден v2'!sidepot1</vt:lpstr>
      <vt:lpstr>'3w9h9s'!sidepot1</vt:lpstr>
      <vt:lpstr>'3wAdKd'!sidepot1</vt:lpstr>
      <vt:lpstr>'3wAh9s'!sidepot1</vt:lpstr>
      <vt:lpstr>'3wAsQc'!sidepot1</vt:lpstr>
      <vt:lpstr>'3way 7d Jd ничьи'!sidepot1</vt:lpstr>
      <vt:lpstr>'3way 8c Kh ничьи'!sidepot1</vt:lpstr>
      <vt:lpstr>'3way шаблон'!sidepot1</vt:lpstr>
      <vt:lpstr>'3way шаблон ничьи'!sidepot1</vt:lpstr>
      <vt:lpstr>'3way шаблон разбивка'!sidepot1</vt:lpstr>
      <vt:lpstr>'3way-ai-preflo разбивка'!sidepot1</vt:lpstr>
      <vt:lpstr>'3way-bu-call-sb-call разбивка'!sidepot1</vt:lpstr>
      <vt:lpstr>'3wKhQs'!sidepot1</vt:lpstr>
      <vt:lpstr>'3wKs2s Ден v2'!sidepot1</vt:lpstr>
      <vt:lpstr>'3wKs7h'!sidepot1</vt:lpstr>
      <vt:lpstr>'7d Jd разбивка'!sidepot1</vt:lpstr>
      <vt:lpstr>sidepot1</vt:lpstr>
      <vt:lpstr>'3w 5h5c Ден'!sidepot2</vt:lpstr>
      <vt:lpstr>'3w 8h8c Ден'!sidepot2</vt:lpstr>
      <vt:lpstr>'3w 98s v2'!sidepot2</vt:lpstr>
      <vt:lpstr>'3w Ac5c Ден'!sidepot2</vt:lpstr>
      <vt:lpstr>'3w Kc5c Ден'!sidepot2</vt:lpstr>
      <vt:lpstr>'3w KsJs Ден v2 '!sidepot2</vt:lpstr>
      <vt:lpstr>'3w postflop 9c7s Ден v2'!sidepot2</vt:lpstr>
      <vt:lpstr>'3w9h9s'!sidepot2</vt:lpstr>
      <vt:lpstr>'3wAdKd'!sidepot2</vt:lpstr>
      <vt:lpstr>'3wAh9s'!sidepot2</vt:lpstr>
      <vt:lpstr>'3wAsQc'!sidepot2</vt:lpstr>
      <vt:lpstr>'3way 7d Jd ничьи'!sidepot2</vt:lpstr>
      <vt:lpstr>'3way 8c Kh ничьи'!sidepot2</vt:lpstr>
      <vt:lpstr>'3way шаблон'!sidepot2</vt:lpstr>
      <vt:lpstr>'3way шаблон ничьи'!sidepot2</vt:lpstr>
      <vt:lpstr>'3way шаблон разбивка'!sidepot2</vt:lpstr>
      <vt:lpstr>'3way-ai-preflo разбивка'!sidepot2</vt:lpstr>
      <vt:lpstr>'3way-bu-call-sb-call разбивка'!sidepot2</vt:lpstr>
      <vt:lpstr>'3wKhQs'!sidepot2</vt:lpstr>
      <vt:lpstr>'3wKs2s Ден v2'!sidepot2</vt:lpstr>
      <vt:lpstr>'3wKs7h'!sidepot2</vt:lpstr>
      <vt:lpstr>'7d Jd разбивка'!sidepot2</vt:lpstr>
      <vt:lpstr>sidepot2</vt:lpstr>
      <vt:lpstr>sss</vt:lpstr>
      <vt:lpstr>T4pwinsp1</vt:lpstr>
      <vt:lpstr>'3way 7d Jd ничьи'!tie</vt:lpstr>
      <vt:lpstr>'3way 8c Kh ничьи'!tie</vt:lpstr>
      <vt:lpstr>'3way шаблон разбивка'!tie</vt:lpstr>
      <vt:lpstr>'3way-ai-preflo разбивка'!tie</vt:lpstr>
      <vt:lpstr>'3way-bu-call-sb-call разбивка'!tie</vt:lpstr>
      <vt:lpstr>'7d Jd разбивка'!tie</vt:lpstr>
      <vt:lpstr>tie</vt:lpstr>
      <vt:lpstr>'3way 7d Jd ничьи'!tiesp1</vt:lpstr>
      <vt:lpstr>'3way 8c Kh ничьи'!tiesp1</vt:lpstr>
      <vt:lpstr>'3way-ai-preflo разбивка'!tiesp1</vt:lpstr>
      <vt:lpstr>'3way-bu-call-sb-call разбивка'!tiesp1</vt:lpstr>
      <vt:lpstr>'7d Jd разбивка'!tiesp1</vt:lpstr>
      <vt:lpstr>tiesp1</vt:lpstr>
      <vt:lpstr>'3w 5h5c Ден'!uncalled</vt:lpstr>
      <vt:lpstr>'3w 8h8c Ден'!uncalled</vt:lpstr>
      <vt:lpstr>'3w 98s v2'!uncalled</vt:lpstr>
      <vt:lpstr>'3w Ac5c Ден'!uncalled</vt:lpstr>
      <vt:lpstr>'3w Kc5c Ден'!uncalled</vt:lpstr>
      <vt:lpstr>'3w KsJs Ден v2 '!uncalled</vt:lpstr>
      <vt:lpstr>'3w postflop 9c7s Ден v2'!uncalled</vt:lpstr>
      <vt:lpstr>'3w9h9s'!uncalled</vt:lpstr>
      <vt:lpstr>'3wAdKd'!uncalled</vt:lpstr>
      <vt:lpstr>'3wAh9s'!uncalled</vt:lpstr>
      <vt:lpstr>'3wAsQc'!uncalled</vt:lpstr>
      <vt:lpstr>'3way 7d Jd ничьи'!uncalled</vt:lpstr>
      <vt:lpstr>'3way 8c Kh ничьи'!uncalled</vt:lpstr>
      <vt:lpstr>'3way шаблон'!uncalled</vt:lpstr>
      <vt:lpstr>'3way шаблон ничьи'!uncalled</vt:lpstr>
      <vt:lpstr>'3way шаблон разбивка'!uncalled</vt:lpstr>
      <vt:lpstr>'3way-ai-preflo разбивка'!uncalled</vt:lpstr>
      <vt:lpstr>'3way-bu-call-sb-call разбивка'!uncalled</vt:lpstr>
      <vt:lpstr>'3wKhQs'!uncalled</vt:lpstr>
      <vt:lpstr>'3wKs2s Ден v2'!uncalled</vt:lpstr>
      <vt:lpstr>'3wKs7h'!uncalled</vt:lpstr>
      <vt:lpstr>'7d Jd разбивка'!uncalled</vt:lpstr>
      <vt:lpstr>uncalled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Anton Andryukhov</cp:lastModifiedBy>
  <cp:revision/>
  <dcterms:created xsi:type="dcterms:W3CDTF">2018-02-19T11:11:03Z</dcterms:created>
  <dcterms:modified xsi:type="dcterms:W3CDTF">2021-03-20T15:56:41Z</dcterms:modified>
  <cp:category/>
  <cp:contentStatus/>
</cp:coreProperties>
</file>