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57" documentId="8_{33EE49B7-C11A-4A98-9DE8-C1D9444EA019}" xr6:coauthVersionLast="46" xr6:coauthVersionMax="46" xr10:uidLastSave="{6878F015-5F92-48E6-8119-5742CC2E8579}"/>
  <bookViews>
    <workbookView xWindow="2460" yWindow="1590" windowWidth="26940" windowHeight="14970" xr2:uid="{A9BE2B81-C2E8-43AD-B9FD-0DDCC44767B2}"/>
  </bookViews>
  <sheets>
    <sheet name="3way template" sheetId="1" r:id="rId1"/>
  </sheets>
  <definedNames>
    <definedName name="bounty">'3way template'!$E$2</definedName>
    <definedName name="chips" localSheetId="0">'3way template'!$E$3</definedName>
    <definedName name="mainpot" localSheetId="0">'3way template'!$K$1</definedName>
    <definedName name="p_111">'3way template'!$O$2</definedName>
    <definedName name="p_113">'3way template'!$O$3</definedName>
    <definedName name="p_122">'3way template'!$O$5</definedName>
    <definedName name="p_123">'3way template'!$O$6</definedName>
    <definedName name="p_131">'3way template'!$O$4</definedName>
    <definedName name="p_132">'3way template'!$O$7</definedName>
    <definedName name="p_212">'3way template'!$O$8</definedName>
    <definedName name="p_213">'3way template'!$O$10</definedName>
    <definedName name="p_221">'3way template'!$O$9</definedName>
    <definedName name="p_231">'3way template'!$O$11</definedName>
    <definedName name="p_311">'3way template'!$O$12</definedName>
    <definedName name="p_312">'3way template'!$O$13</definedName>
    <definedName name="p_321">'3way template'!$O$14</definedName>
    <definedName name="prize" localSheetId="0">'3way template'!$E$1</definedName>
    <definedName name="sidepot1" localSheetId="0">'3way template'!$K$2</definedName>
    <definedName name="T_122">T_123[]</definedName>
    <definedName name="T_132">T_123[]</definedName>
    <definedName name="T_212">T_213[]</definedName>
    <definedName name="T_312">T_213[]</definedName>
    <definedName name="uncalled" localSheetId="0">'3way template'!$K$4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9" i="1" l="1"/>
  <c r="BS20" i="1"/>
  <c r="BS21" i="1"/>
  <c r="CD21" i="1" s="1"/>
  <c r="BS22" i="1"/>
  <c r="BV22" i="1" s="1"/>
  <c r="BS23" i="1"/>
  <c r="CD23" i="1" s="1"/>
  <c r="BS24" i="1"/>
  <c r="BV24" i="1" s="1"/>
  <c r="O19" i="1"/>
  <c r="O20" i="1"/>
  <c r="O21" i="1"/>
  <c r="O22" i="1"/>
  <c r="O23" i="1"/>
  <c r="O24" i="1"/>
  <c r="H19" i="1"/>
  <c r="H20" i="1"/>
  <c r="G22" i="1" s="1"/>
  <c r="K22" i="1" s="1"/>
  <c r="H21" i="1"/>
  <c r="H22" i="1"/>
  <c r="H23" i="1"/>
  <c r="H24" i="1"/>
  <c r="H3" i="1"/>
  <c r="H2" i="1"/>
  <c r="H1" i="1"/>
  <c r="BT25" i="1"/>
  <c r="BM25" i="1"/>
  <c r="BF25" i="1"/>
  <c r="AY25" i="1"/>
  <c r="AR25" i="1"/>
  <c r="AK25" i="1"/>
  <c r="AD25" i="1"/>
  <c r="W25" i="1"/>
  <c r="P25" i="1"/>
  <c r="I25" i="1"/>
  <c r="E25" i="1"/>
  <c r="BL24" i="1"/>
  <c r="BE24" i="1"/>
  <c r="AX24" i="1"/>
  <c r="AQ24" i="1"/>
  <c r="AJ24" i="1"/>
  <c r="AC24" i="1"/>
  <c r="V24" i="1"/>
  <c r="BL23" i="1"/>
  <c r="BE23" i="1"/>
  <c r="AX23" i="1"/>
  <c r="AQ23" i="1"/>
  <c r="AJ23" i="1"/>
  <c r="AC23" i="1"/>
  <c r="V23" i="1"/>
  <c r="CC23" i="1" s="1"/>
  <c r="BL22" i="1"/>
  <c r="BE22" i="1"/>
  <c r="AX22" i="1"/>
  <c r="AQ22" i="1"/>
  <c r="AJ22" i="1"/>
  <c r="AC22" i="1"/>
  <c r="V22" i="1"/>
  <c r="BL21" i="1"/>
  <c r="BE21" i="1"/>
  <c r="AX21" i="1"/>
  <c r="AQ21" i="1"/>
  <c r="AJ21" i="1"/>
  <c r="AC21" i="1"/>
  <c r="V21" i="1"/>
  <c r="BV20" i="1"/>
  <c r="BL20" i="1"/>
  <c r="BE20" i="1"/>
  <c r="AX20" i="1"/>
  <c r="AQ20" i="1"/>
  <c r="AJ20" i="1"/>
  <c r="AC20" i="1"/>
  <c r="AB20" i="1" s="1"/>
  <c r="AF20" i="1" s="1"/>
  <c r="V20" i="1"/>
  <c r="CC20" i="1" s="1"/>
  <c r="BL19" i="1"/>
  <c r="BK19" i="1" s="1"/>
  <c r="BO19" i="1" s="1"/>
  <c r="BE19" i="1"/>
  <c r="AX19" i="1"/>
  <c r="AW24" i="1" s="1"/>
  <c r="BA24" i="1" s="1"/>
  <c r="AQ19" i="1"/>
  <c r="AJ19" i="1"/>
  <c r="AC19" i="1"/>
  <c r="V19" i="1"/>
  <c r="CC19" i="1" s="1"/>
  <c r="E1" i="1"/>
  <c r="BU24" i="1" s="1"/>
  <c r="CC24" i="1" l="1"/>
  <c r="CC21" i="1"/>
  <c r="CF21" i="1" s="1"/>
  <c r="CE21" i="1" s="1"/>
  <c r="CC22" i="1"/>
  <c r="CF22" i="1" s="1"/>
  <c r="BK20" i="1"/>
  <c r="BO20" i="1" s="1"/>
  <c r="AB21" i="1"/>
  <c r="AF21" i="1" s="1"/>
  <c r="CF23" i="1"/>
  <c r="CE23" i="1" s="1"/>
  <c r="CF20" i="1"/>
  <c r="U24" i="1"/>
  <c r="Y24" i="1" s="1"/>
  <c r="AB19" i="1"/>
  <c r="AF19" i="1" s="1"/>
  <c r="BE25" i="1"/>
  <c r="AP21" i="1"/>
  <c r="AT21" i="1" s="1"/>
  <c r="Q19" i="1"/>
  <c r="X20" i="1"/>
  <c r="AL19" i="1"/>
  <c r="BN21" i="1"/>
  <c r="BG19" i="1"/>
  <c r="BK21" i="1"/>
  <c r="BO21" i="1" s="1"/>
  <c r="AE22" i="1"/>
  <c r="AW19" i="1"/>
  <c r="BA19" i="1" s="1"/>
  <c r="BS25" i="1"/>
  <c r="O25" i="1"/>
  <c r="BU20" i="1"/>
  <c r="BW20" i="1" s="1"/>
  <c r="AE19" i="1"/>
  <c r="X19" i="1"/>
  <c r="AJ25" i="1"/>
  <c r="CF24" i="1"/>
  <c r="BD20" i="1"/>
  <c r="BH20" i="1" s="1"/>
  <c r="CD24" i="1"/>
  <c r="U19" i="1"/>
  <c r="Y19" i="1" s="1"/>
  <c r="CD19" i="1"/>
  <c r="BK23" i="1"/>
  <c r="BO23" i="1" s="1"/>
  <c r="U21" i="1"/>
  <c r="Y21" i="1" s="1"/>
  <c r="AB22" i="1"/>
  <c r="AF22" i="1" s="1"/>
  <c r="AB24" i="1"/>
  <c r="AF24" i="1" s="1"/>
  <c r="AW20" i="1"/>
  <c r="BA20" i="1" s="1"/>
  <c r="BW24" i="1"/>
  <c r="AS21" i="1"/>
  <c r="J22" i="1"/>
  <c r="L22" i="1" s="1"/>
  <c r="AP23" i="1"/>
  <c r="AT23" i="1" s="1"/>
  <c r="G24" i="1"/>
  <c r="K24" i="1" s="1"/>
  <c r="AZ24" i="1"/>
  <c r="BU19" i="1"/>
  <c r="N20" i="1"/>
  <c r="R20" i="1" s="1"/>
  <c r="BG20" i="1"/>
  <c r="CD20" i="1"/>
  <c r="X21" i="1"/>
  <c r="BD22" i="1"/>
  <c r="BH22" i="1" s="1"/>
  <c r="U23" i="1"/>
  <c r="Y23" i="1" s="1"/>
  <c r="BN23" i="1"/>
  <c r="AE24" i="1"/>
  <c r="BV19" i="1"/>
  <c r="AL20" i="1"/>
  <c r="AI22" i="1"/>
  <c r="AM22" i="1" s="1"/>
  <c r="AS23" i="1"/>
  <c r="J24" i="1"/>
  <c r="BL25" i="1"/>
  <c r="AI20" i="1"/>
  <c r="AM20" i="1" s="1"/>
  <c r="G19" i="1"/>
  <c r="K19" i="1" s="1"/>
  <c r="AZ19" i="1"/>
  <c r="Q20" i="1"/>
  <c r="AW21" i="1"/>
  <c r="BA21" i="1" s="1"/>
  <c r="BU21" i="1"/>
  <c r="N22" i="1"/>
  <c r="R22" i="1" s="1"/>
  <c r="BG22" i="1"/>
  <c r="CD22" i="1"/>
  <c r="X23" i="1"/>
  <c r="BD24" i="1"/>
  <c r="BH24" i="1" s="1"/>
  <c r="AQ25" i="1"/>
  <c r="BV21" i="1"/>
  <c r="AL22" i="1"/>
  <c r="AI24" i="1"/>
  <c r="AM24" i="1" s="1"/>
  <c r="V25" i="1"/>
  <c r="AZ21" i="1"/>
  <c r="Q22" i="1"/>
  <c r="AW23" i="1"/>
  <c r="BA23" i="1" s="1"/>
  <c r="BU23" i="1"/>
  <c r="N24" i="1"/>
  <c r="R24" i="1" s="1"/>
  <c r="BG24" i="1"/>
  <c r="J19" i="1"/>
  <c r="AP20" i="1"/>
  <c r="AT20" i="1" s="1"/>
  <c r="G21" i="1"/>
  <c r="K21" i="1" s="1"/>
  <c r="BD19" i="1"/>
  <c r="BH19" i="1" s="1"/>
  <c r="U20" i="1"/>
  <c r="Y20" i="1" s="1"/>
  <c r="Z20" i="1" s="1"/>
  <c r="BN20" i="1"/>
  <c r="BP20" i="1" s="1"/>
  <c r="AE21" i="1"/>
  <c r="AG21" i="1" s="1"/>
  <c r="BK22" i="1"/>
  <c r="BO22" i="1" s="1"/>
  <c r="AB23" i="1"/>
  <c r="AF23" i="1" s="1"/>
  <c r="BV23" i="1"/>
  <c r="AL24" i="1"/>
  <c r="AI19" i="1"/>
  <c r="AM19" i="1" s="1"/>
  <c r="AS20" i="1"/>
  <c r="J21" i="1"/>
  <c r="AP22" i="1"/>
  <c r="AT22" i="1" s="1"/>
  <c r="G23" i="1"/>
  <c r="K23" i="1" s="1"/>
  <c r="AZ23" i="1"/>
  <c r="Q24" i="1"/>
  <c r="N19" i="1"/>
  <c r="R19" i="1" s="1"/>
  <c r="BD21" i="1"/>
  <c r="BH21" i="1" s="1"/>
  <c r="U22" i="1"/>
  <c r="Y22" i="1" s="1"/>
  <c r="BN22" i="1"/>
  <c r="AE23" i="1"/>
  <c r="BK24" i="1"/>
  <c r="BO24" i="1" s="1"/>
  <c r="AX25" i="1"/>
  <c r="AI21" i="1"/>
  <c r="AM21" i="1" s="1"/>
  <c r="AS22" i="1"/>
  <c r="J23" i="1"/>
  <c r="AP24" i="1"/>
  <c r="AT24" i="1" s="1"/>
  <c r="AC25" i="1"/>
  <c r="N21" i="1"/>
  <c r="R21" i="1" s="1"/>
  <c r="BG21" i="1"/>
  <c r="X22" i="1"/>
  <c r="BD23" i="1"/>
  <c r="BH23" i="1" s="1"/>
  <c r="BN24" i="1"/>
  <c r="H25" i="1"/>
  <c r="AL21" i="1"/>
  <c r="AI23" i="1"/>
  <c r="AM23" i="1" s="1"/>
  <c r="AS24" i="1"/>
  <c r="AP19" i="1"/>
  <c r="AT19" i="1" s="1"/>
  <c r="G20" i="1"/>
  <c r="K20" i="1" s="1"/>
  <c r="AZ20" i="1"/>
  <c r="Q21" i="1"/>
  <c r="AW22" i="1"/>
  <c r="BA22" i="1" s="1"/>
  <c r="BU22" i="1"/>
  <c r="BW22" i="1" s="1"/>
  <c r="N23" i="1"/>
  <c r="R23" i="1" s="1"/>
  <c r="BG23" i="1"/>
  <c r="X24" i="1"/>
  <c r="BN19" i="1"/>
  <c r="AE20" i="1"/>
  <c r="AG20" i="1" s="1"/>
  <c r="AL23" i="1"/>
  <c r="AS19" i="1"/>
  <c r="J20" i="1"/>
  <c r="AZ22" i="1"/>
  <c r="Q23" i="1"/>
  <c r="AG19" i="1" l="1"/>
  <c r="S19" i="1"/>
  <c r="BP21" i="1"/>
  <c r="BZ23" i="1"/>
  <c r="BP23" i="1"/>
  <c r="BZ22" i="1"/>
  <c r="Z21" i="1"/>
  <c r="BZ21" i="1"/>
  <c r="Z24" i="1"/>
  <c r="BZ24" i="1"/>
  <c r="BZ20" i="1"/>
  <c r="BZ19" i="1"/>
  <c r="CE20" i="1"/>
  <c r="L20" i="1"/>
  <c r="BW21" i="1"/>
  <c r="L21" i="1"/>
  <c r="L24" i="1"/>
  <c r="AG23" i="1"/>
  <c r="CE22" i="1"/>
  <c r="AG22" i="1"/>
  <c r="AF25" i="1"/>
  <c r="AN22" i="1"/>
  <c r="Z19" i="1"/>
  <c r="AG24" i="1"/>
  <c r="AN24" i="1"/>
  <c r="AU20" i="1"/>
  <c r="BI23" i="1"/>
  <c r="AU21" i="1"/>
  <c r="CE24" i="1"/>
  <c r="BO25" i="1"/>
  <c r="AN23" i="1"/>
  <c r="BP24" i="1"/>
  <c r="L23" i="1"/>
  <c r="BW23" i="1"/>
  <c r="BI20" i="1"/>
  <c r="BI24" i="1"/>
  <c r="AU23" i="1"/>
  <c r="BA25" i="1"/>
  <c r="S20" i="1"/>
  <c r="BP22" i="1"/>
  <c r="AL25" i="1"/>
  <c r="J25" i="1"/>
  <c r="L19" i="1"/>
  <c r="AE25" i="1"/>
  <c r="CC25" i="1"/>
  <c r="CF19" i="1"/>
  <c r="CE19" i="1" s="1"/>
  <c r="S21" i="1"/>
  <c r="AU22" i="1"/>
  <c r="AN19" i="1"/>
  <c r="AM25" i="1"/>
  <c r="AZ25" i="1"/>
  <c r="BB19" i="1"/>
  <c r="BB20" i="1"/>
  <c r="S22" i="1"/>
  <c r="K25" i="1"/>
  <c r="BB21" i="1"/>
  <c r="AT25" i="1"/>
  <c r="BU25" i="1"/>
  <c r="BW19" i="1"/>
  <c r="BG25" i="1"/>
  <c r="S23" i="1"/>
  <c r="AU24" i="1"/>
  <c r="BB24" i="1"/>
  <c r="BB22" i="1"/>
  <c r="X25" i="1"/>
  <c r="AN21" i="1"/>
  <c r="AS25" i="1"/>
  <c r="AU19" i="1"/>
  <c r="R25" i="1"/>
  <c r="BI19" i="1"/>
  <c r="BH25" i="1"/>
  <c r="AN20" i="1"/>
  <c r="Y25" i="1"/>
  <c r="S24" i="1"/>
  <c r="Z23" i="1"/>
  <c r="BV25" i="1"/>
  <c r="BP19" i="1"/>
  <c r="BN25" i="1"/>
  <c r="Z22" i="1"/>
  <c r="BB23" i="1"/>
  <c r="Q25" i="1"/>
  <c r="BI21" i="1"/>
  <c r="BI22" i="1"/>
  <c r="CA25" i="1"/>
  <c r="BZ25" i="1" l="1"/>
  <c r="CB20" i="1"/>
  <c r="CB23" i="1"/>
  <c r="CG23" i="1" s="1"/>
  <c r="AG25" i="1"/>
  <c r="CB22" i="1"/>
  <c r="CG22" i="1" s="1"/>
  <c r="CB24" i="1"/>
  <c r="CG24" i="1" s="1"/>
  <c r="CB19" i="1"/>
  <c r="CB21" i="1"/>
  <c r="CG21" i="1" s="1"/>
  <c r="L25" i="1"/>
  <c r="BW25" i="1"/>
  <c r="CG20" i="1"/>
  <c r="AN25" i="1"/>
  <c r="S25" i="1"/>
  <c r="Z25" i="1"/>
  <c r="BB25" i="1"/>
  <c r="BP25" i="1"/>
  <c r="BI25" i="1"/>
  <c r="AU25" i="1"/>
  <c r="CB25" i="1" l="1"/>
  <c r="C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tc={75B2911D-7C09-4257-813C-B6E3798DA6BD}</author>
  </authors>
  <commentList>
    <comment ref="J1" authorId="0" shapeId="0" xr:uid="{B43BCBC0-EB71-4416-BEB7-7CC9D84842D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J4" authorId="0" shapeId="0" xr:uid="{89858934-7590-47D9-BB97-FFADA523995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B18" authorId="0" shapeId="0" xr:uid="{4E18617B-5251-4989-A646-0B3A3AD57DC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C18" authorId="0" shapeId="0" xr:uid="{AD153BD2-EB51-4776-AAB2-BE3E1291768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D18" authorId="0" shapeId="0" xr:uid="{2C156C0A-400B-4F2D-A437-F004B4E20A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G18" authorId="0" shapeId="0" xr:uid="{158412FE-5631-4ABD-B5ED-367E7040FF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I18" authorId="0" shapeId="0" xr:uid="{31F9EE2C-F60A-4D42-8669-F66B9CF94B9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N18" authorId="0" shapeId="0" xr:uid="{955BA8E8-E7A5-449B-BE94-AFE821EAA97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U18" authorId="0" shapeId="0" xr:uid="{23177F39-6E2B-4AC2-942F-1D9837D1244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B18" authorId="0" shapeId="0" xr:uid="{78A91242-3657-4AC7-85BD-D3FFB4CC19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I18" authorId="0" shapeId="0" xr:uid="{E4829CE0-FC0B-4C0A-BB13-452BF9F58A3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P18" authorId="0" shapeId="0" xr:uid="{F5360946-135E-486F-8E55-1490AC46199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W18" authorId="0" shapeId="0" xr:uid="{04113C78-0493-4A08-9432-4383BC6A70B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D18" authorId="0" shapeId="0" xr:uid="{B30169CC-4A33-457C-95C4-6FFCD12A2F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K18" authorId="0" shapeId="0" xr:uid="{F6C9A20F-7E2A-4602-8731-EB3709AB627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R18" authorId="1" shapeId="0" xr:uid="{75B2911D-7C09-4257-813C-B6E3798DA6B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S18" authorId="0" shapeId="0" xr:uid="{7CCE4D9F-4894-44FE-A047-E21751491CC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Z18" authorId="0" shapeId="0" xr:uid="{EF4372D3-857A-4CED-9CA0-F364F076086E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<sst xmlns="http://schemas.openxmlformats.org/spreadsheetml/2006/main" count="181" uniqueCount="110">
  <si>
    <t>bi</t>
  </si>
  <si>
    <t>prize</t>
  </si>
  <si>
    <t>p1win</t>
  </si>
  <si>
    <t>mainpot</t>
  </si>
  <si>
    <t>Outcome* Breakdown:</t>
  </si>
  <si>
    <t>KO</t>
  </si>
  <si>
    <t>p2win</t>
  </si>
  <si>
    <t>sidepot1</t>
  </si>
  <si>
    <t>chips</t>
  </si>
  <si>
    <t>p3win</t>
  </si>
  <si>
    <t>sidepot2</t>
  </si>
  <si>
    <t>uncalled</t>
  </si>
  <si>
    <t xml:space="preserve">EV = </t>
  </si>
  <si>
    <t>cXYZ * pXYZ + …</t>
  </si>
  <si>
    <t>cXYZ распределение фишек</t>
  </si>
  <si>
    <t xml:space="preserve">pXYZ вероятность исхода, где </t>
  </si>
  <si>
    <t>XYZ означает что 1 игрок занял место X, 2 место Y, 3 место Z</t>
  </si>
  <si>
    <t>p1win = 122 + 123 + 132 + 113 / 2 + 111 / 3 + 131/2</t>
  </si>
  <si>
    <t>p2win = 212 + 213 + 312 + 113 / 2 + 111 / 3 + 311 /2</t>
  </si>
  <si>
    <t>p3win = 221 + 231 + 321 + 111 / 3 + 311/2 + 131/2</t>
  </si>
  <si>
    <t>3rd player Win side pot</t>
  </si>
  <si>
    <t>123, 132, 122</t>
  </si>
  <si>
    <t>213, 312, 212</t>
  </si>
  <si>
    <t>T_fact</t>
  </si>
  <si>
    <t>Total</t>
  </si>
  <si>
    <t>1st player Win</t>
  </si>
  <si>
    <t>2nd player Win</t>
  </si>
  <si>
    <t>Tie</t>
  </si>
  <si>
    <t>side pot 1st player Win</t>
  </si>
  <si>
    <t>side pot 2nd player Win</t>
  </si>
  <si>
    <t>side pot Tie</t>
  </si>
  <si>
    <t>Fact</t>
  </si>
  <si>
    <t>EV</t>
  </si>
  <si>
    <t>p</t>
  </si>
  <si>
    <t>stack</t>
  </si>
  <si>
    <t>hand</t>
  </si>
  <si>
    <t>anteblinds</t>
  </si>
  <si>
    <t>players</t>
  </si>
  <si>
    <t>EQ</t>
  </si>
  <si>
    <t>ICM</t>
  </si>
  <si>
    <t>$stack</t>
  </si>
  <si>
    <t>chipEV</t>
  </si>
  <si>
    <t>netwon</t>
  </si>
  <si>
    <t>netwon_adj</t>
  </si>
  <si>
    <t>cEVdiff</t>
  </si>
  <si>
    <t>Evdiff</t>
  </si>
  <si>
    <t>Kh Jc</t>
  </si>
  <si>
    <t>Ks 7h</t>
  </si>
  <si>
    <t>Kd 8h</t>
  </si>
  <si>
    <t>Исходная раздача</t>
  </si>
  <si>
    <t>main pot</t>
  </si>
  <si>
    <t>PokerStars Hand #222998201047: Tournament #3110569924, $26.96+$0.54 USD Hold'em No Limit - Match Round I, Level I (25/50) - 2021/01/24 18:13:13 MSK [2021/01/24 10:13:13 ET]</t>
  </si>
  <si>
    <t>банк где учавствуют все игроки</t>
  </si>
  <si>
    <t>Table '3110569924 3' 4-max Seat #2 is the button</t>
  </si>
  <si>
    <t>side pot образуется если больше 2 человек в АИ</t>
  </si>
  <si>
    <t>Seat 1: slavikus555 (115 in chips)</t>
  </si>
  <si>
    <t>Seat 2: anateodora (580 in chips)</t>
  </si>
  <si>
    <t>Seat 3: DiggErr555 (815 in chips)</t>
  </si>
  <si>
    <t>если есть side pot 2 в нем учавствуют топ 2, а в сайд пот 1 учавствуют топ 3</t>
  </si>
  <si>
    <t>Seat 4: gaudas12 (490 in chips)</t>
  </si>
  <si>
    <t>slavikus555: posts the ante 10</t>
  </si>
  <si>
    <t xml:space="preserve">Алгоритм расчета </t>
  </si>
  <si>
    <t>anateodora: posts the ante 10</t>
  </si>
  <si>
    <t>считаем эквити между топ1 топ2 топ3 топ4</t>
  </si>
  <si>
    <t>DiggErr555: posts the ante 10</t>
  </si>
  <si>
    <t>1 случай топ1 выиграл</t>
  </si>
  <si>
    <t>gaudas12: posts the ante 10</t>
  </si>
  <si>
    <t>получает все фишки со всех банков, + ноки, отсальные обнуляются</t>
  </si>
  <si>
    <t>DiggErr555: posts small blind 25</t>
  </si>
  <si>
    <t>2 случай топ2 выиграл</t>
  </si>
  <si>
    <t>gaudas12: posts big blind 50</t>
  </si>
  <si>
    <t>*** HOLE CARDS ***</t>
  </si>
  <si>
    <t>3 случай топ3 выиглал</t>
  </si>
  <si>
    <t>Dealt to DiggErr555 [Ks 7h]</t>
  </si>
  <si>
    <t>получает сайд1 и мэйн + нок за 1 игрока</t>
  </si>
  <si>
    <t>slavikus555: raises 55 to 105 and is all-in</t>
  </si>
  <si>
    <t>считаем эквити между топ1 и топ2</t>
  </si>
  <si>
    <t xml:space="preserve">выиграл топ1 </t>
  </si>
  <si>
    <t>anateodora: folds</t>
  </si>
  <si>
    <t>получает сайд2 и нок за топ2</t>
  </si>
  <si>
    <t>DiggErr555: raises 700 to 805 and is all-in</t>
  </si>
  <si>
    <t>выиграл топ2</t>
  </si>
  <si>
    <t>gaudas12: calls 430 and is all-in</t>
  </si>
  <si>
    <t>получает сайд2</t>
  </si>
  <si>
    <t>Uncalled bet (325) returned to DiggErr555</t>
  </si>
  <si>
    <t>*** FLOP *** [8s 8d 5h]</t>
  </si>
  <si>
    <t>4 случай топ4 выиграл</t>
  </si>
  <si>
    <t>*** TURN *** [8s 8d 5h] [9d]</t>
  </si>
  <si>
    <t>получает мэйн</t>
  </si>
  <si>
    <t>*** RIVER *** [8s 8d 5h 9d] [Tc]</t>
  </si>
  <si>
    <t>считаем эквити между топ1 топ2 топ3</t>
  </si>
  <si>
    <t>*** SHOW DOWN ***</t>
  </si>
  <si>
    <t>получает сайд1 и сайд2 + 2 нока за топ2 и топ3</t>
  </si>
  <si>
    <t>DiggErr555: shows [Ks 7h] (a pair of Eights)</t>
  </si>
  <si>
    <t>gaudas12: shows [Kd 8h] (three of a kind, Eights)</t>
  </si>
  <si>
    <t>получает сайд1 и сайд2 + 1 нок за топ3</t>
  </si>
  <si>
    <t>gaudas12 collected 750 from side pot</t>
  </si>
  <si>
    <t>выйграл топ3</t>
  </si>
  <si>
    <t>slavikus555: shows [Kh Jc] (a pair of Eights)</t>
  </si>
  <si>
    <t>получает сайд1</t>
  </si>
  <si>
    <t>gaudas12 collected 355 from main pot</t>
  </si>
  <si>
    <t>slavikus555 finished the tournament in 11th place</t>
  </si>
  <si>
    <t>*** SUMMARY ***</t>
  </si>
  <si>
    <t>Total pot 1105 Main pot 355. Side pot 750. | Rake 0</t>
  </si>
  <si>
    <t>Board [8s 8d 5h 9d Tc]</t>
  </si>
  <si>
    <t>Seat 1: slavikus555 showed [Kh Jc] and lost with a pair of Eights</t>
  </si>
  <si>
    <t>Seat 2: anateodora (button) folded before Flop (didn't bet)</t>
  </si>
  <si>
    <t>Seat 3: DiggErr555 (small blind) showed [Ks 7h] and lost with a pair of Eights</t>
  </si>
  <si>
    <t>Seat 4: gaudas12 (big blind) showed [Kd 8h] and won (1105) with three of a kind, Eights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</si>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</sst>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double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12" xfId="0" applyFill="1" applyBorder="1"/>
    <xf numFmtId="164" fontId="0" fillId="2" borderId="17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0" borderId="12" xfId="0" applyBorder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12" xfId="0" applyFill="1" applyBorder="1"/>
    <xf numFmtId="0" fontId="1" fillId="4" borderId="12" xfId="0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0" fontId="10" fillId="5" borderId="18" xfId="0" applyFont="1" applyFill="1" applyBorder="1"/>
    <xf numFmtId="0" fontId="0" fillId="0" borderId="18" xfId="0" applyFont="1" applyBorder="1"/>
    <xf numFmtId="0" fontId="11" fillId="0" borderId="19" xfId="0" applyFont="1" applyBorder="1"/>
    <xf numFmtId="0" fontId="0" fillId="2" borderId="18" xfId="0" applyFont="1" applyFill="1" applyBorder="1"/>
    <xf numFmtId="0" fontId="0" fillId="3" borderId="18" xfId="0" applyFont="1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103"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Andryukhov" id="{27F183DB-7C89-4168-B8CE-360CD9553519}" userId="a89796590138a2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1FFB-9422-4D41-8615-CA71348484D3}" name="T_init" displayName="T_init" ref="B18:E25" totalsRowCount="1">
  <autoFilter ref="B18:E24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7CC90AF4-11C3-4B9F-B4B1-AA3D6BFDD5B9}" name="p" totalsRowLabel="Total"/>
    <tableColumn id="2" xr3:uid="{244C798C-5785-49E3-8FE7-03D5CE5D01D7}" name="stack"/>
    <tableColumn id="3" xr3:uid="{68E884AB-2425-4621-83FF-66F609CD0257}" name="hand"/>
    <tableColumn id="4" xr3:uid="{6B6E7886-6ACD-4686-B1EB-7426735894DE}" name="anteblinds" totalsRowFunction="sum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AD830B-1727-4C0D-893F-A89E51D480BD}" name="T_113" displayName="T_113" ref="AB18:AG24" totalsRowShown="0" tableBorderDxfId="32">
  <autoFilter ref="AB18:AG24" xr:uid="{65A7E52C-5FB7-4BB3-8A75-2B9A177732FF}"/>
  <tableColumns count="6">
    <tableColumn id="1" xr3:uid="{3DBA2B64-29C2-44DC-8ED0-4124BAB4FD6B}" name="players" dataDxfId="31" totalsRowDxfId="30">
      <calculatedColumnFormula>COUNTIF(T_113[stack],"&gt;0")</calculatedColumnFormula>
    </tableColumn>
    <tableColumn id="2" xr3:uid="{BB9BD791-044E-4D07-ABFC-E16CCF90F9F2}" name="stack" dataDxfId="29" totalsRowDxfId="28">
      <calculatedColumnFormula>IF(T_init[[#This Row],[p]]=1,ROUNDDOWN(uncalled + mainpot/2, 0) + ROUNDDOWN(sidepot1/2,0),IF(T_init[[#This Row],[p]]=2,ROUND(mainpot/2,0) + ROUND(sidepot1/2,0),IF(T_init[[#This Row],[p]]=3, 0,T_init[[#This Row],[stack]]-T_init[[#This Row],[anteblinds]])))</calculatedColumnFormula>
    </tableColumn>
    <tableColumn id="3" xr3:uid="{0B1CAC12-4CC9-4670-9610-C198946AEBBA}" name="EQ" totalsRowDxfId="27"/>
    <tableColumn id="4" xr3:uid="{EEC7A208-9E38-45D2-A2E6-06660184F279}" name="ICM" dataDxfId="26" totalsRowDxfId="25">
      <calculatedColumnFormula>T_113[[#This Row],[EQ]]*prize</calculatedColumnFormula>
    </tableColumn>
    <tableColumn id="5" xr3:uid="{E9BAB419-8EB8-4621-A20E-DAFFF49C5A11}" name="KO" dataDxfId="24" totalsRowDxfId="23">
      <calculatedColumnFormula>IF(T_init[[#This Row],[p]]=2,T_113[[#This Row],[players]]*T_113[[#This Row],[stack]]/chips+COUNTIF(T_113[stack],0),T_113[[#This Row],[players]]*T_113[[#This Row],[stack]]/chips)</calculatedColumnFormula>
    </tableColumn>
    <tableColumn id="6" xr3:uid="{836CF42E-2D36-4708-B668-132A534E4C4C}" name="$stack" dataDxfId="22">
      <calculatedColumnFormula>T_113[[#This Row],[ICM]]+bounty*T_113[[#This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2BA3F3-C93C-43E1-9491-4D92DA9BC4FC}" name="T_131" displayName="T_131" ref="AI18:AN24" totalsRowShown="0" tableBorderDxfId="21">
  <autoFilter ref="AI18:AN24" xr:uid="{22DD0C87-8B5C-4E2F-A7A6-3E4489B3D96B}"/>
  <tableColumns count="6">
    <tableColumn id="1" xr3:uid="{E9F11EDD-EC3F-42E9-A5DF-51BF787DCF32}" name="players" dataDxfId="20" totalsRowDxfId="19">
      <calculatedColumnFormula>COUNTIF(T_131[stack],"&gt;0")</calculatedColumnFormula>
    </tableColumn>
    <tableColumn id="2" xr3:uid="{21D47BC4-FB6A-401B-84DA-DA013DD71F6A}" name="stack" dataDxfId="18" totalsRowDxfId="17">
      <calculatedColumnFormula>IF(T_init[[#This Row],[p]]=1,ROUNDDOWN(uncalled + mainpot/2, 0) + ROUNDDOWN(sidepot1,0),IF(T_init[[#This Row],[p]]=2,0,IF(T_init[[#This Row],[p]]=3, ROUNDUP(mainpot/2,0),T_init[[#This Row],[stack]]-T_init[[#This Row],[anteblinds]])))</calculatedColumnFormula>
    </tableColumn>
    <tableColumn id="3" xr3:uid="{B39BDF60-4C6E-4588-9ADC-2B93DE45F6F0}" name="EQ" totalsRowDxfId="16"/>
    <tableColumn id="4" xr3:uid="{EAF0EAD7-BFBB-4159-90A1-F2B51438C566}" name="ICM" dataDxfId="15" totalsRowDxfId="14">
      <calculatedColumnFormula>T_131[[#This Row],[EQ]]*prize</calculatedColumnFormula>
    </tableColumn>
    <tableColumn id="5" xr3:uid="{A21219F3-6EE2-48CB-B890-B4CFCEE384BC}" name="KO" dataDxfId="13" totalsRowDxfId="12">
      <calculatedColumnFormula>IF(T_init[[#This Row],[p]]=2,T_131[[#This Row],[players]]*T_131[[#This Row],[stack]]/chips+COUNTIF(T_131[stack],0),T_131[[#This Row],[players]]*T_131[[#This Row],[stack]]/chips)</calculatedColumnFormula>
    </tableColumn>
    <tableColumn id="6" xr3:uid="{D6C235B0-8258-4ED8-9082-0C9FFBE2DF58}" name="$stack" dataDxfId="11">
      <calculatedColumnFormula>T_131[[#This Row],[ICM]]+bounty*T_131[[#This Row],[KO]]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6CA732-7CB2-46FA-B643-4C2F4B016CA2}" name="T_311" displayName="T_311" ref="AP18:AU24" totalsRowShown="0" tableBorderDxfId="10">
  <autoFilter ref="AP18:AU24" xr:uid="{85FE0BC8-7AC0-49B1-8516-7148FA962FFE}"/>
  <tableColumns count="6">
    <tableColumn id="1" xr3:uid="{1E6B5958-CAA5-4CB5-B929-143C057F107D}" name="players" dataDxfId="9" totalsRowDxfId="8">
      <calculatedColumnFormula>COUNTIF(T_311[stack],"&gt;0")</calculatedColumnFormula>
    </tableColumn>
    <tableColumn id="2" xr3:uid="{46F3DC55-C338-4BE8-932E-124D941D3B11}" name="stack" dataDxfId="7" totalsRowDxfId="6">
      <calculatedColumnFormula>IF(T_init[[#This Row],[p]]=1,uncalled,IF(T_init[[#This Row],[p]]=2,ROUNDDOWN(mainpot/2,0) + ROUNDDOWN(sidepot1,0),IF(T_init[[#This Row],[p]]=3, ROUNDUP(mainpot/2,0),T_init[[#This Row],[stack]]-T_init[[#This Row],[anteblinds]])))</calculatedColumnFormula>
    </tableColumn>
    <tableColumn id="3" xr3:uid="{0E989D4C-CC42-42C5-A005-A1CEA4300BC4}" name="EQ" totalsRowDxfId="5"/>
    <tableColumn id="4" xr3:uid="{F447223E-E948-4B63-BFC9-C871463330C4}" name="ICM" dataDxfId="4" totalsRowDxfId="3">
      <calculatedColumnFormula>T_311[[#This Row],[EQ]]*prize</calculatedColumnFormula>
    </tableColumn>
    <tableColumn id="5" xr3:uid="{1C7FD170-7B82-4544-B01A-F1942634CF49}" name="KO" dataDxfId="2" totalsRowDxfId="1">
      <calculatedColumnFormula>IF(T_init[[#This Row],[p]]=2,T_311[[#This Row],[players]]*T_311[[#This Row],[stack]]/chips+COUNTIF(T_311[stack],0),T_311[[#This Row],[players]]*T_311[[#This Row],[stack]]/chips)</calculatedColumnFormula>
    </tableColumn>
    <tableColumn id="6" xr3:uid="{669EFF92-A522-4C43-BA2D-07910484F185}" name="$stack" dataDxfId="0">
      <calculatedColumnFormula>T_311[[#This Row],[ICM]]+bounty*T_311[[#This Row],[KO]]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28EEE-3443-4705-964E-74A74CB55CAD}" name="T_123" displayName="T_123" ref="G18:L24" totalsRowShown="0" tableBorderDxfId="102">
  <autoFilter ref="G18:L24" xr:uid="{00000000-0009-0000-0100-000022000000}"/>
  <tableColumns count="6">
    <tableColumn id="1" xr3:uid="{53DE4489-192D-4FB0-A80F-D1529C28C6B8}" name="players" dataDxfId="101">
      <calculatedColumnFormula>COUNTIF(T_123[stack],"&gt;0")</calculatedColumnFormula>
    </tableColumn>
    <tableColumn id="2" xr3:uid="{AF81A46B-F425-43D9-A3F1-0D61C84D460F}" name="stack" dataDxfId="100">
      <calculatedColumnFormula>IF(T_init[[#This Row],[p]]=1,mainpot+sidepot1+uncalled,IF(T_init[[#This Row],[p]]&gt;1,0,T_init[[#This Row],[stack]]-T_init[[#This Row],[anteblinds]]))</calculatedColumnFormula>
    </tableColumn>
    <tableColumn id="3" xr3:uid="{14FE6783-0364-49EF-A327-8505CC4D9E77}" name="EQ"/>
    <tableColumn id="4" xr3:uid="{55106670-06C7-4C3D-9AAA-619C17BA7E6C}" name="ICM" dataDxfId="99">
      <calculatedColumnFormula>T_123[[#This Row],[EQ]]*prize</calculatedColumnFormula>
    </tableColumn>
    <tableColumn id="5" xr3:uid="{FC027651-14D5-460E-B369-75ECAF471C69}" name="KO" dataDxfId="98">
      <calculatedColumnFormula>IF(T_init[[#This Row],[p]]=1,T_123[[#This Row],[players]]*T_123[[#This Row],[stack]]/chips+COUNTIF(T_123[stack],0),T_123[[#This Row],[players]]*T_123[[#This Row],[stack]]/chips)</calculatedColumnFormula>
    </tableColumn>
    <tableColumn id="6" xr3:uid="{4FF285EF-7F6A-455C-B0B7-E071E4E34889}" name="$stack" dataDxfId="97">
      <calculatedColumnFormula>T_123[[#This Row],[ICM]]+bounty*T_123[[#This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693EE0-402B-4E2B-9FE7-4AF05B7B9804}" name="T_213" displayName="T_213" ref="N18:S24" totalsRowShown="0" tableBorderDxfId="96">
  <autoFilter ref="N18:S24" xr:uid="{00000000-0009-0000-0100-000023000000}"/>
  <tableColumns count="6">
    <tableColumn id="1" xr3:uid="{4E033CC2-AD90-43FB-BA16-829F963C1DE4}" name="players" dataDxfId="95" totalsRowDxfId="94">
      <calculatedColumnFormula>COUNTIF(T_213[stack],"&gt;0")</calculatedColumnFormula>
    </tableColumn>
    <tableColumn id="2" xr3:uid="{024C1867-DCCC-453B-A157-6B6455B9F13B}" name="stack" dataDxfId="93" totalsRowDxfId="92">
      <calculatedColumnFormula>IF(T_init[[#This Row],[p]]=1,uncalled,IF(T_init[[#This Row],[p]]=2,mainpot+sidepot1,IF(T_init[[#This Row],[p]]&gt;2,0,T_init[[#This Row],[stack]]-T_init[[#This Row],[anteblinds]])))</calculatedColumnFormula>
    </tableColumn>
    <tableColumn id="3" xr3:uid="{9C1D0B4A-9417-4549-B514-C6FAFD2ABBE1}" name="EQ" totalsRowDxfId="91"/>
    <tableColumn id="4" xr3:uid="{408862A7-8D47-4A49-BD66-B1D42C9A9A57}" name="ICM" dataDxfId="90" totalsRowDxfId="89">
      <calculatedColumnFormula>T_213[[#This Row],[EQ]]*prize</calculatedColumnFormula>
    </tableColumn>
    <tableColumn id="5" xr3:uid="{3910DB4E-0807-4376-957D-93947A07AD46}" name="KO" dataDxfId="88" totalsRowDxfId="87">
      <calculatedColumnFormula>IF(T_init[[#This Row],[p]]=2,T_213[[#This Row],[players]]*T_213[[#This Row],[stack]]/chips+COUNTIF(T_213[stack],0),T_213[[#This Row],[players]]*T_213[[#This Row],[stack]]/chips)</calculatedColumnFormula>
    </tableColumn>
    <tableColumn id="6" xr3:uid="{7880F8A0-AD2A-41F1-953A-65D339E0296E}" name="$stack" dataDxfId="86">
      <calculatedColumnFormula>T_213[[#This Row],[ICM]]+bounty*T_213[[#This Row],[KO]]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18B799-24AD-4E2F-A094-333823397B90}" name="T_231" displayName="T_231" ref="AW18:BB24" totalsRowShown="0" tableBorderDxfId="85">
  <autoFilter ref="AW18:BB24" xr:uid="{00000000-0009-0000-0100-000024000000}"/>
  <tableColumns count="6">
    <tableColumn id="1" xr3:uid="{1F6E2028-B0B7-4599-AC2A-84B5E7B6868A}" name="players" dataDxfId="84">
      <calculatedColumnFormula>COUNTIF(T_231[stack],"&gt;0")</calculatedColumnFormula>
    </tableColumn>
    <tableColumn id="2" xr3:uid="{516C987B-4418-4D75-980D-DD0EC6E057F7}" name="stack" dataDxfId="83">
      <calculatedColumnFormula>IF(T_init[[#This Row],[p]]=1,sidepot1+uncalled,IF(T_init[[#This Row],[p]]=3,mainpot,IF(ISBLANK(T_init[[#This Row],[p]]),T_init[[#This Row],[stack]]-T_init[[#This Row],[anteblinds]],0)))</calculatedColumnFormula>
    </tableColumn>
    <tableColumn id="3" xr3:uid="{44F62217-ADE0-4D01-A16F-BCDE731B3A75}" name="EQ"/>
    <tableColumn id="4" xr3:uid="{9815FE52-6BEB-4842-8C25-76016DC48D37}" name="ICM" dataDxfId="82">
      <calculatedColumnFormula>T_231[[#This Row],[EQ]]*prize</calculatedColumnFormula>
    </tableColumn>
    <tableColumn id="5" xr3:uid="{FC9AD878-2B4C-4F32-84DB-12DA1ED9749A}" name="KO" dataDxfId="81">
      <calculatedColumnFormula>IF(T_init[[#This Row],[p]]=1,T_231[[#This Row],[players]]*T_231[[#This Row],[stack]]/chips+COUNTIF(T_231[stack],0),T_231[[#This Row],[players]]*T_231[[#This Row],[stack]]/chips)</calculatedColumnFormula>
    </tableColumn>
    <tableColumn id="6" xr3:uid="{92B87AA5-CDF9-42CD-A85C-3171B342A2CC}" name="$stack" dataDxfId="80">
      <calculatedColumnFormula>T_231[[#This Row],[ICM]]+bounty*T_231[[#This Row],[KO]]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D09516-E43A-4914-A41A-EF5F8D7B26C0}" name="T_321" displayName="T_321" ref="BD18:BI24" totalsRowShown="0" tableBorderDxfId="79">
  <autoFilter ref="BD18:BI24" xr:uid="{00000000-0009-0000-0100-000025000000}"/>
  <tableColumns count="6">
    <tableColumn id="1" xr3:uid="{765BB2EE-79E1-423B-824C-DD306E1F04C2}" name="players" dataDxfId="78" totalsRowDxfId="77">
      <calculatedColumnFormula>COUNTIF(T_321[stack],"&gt;0")</calculatedColumnFormula>
    </tableColumn>
    <tableColumn id="2" xr3:uid="{BF29A719-5C59-4B5D-80BF-AB903C948D6F}" name="stack" dataDxfId="76" totalsRowDxfId="75">
      <calculatedColumnFormula>IF(T_init[[#This Row],[p]]=1,uncalled,IF(T_init[[#This Row],[p]]=2,sidepot1,IF(T_init[[#This Row],[p]]=3,mainpot,IF(ISBLANK(T_init[[#This Row],[p]]),T_init[[#This Row],[stack]]-T_init[[#This Row],[anteblinds]],0))))</calculatedColumnFormula>
    </tableColumn>
    <tableColumn id="3" xr3:uid="{A33204D0-D659-4858-83C9-26F58BAC7C6E}" name="EQ" totalsRowDxfId="74"/>
    <tableColumn id="4" xr3:uid="{9EB5AC6F-E2F3-4F93-8B55-8B95FDCEFC35}" name="ICM" dataDxfId="73" totalsRowDxfId="72">
      <calculatedColumnFormula>T_321[[#This Row],[EQ]]*prize</calculatedColumnFormula>
    </tableColumn>
    <tableColumn id="5" xr3:uid="{DA1A7754-EA0E-4353-88B4-0FD3F512C54D}" name="KO" dataDxfId="71" totalsRowDxfId="70">
      <calculatedColumnFormula>IF(T_init[[#This Row],[p]]=2,T_321[[#This Row],[players]]*T_321[[#This Row],[stack]]/chips+COUNTIF(T_321[stack],0),T_321[[#This Row],[players]]*T_321[[#This Row],[stack]]/chips)</calculatedColumnFormula>
    </tableColumn>
    <tableColumn id="6" xr3:uid="{8E3B5C3C-9490-439F-A475-D284EC4CE5E3}" name="$stack" dataDxfId="69">
      <calculatedColumnFormula>T_321[[#This Row],[ICM]]+bounty*T_321[[#This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B6B52D-638F-4A71-89D6-97E2AFF867BE}" name="T_fact" displayName="T_fact" ref="BR18:BW24" totalsRowShown="0" tableBorderDxfId="68">
  <autoFilter ref="BR18:BW24" xr:uid="{00000000-0009-0000-0100-000026000000}"/>
  <tableColumns count="6">
    <tableColumn id="1" xr3:uid="{C351FFD1-5940-461A-AFDC-41E1DE52214A}" name="players">
      <calculatedColumnFormula>COUNTIF(T_fact[stack],"&gt;0")</calculatedColumnFormula>
    </tableColumn>
    <tableColumn id="2" xr3:uid="{C922B9AB-9CAD-4F94-95BE-B67C73D28C5C}" name="stack" dataDxfId="67">
      <calculatedColumnFormula>IF(T_init[[#This Row],[p]]=1,uncalled,IF(T_init[[#This Row],[p]]=2,mainpot+sidepot1,IF(T_init[[#This Row],[p]]&gt;2,0,T_init[[#This Row],[stack]]-T_init[[#This Row],[anteblinds]])))</calculatedColumnFormula>
    </tableColumn>
    <tableColumn id="3" xr3:uid="{AF4B85F1-C4AC-4302-B127-D28B28B695C0}" name="EQ"/>
    <tableColumn id="4" xr3:uid="{1F26703B-0758-4387-8A75-EE811A6EF70C}" name="ICM" dataDxfId="66">
      <calculatedColumnFormula>T_fact[[#This Row],[EQ]]*prize</calculatedColumnFormula>
    </tableColumn>
    <tableColumn id="5" xr3:uid="{AE330A42-AAC8-4248-B14C-6EB25BD03A21}" name="KO" dataDxfId="65">
      <calculatedColumnFormula>IF(T_init[[#This Row],[p]]=1,T_fact[[#This Row],[players]]*T_fact[[#This Row],[stack]]/chips+COUNTIF(T_fact[stack],0),T_fact[[#This Row],[players]]*T_fact[[#This Row],[stack]]/chips)</calculatedColumnFormula>
    </tableColumn>
    <tableColumn id="6" xr3:uid="{9F9CCADB-5AA3-4E5C-9598-ABA57C22D4EF}" name="$stack" dataDxfId="64">
      <calculatedColumnFormula>T_fact[[#This Row],[ICM]]+bounty*T_fact[[#This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62F0D-477F-4F47-BEBE-5CE9907B2BBA}" name="T_EV" displayName="T_EV" ref="BZ18:CG24" totalsRowShown="0" tableBorderDxfId="63">
  <autoFilter ref="BZ18:CG24" xr:uid="{00000000-0009-0000-0100-000027000000}"/>
  <tableColumns count="8">
    <tableColumn id="1" xr3:uid="{CE631D14-4D0F-4621-9375-89ADDA7632F1}" name="ICM" dataDxfId="62">
      <calculatedColumnFormula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calculatedColumnFormula>
    </tableColumn>
    <tableColumn id="2" xr3:uid="{0201F6FF-3993-45AD-BA7C-9961AAF36898}" name="KO" dataDxfId="61">
      <calculatedColumnFormula>('3way template'!p3win* ('3way template'!p1sp1win*T_231[[#This Row],[KO]] + '3way template'!p2sp1win*T_321[[#This Row],[KO]])
+'3way template'!p2win*T_213[[#This Row],[KO]]
+'3way template'!p1win*T_123[[#This Row],[KO]])*bounty</calculatedColumnFormula>
    </tableColumn>
    <tableColumn id="3" xr3:uid="{91BCF5EC-6AB2-49BE-9FEA-8FD50888EEC3}" name="EV" dataDxfId="60">
      <calculatedColumnFormula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calculatedColumnFormula>
    </tableColumn>
    <tableColumn id="4" xr3:uid="{9ACC1811-EDEA-4D6A-8664-ABE72A921A50}" name="chipEV" dataDxfId="59">
      <calculatedColumnFormula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calculatedColumnFormula>
    </tableColumn>
    <tableColumn id="8" xr3:uid="{3B5B274F-A176-46E9-85F3-3B7E6DC3A028}" name="netwon" dataDxfId="58">
      <calculatedColumnFormula>T_fact[[#This Row],[stack]]- T_init[[#This Row],[stack]]</calculatedColumnFormula>
    </tableColumn>
    <tableColumn id="7" xr3:uid="{7AD91F09-B87F-41DF-A877-59D59339E0FD}" name="netwon_adj" dataDxfId="57">
      <calculatedColumnFormula>T_EV[[#This Row],[netwon]]+T_EV[[#This Row],[cEVdiff]]</calculatedColumnFormula>
    </tableColumn>
    <tableColumn id="5" xr3:uid="{885AFB47-F60F-4BE2-A1A9-C4ACAEC419EB}" name="cEVdiff" dataDxfId="56">
      <calculatedColumnFormula>T_EV[[#This Row],[chipEV]]-T_fact[[#This Row],[stack]]</calculatedColumnFormula>
    </tableColumn>
    <tableColumn id="6" xr3:uid="{2722D7B0-6C2C-452A-9D43-3048B6479A42}" name="Evdiff" dataDxfId="55">
      <calculatedColumnFormula>T_EV[[#This Row],[EV]]-(T_fact[[#This Row],[ICM]])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07E10E-FA1D-44F1-B8E5-20DC78CB48FD}" name="T_111" displayName="T_111" ref="U18:Z24" totalsRowShown="0" tableBorderDxfId="54">
  <autoFilter ref="U18:Z24" xr:uid="{CE38ABBA-F0F2-4A26-90AC-5B8D0B66446B}"/>
  <tableColumns count="6">
    <tableColumn id="1" xr3:uid="{E6131841-2C28-46B4-9213-E1508C1FC7A2}" name="players" dataDxfId="53" totalsRowDxfId="52">
      <calculatedColumnFormula>COUNTIF(T_111[stack],"&gt;0")</calculatedColumnFormula>
    </tableColumn>
    <tableColumn id="2" xr3:uid="{0BE3EEB4-4DAA-41BF-A5CE-5B46807F6073}" name="stack" dataDxfId="51" totalsRowDxfId="50">
      <calculatedColumnFormula>IF(T_init[[#This Row],[p]]=1,ROUND(uncalled + mainpot/3, 0) + ROUND(sidepot1/2,0),IF(T_init[[#This Row],[p]]=2,ROUND(mainpot/3,0) + ROUND(sidepot1/2,0),IF(T_init[[#This Row],[p]]=3, ROUNDUP(mainpot/3,0),T_init[[#This Row],[stack]]-T_init[[#This Row],[anteblinds]])))</calculatedColumnFormula>
    </tableColumn>
    <tableColumn id="3" xr3:uid="{18A888A0-9D52-4086-9BC2-32F39C8FD975}" name="EQ" totalsRowDxfId="49"/>
    <tableColumn id="4" xr3:uid="{829C07E1-BF18-4099-B5A0-AE22B4793CE2}" name="ICM" dataDxfId="48" totalsRowDxfId="47">
      <calculatedColumnFormula>T_111[[#This Row],[EQ]]*prize</calculatedColumnFormula>
    </tableColumn>
    <tableColumn id="5" xr3:uid="{443E2782-F166-4E43-9534-76134B288700}" name="KO" dataDxfId="46" totalsRowDxfId="45">
      <calculatedColumnFormula>IF(T_init[[#This Row],[p]]=2,T_111[[#This Row],[players]]*T_111[[#This Row],[stack]]/chips+COUNTIF(T_111[stack],0),T_111[[#This Row],[players]]*T_111[[#This Row],[stack]]/chips)</calculatedColumnFormula>
    </tableColumn>
    <tableColumn id="6" xr3:uid="{93174DA4-9EE0-4DE8-996E-9CB3B54C6099}" name="$stack" dataDxfId="44">
      <calculatedColumnFormula>T_111[[#This Row],[ICM]]+bounty*T_111[[#This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E52FF1-62FE-484E-ACB9-F9320084DA89}" name="T_221" displayName="T_221" ref="BK18:BP24" totalsRowShown="0" tableBorderDxfId="43">
  <autoFilter ref="BK18:BP24" xr:uid="{0E6963F0-4D2D-49F5-BA0C-CC131E0278C6}"/>
  <tableColumns count="6">
    <tableColumn id="1" xr3:uid="{C6DF676C-09D0-41CA-98A7-DD13FAF30B87}" name="players" dataDxfId="42" totalsRowDxfId="41">
      <calculatedColumnFormula>COUNTIF(T_221[stack],"&gt;0")</calculatedColumnFormula>
    </tableColumn>
    <tableColumn id="2" xr3:uid="{B57D73C9-2DA9-4522-A62D-477AAFDB4253}" name="stack" dataDxfId="40" totalsRowDxfId="39">
      <calculatedColumnFormula>IF(T_init[[#This Row],[p]]=1,uncalled + ROUND(sidepot1/2,0),IF(T_init[[#This Row],[p]]=2,ROUND(sidepot1/2,0),IF(T_init[[#This Row],[p]]=3,mainpot,IF(ISBLANK(T_init[[#This Row],[p]]),T_init[[#This Row],[stack]]-T_init[[#This Row],[anteblinds]],0))))</calculatedColumnFormula>
    </tableColumn>
    <tableColumn id="3" xr3:uid="{F710C907-4415-430E-9EB3-8147114FE60C}" name="EQ" totalsRowDxfId="38"/>
    <tableColumn id="4" xr3:uid="{9E2A5154-1537-4BB0-9B44-630A7CEAD7CD}" name="ICM" dataDxfId="37" totalsRowDxfId="36">
      <calculatedColumnFormula>T_221[[#This Row],[EQ]]*prize</calculatedColumnFormula>
    </tableColumn>
    <tableColumn id="5" xr3:uid="{91A4F8E8-0806-4183-9724-743DF3A36A88}" name="KO" dataDxfId="35" totalsRowDxfId="34">
      <calculatedColumnFormula>IF(T_init[[#This Row],[p]]=2,T_221[[#This Row],[players]]*T_221[[#This Row],[stack]]/chips+COUNTIF(T_221[stack],0),T_221[[#This Row],[players]]*T_221[[#This Row],[stack]]/chips)</calculatedColumnFormula>
    </tableColumn>
    <tableColumn id="6" xr3:uid="{5877A379-BA54-428C-BA95-560F531178A2}" name="$stack" dataDxfId="33">
      <calculatedColumnFormula>T_221[[#This Row],[ICM]]+bounty*T_221[[#This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8" dT="2021-02-04T09:46:00.81" personId="{27F183DB-7C89-4168-B8CE-360CD9553519}" id="{75B2911D-7C09-4257-813C-B6E3798DA6BD}">
    <text>Заполнить вручную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1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A178-1286-416E-9F49-41F1D12E7764}">
  <dimension ref="A1:CG63"/>
  <sheetViews>
    <sheetView tabSelected="1" workbookViewId="0">
      <pane xSplit="6" ySplit="14" topLeftCell="G15" activePane="bottomRight" state="frozen"/>
      <selection pane="topRight" activeCell="F1" sqref="F1"/>
      <selection pane="bottomLeft" activeCell="A12" sqref="A12"/>
      <selection pane="bottomRight" activeCell="N63" sqref="N28:N63"/>
    </sheetView>
  </sheetViews>
  <sheetFormatPr defaultRowHeight="15" x14ac:dyDescent="0.25"/>
  <cols>
    <col min="1" max="1" width="8.5703125" customWidth="1"/>
    <col min="2" max="2" width="3.28515625" customWidth="1"/>
    <col min="3" max="3" width="8.42578125" customWidth="1"/>
    <col min="4" max="4" width="6.5703125" customWidth="1"/>
    <col min="6" max="6" width="2.7109375" customWidth="1"/>
    <col min="7" max="7" width="10.28515625" customWidth="1"/>
    <col min="13" max="13" width="2.140625" customWidth="1"/>
    <col min="14" max="14" width="10.28515625" customWidth="1"/>
    <col min="20" max="20" width="2.140625" customWidth="1"/>
    <col min="21" max="21" width="6.7109375" customWidth="1"/>
    <col min="22" max="22" width="9.5703125" bestFit="1" customWidth="1"/>
    <col min="23" max="23" width="10.28515625" customWidth="1"/>
    <col min="27" max="27" width="2.28515625" customWidth="1"/>
    <col min="28" max="28" width="6.7109375" customWidth="1"/>
    <col min="29" max="29" width="9.5703125" bestFit="1" customWidth="1"/>
    <col min="30" max="30" width="10.28515625" customWidth="1"/>
    <col min="34" max="34" width="2.42578125" customWidth="1"/>
    <col min="35" max="35" width="6.7109375" customWidth="1"/>
    <col min="36" max="36" width="9.5703125" bestFit="1" customWidth="1"/>
    <col min="37" max="37" width="10.28515625" customWidth="1"/>
    <col min="41" max="41" width="2.5703125" customWidth="1"/>
    <col min="42" max="42" width="6.7109375" customWidth="1"/>
    <col min="43" max="43" width="9.5703125" bestFit="1" customWidth="1"/>
    <col min="44" max="44" width="10.28515625" customWidth="1"/>
    <col min="48" max="48" width="2.5703125" customWidth="1"/>
    <col min="49" max="49" width="5.5703125" customWidth="1"/>
    <col min="50" max="50" width="7.7109375" customWidth="1"/>
    <col min="51" max="52" width="8.5703125" customWidth="1"/>
    <col min="53" max="53" width="9.85546875" customWidth="1"/>
    <col min="54" max="54" width="8.42578125" customWidth="1"/>
    <col min="55" max="55" width="2.85546875" customWidth="1"/>
    <col min="56" max="56" width="7.28515625" customWidth="1"/>
    <col min="57" max="57" width="8.5703125" customWidth="1"/>
    <col min="58" max="58" width="10" customWidth="1"/>
    <col min="62" max="62" width="2.42578125" customWidth="1"/>
    <col min="63" max="63" width="7.28515625" customWidth="1"/>
    <col min="64" max="64" width="8.5703125" customWidth="1"/>
    <col min="65" max="65" width="10" customWidth="1"/>
    <col min="69" max="69" width="2.85546875" customWidth="1"/>
    <col min="70" max="70" width="5.85546875" customWidth="1"/>
    <col min="71" max="71" width="7.7109375" customWidth="1"/>
    <col min="75" max="75" width="10.7109375" customWidth="1"/>
    <col min="76" max="76" width="2.42578125" customWidth="1"/>
    <col min="77" max="77" width="1" customWidth="1"/>
    <col min="78" max="78" width="11.5703125" customWidth="1"/>
    <col min="79" max="79" width="7.42578125" customWidth="1"/>
    <col min="80" max="80" width="10.28515625" customWidth="1"/>
  </cols>
  <sheetData>
    <row r="1" spans="2:83" ht="15.75" x14ac:dyDescent="0.25">
      <c r="B1" t="s">
        <v>0</v>
      </c>
      <c r="C1">
        <v>26.96</v>
      </c>
      <c r="D1" s="1" t="s">
        <v>1</v>
      </c>
      <c r="E1">
        <f>C1*4</f>
        <v>107.84</v>
      </c>
      <c r="G1" s="1" t="s">
        <v>2</v>
      </c>
      <c r="H1" s="2">
        <f>p_122 + p_123 + p_132 + p_113/2 + p_111/3 + p_131/2</f>
        <v>0.196991</v>
      </c>
      <c r="J1" s="1" t="s">
        <v>3</v>
      </c>
      <c r="K1">
        <v>355</v>
      </c>
      <c r="N1" t="s">
        <v>4</v>
      </c>
    </row>
    <row r="2" spans="2:83" ht="15.75" x14ac:dyDescent="0.25">
      <c r="D2" s="1" t="s">
        <v>5</v>
      </c>
      <c r="E2">
        <v>0</v>
      </c>
      <c r="G2" s="1" t="s">
        <v>6</v>
      </c>
      <c r="H2" s="2">
        <f>p_212 + p_213 + p_312 + p_113/2 + p_111/3 + p_311/2</f>
        <v>0.23663400000000001</v>
      </c>
      <c r="J2" s="1" t="s">
        <v>7</v>
      </c>
      <c r="K2">
        <v>750</v>
      </c>
      <c r="N2">
        <v>111</v>
      </c>
      <c r="O2" s="2">
        <v>6.2129999999999998E-2</v>
      </c>
      <c r="S2" s="2"/>
    </row>
    <row r="3" spans="2:83" ht="15.75" x14ac:dyDescent="0.25">
      <c r="D3" s="1" t="s">
        <v>8</v>
      </c>
      <c r="E3">
        <v>2000</v>
      </c>
      <c r="G3" s="1" t="s">
        <v>9</v>
      </c>
      <c r="H3" s="2">
        <f>p_221 + p_231 + p_321 + p_111/3 + p_311/2 + p_131/2</f>
        <v>0.56637700000000002</v>
      </c>
      <c r="J3" s="1" t="s">
        <v>10</v>
      </c>
      <c r="K3">
        <v>0</v>
      </c>
      <c r="N3">
        <v>113</v>
      </c>
      <c r="O3" s="2">
        <v>0</v>
      </c>
      <c r="S3" s="2"/>
    </row>
    <row r="4" spans="2:83" ht="15.75" x14ac:dyDescent="0.25">
      <c r="G4" s="1"/>
      <c r="J4" s="1" t="s">
        <v>11</v>
      </c>
      <c r="K4">
        <v>325</v>
      </c>
      <c r="N4">
        <v>131</v>
      </c>
      <c r="O4" s="2">
        <v>0</v>
      </c>
      <c r="S4" s="2"/>
    </row>
    <row r="5" spans="2:83" ht="17.25" customHeight="1" x14ac:dyDescent="0.25">
      <c r="G5" s="1"/>
      <c r="N5">
        <v>122</v>
      </c>
      <c r="O5" s="2">
        <v>1.1328E-2</v>
      </c>
      <c r="S5" s="2"/>
    </row>
    <row r="6" spans="2:83" ht="21" customHeight="1" x14ac:dyDescent="0.25">
      <c r="D6" s="1" t="s">
        <v>12</v>
      </c>
      <c r="E6" s="3" t="s">
        <v>13</v>
      </c>
      <c r="N6">
        <v>123</v>
      </c>
      <c r="O6" s="2">
        <v>1.8759999999999999E-2</v>
      </c>
      <c r="S6" s="2"/>
    </row>
    <row r="7" spans="2:83" ht="22.5" customHeight="1" x14ac:dyDescent="0.25">
      <c r="D7" s="1" t="s">
        <v>14</v>
      </c>
      <c r="E7" s="3"/>
      <c r="N7">
        <v>132</v>
      </c>
      <c r="O7" s="2">
        <v>0.14619299999999999</v>
      </c>
      <c r="S7" s="2"/>
    </row>
    <row r="8" spans="2:83" ht="18.75" customHeight="1" x14ac:dyDescent="0.25">
      <c r="D8" s="1" t="s">
        <v>15</v>
      </c>
      <c r="E8" s="3"/>
      <c r="N8">
        <v>212</v>
      </c>
      <c r="O8" s="2">
        <v>1.1365999999999999E-2</v>
      </c>
      <c r="S8" s="2"/>
    </row>
    <row r="9" spans="2:83" ht="18.75" customHeight="1" x14ac:dyDescent="0.25">
      <c r="D9" s="1" t="s">
        <v>16</v>
      </c>
      <c r="E9" s="3"/>
      <c r="N9">
        <v>221</v>
      </c>
      <c r="O9" s="2">
        <v>0.132157</v>
      </c>
      <c r="S9" s="2"/>
    </row>
    <row r="10" spans="2:83" ht="18.75" customHeight="1" x14ac:dyDescent="0.25">
      <c r="D10" t="s">
        <v>17</v>
      </c>
      <c r="N10">
        <v>213</v>
      </c>
      <c r="O10" s="2">
        <v>6.2850000000000003E-2</v>
      </c>
      <c r="S10" s="2"/>
    </row>
    <row r="11" spans="2:83" ht="18.75" customHeight="1" x14ac:dyDescent="0.25">
      <c r="D11" t="s">
        <v>18</v>
      </c>
      <c r="N11">
        <v>231</v>
      </c>
      <c r="O11" s="2">
        <v>6.0351000000000002E-2</v>
      </c>
      <c r="S11" s="2"/>
    </row>
    <row r="12" spans="2:83" ht="18.75" customHeight="1" x14ac:dyDescent="0.25">
      <c r="D12" t="s">
        <v>19</v>
      </c>
      <c r="N12">
        <v>311</v>
      </c>
      <c r="O12" s="2">
        <v>0</v>
      </c>
      <c r="S12" s="2"/>
    </row>
    <row r="13" spans="2:83" ht="15.75" customHeight="1" x14ac:dyDescent="0.25">
      <c r="N13">
        <v>312</v>
      </c>
      <c r="O13" s="2">
        <v>0.141708</v>
      </c>
      <c r="S13" s="2"/>
    </row>
    <row r="14" spans="2:83" ht="15.75" thickBot="1" x14ac:dyDescent="0.3">
      <c r="G14" s="4"/>
      <c r="N14">
        <v>321</v>
      </c>
      <c r="O14" s="2">
        <v>0.353159</v>
      </c>
      <c r="S14" s="2"/>
    </row>
    <row r="15" spans="2:83" ht="7.5" customHeight="1" thickBot="1" x14ac:dyDescent="0.35">
      <c r="G15" s="5"/>
      <c r="H15" s="5"/>
      <c r="I15" s="5"/>
      <c r="J15" s="5"/>
      <c r="K15" s="5"/>
      <c r="L15" s="5"/>
      <c r="AW15" s="46" t="s">
        <v>20</v>
      </c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8"/>
      <c r="BX15" s="6"/>
      <c r="BY15" s="6"/>
    </row>
    <row r="16" spans="2:83" ht="22.5" thickTop="1" thickBot="1" x14ac:dyDescent="0.4">
      <c r="G16" s="5"/>
      <c r="H16" s="5"/>
      <c r="I16" s="7" t="s">
        <v>21</v>
      </c>
      <c r="J16" s="5"/>
      <c r="K16" s="5"/>
      <c r="L16" s="5"/>
      <c r="P16" s="8" t="s">
        <v>22</v>
      </c>
      <c r="W16" s="9">
        <v>111</v>
      </c>
      <c r="AD16" s="9">
        <v>113</v>
      </c>
      <c r="AK16" s="9">
        <v>131</v>
      </c>
      <c r="AR16" s="9">
        <v>311</v>
      </c>
      <c r="AW16" s="10"/>
      <c r="AX16" s="11"/>
      <c r="AY16" s="11">
        <v>231</v>
      </c>
      <c r="AZ16" s="11"/>
      <c r="BA16" s="11"/>
      <c r="BB16" s="11"/>
      <c r="BC16" s="11"/>
      <c r="BD16" s="11"/>
      <c r="BE16" s="11"/>
      <c r="BF16" s="11">
        <v>321</v>
      </c>
      <c r="BG16" s="11"/>
      <c r="BH16" s="11"/>
      <c r="BI16" s="11"/>
      <c r="BJ16" s="11"/>
      <c r="BK16" s="11"/>
      <c r="BL16" s="11"/>
      <c r="BM16" s="11">
        <v>221</v>
      </c>
      <c r="BN16" s="11"/>
      <c r="BO16" s="11"/>
      <c r="BP16" s="12"/>
      <c r="BT16" t="s">
        <v>23</v>
      </c>
      <c r="BZ16" s="49" t="s">
        <v>24</v>
      </c>
      <c r="CA16" s="50"/>
      <c r="CB16" s="50"/>
      <c r="CC16" s="50"/>
      <c r="CD16" s="6"/>
      <c r="CE16" s="6"/>
    </row>
    <row r="17" spans="1:85" ht="19.5" thickTop="1" x14ac:dyDescent="0.3">
      <c r="G17" s="34" t="s">
        <v>25</v>
      </c>
      <c r="H17" s="35"/>
      <c r="I17" s="35"/>
      <c r="J17" s="35"/>
      <c r="K17" s="36"/>
      <c r="L17" s="5"/>
      <c r="N17" s="34" t="s">
        <v>26</v>
      </c>
      <c r="O17" s="35"/>
      <c r="P17" s="35"/>
      <c r="Q17" s="35"/>
      <c r="R17" s="36"/>
      <c r="S17" s="5"/>
      <c r="T17" s="5"/>
      <c r="U17" s="34" t="s">
        <v>27</v>
      </c>
      <c r="V17" s="35"/>
      <c r="W17" s="35"/>
      <c r="X17" s="35"/>
      <c r="Y17" s="36"/>
      <c r="Z17" s="5"/>
      <c r="AA17" s="5"/>
      <c r="AB17" s="34" t="s">
        <v>27</v>
      </c>
      <c r="AC17" s="35"/>
      <c r="AD17" s="35"/>
      <c r="AE17" s="35"/>
      <c r="AF17" s="36"/>
      <c r="AG17" s="5"/>
      <c r="AH17" s="5"/>
      <c r="AI17" s="34" t="s">
        <v>27</v>
      </c>
      <c r="AJ17" s="35"/>
      <c r="AK17" s="35"/>
      <c r="AL17" s="35"/>
      <c r="AM17" s="36"/>
      <c r="AN17" s="5"/>
      <c r="AP17" s="34" t="s">
        <v>27</v>
      </c>
      <c r="AQ17" s="35"/>
      <c r="AR17" s="35"/>
      <c r="AS17" s="35"/>
      <c r="AT17" s="36"/>
      <c r="AU17" s="5"/>
      <c r="AW17" s="37" t="s">
        <v>28</v>
      </c>
      <c r="AX17" s="38"/>
      <c r="AY17" s="38"/>
      <c r="AZ17" s="38"/>
      <c r="BA17" s="39"/>
      <c r="BB17" s="5"/>
      <c r="BD17" s="37" t="s">
        <v>29</v>
      </c>
      <c r="BE17" s="38"/>
      <c r="BF17" s="38"/>
      <c r="BG17" s="38"/>
      <c r="BH17" s="39"/>
      <c r="BK17" s="37" t="s">
        <v>30</v>
      </c>
      <c r="BL17" s="38"/>
      <c r="BM17" s="38"/>
      <c r="BN17" s="38"/>
      <c r="BO17" s="39"/>
      <c r="BR17" s="40" t="s">
        <v>31</v>
      </c>
      <c r="BS17" s="41"/>
      <c r="BT17" s="41"/>
      <c r="BU17" s="41"/>
      <c r="BV17" s="42"/>
      <c r="BZ17" s="43" t="s">
        <v>32</v>
      </c>
      <c r="CA17" s="44"/>
      <c r="CB17" s="44"/>
      <c r="CC17" s="45"/>
      <c r="CD17" s="5"/>
      <c r="CE17" s="5"/>
    </row>
    <row r="18" spans="1:85" x14ac:dyDescent="0.25">
      <c r="A18" s="29" t="s">
        <v>109</v>
      </c>
      <c r="B18" t="s">
        <v>33</v>
      </c>
      <c r="C18" t="s">
        <v>34</v>
      </c>
      <c r="D18" t="s">
        <v>35</v>
      </c>
      <c r="E18" t="s">
        <v>36</v>
      </c>
      <c r="G18" t="s">
        <v>37</v>
      </c>
      <c r="H18" t="s">
        <v>34</v>
      </c>
      <c r="I18" t="s">
        <v>38</v>
      </c>
      <c r="J18" t="s">
        <v>39</v>
      </c>
      <c r="K18" t="s">
        <v>5</v>
      </c>
      <c r="L18" t="s">
        <v>40</v>
      </c>
      <c r="N18" t="s">
        <v>37</v>
      </c>
      <c r="O18" t="s">
        <v>34</v>
      </c>
      <c r="P18" t="s">
        <v>38</v>
      </c>
      <c r="Q18" t="s">
        <v>39</v>
      </c>
      <c r="R18" t="s">
        <v>5</v>
      </c>
      <c r="S18" t="s">
        <v>40</v>
      </c>
      <c r="U18" t="s">
        <v>37</v>
      </c>
      <c r="V18" t="s">
        <v>34</v>
      </c>
      <c r="W18" t="s">
        <v>38</v>
      </c>
      <c r="X18" t="s">
        <v>39</v>
      </c>
      <c r="Y18" t="s">
        <v>5</v>
      </c>
      <c r="Z18" t="s">
        <v>40</v>
      </c>
      <c r="AB18" t="s">
        <v>37</v>
      </c>
      <c r="AC18" t="s">
        <v>34</v>
      </c>
      <c r="AD18" t="s">
        <v>38</v>
      </c>
      <c r="AE18" t="s">
        <v>39</v>
      </c>
      <c r="AF18" t="s">
        <v>5</v>
      </c>
      <c r="AG18" t="s">
        <v>40</v>
      </c>
      <c r="AI18" t="s">
        <v>37</v>
      </c>
      <c r="AJ18" t="s">
        <v>34</v>
      </c>
      <c r="AK18" t="s">
        <v>38</v>
      </c>
      <c r="AL18" t="s">
        <v>39</v>
      </c>
      <c r="AM18" t="s">
        <v>5</v>
      </c>
      <c r="AN18" t="s">
        <v>40</v>
      </c>
      <c r="AP18" t="s">
        <v>37</v>
      </c>
      <c r="AQ18" t="s">
        <v>34</v>
      </c>
      <c r="AR18" t="s">
        <v>38</v>
      </c>
      <c r="AS18" t="s">
        <v>39</v>
      </c>
      <c r="AT18" t="s">
        <v>5</v>
      </c>
      <c r="AU18" t="s">
        <v>40</v>
      </c>
      <c r="AW18" t="s">
        <v>37</v>
      </c>
      <c r="AX18" t="s">
        <v>34</v>
      </c>
      <c r="AY18" t="s">
        <v>38</v>
      </c>
      <c r="AZ18" t="s">
        <v>39</v>
      </c>
      <c r="BA18" t="s">
        <v>5</v>
      </c>
      <c r="BB18" t="s">
        <v>40</v>
      </c>
      <c r="BD18" t="s">
        <v>37</v>
      </c>
      <c r="BE18" t="s">
        <v>34</v>
      </c>
      <c r="BF18" t="s">
        <v>38</v>
      </c>
      <c r="BG18" t="s">
        <v>39</v>
      </c>
      <c r="BH18" t="s">
        <v>5</v>
      </c>
      <c r="BI18" t="s">
        <v>40</v>
      </c>
      <c r="BK18" t="s">
        <v>37</v>
      </c>
      <c r="BL18" t="s">
        <v>34</v>
      </c>
      <c r="BM18" t="s">
        <v>38</v>
      </c>
      <c r="BN18" t="s">
        <v>39</v>
      </c>
      <c r="BO18" t="s">
        <v>5</v>
      </c>
      <c r="BP18" t="s">
        <v>40</v>
      </c>
      <c r="BR18" t="s">
        <v>37</v>
      </c>
      <c r="BS18" t="s">
        <v>34</v>
      </c>
      <c r="BT18" t="s">
        <v>38</v>
      </c>
      <c r="BU18" t="s">
        <v>39</v>
      </c>
      <c r="BV18" t="s">
        <v>5</v>
      </c>
      <c r="BW18" t="s">
        <v>40</v>
      </c>
      <c r="BZ18" t="s">
        <v>39</v>
      </c>
      <c r="CA18" t="s">
        <v>5</v>
      </c>
      <c r="CB18" t="s">
        <v>32</v>
      </c>
      <c r="CC18" t="s">
        <v>41</v>
      </c>
      <c r="CD18" t="s">
        <v>42</v>
      </c>
      <c r="CE18" t="s">
        <v>43</v>
      </c>
      <c r="CF18" t="s">
        <v>44</v>
      </c>
      <c r="CG18" t="s">
        <v>45</v>
      </c>
    </row>
    <row r="19" spans="1:85" x14ac:dyDescent="0.25">
      <c r="A19" s="32"/>
      <c r="B19" s="13">
        <v>3</v>
      </c>
      <c r="C19" s="13">
        <v>115</v>
      </c>
      <c r="D19" s="13" t="s">
        <v>46</v>
      </c>
      <c r="E19" s="13">
        <v>10</v>
      </c>
      <c r="G19" s="13">
        <f>COUNTIF(T_123[stack],"&gt;0")</f>
        <v>2</v>
      </c>
      <c r="H19" s="13">
        <f>IF(T_init[[#This Row],[p]]=1,mainpot+sidepot1+uncalled,IF(T_init[[#This Row],[p]]&gt;1,0,T_init[[#This Row],[stack]]-T_init[[#This Row],[anteblinds]]))</f>
        <v>0</v>
      </c>
      <c r="I19" s="13"/>
      <c r="J19" s="14">
        <f>T_123[[#This Row],[EQ]]*prize</f>
        <v>0</v>
      </c>
      <c r="K19" s="15">
        <f>IF(T_init[[#This Row],[p]]=1,T_123[[#This Row],[players]]*T_123[[#This Row],[stack]]/chips+COUNTIF(T_123[stack],0),T_123[[#This Row],[players]]*T_123[[#This Row],[stack]]/chips)</f>
        <v>0</v>
      </c>
      <c r="L19" s="15">
        <f>T_123[[#This Row],[ICM]]+bounty*T_123[[#This Row],[KO]]</f>
        <v>0</v>
      </c>
      <c r="N19" s="16">
        <f>COUNTIF(T_213[stack],"&gt;0")</f>
        <v>3</v>
      </c>
      <c r="O19" s="13">
        <f>IF(T_init[[#This Row],[p]]=1,uncalled,IF(T_init[[#This Row],[p]]=2,mainpot+sidepot1,IF(T_init[[#This Row],[p]]&gt;2,0,T_init[[#This Row],[stack]]-T_init[[#This Row],[anteblinds]])))</f>
        <v>0</v>
      </c>
      <c r="P19" s="13"/>
      <c r="Q19" s="14">
        <f>T_213[[#This Row],[EQ]]*prize</f>
        <v>0</v>
      </c>
      <c r="R19" s="15">
        <f>IF(T_init[[#This Row],[p]]=2,T_213[[#This Row],[players]]*T_213[[#This Row],[stack]]/chips+COUNTIF(T_213[stack],0),T_213[[#This Row],[players]]*T_213[[#This Row],[stack]]/chips)</f>
        <v>0</v>
      </c>
      <c r="S19" s="15">
        <f>T_213[[#This Row],[ICM]]+bounty*T_213[[#This Row],[KO]]</f>
        <v>0</v>
      </c>
      <c r="T19" s="15"/>
      <c r="U19" s="16">
        <f>COUNTIF(T_111[stack],"&gt;0")</f>
        <v>4</v>
      </c>
      <c r="V19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119</v>
      </c>
      <c r="W19" s="13">
        <v>5.9499999999999997E-2</v>
      </c>
      <c r="X19" s="14">
        <f>T_111[[#This Row],[EQ]]*prize</f>
        <v>6.41648</v>
      </c>
      <c r="Y19" s="15">
        <f>IF(T_init[[#This Row],[p]]=2,T_111[[#This Row],[players]]*T_111[[#This Row],[stack]]/chips+COUNTIF(T_111[stack],0),T_111[[#This Row],[players]]*T_111[[#This Row],[stack]]/chips)</f>
        <v>0.23799999999999999</v>
      </c>
      <c r="Z19" s="15">
        <f>T_111[[#This Row],[ICM]]+bounty*T_111[[#This Row],[KO]]</f>
        <v>6.41648</v>
      </c>
      <c r="AA19" s="15"/>
      <c r="AB19" s="16">
        <f>COUNTIF(T_113[stack],"&gt;0")</f>
        <v>3</v>
      </c>
      <c r="AC19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D19" s="13">
        <v>0</v>
      </c>
      <c r="AE19" s="14">
        <f>T_113[[#This Row],[EQ]]*prize</f>
        <v>0</v>
      </c>
      <c r="AF19" s="15">
        <f>IF(T_init[[#This Row],[p]]=2,T_113[[#This Row],[players]]*T_113[[#This Row],[stack]]/chips+COUNTIF(T_113[stack],0),T_113[[#This Row],[players]]*T_113[[#This Row],[stack]]/chips)</f>
        <v>0</v>
      </c>
      <c r="AG19" s="15">
        <f>T_113[[#This Row],[ICM]]+bounty*T_113[[#This Row],[KO]]</f>
        <v>0</v>
      </c>
      <c r="AH19" s="15"/>
      <c r="AI19" s="16">
        <f>COUNTIF(T_131[stack],"&gt;0")</f>
        <v>3</v>
      </c>
      <c r="AJ19" s="13">
        <f>IF(T_init[[#This Row],[p]]=1,ROUNDDOWN(uncalled + mainpot/2, 0) + ROUNDDOWN(sidepot1,0),IF(T_init[[#This Row],[p]]=2,0,IF(T_init[[#This Row],[p]]=3, ROUNDUP(mainpot/2,0),T_init[[#This Row],[stack]]-T_init[[#This Row],[anteblinds]])))</f>
        <v>178</v>
      </c>
      <c r="AK19" s="13">
        <v>8.8999999999999996E-2</v>
      </c>
      <c r="AL19" s="14">
        <f>T_131[[#This Row],[EQ]]*prize</f>
        <v>9.5977599999999992</v>
      </c>
      <c r="AM19" s="15">
        <f>IF(T_init[[#This Row],[p]]=2,T_131[[#This Row],[players]]*T_131[[#This Row],[stack]]/chips+COUNTIF(T_131[stack],0),T_131[[#This Row],[players]]*T_131[[#This Row],[stack]]/chips)</f>
        <v>0.26700000000000002</v>
      </c>
      <c r="AN19" s="15">
        <f>T_131[[#This Row],[ICM]]+bounty*T_131[[#This Row],[KO]]</f>
        <v>9.5977599999999992</v>
      </c>
      <c r="AP19" s="16">
        <f>COUNTIF(T_311[stack],"&gt;0")</f>
        <v>4</v>
      </c>
      <c r="AQ19" s="13">
        <f>IF(T_init[[#This Row],[p]]=1,uncalled,IF(T_init[[#This Row],[p]]=2,ROUNDDOWN(mainpot/2,0) + ROUNDDOWN(sidepot1,0),IF(T_init[[#This Row],[p]]=3, ROUNDUP(mainpot/2,0),T_init[[#This Row],[stack]]-T_init[[#This Row],[anteblinds]])))</f>
        <v>178</v>
      </c>
      <c r="AR19" s="13">
        <v>8.8999999999999996E-2</v>
      </c>
      <c r="AS19" s="14">
        <f>T_311[[#This Row],[EQ]]*prize</f>
        <v>9.5977599999999992</v>
      </c>
      <c r="AT19" s="15">
        <f>IF(T_init[[#This Row],[p]]=2,T_311[[#This Row],[players]]*T_311[[#This Row],[stack]]/chips+COUNTIF(T_311[stack],0),T_311[[#This Row],[players]]*T_311[[#This Row],[stack]]/chips)</f>
        <v>0.35599999999999998</v>
      </c>
      <c r="AU19" s="15">
        <f>T_311[[#This Row],[ICM]]+bounty*T_311[[#This Row],[KO]]</f>
        <v>9.5977599999999992</v>
      </c>
      <c r="AW19" s="13">
        <f>COUNTIF(T_231[stack],"&gt;0")</f>
        <v>3</v>
      </c>
      <c r="AX19" s="13">
        <f>IF(T_init[[#This Row],[p]]=1,sidepot1+uncalled,IF(T_init[[#This Row],[p]]=3,mainpot,IF(ISBLANK(T_init[[#This Row],[p]]),T_init[[#This Row],[stack]]-T_init[[#This Row],[anteblinds]],0)))</f>
        <v>355</v>
      </c>
      <c r="AY19" s="13">
        <v>0.17749999999999999</v>
      </c>
      <c r="AZ19" s="14">
        <f>T_231[[#This Row],[EQ]]*prize</f>
        <v>19.1416</v>
      </c>
      <c r="BA19" s="15">
        <f>IF(T_init[[#This Row],[p]]=1,T_231[[#This Row],[players]]*T_231[[#This Row],[stack]]/chips+COUNTIF(T_231[stack],0),T_231[[#This Row],[players]]*T_231[[#This Row],[stack]]/chips)</f>
        <v>0.53249999999999997</v>
      </c>
      <c r="BB19" s="15">
        <f>T_231[[#This Row],[ICM]]+bounty*T_231[[#This Row],[KO]]</f>
        <v>19.1416</v>
      </c>
      <c r="BD19" s="13">
        <f>COUNTIF(T_321[stack],"&gt;0")</f>
        <v>4</v>
      </c>
      <c r="BE19" s="13">
        <f>IF(T_init[[#This Row],[p]]=1,uncalled,IF(T_init[[#This Row],[p]]=2,sidepot1,IF(T_init[[#This Row],[p]]=3,mainpot,IF(ISBLANK(T_init[[#This Row],[p]]),T_init[[#This Row],[stack]]-T_init[[#This Row],[anteblinds]],0))))</f>
        <v>355</v>
      </c>
      <c r="BF19" s="13">
        <v>0.17749999999999999</v>
      </c>
      <c r="BG19" s="14">
        <f>T_321[[#This Row],[EQ]]*prize</f>
        <v>19.1416</v>
      </c>
      <c r="BH19" s="15">
        <f>IF(T_init[[#This Row],[p]]=2,T_321[[#This Row],[players]]*T_321[[#This Row],[stack]]/chips+COUNTIF(T_321[stack],0),T_321[[#This Row],[players]]*T_321[[#This Row],[stack]]/chips)</f>
        <v>0.71</v>
      </c>
      <c r="BI19" s="15">
        <f>T_321[[#This Row],[ICM]]+bounty*T_321[[#This Row],[KO]]</f>
        <v>19.1416</v>
      </c>
      <c r="BK19" s="13">
        <f>COUNTIF(T_221[stack],"&gt;0")</f>
        <v>4</v>
      </c>
      <c r="BL19" s="13">
        <f>IF(T_init[[#This Row],[p]]=1,uncalled + ROUND(sidepot1/2,0),IF(T_init[[#This Row],[p]]=2,ROUND(sidepot1/2,0),IF(T_init[[#This Row],[p]]=3,mainpot,IF(ISBLANK(T_init[[#This Row],[p]]),T_init[[#This Row],[stack]]-T_init[[#This Row],[anteblinds]],0))))</f>
        <v>355</v>
      </c>
      <c r="BM19" s="13">
        <v>0.17749999999999999</v>
      </c>
      <c r="BN19" s="14">
        <f>T_221[[#This Row],[EQ]]*prize</f>
        <v>19.1416</v>
      </c>
      <c r="BO19" s="15">
        <f>IF(T_init[[#This Row],[p]]=2,T_221[[#This Row],[players]]*T_221[[#This Row],[stack]]/chips+COUNTIF(T_221[stack],0),T_221[[#This Row],[players]]*T_221[[#This Row],[stack]]/chips)</f>
        <v>0.71</v>
      </c>
      <c r="BP19" s="15">
        <f>T_221[[#This Row],[ICM]]+bounty*T_221[[#This Row],[KO]]</f>
        <v>19.1416</v>
      </c>
      <c r="BR19" s="13">
        <v>3</v>
      </c>
      <c r="BS19" s="13">
        <f>IF(T_init[[#This Row],[p]]=1,uncalled,IF(T_init[[#This Row],[p]]=2,mainpot+sidepot1,IF(T_init[[#This Row],[p]]&gt;2,0,T_init[[#This Row],[stack]]-T_init[[#This Row],[anteblinds]])))</f>
        <v>0</v>
      </c>
      <c r="BT19" s="13"/>
      <c r="BU19" s="14">
        <f>T_fact[[#This Row],[EQ]]*prize</f>
        <v>0</v>
      </c>
      <c r="BV19" s="15">
        <f>IF(T_init[[#This Row],[p]]=1,T_fact[[#This Row],[players]]*T_fact[[#This Row],[stack]]/chips+COUNTIF(T_fact[stack],0),T_fact[[#This Row],[players]]*T_fact[[#This Row],[stack]]/chips)</f>
        <v>0</v>
      </c>
      <c r="BW19" s="15">
        <f>T_fact[[#This Row],[ICM]]+bounty*T_fact[[#This Row],[KO]]</f>
        <v>0</v>
      </c>
      <c r="BZ19" s="14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10.843595349600001</v>
      </c>
      <c r="CA19" s="17">
        <v>0</v>
      </c>
      <c r="CB19" s="14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10.843595349600001</v>
      </c>
      <c r="CC19" s="17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201.105255</v>
      </c>
      <c r="CD19" s="14">
        <f>T_fact[[#This Row],[stack]]- T_init[[#This Row],[stack]]</f>
        <v>-115</v>
      </c>
      <c r="CE19" s="14">
        <f>T_EV[[#This Row],[netwon]]+T_EV[[#This Row],[cEVdiff]]</f>
        <v>86.105255</v>
      </c>
      <c r="CF19" s="18">
        <f>T_EV[[#This Row],[chipEV]]-T_fact[[#This Row],[stack]]</f>
        <v>201.105255</v>
      </c>
      <c r="CG19" s="18">
        <f>T_EV[[#This Row],[EV]]-(T_fact[[#This Row],[ICM]])</f>
        <v>10.843595349600001</v>
      </c>
    </row>
    <row r="20" spans="1:85" x14ac:dyDescent="0.25">
      <c r="A20" s="30"/>
      <c r="C20">
        <v>580</v>
      </c>
      <c r="E20">
        <v>10</v>
      </c>
      <c r="G20">
        <f>COUNTIF(T_123[stack],"&gt;0")</f>
        <v>2</v>
      </c>
      <c r="H20">
        <f>IF(T_init[[#This Row],[p]]=1,mainpot+sidepot1+uncalled,IF(T_init[[#This Row],[p]]&gt;1,0,T_init[[#This Row],[stack]]-T_init[[#This Row],[anteblinds]]))</f>
        <v>570</v>
      </c>
      <c r="I20">
        <v>0.28499999999999998</v>
      </c>
      <c r="J20" s="18">
        <f>T_123[[#This Row],[EQ]]*prize</f>
        <v>30.734399999999997</v>
      </c>
      <c r="K20" s="19">
        <f>IF(T_init[[#This Row],[p]]=1,T_123[[#This Row],[players]]*T_123[[#This Row],[stack]]/chips+COUNTIF(T_123[stack],0),T_123[[#This Row],[players]]*T_123[[#This Row],[stack]]/chips)</f>
        <v>0.56999999999999995</v>
      </c>
      <c r="L20" s="19">
        <f>T_123[[#This Row],[ICM]]+bounty*T_123[[#This Row],[KO]]</f>
        <v>30.734399999999997</v>
      </c>
      <c r="N20" s="20">
        <f>COUNTIF(T_213[stack],"&gt;0")</f>
        <v>3</v>
      </c>
      <c r="O20" s="13">
        <f>IF(T_init[[#This Row],[p]]=1,uncalled,IF(T_init[[#This Row],[p]]=2,mainpot+sidepot1,IF(T_init[[#This Row],[p]]&gt;2,0,T_init[[#This Row],[stack]]-T_init[[#This Row],[anteblinds]])))</f>
        <v>570</v>
      </c>
      <c r="P20">
        <v>0.28499999999999998</v>
      </c>
      <c r="Q20" s="18">
        <f>T_213[[#This Row],[EQ]]*prize</f>
        <v>30.734399999999997</v>
      </c>
      <c r="R20" s="19">
        <f>IF(T_init[[#This Row],[p]]=2,T_213[[#This Row],[players]]*T_213[[#This Row],[stack]]/chips+COUNTIF(T_213[stack],0),T_213[[#This Row],[players]]*T_213[[#This Row],[stack]]/chips)</f>
        <v>0.85499999999999998</v>
      </c>
      <c r="S20" s="19">
        <f>T_213[[#This Row],[ICM]]+bounty*T_213[[#This Row],[KO]]</f>
        <v>30.734399999999997</v>
      </c>
      <c r="T20" s="19"/>
      <c r="U20" s="20">
        <f>COUNTIF(T_111[stack],"&gt;0")</f>
        <v>4</v>
      </c>
      <c r="V20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570</v>
      </c>
      <c r="W20">
        <v>0.28499999999999998</v>
      </c>
      <c r="X20" s="18">
        <f>T_111[[#This Row],[EQ]]*prize</f>
        <v>30.734399999999997</v>
      </c>
      <c r="Y20" s="19">
        <f>IF(T_init[[#This Row],[p]]=2,T_111[[#This Row],[players]]*T_111[[#This Row],[stack]]/chips+COUNTIF(T_111[stack],0),T_111[[#This Row],[players]]*T_111[[#This Row],[stack]]/chips)</f>
        <v>1.1399999999999999</v>
      </c>
      <c r="Z20" s="19">
        <f>T_111[[#This Row],[ICM]]+bounty*T_111[[#This Row],[KO]]</f>
        <v>30.734399999999997</v>
      </c>
      <c r="AA20" s="19"/>
      <c r="AB20" s="20">
        <f>COUNTIF(T_113[stack],"&gt;0")</f>
        <v>3</v>
      </c>
      <c r="AC20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570</v>
      </c>
      <c r="AD20">
        <v>0.28499999999999998</v>
      </c>
      <c r="AE20" s="18">
        <f>T_113[[#This Row],[EQ]]*prize</f>
        <v>30.734399999999997</v>
      </c>
      <c r="AF20" s="19">
        <f>IF(T_init[[#This Row],[p]]=2,T_113[[#This Row],[players]]*T_113[[#This Row],[stack]]/chips+COUNTIF(T_113[stack],0),T_113[[#This Row],[players]]*T_113[[#This Row],[stack]]/chips)</f>
        <v>0.85499999999999998</v>
      </c>
      <c r="AG20" s="19">
        <f>T_113[[#This Row],[ICM]]+bounty*T_113[[#This Row],[KO]]</f>
        <v>30.734399999999997</v>
      </c>
      <c r="AH20" s="19"/>
      <c r="AI20" s="20">
        <f>COUNTIF(T_131[stack],"&gt;0")</f>
        <v>3</v>
      </c>
      <c r="AJ20" s="13">
        <f>IF(T_init[[#This Row],[p]]=1,ROUNDDOWN(uncalled + mainpot/2, 0) + ROUNDDOWN(sidepot1,0),IF(T_init[[#This Row],[p]]=2,0,IF(T_init[[#This Row],[p]]=3, ROUNDUP(mainpot/2,0),T_init[[#This Row],[stack]]-T_init[[#This Row],[anteblinds]])))</f>
        <v>570</v>
      </c>
      <c r="AK20">
        <v>0.28499999999999998</v>
      </c>
      <c r="AL20" s="18">
        <f>T_131[[#This Row],[EQ]]*prize</f>
        <v>30.734399999999997</v>
      </c>
      <c r="AM20" s="19">
        <f>IF(T_init[[#This Row],[p]]=2,T_131[[#This Row],[players]]*T_131[[#This Row],[stack]]/chips+COUNTIF(T_131[stack],0),T_131[[#This Row],[players]]*T_131[[#This Row],[stack]]/chips)</f>
        <v>0.85499999999999998</v>
      </c>
      <c r="AN20" s="19">
        <f>T_131[[#This Row],[ICM]]+bounty*T_131[[#This Row],[KO]]</f>
        <v>30.734399999999997</v>
      </c>
      <c r="AP20" s="20">
        <f>COUNTIF(T_311[stack],"&gt;0")</f>
        <v>4</v>
      </c>
      <c r="AQ20" s="13">
        <f>IF(T_init[[#This Row],[p]]=1,uncalled,IF(T_init[[#This Row],[p]]=2,ROUNDDOWN(mainpot/2,0) + ROUNDDOWN(sidepot1,0),IF(T_init[[#This Row],[p]]=3, ROUNDUP(mainpot/2,0),T_init[[#This Row],[stack]]-T_init[[#This Row],[anteblinds]])))</f>
        <v>570</v>
      </c>
      <c r="AR20">
        <v>0.28499999999999998</v>
      </c>
      <c r="AS20" s="18">
        <f>T_311[[#This Row],[EQ]]*prize</f>
        <v>30.734399999999997</v>
      </c>
      <c r="AT20" s="19">
        <f>IF(T_init[[#This Row],[p]]=2,T_311[[#This Row],[players]]*T_311[[#This Row],[stack]]/chips+COUNTIF(T_311[stack],0),T_311[[#This Row],[players]]*T_311[[#This Row],[stack]]/chips)</f>
        <v>1.1399999999999999</v>
      </c>
      <c r="AU20" s="19">
        <f>T_311[[#This Row],[ICM]]+bounty*T_311[[#This Row],[KO]]</f>
        <v>30.734399999999997</v>
      </c>
      <c r="AW20">
        <f>COUNTIF(T_231[stack],"&gt;0")</f>
        <v>3</v>
      </c>
      <c r="AX20" s="13">
        <f>IF(T_init[[#This Row],[p]]=1,sidepot1+uncalled,IF(T_init[[#This Row],[p]]=3,mainpot,IF(ISBLANK(T_init[[#This Row],[p]]),T_init[[#This Row],[stack]]-T_init[[#This Row],[anteblinds]],0)))</f>
        <v>570</v>
      </c>
      <c r="AY20">
        <v>0.28499999999999998</v>
      </c>
      <c r="AZ20" s="18">
        <f>T_231[[#This Row],[EQ]]*prize</f>
        <v>30.734399999999997</v>
      </c>
      <c r="BA20" s="19">
        <f>IF(T_init[[#This Row],[p]]=1,T_231[[#This Row],[players]]*T_231[[#This Row],[stack]]/chips+COUNTIF(T_231[stack],0),T_231[[#This Row],[players]]*T_231[[#This Row],[stack]]/chips)</f>
        <v>0.85499999999999998</v>
      </c>
      <c r="BB20" s="19">
        <f>T_231[[#This Row],[ICM]]+bounty*T_231[[#This Row],[KO]]</f>
        <v>30.734399999999997</v>
      </c>
      <c r="BD20">
        <f>COUNTIF(T_321[stack],"&gt;0")</f>
        <v>4</v>
      </c>
      <c r="BE20">
        <f>IF(T_init[[#This Row],[p]]=1,uncalled,IF(T_init[[#This Row],[p]]=2,sidepot1,IF(T_init[[#This Row],[p]]=3,mainpot,IF(ISBLANK(T_init[[#This Row],[p]]),T_init[[#This Row],[stack]]-T_init[[#This Row],[anteblinds]],0))))</f>
        <v>570</v>
      </c>
      <c r="BF20">
        <v>0.28499999999999998</v>
      </c>
      <c r="BG20" s="18">
        <f>T_321[[#This Row],[EQ]]*prize</f>
        <v>30.734399999999997</v>
      </c>
      <c r="BH20" s="19">
        <f>IF(T_init[[#This Row],[p]]=2,T_321[[#This Row],[players]]*T_321[[#This Row],[stack]]/chips+COUNTIF(T_321[stack],0),T_321[[#This Row],[players]]*T_321[[#This Row],[stack]]/chips)</f>
        <v>1.1399999999999999</v>
      </c>
      <c r="BI20" s="19">
        <f>T_321[[#This Row],[ICM]]+bounty*T_321[[#This Row],[KO]]</f>
        <v>30.734399999999997</v>
      </c>
      <c r="BK20">
        <f>COUNTIF(T_221[stack],"&gt;0")</f>
        <v>4</v>
      </c>
      <c r="BL20">
        <f>IF(T_init[[#This Row],[p]]=1,uncalled + ROUND(sidepot1/2,0),IF(T_init[[#This Row],[p]]=2,ROUND(sidepot1/2,0),IF(T_init[[#This Row],[p]]=3,mainpot,IF(ISBLANK(T_init[[#This Row],[p]]),T_init[[#This Row],[stack]]-T_init[[#This Row],[anteblinds]],0))))</f>
        <v>570</v>
      </c>
      <c r="BM20">
        <v>0.28499999999999998</v>
      </c>
      <c r="BN20" s="18">
        <f>T_221[[#This Row],[EQ]]*prize</f>
        <v>30.734399999999997</v>
      </c>
      <c r="BO20" s="19">
        <f>IF(T_init[[#This Row],[p]]=2,T_221[[#This Row],[players]]*T_221[[#This Row],[stack]]/chips+COUNTIF(T_221[stack],0),T_221[[#This Row],[players]]*T_221[[#This Row],[stack]]/chips)</f>
        <v>1.1399999999999999</v>
      </c>
      <c r="BP20" s="19">
        <f>T_221[[#This Row],[ICM]]+bounty*T_221[[#This Row],[KO]]</f>
        <v>30.734399999999997</v>
      </c>
      <c r="BR20" s="13">
        <v>3</v>
      </c>
      <c r="BS20" s="13">
        <f>IF(T_init[[#This Row],[p]]=1,uncalled,IF(T_init[[#This Row],[p]]=2,mainpot+sidepot1,IF(T_init[[#This Row],[p]]&gt;2,0,T_init[[#This Row],[stack]]-T_init[[#This Row],[anteblinds]])))</f>
        <v>570</v>
      </c>
      <c r="BT20">
        <v>0.28499999999999998</v>
      </c>
      <c r="BU20" s="18">
        <f>T_fact[[#This Row],[EQ]]*prize</f>
        <v>30.734399999999997</v>
      </c>
      <c r="BV20" s="19">
        <f>IF(T_init[[#This Row],[p]]=1,T_fact[[#This Row],[players]]*T_fact[[#This Row],[stack]]/chips+COUNTIF(T_fact[stack],0),T_fact[[#This Row],[players]]*T_fact[[#This Row],[stack]]/chips)</f>
        <v>0.85499999999999998</v>
      </c>
      <c r="BW20" s="19">
        <f>T_fact[[#This Row],[ICM]]+bounty*T_fact[[#This Row],[KO]]</f>
        <v>30.734399999999997</v>
      </c>
      <c r="BZ20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30.734461468799996</v>
      </c>
      <c r="CA20" s="18">
        <v>0</v>
      </c>
      <c r="CB20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30.734461468799996</v>
      </c>
      <c r="CC20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570.00114000000008</v>
      </c>
      <c r="CD20" s="18">
        <f>T_fact[[#This Row],[stack]]- T_init[[#This Row],[stack]]</f>
        <v>-10</v>
      </c>
      <c r="CE20" s="18">
        <f>T_EV[[#This Row],[netwon]]+T_EV[[#This Row],[cEVdiff]]</f>
        <v>-9.9988599999999224</v>
      </c>
      <c r="CF20" s="18">
        <f>T_EV[[#This Row],[chipEV]]-T_fact[[#This Row],[stack]]</f>
        <v>1.1400000000776345E-3</v>
      </c>
      <c r="CG20" s="18">
        <f>T_EV[[#This Row],[EV]]-(T_fact[[#This Row],[ICM]])</f>
        <v>6.1468799998465329E-5</v>
      </c>
    </row>
    <row r="21" spans="1:85" s="21" customFormat="1" x14ac:dyDescent="0.25">
      <c r="A21" s="33"/>
      <c r="B21" s="21">
        <v>1</v>
      </c>
      <c r="C21" s="21">
        <v>815</v>
      </c>
      <c r="D21" s="21" t="s">
        <v>47</v>
      </c>
      <c r="E21" s="21">
        <v>35</v>
      </c>
      <c r="G21" s="21">
        <f>COUNTIF(T_123[stack],"&gt;0")</f>
        <v>2</v>
      </c>
      <c r="H21" s="21">
        <f>IF(T_init[[#This Row],[p]]=1,mainpot+sidepot1+uncalled,IF(T_init[[#This Row],[p]]&gt;1,0,T_init[[#This Row],[stack]]-T_init[[#This Row],[anteblinds]]))</f>
        <v>1430</v>
      </c>
      <c r="I21" s="21">
        <v>0.71499999999999997</v>
      </c>
      <c r="J21" s="22">
        <f>T_123[[#This Row],[EQ]]*prize</f>
        <v>77.105599999999995</v>
      </c>
      <c r="K21" s="23">
        <f>IF(T_init[[#This Row],[p]]=1,T_123[[#This Row],[players]]*T_123[[#This Row],[stack]]/chips+COUNTIF(T_123[stack],0),T_123[[#This Row],[players]]*T_123[[#This Row],[stack]]/chips)</f>
        <v>5.43</v>
      </c>
      <c r="L21" s="23">
        <f>T_123[[#This Row],[ICM]]+bounty*T_123[[#This Row],[KO]]</f>
        <v>77.105599999999995</v>
      </c>
      <c r="N21" s="24">
        <f>COUNTIF(T_213[stack],"&gt;0")</f>
        <v>3</v>
      </c>
      <c r="O21" s="21">
        <f>IF(T_init[[#This Row],[p]]=1,uncalled,IF(T_init[[#This Row],[p]]=2,mainpot+sidepot1,IF(T_init[[#This Row],[p]]&gt;2,0,T_init[[#This Row],[stack]]-T_init[[#This Row],[anteblinds]])))</f>
        <v>325</v>
      </c>
      <c r="P21" s="21">
        <v>0.16250000000000001</v>
      </c>
      <c r="Q21" s="22">
        <f>T_213[[#This Row],[EQ]]*prize</f>
        <v>17.524000000000001</v>
      </c>
      <c r="R21" s="23">
        <f>IF(T_init[[#This Row],[p]]=2,T_213[[#This Row],[players]]*T_213[[#This Row],[stack]]/chips+COUNTIF(T_213[stack],0),T_213[[#This Row],[players]]*T_213[[#This Row],[stack]]/chips)</f>
        <v>0.48749999999999999</v>
      </c>
      <c r="S21" s="23">
        <f>T_213[[#This Row],[ICM]]+bounty*T_213[[#This Row],[KO]]</f>
        <v>17.524000000000001</v>
      </c>
      <c r="T21" s="23"/>
      <c r="U21" s="24">
        <f>COUNTIF(T_111[stack],"&gt;0")</f>
        <v>4</v>
      </c>
      <c r="V21" s="21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818</v>
      </c>
      <c r="W21" s="21">
        <v>0.40899999999999997</v>
      </c>
      <c r="X21" s="22">
        <f>T_111[[#This Row],[EQ]]*prize</f>
        <v>44.106560000000002</v>
      </c>
      <c r="Y21" s="23">
        <f>IF(T_init[[#This Row],[p]]=2,T_111[[#This Row],[players]]*T_111[[#This Row],[stack]]/chips+COUNTIF(T_111[stack],0),T_111[[#This Row],[players]]*T_111[[#This Row],[stack]]/chips)</f>
        <v>1.6359999999999999</v>
      </c>
      <c r="Z21" s="23">
        <f>T_111[[#This Row],[ICM]]+bounty*T_111[[#This Row],[KO]]</f>
        <v>44.106560000000002</v>
      </c>
      <c r="AA21" s="23"/>
      <c r="AB21" s="24">
        <f>COUNTIF(T_113[stack],"&gt;0")</f>
        <v>3</v>
      </c>
      <c r="AC21" s="21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877</v>
      </c>
      <c r="AD21" s="21">
        <v>0.4385</v>
      </c>
      <c r="AE21" s="22">
        <f>T_113[[#This Row],[EQ]]*prize</f>
        <v>47.287840000000003</v>
      </c>
      <c r="AF21" s="23">
        <f>IF(T_init[[#This Row],[p]]=2,T_113[[#This Row],[players]]*T_113[[#This Row],[stack]]/chips+COUNTIF(T_113[stack],0),T_113[[#This Row],[players]]*T_113[[#This Row],[stack]]/chips)</f>
        <v>1.3154999999999999</v>
      </c>
      <c r="AG21" s="23">
        <f>T_113[[#This Row],[ICM]]+bounty*T_113[[#This Row],[KO]]</f>
        <v>47.287840000000003</v>
      </c>
      <c r="AH21" s="23"/>
      <c r="AI21" s="24">
        <f>COUNTIF(T_131[stack],"&gt;0")</f>
        <v>3</v>
      </c>
      <c r="AJ21" s="21">
        <f>IF(T_init[[#This Row],[p]]=1,ROUNDDOWN(uncalled + mainpot/2, 0) + ROUNDDOWN(sidepot1,0),IF(T_init[[#This Row],[p]]=2,0,IF(T_init[[#This Row],[p]]=3, ROUNDUP(mainpot/2,0),T_init[[#This Row],[stack]]-T_init[[#This Row],[anteblinds]])))</f>
        <v>1252</v>
      </c>
      <c r="AK21" s="21">
        <v>0.626</v>
      </c>
      <c r="AL21" s="22">
        <f>T_131[[#This Row],[EQ]]*prize</f>
        <v>67.507840000000002</v>
      </c>
      <c r="AM21" s="23">
        <f>IF(T_init[[#This Row],[p]]=2,T_131[[#This Row],[players]]*T_131[[#This Row],[stack]]/chips+COUNTIF(T_131[stack],0),T_131[[#This Row],[players]]*T_131[[#This Row],[stack]]/chips)</f>
        <v>1.8779999999999999</v>
      </c>
      <c r="AN21" s="23">
        <f>T_131[[#This Row],[ICM]]+bounty*T_131[[#This Row],[KO]]</f>
        <v>67.507840000000002</v>
      </c>
      <c r="AP21" s="24">
        <f>COUNTIF(T_311[stack],"&gt;0")</f>
        <v>4</v>
      </c>
      <c r="AQ21" s="21">
        <f>IF(T_init[[#This Row],[p]]=1,uncalled,IF(T_init[[#This Row],[p]]=2,ROUNDDOWN(mainpot/2,0) + ROUNDDOWN(sidepot1,0),IF(T_init[[#This Row],[p]]=3, ROUNDUP(mainpot/2,0),T_init[[#This Row],[stack]]-T_init[[#This Row],[anteblinds]])))</f>
        <v>325</v>
      </c>
      <c r="AR21" s="21">
        <v>0.16250000000000001</v>
      </c>
      <c r="AS21" s="22">
        <f>T_311[[#This Row],[EQ]]*prize</f>
        <v>17.524000000000001</v>
      </c>
      <c r="AT21" s="23">
        <f>IF(T_init[[#This Row],[p]]=2,T_311[[#This Row],[players]]*T_311[[#This Row],[stack]]/chips+COUNTIF(T_311[stack],0),T_311[[#This Row],[players]]*T_311[[#This Row],[stack]]/chips)</f>
        <v>0.65</v>
      </c>
      <c r="AU21" s="23">
        <f>T_311[[#This Row],[ICM]]+bounty*T_311[[#This Row],[KO]]</f>
        <v>17.524000000000001</v>
      </c>
      <c r="AW21" s="21">
        <f>COUNTIF(T_231[stack],"&gt;0")</f>
        <v>3</v>
      </c>
      <c r="AX21" s="21">
        <f>IF(T_init[[#This Row],[p]]=1,sidepot1+uncalled,IF(T_init[[#This Row],[p]]=3,mainpot,IF(ISBLANK(T_init[[#This Row],[p]]),T_init[[#This Row],[stack]]-T_init[[#This Row],[anteblinds]],0)))</f>
        <v>1075</v>
      </c>
      <c r="AY21" s="21">
        <v>0.53749999999999998</v>
      </c>
      <c r="AZ21" s="22">
        <f>T_231[[#This Row],[EQ]]*prize</f>
        <v>57.963999999999999</v>
      </c>
      <c r="BA21" s="23">
        <f>IF(T_init[[#This Row],[p]]=1,T_231[[#This Row],[players]]*T_231[[#This Row],[stack]]/chips+COUNTIF(T_231[stack],0),T_231[[#This Row],[players]]*T_231[[#This Row],[stack]]/chips)</f>
        <v>4.6124999999999998</v>
      </c>
      <c r="BB21" s="23">
        <f>T_231[[#This Row],[ICM]]+bounty*T_231[[#This Row],[KO]]</f>
        <v>57.963999999999999</v>
      </c>
      <c r="BD21" s="21">
        <f>COUNTIF(T_321[stack],"&gt;0")</f>
        <v>4</v>
      </c>
      <c r="BE21" s="21">
        <f>IF(T_init[[#This Row],[p]]=1,uncalled,IF(T_init[[#This Row],[p]]=2,sidepot1,IF(T_init[[#This Row],[p]]=3,mainpot,IF(ISBLANK(T_init[[#This Row],[p]]),T_init[[#This Row],[stack]]-T_init[[#This Row],[anteblinds]],0))))</f>
        <v>325</v>
      </c>
      <c r="BF21" s="21">
        <v>0.16250000000000001</v>
      </c>
      <c r="BG21" s="22">
        <f>T_321[[#This Row],[EQ]]*prize</f>
        <v>17.524000000000001</v>
      </c>
      <c r="BH21" s="23">
        <f>IF(T_init[[#This Row],[p]]=2,T_321[[#This Row],[players]]*T_321[[#This Row],[stack]]/chips+COUNTIF(T_321[stack],0),T_321[[#This Row],[players]]*T_321[[#This Row],[stack]]/chips)</f>
        <v>0.65</v>
      </c>
      <c r="BI21" s="23">
        <f>T_321[[#This Row],[ICM]]+bounty*T_321[[#This Row],[KO]]</f>
        <v>17.524000000000001</v>
      </c>
      <c r="BK21" s="21">
        <f>COUNTIF(T_221[stack],"&gt;0")</f>
        <v>4</v>
      </c>
      <c r="BL21" s="21">
        <f>IF(T_init[[#This Row],[p]]=1,uncalled + ROUND(sidepot1/2,0),IF(T_init[[#This Row],[p]]=2,ROUND(sidepot1/2,0),IF(T_init[[#This Row],[p]]=3,mainpot,IF(ISBLANK(T_init[[#This Row],[p]]),T_init[[#This Row],[stack]]-T_init[[#This Row],[anteblinds]],0))))</f>
        <v>700</v>
      </c>
      <c r="BM21" s="21">
        <v>0.35</v>
      </c>
      <c r="BN21" s="22">
        <f>T_221[[#This Row],[EQ]]*prize</f>
        <v>37.744</v>
      </c>
      <c r="BO21" s="23">
        <f>IF(T_init[[#This Row],[p]]=2,T_221[[#This Row],[players]]*T_221[[#This Row],[stack]]/chips+COUNTIF(T_221[stack],0),T_221[[#This Row],[players]]*T_221[[#This Row],[stack]]/chips)</f>
        <v>1.4</v>
      </c>
      <c r="BP21" s="23">
        <f>T_221[[#This Row],[ICM]]+bounty*T_221[[#This Row],[KO]]</f>
        <v>37.744</v>
      </c>
      <c r="BR21" s="21">
        <v>3</v>
      </c>
      <c r="BS21" s="21">
        <f>IF(T_init[[#This Row],[p]]=1,uncalled,IF(T_init[[#This Row],[p]]=2,mainpot+sidepot1,IF(T_init[[#This Row],[p]]&gt;2,0,T_init[[#This Row],[stack]]-T_init[[#This Row],[anteblinds]])))</f>
        <v>325</v>
      </c>
      <c r="BT21" s="21">
        <v>0.16250000000000001</v>
      </c>
      <c r="BU21" s="22">
        <f>T_fact[[#This Row],[EQ]]*prize</f>
        <v>17.524000000000001</v>
      </c>
      <c r="BV21" s="23">
        <f>IF(T_init[[#This Row],[p]]=1,T_fact[[#This Row],[players]]*T_fact[[#This Row],[stack]]/chips+COUNTIF(T_fact[stack],0),T_fact[[#This Row],[players]]*T_fact[[#This Row],[stack]]/chips)</f>
        <v>3.4874999999999998</v>
      </c>
      <c r="BW21" s="23">
        <f>T_fact[[#This Row],[ICM]]+bounty*T_fact[[#This Row],[KO]]</f>
        <v>17.524000000000001</v>
      </c>
      <c r="BZ21" s="22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34.7915225104</v>
      </c>
      <c r="CA21" s="22">
        <v>0</v>
      </c>
      <c r="CB21" s="22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34.7915225104</v>
      </c>
      <c r="CC21" s="22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645.24336999999991</v>
      </c>
      <c r="CD21" s="22">
        <f>T_fact[[#This Row],[stack]]- T_init[[#This Row],[stack]]</f>
        <v>-490</v>
      </c>
      <c r="CE21" s="22">
        <f>T_EV[[#This Row],[netwon]]+T_EV[[#This Row],[cEVdiff]]</f>
        <v>-169.75663000000009</v>
      </c>
      <c r="CF21" s="22">
        <f>T_EV[[#This Row],[chipEV]]-T_fact[[#This Row],[stack]]</f>
        <v>320.24336999999991</v>
      </c>
      <c r="CG21" s="22">
        <f>T_EV[[#This Row],[EV]]-(T_fact[[#This Row],[ICM]])</f>
        <v>17.267522510399999</v>
      </c>
    </row>
    <row r="22" spans="1:85" x14ac:dyDescent="0.25">
      <c r="A22" s="32"/>
      <c r="B22" s="13">
        <v>2</v>
      </c>
      <c r="C22" s="13">
        <v>490</v>
      </c>
      <c r="D22" t="s">
        <v>48</v>
      </c>
      <c r="E22" s="13">
        <v>60</v>
      </c>
      <c r="G22" s="13">
        <f>COUNTIF(T_123[stack],"&gt;0")</f>
        <v>2</v>
      </c>
      <c r="H22" s="13">
        <f>IF(T_init[[#This Row],[p]]=1,mainpot+sidepot1+uncalled,IF(T_init[[#This Row],[p]]&gt;1,0,T_init[[#This Row],[stack]]-T_init[[#This Row],[anteblinds]]))</f>
        <v>0</v>
      </c>
      <c r="I22" s="13"/>
      <c r="J22" s="14">
        <f>T_123[[#This Row],[EQ]]*prize</f>
        <v>0</v>
      </c>
      <c r="K22" s="15">
        <f>IF(T_init[[#This Row],[p]]=1,T_123[[#This Row],[players]]*T_123[[#This Row],[stack]]/chips+COUNTIF(T_123[stack],0),T_123[[#This Row],[players]]*T_123[[#This Row],[stack]]/chips)</f>
        <v>0</v>
      </c>
      <c r="L22" s="15">
        <f>T_123[[#This Row],[ICM]]+bounty*T_123[[#This Row],[KO]]</f>
        <v>0</v>
      </c>
      <c r="N22" s="16">
        <f>COUNTIF(T_213[stack],"&gt;0")</f>
        <v>3</v>
      </c>
      <c r="O22" s="13">
        <f>IF(T_init[[#This Row],[p]]=1,uncalled,IF(T_init[[#This Row],[p]]=2,mainpot+sidepot1,IF(T_init[[#This Row],[p]]&gt;2,0,T_init[[#This Row],[stack]]-T_init[[#This Row],[anteblinds]])))</f>
        <v>1105</v>
      </c>
      <c r="P22" s="13">
        <v>0.55249999999999999</v>
      </c>
      <c r="Q22" s="14">
        <f>T_213[[#This Row],[EQ]]*prize</f>
        <v>59.581600000000002</v>
      </c>
      <c r="R22" s="15">
        <f>IF(T_init[[#This Row],[p]]=2,T_213[[#This Row],[players]]*T_213[[#This Row],[stack]]/chips+COUNTIF(T_213[stack],0),T_213[[#This Row],[players]]*T_213[[#This Row],[stack]]/chips)</f>
        <v>4.6574999999999998</v>
      </c>
      <c r="S22" s="15">
        <f>T_213[[#This Row],[ICM]]+bounty*T_213[[#This Row],[KO]]</f>
        <v>59.581600000000002</v>
      </c>
      <c r="T22" s="15"/>
      <c r="U22" s="16">
        <f>COUNTIF(T_111[stack],"&gt;0")</f>
        <v>4</v>
      </c>
      <c r="V22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493</v>
      </c>
      <c r="W22" s="13">
        <v>0.2465</v>
      </c>
      <c r="X22" s="14">
        <f>T_111[[#This Row],[EQ]]*prize</f>
        <v>26.582560000000001</v>
      </c>
      <c r="Y22" s="15">
        <f>IF(T_init[[#This Row],[p]]=2,T_111[[#This Row],[players]]*T_111[[#This Row],[stack]]/chips+COUNTIF(T_111[stack],0),T_111[[#This Row],[players]]*T_111[[#This Row],[stack]]/chips)</f>
        <v>2.9859999999999998</v>
      </c>
      <c r="Z22" s="15">
        <f>T_111[[#This Row],[ICM]]+bounty*T_111[[#This Row],[KO]]</f>
        <v>26.582560000000001</v>
      </c>
      <c r="AA22" s="15"/>
      <c r="AB22" s="16">
        <f>COUNTIF(T_113[stack],"&gt;0")</f>
        <v>3</v>
      </c>
      <c r="AC22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553</v>
      </c>
      <c r="AD22" s="13">
        <v>0.27650000000000002</v>
      </c>
      <c r="AE22" s="14">
        <f>T_113[[#This Row],[EQ]]*prize</f>
        <v>29.817760000000003</v>
      </c>
      <c r="AF22" s="15">
        <f>IF(T_init[[#This Row],[p]]=2,T_113[[#This Row],[players]]*T_113[[#This Row],[stack]]/chips+COUNTIF(T_113[stack],0),T_113[[#This Row],[players]]*T_113[[#This Row],[stack]]/chips)</f>
        <v>3.8294999999999999</v>
      </c>
      <c r="AG22" s="15">
        <f>T_113[[#This Row],[ICM]]+bounty*T_113[[#This Row],[KO]]</f>
        <v>29.817760000000003</v>
      </c>
      <c r="AH22" s="15"/>
      <c r="AI22" s="16">
        <f>COUNTIF(T_131[stack],"&gt;0")</f>
        <v>3</v>
      </c>
      <c r="AJ22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K22" s="13">
        <v>0</v>
      </c>
      <c r="AL22" s="14">
        <f>T_131[[#This Row],[EQ]]*prize</f>
        <v>0</v>
      </c>
      <c r="AM22" s="15">
        <f>IF(T_init[[#This Row],[p]]=2,T_131[[#This Row],[players]]*T_131[[#This Row],[stack]]/chips+COUNTIF(T_131[stack],0),T_131[[#This Row],[players]]*T_131[[#This Row],[stack]]/chips)</f>
        <v>3</v>
      </c>
      <c r="AN22" s="15">
        <f>T_131[[#This Row],[ICM]]+bounty*T_131[[#This Row],[KO]]</f>
        <v>0</v>
      </c>
      <c r="AP22" s="16">
        <f>COUNTIF(T_311[stack],"&gt;0")</f>
        <v>4</v>
      </c>
      <c r="AQ22" s="13">
        <f>IF(T_init[[#This Row],[p]]=1,uncalled,IF(T_init[[#This Row],[p]]=2,ROUNDDOWN(mainpot/2,0) + ROUNDDOWN(sidepot1,0),IF(T_init[[#This Row],[p]]=3, ROUNDUP(mainpot/2,0),T_init[[#This Row],[stack]]-T_init[[#This Row],[anteblinds]])))</f>
        <v>927</v>
      </c>
      <c r="AR22" s="13">
        <v>0.46350000000000002</v>
      </c>
      <c r="AS22" s="14">
        <f>T_311[[#This Row],[EQ]]*prize</f>
        <v>49.983840000000001</v>
      </c>
      <c r="AT22" s="15">
        <f>IF(T_init[[#This Row],[p]]=2,T_311[[#This Row],[players]]*T_311[[#This Row],[stack]]/chips+COUNTIF(T_311[stack],0),T_311[[#This Row],[players]]*T_311[[#This Row],[stack]]/chips)</f>
        <v>3.8540000000000001</v>
      </c>
      <c r="AU22" s="15">
        <f>T_311[[#This Row],[ICM]]+bounty*T_311[[#This Row],[KO]]</f>
        <v>49.983840000000001</v>
      </c>
      <c r="AW22" s="13">
        <f>COUNTIF(T_231[stack],"&gt;0")</f>
        <v>3</v>
      </c>
      <c r="AX22" s="13">
        <f>IF(T_init[[#This Row],[p]]=1,sidepot1+uncalled,IF(T_init[[#This Row],[p]]=3,mainpot,IF(ISBLANK(T_init[[#This Row],[p]]),T_init[[#This Row],[stack]]-T_init[[#This Row],[anteblinds]],0)))</f>
        <v>0</v>
      </c>
      <c r="AY22" s="13">
        <v>0</v>
      </c>
      <c r="AZ22" s="14">
        <f>T_231[[#This Row],[EQ]]*prize</f>
        <v>0</v>
      </c>
      <c r="BA22" s="15">
        <f>IF(T_init[[#This Row],[p]]=1,T_231[[#This Row],[players]]*T_231[[#This Row],[stack]]/chips+COUNTIF(T_231[stack],0),T_231[[#This Row],[players]]*T_231[[#This Row],[stack]]/chips)</f>
        <v>0</v>
      </c>
      <c r="BB22" s="15">
        <f>T_231[[#This Row],[ICM]]+bounty*T_231[[#This Row],[KO]]</f>
        <v>0</v>
      </c>
      <c r="BD22" s="13">
        <f>COUNTIF(T_321[stack],"&gt;0")</f>
        <v>4</v>
      </c>
      <c r="BE22" s="13">
        <f>IF(T_init[[#This Row],[p]]=1,uncalled,IF(T_init[[#This Row],[p]]=2,sidepot1,IF(T_init[[#This Row],[p]]=3,mainpot,IF(ISBLANK(T_init[[#This Row],[p]]),T_init[[#This Row],[stack]]-T_init[[#This Row],[anteblinds]],0))))</f>
        <v>750</v>
      </c>
      <c r="BF22" s="13">
        <v>0.375</v>
      </c>
      <c r="BG22" s="14">
        <f>T_321[[#This Row],[EQ]]*prize</f>
        <v>40.44</v>
      </c>
      <c r="BH22" s="15">
        <f>IF(T_init[[#This Row],[p]]=2,T_321[[#This Row],[players]]*T_321[[#This Row],[stack]]/chips+COUNTIF(T_321[stack],0),T_321[[#This Row],[players]]*T_321[[#This Row],[stack]]/chips)</f>
        <v>3.5</v>
      </c>
      <c r="BI22" s="19">
        <f>T_321[[#This Row],[ICM]]+bounty*T_321[[#This Row],[KO]]</f>
        <v>40.44</v>
      </c>
      <c r="BK22" s="13">
        <f>COUNTIF(T_221[stack],"&gt;0")</f>
        <v>4</v>
      </c>
      <c r="BL22" s="13">
        <f>IF(T_init[[#This Row],[p]]=1,uncalled + ROUND(sidepot1/2,0),IF(T_init[[#This Row],[p]]=2,ROUND(sidepot1/2,0),IF(T_init[[#This Row],[p]]=3,mainpot,IF(ISBLANK(T_init[[#This Row],[p]]),T_init[[#This Row],[stack]]-T_init[[#This Row],[anteblinds]],0))))</f>
        <v>375</v>
      </c>
      <c r="BM22" s="13">
        <v>0.1875</v>
      </c>
      <c r="BN22" s="14">
        <f>T_221[[#This Row],[EQ]]*prize</f>
        <v>20.22</v>
      </c>
      <c r="BO22" s="15">
        <f>IF(T_init[[#This Row],[p]]=2,T_221[[#This Row],[players]]*T_221[[#This Row],[stack]]/chips+COUNTIF(T_221[stack],0),T_221[[#This Row],[players]]*T_221[[#This Row],[stack]]/chips)</f>
        <v>2.75</v>
      </c>
      <c r="BP22" s="19">
        <f>T_221[[#This Row],[ICM]]+bounty*T_221[[#This Row],[KO]]</f>
        <v>20.22</v>
      </c>
      <c r="BR22" s="13">
        <v>3</v>
      </c>
      <c r="BS22" s="13">
        <f>IF(T_init[[#This Row],[p]]=1,uncalled,IF(T_init[[#This Row],[p]]=2,mainpot+sidepot1,IF(T_init[[#This Row],[p]]&gt;2,0,T_init[[#This Row],[stack]]-T_init[[#This Row],[anteblinds]])))</f>
        <v>1105</v>
      </c>
      <c r="BT22" s="13">
        <v>0.55249999999999999</v>
      </c>
      <c r="BU22" s="14">
        <f>T_fact[[#This Row],[EQ]]*prize</f>
        <v>59.581600000000002</v>
      </c>
      <c r="BV22" s="15">
        <f>IF(T_init[[#This Row],[p]]=1,T_fact[[#This Row],[players]]*T_fact[[#This Row],[stack]]/chips+COUNTIF(T_fact[stack],0),T_fact[[#This Row],[players]]*T_fact[[#This Row],[stack]]/chips)</f>
        <v>1.6575</v>
      </c>
      <c r="BW22" s="19">
        <f>T_fact[[#This Row],[ICM]]+bounty*T_fact[[#This Row],[KO]]</f>
        <v>59.581600000000002</v>
      </c>
      <c r="BZ22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31.4706363512</v>
      </c>
      <c r="CA22" s="14">
        <v>0</v>
      </c>
      <c r="CB22" s="14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31.4706363512</v>
      </c>
      <c r="CC22" s="14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583.65423499999997</v>
      </c>
      <c r="CD22" s="14">
        <f>T_fact[[#This Row],[stack]]- T_init[[#This Row],[stack]]</f>
        <v>615</v>
      </c>
      <c r="CE22" s="14">
        <f>T_EV[[#This Row],[netwon]]+T_EV[[#This Row],[cEVdiff]]</f>
        <v>93.654234999999971</v>
      </c>
      <c r="CF22" s="18">
        <f>T_EV[[#This Row],[chipEV]]-T_fact[[#This Row],[stack]]</f>
        <v>-521.34576500000003</v>
      </c>
      <c r="CG22" s="18">
        <f>T_EV[[#This Row],[EV]]-(T_fact[[#This Row],[ICM]])</f>
        <v>-28.110963648800002</v>
      </c>
    </row>
    <row r="23" spans="1:85" x14ac:dyDescent="0.25">
      <c r="A23" s="30"/>
      <c r="C23">
        <v>0</v>
      </c>
      <c r="G23">
        <f>COUNTIF(T_123[stack],"&gt;0")</f>
        <v>2</v>
      </c>
      <c r="H23">
        <f>IF(T_init[[#This Row],[p]]=1,mainpot+sidepot1+uncalled,IF(T_init[[#This Row],[p]]&gt;1,0,T_init[[#This Row],[stack]]-T_init[[#This Row],[anteblinds]]))</f>
        <v>0</v>
      </c>
      <c r="J23" s="18">
        <f>T_123[[#This Row],[EQ]]*prize</f>
        <v>0</v>
      </c>
      <c r="K23" s="19">
        <f>IF(T_init[[#This Row],[p]]=1,T_123[[#This Row],[players]]*T_123[[#This Row],[stack]]/chips+COUNTIF(T_123[stack],0),T_123[[#This Row],[players]]*T_123[[#This Row],[stack]]/chips)</f>
        <v>0</v>
      </c>
      <c r="L23" s="19">
        <f>T_123[[#This Row],[ICM]]+bounty*T_123[[#This Row],[KO]]</f>
        <v>0</v>
      </c>
      <c r="N23" s="20">
        <f>COUNTIF(T_213[stack],"&gt;0")</f>
        <v>3</v>
      </c>
      <c r="O23" s="13">
        <f>IF(T_init[[#This Row],[p]]=1,uncalled,IF(T_init[[#This Row],[p]]=2,mainpot+sidepot1,IF(T_init[[#This Row],[p]]&gt;2,0,T_init[[#This Row],[stack]]-T_init[[#This Row],[anteblinds]])))</f>
        <v>0</v>
      </c>
      <c r="P23">
        <v>0</v>
      </c>
      <c r="Q23" s="18">
        <f>T_213[[#This Row],[EQ]]*prize</f>
        <v>0</v>
      </c>
      <c r="R23" s="19">
        <f>IF(T_init[[#This Row],[p]]=2,T_213[[#This Row],[players]]*T_213[[#This Row],[stack]]/chips+COUNTIF(T_213[stack],0),T_213[[#This Row],[players]]*T_213[[#This Row],[stack]]/chips)</f>
        <v>0</v>
      </c>
      <c r="S23" s="19">
        <f>T_213[[#This Row],[ICM]]+bounty*T_213[[#This Row],[KO]]</f>
        <v>0</v>
      </c>
      <c r="T23" s="19"/>
      <c r="U23" s="20">
        <f>COUNTIF(T_111[stack],"&gt;0")</f>
        <v>4</v>
      </c>
      <c r="V23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0</v>
      </c>
      <c r="W23">
        <v>0</v>
      </c>
      <c r="X23" s="18">
        <f>T_111[[#This Row],[EQ]]*prize</f>
        <v>0</v>
      </c>
      <c r="Y23" s="19">
        <f>IF(T_init[[#This Row],[p]]=2,T_111[[#This Row],[players]]*T_111[[#This Row],[stack]]/chips+COUNTIF(T_111[stack],0),T_111[[#This Row],[players]]*T_111[[#This Row],[stack]]/chips)</f>
        <v>0</v>
      </c>
      <c r="Z23" s="19">
        <f>T_111[[#This Row],[ICM]]+bounty*T_111[[#This Row],[KO]]</f>
        <v>0</v>
      </c>
      <c r="AA23" s="19"/>
      <c r="AB23" s="20">
        <f>COUNTIF(T_113[stack],"&gt;0")</f>
        <v>3</v>
      </c>
      <c r="AC23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D23">
        <v>0</v>
      </c>
      <c r="AE23" s="18">
        <f>T_113[[#This Row],[EQ]]*prize</f>
        <v>0</v>
      </c>
      <c r="AF23" s="19">
        <f>IF(T_init[[#This Row],[p]]=2,T_113[[#This Row],[players]]*T_113[[#This Row],[stack]]/chips+COUNTIF(T_113[stack],0),T_113[[#This Row],[players]]*T_113[[#This Row],[stack]]/chips)</f>
        <v>0</v>
      </c>
      <c r="AG23" s="19">
        <f>T_113[[#This Row],[ICM]]+bounty*T_113[[#This Row],[KO]]</f>
        <v>0</v>
      </c>
      <c r="AH23" s="19"/>
      <c r="AI23" s="20">
        <f>COUNTIF(T_131[stack],"&gt;0")</f>
        <v>3</v>
      </c>
      <c r="AJ23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K23">
        <v>0</v>
      </c>
      <c r="AL23" s="18">
        <f>T_131[[#This Row],[EQ]]*prize</f>
        <v>0</v>
      </c>
      <c r="AM23" s="19">
        <f>IF(T_init[[#This Row],[p]]=2,T_131[[#This Row],[players]]*T_131[[#This Row],[stack]]/chips+COUNTIF(T_131[stack],0),T_131[[#This Row],[players]]*T_131[[#This Row],[stack]]/chips)</f>
        <v>0</v>
      </c>
      <c r="AN23" s="19">
        <f>T_131[[#This Row],[ICM]]+bounty*T_131[[#This Row],[KO]]</f>
        <v>0</v>
      </c>
      <c r="AP23" s="20">
        <f>COUNTIF(T_311[stack],"&gt;0")</f>
        <v>4</v>
      </c>
      <c r="AQ23" s="13">
        <f>IF(T_init[[#This Row],[p]]=1,uncalled,IF(T_init[[#This Row],[p]]=2,ROUNDDOWN(mainpot/2,0) + ROUNDDOWN(sidepot1,0),IF(T_init[[#This Row],[p]]=3, ROUNDUP(mainpot/2,0),T_init[[#This Row],[stack]]-T_init[[#This Row],[anteblinds]])))</f>
        <v>0</v>
      </c>
      <c r="AR23">
        <v>0</v>
      </c>
      <c r="AS23" s="18">
        <f>T_311[[#This Row],[EQ]]*prize</f>
        <v>0</v>
      </c>
      <c r="AT23" s="19">
        <f>IF(T_init[[#This Row],[p]]=2,T_311[[#This Row],[players]]*T_311[[#This Row],[stack]]/chips+COUNTIF(T_311[stack],0),T_311[[#This Row],[players]]*T_311[[#This Row],[stack]]/chips)</f>
        <v>0</v>
      </c>
      <c r="AU23" s="19">
        <f>T_311[[#This Row],[ICM]]+bounty*T_311[[#This Row],[KO]]</f>
        <v>0</v>
      </c>
      <c r="AW23">
        <f>COUNTIF(T_231[stack],"&gt;0")</f>
        <v>3</v>
      </c>
      <c r="AX23" s="13">
        <f>IF(T_init[[#This Row],[p]]=1,sidepot1+uncalled,IF(T_init[[#This Row],[p]]=3,mainpot,IF(ISBLANK(T_init[[#This Row],[p]]),T_init[[#This Row],[stack]]-T_init[[#This Row],[anteblinds]],0)))</f>
        <v>0</v>
      </c>
      <c r="AY23">
        <v>0</v>
      </c>
      <c r="AZ23" s="18">
        <f>T_231[[#This Row],[EQ]]*prize</f>
        <v>0</v>
      </c>
      <c r="BA23" s="19">
        <f>IF(T_init[[#This Row],[p]]=1,T_231[[#This Row],[players]]*T_231[[#This Row],[stack]]/chips+COUNTIF(T_231[stack],0),T_231[[#This Row],[players]]*T_231[[#This Row],[stack]]/chips)</f>
        <v>0</v>
      </c>
      <c r="BB23" s="19">
        <f>T_231[[#This Row],[ICM]]+bounty*T_231[[#This Row],[KO]]</f>
        <v>0</v>
      </c>
      <c r="BD23">
        <f>COUNTIF(T_321[stack],"&gt;0")</f>
        <v>4</v>
      </c>
      <c r="BE23">
        <f>IF(T_init[[#This Row],[p]]=1,uncalled,IF(T_init[[#This Row],[p]]=2,sidepot1,IF(T_init[[#This Row],[p]]=3,mainpot,IF(ISBLANK(T_init[[#This Row],[p]]),T_init[[#This Row],[stack]]-T_init[[#This Row],[anteblinds]],0))))</f>
        <v>0</v>
      </c>
      <c r="BF23">
        <v>0</v>
      </c>
      <c r="BG23" s="18">
        <f>T_321[[#This Row],[EQ]]*prize</f>
        <v>0</v>
      </c>
      <c r="BH23" s="19">
        <f>IF(T_init[[#This Row],[p]]=2,T_321[[#This Row],[players]]*T_321[[#This Row],[stack]]/chips+COUNTIF(T_321[stack],0),T_321[[#This Row],[players]]*T_321[[#This Row],[stack]]/chips)</f>
        <v>0</v>
      </c>
      <c r="BI23" s="19">
        <f>T_321[[#This Row],[ICM]]+bounty*T_321[[#This Row],[KO]]</f>
        <v>0</v>
      </c>
      <c r="BK23">
        <f>COUNTIF(T_221[stack],"&gt;0")</f>
        <v>4</v>
      </c>
      <c r="BL23">
        <f>IF(T_init[[#This Row],[p]]=1,uncalled + ROUND(sidepot1/2,0),IF(T_init[[#This Row],[p]]=2,ROUND(sidepot1/2,0),IF(T_init[[#This Row],[p]]=3,mainpot,IF(ISBLANK(T_init[[#This Row],[p]]),T_init[[#This Row],[stack]]-T_init[[#This Row],[anteblinds]],0))))</f>
        <v>0</v>
      </c>
      <c r="BM23">
        <v>0</v>
      </c>
      <c r="BN23" s="18">
        <f>T_221[[#This Row],[EQ]]*prize</f>
        <v>0</v>
      </c>
      <c r="BO23" s="19">
        <f>IF(T_init[[#This Row],[p]]=2,T_221[[#This Row],[players]]*T_221[[#This Row],[stack]]/chips+COUNTIF(T_221[stack],0),T_221[[#This Row],[players]]*T_221[[#This Row],[stack]]/chips)</f>
        <v>0</v>
      </c>
      <c r="BP23" s="19">
        <f>T_221[[#This Row],[ICM]]+bounty*T_221[[#This Row],[KO]]</f>
        <v>0</v>
      </c>
      <c r="BR23" s="13">
        <v>3</v>
      </c>
      <c r="BS23" s="13">
        <f>IF(T_init[[#This Row],[p]]=1,uncalled,IF(T_init[[#This Row],[p]]=2,mainpot+sidepot1,IF(T_init[[#This Row],[p]]&gt;2,0,T_init[[#This Row],[stack]]-T_init[[#This Row],[anteblinds]])))</f>
        <v>0</v>
      </c>
      <c r="BT23">
        <v>0</v>
      </c>
      <c r="BU23" s="18">
        <f>T_fact[[#This Row],[EQ]]*prize</f>
        <v>0</v>
      </c>
      <c r="BV23" s="19">
        <f>IF(T_init[[#This Row],[p]]=1,T_fact[[#This Row],[players]]*T_fact[[#This Row],[stack]]/chips+COUNTIF(T_fact[stack],0),T_fact[[#This Row],[players]]*T_fact[[#This Row],[stack]]/chips)</f>
        <v>0</v>
      </c>
      <c r="BW23" s="19">
        <f>T_fact[[#This Row],[ICM]]+bounty*T_fact[[#This Row],[KO]]</f>
        <v>0</v>
      </c>
      <c r="BZ23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0</v>
      </c>
      <c r="CA23" s="18">
        <v>0</v>
      </c>
      <c r="CB23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0</v>
      </c>
      <c r="CC23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0</v>
      </c>
      <c r="CD23" s="18">
        <f>T_fact[[#This Row],[stack]]- T_init[[#This Row],[stack]]</f>
        <v>0</v>
      </c>
      <c r="CE23" s="18">
        <f>T_EV[[#This Row],[netwon]]+T_EV[[#This Row],[cEVdiff]]</f>
        <v>0</v>
      </c>
      <c r="CF23" s="18">
        <f>T_EV[[#This Row],[chipEV]]-T_fact[[#This Row],[stack]]</f>
        <v>0</v>
      </c>
      <c r="CG23" s="18">
        <f>T_EV[[#This Row],[EV]]-(T_fact[[#This Row],[ICM]])</f>
        <v>0</v>
      </c>
    </row>
    <row r="24" spans="1:85" ht="15.75" thickBot="1" x14ac:dyDescent="0.3">
      <c r="A24" s="30"/>
      <c r="C24">
        <v>0</v>
      </c>
      <c r="G24">
        <f>COUNTIF(T_123[stack],"&gt;0")</f>
        <v>2</v>
      </c>
      <c r="H24">
        <f>IF(T_init[[#This Row],[p]]=1,mainpot+sidepot1+uncalled,IF(T_init[[#This Row],[p]]&gt;1,0,T_init[[#This Row],[stack]]-T_init[[#This Row],[anteblinds]]))</f>
        <v>0</v>
      </c>
      <c r="J24" s="18">
        <f>T_123[[#This Row],[EQ]]*prize</f>
        <v>0</v>
      </c>
      <c r="K24" s="19">
        <f>IF(T_init[[#This Row],[p]]=1,T_123[[#This Row],[players]]*T_123[[#This Row],[stack]]/chips+COUNTIF(T_123[stack],0),T_123[[#This Row],[players]]*T_123[[#This Row],[stack]]/chips)</f>
        <v>0</v>
      </c>
      <c r="L24" s="19">
        <f>T_123[[#This Row],[ICM]]+bounty*T_123[[#This Row],[KO]]</f>
        <v>0</v>
      </c>
      <c r="N24" s="20">
        <f>COUNTIF(T_213[stack],"&gt;0")</f>
        <v>3</v>
      </c>
      <c r="O24" s="13">
        <f>IF(T_init[[#This Row],[p]]=1,uncalled,IF(T_init[[#This Row],[p]]=2,mainpot+sidepot1,IF(T_init[[#This Row],[p]]&gt;2,0,T_init[[#This Row],[stack]]-T_init[[#This Row],[anteblinds]])))</f>
        <v>0</v>
      </c>
      <c r="Q24" s="18">
        <f>T_213[[#This Row],[EQ]]*prize</f>
        <v>0</v>
      </c>
      <c r="R24" s="19">
        <f>IF(T_init[[#This Row],[p]]=2,T_213[[#This Row],[players]]*T_213[[#This Row],[stack]]/chips+COUNTIF(T_213[stack],0),T_213[[#This Row],[players]]*T_213[[#This Row],[stack]]/chips)</f>
        <v>0</v>
      </c>
      <c r="S24" s="19">
        <f>T_213[[#This Row],[ICM]]+bounty*T_213[[#This Row],[KO]]</f>
        <v>0</v>
      </c>
      <c r="T24" s="19"/>
      <c r="U24" s="20">
        <f>COUNTIF(T_111[stack],"&gt;0")</f>
        <v>4</v>
      </c>
      <c r="V24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0</v>
      </c>
      <c r="X24" s="18">
        <f>T_111[[#This Row],[EQ]]*prize</f>
        <v>0</v>
      </c>
      <c r="Y24" s="19">
        <f>IF(T_init[[#This Row],[p]]=2,T_111[[#This Row],[players]]*T_111[[#This Row],[stack]]/chips+COUNTIF(T_111[stack],0),T_111[[#This Row],[players]]*T_111[[#This Row],[stack]]/chips)</f>
        <v>0</v>
      </c>
      <c r="Z24" s="19">
        <f>T_111[[#This Row],[ICM]]+bounty*T_111[[#This Row],[KO]]</f>
        <v>0</v>
      </c>
      <c r="AA24" s="19"/>
      <c r="AB24" s="20">
        <f>COUNTIF(T_113[stack],"&gt;0")</f>
        <v>3</v>
      </c>
      <c r="AC24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E24" s="18">
        <f>T_113[[#This Row],[EQ]]*prize</f>
        <v>0</v>
      </c>
      <c r="AF24" s="19">
        <f>IF(T_init[[#This Row],[p]]=2,T_113[[#This Row],[players]]*T_113[[#This Row],[stack]]/chips+COUNTIF(T_113[stack],0),T_113[[#This Row],[players]]*T_113[[#This Row],[stack]]/chips)</f>
        <v>0</v>
      </c>
      <c r="AG24" s="19">
        <f>T_113[[#This Row],[ICM]]+bounty*T_113[[#This Row],[KO]]</f>
        <v>0</v>
      </c>
      <c r="AH24" s="19"/>
      <c r="AI24" s="20">
        <f>COUNTIF(T_131[stack],"&gt;0")</f>
        <v>3</v>
      </c>
      <c r="AJ24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L24" s="18">
        <f>T_131[[#This Row],[EQ]]*prize</f>
        <v>0</v>
      </c>
      <c r="AM24" s="19">
        <f>IF(T_init[[#This Row],[p]]=2,T_131[[#This Row],[players]]*T_131[[#This Row],[stack]]/chips+COUNTIF(T_131[stack],0),T_131[[#This Row],[players]]*T_131[[#This Row],[stack]]/chips)</f>
        <v>0</v>
      </c>
      <c r="AN24" s="19">
        <f>T_131[[#This Row],[ICM]]+bounty*T_131[[#This Row],[KO]]</f>
        <v>0</v>
      </c>
      <c r="AP24" s="20">
        <f>COUNTIF(T_311[stack],"&gt;0")</f>
        <v>4</v>
      </c>
      <c r="AQ24" s="13">
        <f>IF(T_init[[#This Row],[p]]=1,uncalled,IF(T_init[[#This Row],[p]]=2,ROUNDDOWN(mainpot/2,0) + ROUNDDOWN(sidepot1,0),IF(T_init[[#This Row],[p]]=3, ROUNDUP(mainpot/2,0),T_init[[#This Row],[stack]]-T_init[[#This Row],[anteblinds]])))</f>
        <v>0</v>
      </c>
      <c r="AS24" s="18">
        <f>T_311[[#This Row],[EQ]]*prize</f>
        <v>0</v>
      </c>
      <c r="AT24" s="19">
        <f>IF(T_init[[#This Row],[p]]=2,T_311[[#This Row],[players]]*T_311[[#This Row],[stack]]/chips+COUNTIF(T_311[stack],0),T_311[[#This Row],[players]]*T_311[[#This Row],[stack]]/chips)</f>
        <v>0</v>
      </c>
      <c r="AU24" s="19">
        <f>T_311[[#This Row],[ICM]]+bounty*T_311[[#This Row],[KO]]</f>
        <v>0</v>
      </c>
      <c r="AW24">
        <f>COUNTIF(T_231[stack],"&gt;0")</f>
        <v>3</v>
      </c>
      <c r="AX24" s="13">
        <f>IF(T_init[[#This Row],[p]]=1,sidepot1+uncalled,IF(T_init[[#This Row],[p]]=3,mainpot,IF(ISBLANK(T_init[[#This Row],[p]]),T_init[[#This Row],[stack]]-T_init[[#This Row],[anteblinds]],0)))</f>
        <v>0</v>
      </c>
      <c r="AY24">
        <v>0</v>
      </c>
      <c r="AZ24" s="18">
        <f>T_231[[#This Row],[EQ]]*prize</f>
        <v>0</v>
      </c>
      <c r="BA24" s="19">
        <f>IF(T_init[[#This Row],[p]]=1,T_231[[#This Row],[players]]*T_231[[#This Row],[stack]]/chips+COUNTIF(T_231[stack],0),T_231[[#This Row],[players]]*T_231[[#This Row],[stack]]/chips)</f>
        <v>0</v>
      </c>
      <c r="BB24" s="19">
        <f>T_231[[#This Row],[ICM]]+bounty*T_231[[#This Row],[KO]]</f>
        <v>0</v>
      </c>
      <c r="BD24">
        <f>COUNTIF(T_321[stack],"&gt;0")</f>
        <v>4</v>
      </c>
      <c r="BE24">
        <f>IF(T_init[[#This Row],[p]]=1,uncalled,IF(T_init[[#This Row],[p]]=2,sidepot1,IF(T_init[[#This Row],[p]]=3,mainpot,IF(ISBLANK(T_init[[#This Row],[p]]),T_init[[#This Row],[stack]]-T_init[[#This Row],[anteblinds]],0))))</f>
        <v>0</v>
      </c>
      <c r="BF24">
        <v>0</v>
      </c>
      <c r="BG24" s="18">
        <f>T_321[[#This Row],[EQ]]*prize</f>
        <v>0</v>
      </c>
      <c r="BH24" s="19">
        <f>IF(T_init[[#This Row],[p]]=2,T_321[[#This Row],[players]]*T_321[[#This Row],[stack]]/chips+COUNTIF(T_321[stack],0),T_321[[#This Row],[players]]*T_321[[#This Row],[stack]]/chips)</f>
        <v>0</v>
      </c>
      <c r="BI24" s="19">
        <f>T_321[[#This Row],[ICM]]+bounty*T_321[[#This Row],[KO]]</f>
        <v>0</v>
      </c>
      <c r="BK24">
        <f>COUNTIF(T_221[stack],"&gt;0")</f>
        <v>4</v>
      </c>
      <c r="BL24">
        <f>IF(T_init[[#This Row],[p]]=1,uncalled + ROUND(sidepot1/2,0),IF(T_init[[#This Row],[p]]=2,ROUND(sidepot1/2,0),IF(T_init[[#This Row],[p]]=3,mainpot,IF(ISBLANK(T_init[[#This Row],[p]]),T_init[[#This Row],[stack]]-T_init[[#This Row],[anteblinds]],0))))</f>
        <v>0</v>
      </c>
      <c r="BM24">
        <v>0</v>
      </c>
      <c r="BN24" s="18">
        <f>T_221[[#This Row],[EQ]]*prize</f>
        <v>0</v>
      </c>
      <c r="BO24" s="19">
        <f>IF(T_init[[#This Row],[p]]=2,T_221[[#This Row],[players]]*T_221[[#This Row],[stack]]/chips+COUNTIF(T_221[stack],0),T_221[[#This Row],[players]]*T_221[[#This Row],[stack]]/chips)</f>
        <v>0</v>
      </c>
      <c r="BP24" s="19">
        <f>T_221[[#This Row],[ICM]]+bounty*T_221[[#This Row],[KO]]</f>
        <v>0</v>
      </c>
      <c r="BR24" s="13">
        <v>3</v>
      </c>
      <c r="BS24" s="13">
        <f>IF(T_init[[#This Row],[p]]=1,uncalled,IF(T_init[[#This Row],[p]]=2,mainpot+sidepot1,IF(T_init[[#This Row],[p]]&gt;2,0,T_init[[#This Row],[stack]]-T_init[[#This Row],[anteblinds]])))</f>
        <v>0</v>
      </c>
      <c r="BU24" s="18">
        <f>T_fact[[#This Row],[EQ]]*prize</f>
        <v>0</v>
      </c>
      <c r="BV24" s="19">
        <f>IF(T_init[[#This Row],[p]]=1,T_fact[[#This Row],[players]]*T_fact[[#This Row],[stack]]/chips+COUNTIF(T_fact[stack],0),T_fact[[#This Row],[players]]*T_fact[[#This Row],[stack]]/chips)</f>
        <v>0</v>
      </c>
      <c r="BW24" s="19">
        <f>T_fact[[#This Row],[ICM]]+bounty*T_fact[[#This Row],[KO]]</f>
        <v>0</v>
      </c>
      <c r="BZ24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0</v>
      </c>
      <c r="CA24" s="18">
        <v>0</v>
      </c>
      <c r="CB24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0</v>
      </c>
      <c r="CC24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0</v>
      </c>
      <c r="CD24" s="18">
        <f>T_fact[[#This Row],[stack]]- T_init[[#This Row],[stack]]</f>
        <v>0</v>
      </c>
      <c r="CE24" s="18">
        <f>T_EV[[#This Row],[netwon]]+T_EV[[#This Row],[cEVdiff]]</f>
        <v>0</v>
      </c>
      <c r="CF24" s="18">
        <f>T_EV[[#This Row],[chipEV]]-T_fact[[#This Row],[stack]]</f>
        <v>0</v>
      </c>
      <c r="CG24" s="18">
        <f>T_EV[[#This Row],[EV]]-(T_fact[[#This Row],[ICM]])</f>
        <v>0</v>
      </c>
    </row>
    <row r="25" spans="1:85" ht="15.75" thickTop="1" x14ac:dyDescent="0.25">
      <c r="A25" s="31"/>
      <c r="B25" t="s">
        <v>24</v>
      </c>
      <c r="E25">
        <f>SUBTOTAL(109,T_init[anteblinds])</f>
        <v>115</v>
      </c>
      <c r="G25" s="25"/>
      <c r="H25" s="26">
        <f>SUM(T_123[stack])</f>
        <v>2000</v>
      </c>
      <c r="I25" s="26">
        <f>SUM(T_123[EQ])</f>
        <v>1</v>
      </c>
      <c r="J25" s="26">
        <f>SUM(T_123[ICM])</f>
        <v>107.83999999999999</v>
      </c>
      <c r="K25" s="26">
        <f>SUM(T_123[KO])</f>
        <v>6</v>
      </c>
      <c r="L25" s="26">
        <f>SUM(T_123[$stack])</f>
        <v>107.83999999999999</v>
      </c>
      <c r="N25" s="25"/>
      <c r="O25" s="26">
        <f>SUM(T_213[stack])</f>
        <v>2000</v>
      </c>
      <c r="P25" s="26">
        <f>SUM(T_213[EQ])</f>
        <v>1</v>
      </c>
      <c r="Q25" s="27">
        <f>SUM(T_213[ICM])</f>
        <v>107.84</v>
      </c>
      <c r="R25" s="28">
        <f>SUM(T_213[KO])</f>
        <v>6</v>
      </c>
      <c r="S25" s="26">
        <f>SUM(T_213[$stack])</f>
        <v>107.84</v>
      </c>
      <c r="U25" s="25"/>
      <c r="V25" s="26">
        <f>SUM(T_111[stack])</f>
        <v>2000</v>
      </c>
      <c r="W25" s="26">
        <f>SUM(T_111[EQ])</f>
        <v>1</v>
      </c>
      <c r="X25" s="27">
        <f>SUM(T_111[ICM])</f>
        <v>107.84</v>
      </c>
      <c r="Y25" s="28">
        <f>SUM(T_111[KO])</f>
        <v>6</v>
      </c>
      <c r="Z25" s="26">
        <f>SUM(T_111[$stack])</f>
        <v>107.84</v>
      </c>
      <c r="AB25" s="25"/>
      <c r="AC25" s="26">
        <f>SUM(T_113[stack])</f>
        <v>2000</v>
      </c>
      <c r="AD25" s="26">
        <f>SUM(T_113[EQ])</f>
        <v>1</v>
      </c>
      <c r="AE25" s="27">
        <f>SUM(T_113[ICM])</f>
        <v>107.84</v>
      </c>
      <c r="AF25" s="28">
        <f>SUM(T_113[KO])</f>
        <v>6</v>
      </c>
      <c r="AG25" s="26">
        <f>SUM(T_113[$stack])</f>
        <v>107.84</v>
      </c>
      <c r="AI25" s="25"/>
      <c r="AJ25" s="26">
        <f>SUM(T_131[stack])</f>
        <v>2000</v>
      </c>
      <c r="AK25" s="26">
        <f>SUM(T_131[EQ])</f>
        <v>1</v>
      </c>
      <c r="AL25" s="27">
        <f>SUM(T_131[ICM])</f>
        <v>107.84</v>
      </c>
      <c r="AM25" s="28">
        <f>SUM(T_131[KO])</f>
        <v>6</v>
      </c>
      <c r="AN25" s="26">
        <f>SUM(T_131[$stack])</f>
        <v>107.84</v>
      </c>
      <c r="AP25" s="25"/>
      <c r="AQ25" s="26">
        <f>SUM(T_311[stack])</f>
        <v>2000</v>
      </c>
      <c r="AR25" s="26">
        <f>SUM(T_311[EQ])</f>
        <v>1</v>
      </c>
      <c r="AS25" s="27">
        <f>SUM(T_311[ICM])</f>
        <v>107.84</v>
      </c>
      <c r="AT25" s="28">
        <f>SUM(T_311[KO])</f>
        <v>6</v>
      </c>
      <c r="AU25" s="26">
        <f>SUM(T_311[$stack])</f>
        <v>107.84</v>
      </c>
      <c r="AW25" s="25"/>
      <c r="AX25" s="26">
        <f>SUM(T_231[stack])</f>
        <v>2000</v>
      </c>
      <c r="AY25" s="26">
        <f>SUM(T_231[EQ])</f>
        <v>1</v>
      </c>
      <c r="AZ25" s="27">
        <f>SUM(T_231[ICM])</f>
        <v>107.84</v>
      </c>
      <c r="BA25" s="28">
        <f>SUM(T_231[KO])</f>
        <v>6</v>
      </c>
      <c r="BB25" s="26">
        <f>SUM(T_231[$stack])</f>
        <v>107.84</v>
      </c>
      <c r="BD25" s="25"/>
      <c r="BE25" s="26">
        <f>SUM(T_321[stack])</f>
        <v>2000</v>
      </c>
      <c r="BF25" s="26">
        <f>SUM(T_321[EQ])</f>
        <v>1</v>
      </c>
      <c r="BG25" s="27">
        <f>SUM(T_321[ICM])</f>
        <v>107.84</v>
      </c>
      <c r="BH25" s="28">
        <f>SUM(T_321[KO])</f>
        <v>6</v>
      </c>
      <c r="BI25" s="26">
        <f>SUM(T_231[$stack])</f>
        <v>107.84</v>
      </c>
      <c r="BK25" s="25"/>
      <c r="BL25" s="26">
        <f>SUM(T_221[stack])</f>
        <v>2000</v>
      </c>
      <c r="BM25" s="26">
        <f>SUM(T_221[EQ])</f>
        <v>1</v>
      </c>
      <c r="BN25" s="27">
        <f>SUM(T_221[ICM])</f>
        <v>107.84</v>
      </c>
      <c r="BO25" s="28">
        <f>SUM(T_221[KO])</f>
        <v>6</v>
      </c>
      <c r="BP25" s="26">
        <f>SUM(T_231[$stack])</f>
        <v>107.84</v>
      </c>
      <c r="BR25" s="25"/>
      <c r="BS25" s="26">
        <f>SUM(T_fact[stack])</f>
        <v>2000</v>
      </c>
      <c r="BT25" s="26">
        <f>SUM(T_fact[EQ])</f>
        <v>1</v>
      </c>
      <c r="BU25" s="27">
        <f>SUM(T_fact[ICM])</f>
        <v>107.84</v>
      </c>
      <c r="BV25" s="28">
        <f>SUM(T_fact[KO])</f>
        <v>5.9999999999999991</v>
      </c>
      <c r="BW25" s="27">
        <f>SUM(T_fact[$stack])</f>
        <v>107.84</v>
      </c>
      <c r="BZ25" s="28">
        <f>SUM(T_EV[ICM])</f>
        <v>107.84021568</v>
      </c>
      <c r="CA25" s="28">
        <f>SUM(T_EV[KO])</f>
        <v>0</v>
      </c>
      <c r="CB25" s="28">
        <f>SUM(T_EV[EV])</f>
        <v>107.84021568</v>
      </c>
      <c r="CC25" s="26">
        <f>SUM(T_EV[chipEV])</f>
        <v>2000.0039999999999</v>
      </c>
      <c r="CD25" s="26"/>
      <c r="CE25" s="26"/>
    </row>
    <row r="27" spans="1:85" ht="18.75" x14ac:dyDescent="0.3">
      <c r="N27" s="8" t="s">
        <v>49</v>
      </c>
    </row>
    <row r="28" spans="1:85" x14ac:dyDescent="0.25">
      <c r="D28" t="s">
        <v>50</v>
      </c>
      <c r="N28" t="s">
        <v>51</v>
      </c>
    </row>
    <row r="29" spans="1:85" x14ac:dyDescent="0.25">
      <c r="D29" t="s">
        <v>52</v>
      </c>
      <c r="N29" t="s">
        <v>53</v>
      </c>
    </row>
    <row r="30" spans="1:85" x14ac:dyDescent="0.25">
      <c r="D30" t="s">
        <v>54</v>
      </c>
      <c r="N30" t="s">
        <v>55</v>
      </c>
    </row>
    <row r="31" spans="1:85" x14ac:dyDescent="0.25">
      <c r="N31" t="s">
        <v>56</v>
      </c>
    </row>
    <row r="32" spans="1:85" x14ac:dyDescent="0.25">
      <c r="N32" t="s">
        <v>57</v>
      </c>
    </row>
    <row r="33" spans="3:14" x14ac:dyDescent="0.25">
      <c r="D33" t="s">
        <v>58</v>
      </c>
      <c r="N33" t="s">
        <v>59</v>
      </c>
    </row>
    <row r="34" spans="3:14" x14ac:dyDescent="0.25">
      <c r="N34" t="s">
        <v>60</v>
      </c>
    </row>
    <row r="35" spans="3:14" x14ac:dyDescent="0.25">
      <c r="C35" t="s">
        <v>61</v>
      </c>
      <c r="N35" t="s">
        <v>62</v>
      </c>
    </row>
    <row r="36" spans="3:14" x14ac:dyDescent="0.25">
      <c r="C36" t="s">
        <v>63</v>
      </c>
      <c r="N36" t="s">
        <v>64</v>
      </c>
    </row>
    <row r="37" spans="3:14" x14ac:dyDescent="0.25">
      <c r="D37" t="s">
        <v>65</v>
      </c>
      <c r="N37" t="s">
        <v>66</v>
      </c>
    </row>
    <row r="38" spans="3:14" x14ac:dyDescent="0.25">
      <c r="E38" t="s">
        <v>67</v>
      </c>
      <c r="N38" t="s">
        <v>68</v>
      </c>
    </row>
    <row r="39" spans="3:14" x14ac:dyDescent="0.25">
      <c r="D39" t="s">
        <v>69</v>
      </c>
      <c r="N39" t="s">
        <v>70</v>
      </c>
    </row>
    <row r="40" spans="3:14" x14ac:dyDescent="0.25">
      <c r="E40" t="s">
        <v>67</v>
      </c>
      <c r="N40" t="s">
        <v>71</v>
      </c>
    </row>
    <row r="41" spans="3:14" x14ac:dyDescent="0.25">
      <c r="D41" t="s">
        <v>72</v>
      </c>
      <c r="N41" t="s">
        <v>73</v>
      </c>
    </row>
    <row r="42" spans="3:14" x14ac:dyDescent="0.25">
      <c r="E42" t="s">
        <v>74</v>
      </c>
      <c r="N42" t="s">
        <v>75</v>
      </c>
    </row>
    <row r="43" spans="3:14" x14ac:dyDescent="0.25">
      <c r="E43" t="s">
        <v>76</v>
      </c>
      <c r="F43" t="s">
        <v>77</v>
      </c>
      <c r="N43" t="s">
        <v>78</v>
      </c>
    </row>
    <row r="44" spans="3:14" x14ac:dyDescent="0.25">
      <c r="G44" t="s">
        <v>79</v>
      </c>
      <c r="N44" t="s">
        <v>80</v>
      </c>
    </row>
    <row r="45" spans="3:14" x14ac:dyDescent="0.25">
      <c r="F45" t="s">
        <v>81</v>
      </c>
      <c r="N45" t="s">
        <v>82</v>
      </c>
    </row>
    <row r="46" spans="3:14" x14ac:dyDescent="0.25">
      <c r="G46" t="s">
        <v>83</v>
      </c>
      <c r="N46" t="s">
        <v>84</v>
      </c>
    </row>
    <row r="47" spans="3:14" x14ac:dyDescent="0.25">
      <c r="N47" t="s">
        <v>85</v>
      </c>
    </row>
    <row r="48" spans="3:14" x14ac:dyDescent="0.25">
      <c r="D48" t="s">
        <v>86</v>
      </c>
      <c r="N48" t="s">
        <v>87</v>
      </c>
    </row>
    <row r="49" spans="5:14" x14ac:dyDescent="0.25">
      <c r="E49" t="s">
        <v>88</v>
      </c>
      <c r="N49" t="s">
        <v>89</v>
      </c>
    </row>
    <row r="50" spans="5:14" x14ac:dyDescent="0.25">
      <c r="E50" t="s">
        <v>90</v>
      </c>
      <c r="F50" t="s">
        <v>77</v>
      </c>
      <c r="N50" t="s">
        <v>91</v>
      </c>
    </row>
    <row r="51" spans="5:14" x14ac:dyDescent="0.25">
      <c r="G51" t="s">
        <v>92</v>
      </c>
      <c r="N51" t="s">
        <v>93</v>
      </c>
    </row>
    <row r="52" spans="5:14" x14ac:dyDescent="0.25">
      <c r="F52" t="s">
        <v>81</v>
      </c>
      <c r="N52" t="s">
        <v>94</v>
      </c>
    </row>
    <row r="53" spans="5:14" x14ac:dyDescent="0.25">
      <c r="G53" t="s">
        <v>95</v>
      </c>
      <c r="N53" t="s">
        <v>96</v>
      </c>
    </row>
    <row r="54" spans="5:14" x14ac:dyDescent="0.25">
      <c r="F54" t="s">
        <v>97</v>
      </c>
      <c r="N54" t="s">
        <v>98</v>
      </c>
    </row>
    <row r="55" spans="5:14" x14ac:dyDescent="0.25">
      <c r="G55" t="s">
        <v>99</v>
      </c>
      <c r="N55" t="s">
        <v>100</v>
      </c>
    </row>
    <row r="56" spans="5:14" x14ac:dyDescent="0.25">
      <c r="G56" t="s">
        <v>76</v>
      </c>
      <c r="N56" t="s">
        <v>101</v>
      </c>
    </row>
    <row r="57" spans="5:14" x14ac:dyDescent="0.25">
      <c r="H57" t="s">
        <v>77</v>
      </c>
      <c r="N57" t="s">
        <v>102</v>
      </c>
    </row>
    <row r="58" spans="5:14" x14ac:dyDescent="0.25">
      <c r="I58" t="s">
        <v>79</v>
      </c>
      <c r="N58" t="s">
        <v>103</v>
      </c>
    </row>
    <row r="59" spans="5:14" x14ac:dyDescent="0.25">
      <c r="H59" t="s">
        <v>81</v>
      </c>
      <c r="N59" t="s">
        <v>104</v>
      </c>
    </row>
    <row r="60" spans="5:14" x14ac:dyDescent="0.25">
      <c r="I60" t="s">
        <v>83</v>
      </c>
      <c r="N60" t="s">
        <v>105</v>
      </c>
    </row>
    <row r="61" spans="5:14" x14ac:dyDescent="0.25">
      <c r="N61" t="s">
        <v>106</v>
      </c>
    </row>
    <row r="62" spans="5:14" x14ac:dyDescent="0.25">
      <c r="N62" t="s">
        <v>107</v>
      </c>
    </row>
    <row r="63" spans="5:14" x14ac:dyDescent="0.25">
      <c r="N63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K17:BO17"/>
    <mergeCell ref="BR17:BV17"/>
    <mergeCell ref="BZ17:CC17"/>
    <mergeCell ref="AW15:BP15"/>
    <mergeCell ref="BZ16:CC16"/>
    <mergeCell ref="AP17:AT17"/>
    <mergeCell ref="AW17:BA17"/>
    <mergeCell ref="BD17:BH17"/>
    <mergeCell ref="G17:K17"/>
    <mergeCell ref="N17:R17"/>
    <mergeCell ref="U17:Y17"/>
    <mergeCell ref="AB17:AF17"/>
    <mergeCell ref="AI17:AM17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3way template</vt:lpstr>
      <vt:lpstr>bounty</vt:lpstr>
      <vt:lpstr>'3way template'!chips</vt:lpstr>
      <vt:lpstr>'3way template'!mainpot</vt:lpstr>
      <vt:lpstr>p_111</vt:lpstr>
      <vt:lpstr>p_113</vt:lpstr>
      <vt:lpstr>p_122</vt:lpstr>
      <vt:lpstr>p_123</vt:lpstr>
      <vt:lpstr>p_131</vt:lpstr>
      <vt:lpstr>p_132</vt:lpstr>
      <vt:lpstr>p_212</vt:lpstr>
      <vt:lpstr>p_213</vt:lpstr>
      <vt:lpstr>p_221</vt:lpstr>
      <vt:lpstr>p_231</vt:lpstr>
      <vt:lpstr>p_311</vt:lpstr>
      <vt:lpstr>p_312</vt:lpstr>
      <vt:lpstr>p_321</vt:lpstr>
      <vt:lpstr>'3way template'!prize</vt:lpstr>
      <vt:lpstr>'3way template'!sidepot1</vt:lpstr>
      <vt:lpstr>T_122</vt:lpstr>
      <vt:lpstr>T_132</vt:lpstr>
      <vt:lpstr>T_212</vt:lpstr>
      <vt:lpstr>T_312</vt:lpstr>
      <vt:lpstr>'3way template'!uncalled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Andryukhov</cp:lastModifiedBy>
  <dcterms:created xsi:type="dcterms:W3CDTF">2021-03-11T12:28:11Z</dcterms:created>
  <dcterms:modified xsi:type="dcterms:W3CDTF">2021-03-12T08:32:32Z</dcterms:modified>
</cp:coreProperties>
</file>