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50.xml" ContentType="application/vnd.openxmlformats-officedocument.drawingml.chart+xml"/>
  <Override PartName="/xl/charts/chart245.xml" ContentType="application/vnd.openxmlformats-officedocument.drawingml.chart+xml"/>
  <Override PartName="/xl/charts/chart251.xml" ContentType="application/vnd.openxmlformats-officedocument.drawingml.chart+xml"/>
  <Override PartName="/xl/charts/chart246.xml" ContentType="application/vnd.openxmlformats-officedocument.drawingml.chart+xml"/>
  <Override PartName="/xl/charts/chart252.xml" ContentType="application/vnd.openxmlformats-officedocument.drawingml.chart+xml"/>
  <Override PartName="/xl/charts/chart247.xml" ContentType="application/vnd.openxmlformats-officedocument.drawingml.chart+xml"/>
  <Override PartName="/xl/charts/chart248.xml" ContentType="application/vnd.openxmlformats-officedocument.drawingml.chart+xml"/>
  <Override PartName="/xl/charts/chart24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полнение 360 000" sheetId="1" state="visible" r:id="rId2"/>
    <sheet name="Пополнение 1 000 000" sheetId="2" state="visible" r:id="rId3"/>
    <sheet name="Пассивный доход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<sst xmlns="http://schemas.openxmlformats.org/spreadsheetml/2006/main" count="279" uniqueCount="102">
  <si>
    <t xml:space="preserve">ЦЕЛЬ:</t>
  </si>
  <si>
    <t xml:space="preserve">Инвестиции в акции США, выход на 100 000 рублей в месяц</t>
  </si>
  <si>
    <t xml:space="preserve">РЕЗУЛЬТАТ:</t>
  </si>
  <si>
    <t xml:space="preserve">Капитал на 31.12.2039</t>
  </si>
  <si>
    <t xml:space="preserve">Среднегодовая доходность</t>
  </si>
  <si>
    <t xml:space="preserve">Доходность за вычетом инфляции</t>
  </si>
  <si>
    <t xml:space="preserve">Годовые дивиденды 31.12.2039</t>
  </si>
  <si>
    <t xml:space="preserve">Дивидендная доходность</t>
  </si>
  <si>
    <t xml:space="preserve">Курс доллара ЦБ:</t>
  </si>
  <si>
    <t xml:space="preserve">Средняя инфляция за 10 лет</t>
  </si>
  <si>
    <t xml:space="preserve">Начальный капитал:</t>
  </si>
  <si>
    <t xml:space="preserve">США</t>
  </si>
  <si>
    <t xml:space="preserve">Годовое пополнение</t>
  </si>
  <si>
    <t xml:space="preserve">РФ</t>
  </si>
  <si>
    <t xml:space="preserve">Акция</t>
  </si>
  <si>
    <t xml:space="preserve">Тикер</t>
  </si>
  <si>
    <t xml:space="preserve">Цена</t>
  </si>
  <si>
    <t xml:space="preserve">Средний рост за 10 лет</t>
  </si>
  <si>
    <t xml:space="preserve">Дивиденды</t>
  </si>
  <si>
    <t xml:space="preserve">Годовой дивидендный доход</t>
  </si>
  <si>
    <t xml:space="preserve">Средний годовой рост дивидендов</t>
  </si>
  <si>
    <t xml:space="preserve">Размер дивиденда</t>
  </si>
  <si>
    <t xml:space="preserve">Относительная доходность</t>
  </si>
  <si>
    <t xml:space="preserve">Средний годовой рост</t>
  </si>
  <si>
    <t xml:space="preserve">3M COMPANY</t>
  </si>
  <si>
    <t xml:space="preserve">MMM</t>
  </si>
  <si>
    <t xml:space="preserve">APPLE</t>
  </si>
  <si>
    <t xml:space="preserve">AAPL</t>
  </si>
  <si>
    <t xml:space="preserve">CINTAS</t>
  </si>
  <si>
    <t xml:space="preserve">CTAS</t>
  </si>
  <si>
    <t xml:space="preserve">HOME DEPOT</t>
  </si>
  <si>
    <t xml:space="preserve">HD</t>
  </si>
  <si>
    <t xml:space="preserve">UNITEDHEALTH</t>
  </si>
  <si>
    <t xml:space="preserve">UNH</t>
  </si>
  <si>
    <t xml:space="preserve">TEXAS INC</t>
  </si>
  <si>
    <t xml:space="preserve">TXN</t>
  </si>
  <si>
    <t xml:space="preserve">ACCENTURE</t>
  </si>
  <si>
    <t xml:space="preserve">ACN</t>
  </si>
  <si>
    <t xml:space="preserve">MICROSOFT</t>
  </si>
  <si>
    <t xml:space="preserve">MSFT</t>
  </si>
  <si>
    <t xml:space="preserve">ROSS STORES</t>
  </si>
  <si>
    <t xml:space="preserve">ROST</t>
  </si>
  <si>
    <t xml:space="preserve">AO SMITH</t>
  </si>
  <si>
    <t xml:space="preserve">AOS</t>
  </si>
  <si>
    <t xml:space="preserve">VANGUARD S&amp;P500</t>
  </si>
  <si>
    <t xml:space="preserve">VOO</t>
  </si>
  <si>
    <t xml:space="preserve">VANGUARD HIGH DIVIDEND</t>
  </si>
  <si>
    <t xml:space="preserve">VYM</t>
  </si>
  <si>
    <t xml:space="preserve">Стартовый портфель</t>
  </si>
  <si>
    <t xml:space="preserve">Количество</t>
  </si>
  <si>
    <t xml:space="preserve">Цена покупки</t>
  </si>
  <si>
    <t xml:space="preserve">Доля в портфеле</t>
  </si>
  <si>
    <t xml:space="preserve">Итого цена покупки:</t>
  </si>
  <si>
    <t xml:space="preserve">Комментарии по портфелю</t>
  </si>
  <si>
    <t xml:space="preserve">1. Формируем стартовый портфель, покупая акции в соответствии с приведенным планом.</t>
  </si>
  <si>
    <t xml:space="preserve">2. При получении дивидендов и/или при пополнении счета покупаем акции в соответствии с планом, приведенным в таблице по годам.</t>
  </si>
  <si>
    <t xml:space="preserve">3. Желательна подушка безопасности в 10-20% от суммы портфеля в ликвидной форме (наличные, облигации, депозиты в банке) на случай обвала рынка.</t>
  </si>
  <si>
    <t xml:space="preserve">4. Доходность рассчитана на основе исторических данных и по факту может отличаться в большую и меньшую сторону.</t>
  </si>
  <si>
    <t xml:space="preserve">Структура портфеля по годам</t>
  </si>
  <si>
    <t xml:space="preserve">Кол-во выплат</t>
  </si>
  <si>
    <t xml:space="preserve">Индекс S&amp;P500</t>
  </si>
  <si>
    <t xml:space="preserve">Стратегия</t>
  </si>
  <si>
    <t xml:space="preserve">На 31 декабря 2018 года</t>
  </si>
  <si>
    <t xml:space="preserve">Куплено акций</t>
  </si>
  <si>
    <t xml:space="preserve">Количество в портфеле</t>
  </si>
  <si>
    <t xml:space="preserve">Стоимость акции</t>
  </si>
  <si>
    <t xml:space="preserve">Сумма</t>
  </si>
  <si>
    <t xml:space="preserve">Годовой дивиденд</t>
  </si>
  <si>
    <t xml:space="preserve">Итого капитал по итогу года:</t>
  </si>
  <si>
    <t xml:space="preserve">На 31 декабря 2019 года</t>
  </si>
  <si>
    <t xml:space="preserve">Расчет доходности</t>
  </si>
  <si>
    <t xml:space="preserve">Начальный капитал</t>
  </si>
  <si>
    <t xml:space="preserve">Итоговый капитал</t>
  </si>
  <si>
    <t xml:space="preserve">Среднегодовая доходность инвестирования</t>
  </si>
  <si>
    <t xml:space="preserve">На 31 декабря 2020 года</t>
  </si>
  <si>
    <t xml:space="preserve">Среднегодовая дивидендная доходность</t>
  </si>
  <si>
    <t xml:space="preserve">Стресс-сценарий: снижение доходности</t>
  </si>
  <si>
    <t xml:space="preserve">На 10% в год</t>
  </si>
  <si>
    <t xml:space="preserve">На 31 декабря 2021 года</t>
  </si>
  <si>
    <t xml:space="preserve">На 20% в год</t>
  </si>
  <si>
    <t xml:space="preserve">На 30% в год</t>
  </si>
  <si>
    <t xml:space="preserve">На 31 декабря 2022 года</t>
  </si>
  <si>
    <t xml:space="preserve">Налоги с дивидендов</t>
  </si>
  <si>
    <t xml:space="preserve">Доходность S&amp;P500 за 10 лет</t>
  </si>
  <si>
    <t xml:space="preserve">Капитал на 31.12.2032</t>
  </si>
  <si>
    <t xml:space="preserve">Годовые дивиденды 31.12.2032</t>
  </si>
  <si>
    <t xml:space="preserve">Финансовый инструмент</t>
  </si>
  <si>
    <t xml:space="preserve">Необходимый доход с учетом инфляции</t>
  </si>
  <si>
    <t xml:space="preserve">Доходность</t>
  </si>
  <si>
    <t xml:space="preserve">Vanguard High Dividends (VYM)</t>
  </si>
  <si>
    <t xml:space="preserve">Vanguard REIT (VNQ)</t>
  </si>
  <si>
    <t xml:space="preserve">iShares High Dividends (HDV)</t>
  </si>
  <si>
    <t xml:space="preserve">iShares Dow Dividends (DVY)</t>
  </si>
  <si>
    <t xml:space="preserve">Инвестиции на 15 лет (пополнение 360 000 в год)</t>
  </si>
  <si>
    <t xml:space="preserve">КАПИТАЛ:</t>
  </si>
  <si>
    <t xml:space="preserve">Пассивный доход</t>
  </si>
  <si>
    <t xml:space="preserve">Год</t>
  </si>
  <si>
    <t xml:space="preserve">Ежемесячный доход</t>
  </si>
  <si>
    <t xml:space="preserve">Рост дивидендных выплат по годам</t>
  </si>
  <si>
    <t xml:space="preserve">Инструмент</t>
  </si>
  <si>
    <t xml:space="preserve">Инвестиции на 22 года  (пополнение 360 000 в год)</t>
  </si>
  <si>
    <t xml:space="preserve">Инвестиции на 15 лет (пополнение 1 миллион в год)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</si>
</sst>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$-409]#,##0;\-[$$-409]#,##0"/>
    <numFmt numFmtId="166" formatCode="0.00%"/>
    <numFmt numFmtId="167" formatCode="[$$-409]#,##0;[RED]\-[$$-409]#,##0"/>
    <numFmt numFmtId="168" formatCode="DD/MM/YY"/>
    <numFmt numFmtId="169" formatCode="#,##0"/>
    <numFmt numFmtId="170" formatCode="[$$-409]#,##0.00;\-[$$-409]#,##0.00"/>
    <numFmt numFmtId="171" formatCode="0"/>
    <numFmt numFmtId="172" formatCode="0%"/>
    <numFmt numFmtId="173" formatCode="#,##0.00"/>
    <numFmt numFmtId="174" formatCode="0.0%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5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3"/>
      <name val="Arial"/>
      <family val="2"/>
      <charset val="204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204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CC00"/>
        <bgColor rgb="FF579D1C"/>
      </patternFill>
    </fill>
    <fill>
      <patternFill patternType="solid">
        <fgColor rgb="FFCCCCCC"/>
        <bgColor rgb="FFDCDCDC"/>
      </patternFill>
    </fill>
    <fill>
      <patternFill patternType="solid">
        <fgColor rgb="FFDDDDDD"/>
        <bgColor rgb="FFDCDCDC"/>
      </patternFill>
    </fill>
    <fill>
      <patternFill patternType="solid">
        <fgColor rgb="FFDCDCDC"/>
        <bgColor rgb="FFDDDDDD"/>
      </patternFill>
    </fill>
    <fill>
      <patternFill patternType="solid">
        <fgColor rgb="FF66FF00"/>
        <bgColor rgb="FF66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66FF00"/>
      <rgbColor rgb="FF0000FF"/>
      <rgbColor rgb="FFFFFF00"/>
      <rgbColor rgb="FFFF00FF"/>
      <rgbColor rgb="FF00FFFF"/>
      <rgbColor rgb="FF7E0021"/>
      <rgbColor rgb="FF008000"/>
      <rgbColor rgb="FF000080"/>
      <rgbColor rgb="FF66CC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83CAFF"/>
      <rgbColor rgb="FFFF99CC"/>
      <rgbColor rgb="FFCC99FF"/>
      <rgbColor rgb="FFFFCC99"/>
      <rgbColor rgb="FF6666FF"/>
      <rgbColor rgb="FF33CCCC"/>
      <rgbColor rgb="FFAECF00"/>
      <rgbColor rgb="FFFFD320"/>
      <rgbColor rgb="FFFF950E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Динамика роста капитала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538135154714"/>
          <c:y val="0.150207386924748"/>
          <c:w val="0.858222084238849"/>
          <c:h val="0.650404898281651"/>
        </c:manualLayout>
      </c:layout>
      <c:areaChart>
        <c:grouping val="standard"/>
        <c:ser>
          <c:idx val="0"/>
          <c:order val="0"/>
          <c:tx>
            <c:strRef>
              <c:f>'Пополнение 360 000'!$J$60:$J$60</c:f>
              <c:strCache>
                <c:ptCount val="1"/>
                <c:pt idx="0">
                  <c:v>Индекс S&amp;P500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'Пополнение 360 000'!$I$62:$I$83</c:f>
              <c:strCache>
                <c:ptCount val="2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</c:strCache>
            </c:strRef>
          </c:cat>
          <c:val>
            <c:numRef>
              <c:f>'Пополнение 360 000'!$J$62:$J$83</c:f>
              <c:numCache>
                <c:formatCode>General</c:formatCode>
                <c:ptCount val="22"/>
                <c:pt idx="0">
                  <c:v>8093.29506864264</c:v>
                </c:pt>
                <c:pt idx="1">
                  <c:v>14596.1244964305</c:v>
                </c:pt>
                <c:pt idx="2">
                  <c:v>21749.2368669972</c:v>
                </c:pt>
                <c:pt idx="3">
                  <c:v>29617.6604746205</c:v>
                </c:pt>
                <c:pt idx="4">
                  <c:v>38272.9264430062</c:v>
                </c:pt>
                <c:pt idx="5">
                  <c:v>47793.7190082304</c:v>
                </c:pt>
                <c:pt idx="6">
                  <c:v>58266.590829977</c:v>
                </c:pt>
                <c:pt idx="7">
                  <c:v>69786.7498338984</c:v>
                </c:pt>
                <c:pt idx="8">
                  <c:v>82458.9247382118</c:v>
                </c:pt>
                <c:pt idx="9">
                  <c:v>96398.3171329566</c:v>
                </c:pt>
                <c:pt idx="10">
                  <c:v>111731.648767176</c:v>
                </c:pt>
                <c:pt idx="11">
                  <c:v>128598.313564817</c:v>
                </c:pt>
                <c:pt idx="12">
                  <c:v>147151.644842222</c:v>
                </c:pt>
                <c:pt idx="13">
                  <c:v>167560.309247368</c:v>
                </c:pt>
                <c:pt idx="14">
                  <c:v>190009.840093029</c:v>
                </c:pt>
                <c:pt idx="15">
                  <c:v>214704.324023255</c:v>
                </c:pt>
                <c:pt idx="16">
                  <c:v>241868.256346504</c:v>
                </c:pt>
                <c:pt idx="17">
                  <c:v>271748.581902078</c:v>
                </c:pt>
                <c:pt idx="18">
                  <c:v>304616.94001321</c:v>
                </c:pt>
                <c:pt idx="19">
                  <c:v>340772.133935454</c:v>
                </c:pt>
                <c:pt idx="20">
                  <c:v>380542.847249923</c:v>
                </c:pt>
                <c:pt idx="21">
                  <c:v>424290.631895839</c:v>
                </c:pt>
              </c:numCache>
            </c:numRef>
          </c:val>
        </c:ser>
        <c:ser>
          <c:idx val="1"/>
          <c:order val="1"/>
          <c:tx>
            <c:strRef>
              <c:f>'Пополнение 360 000'!$N$60:$N$60</c:f>
              <c:strCache>
                <c:ptCount val="1"/>
                <c:pt idx="0">
                  <c:v>Стратегия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'Пополнение 360 000'!$I$62:$I$83</c:f>
              <c:strCache>
                <c:ptCount val="2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</c:strCache>
            </c:strRef>
          </c:cat>
          <c:val>
            <c:numRef>
              <c:f>'Пополнение 360 000'!$N$62:$N$83</c:f>
              <c:numCache>
                <c:formatCode>General</c:formatCode>
                <c:ptCount val="22"/>
                <c:pt idx="0">
                  <c:v>8087.96479696986</c:v>
                </c:pt>
                <c:pt idx="1">
                  <c:v>15052.2442137783</c:v>
                </c:pt>
                <c:pt idx="2">
                  <c:v>23218.4393532738</c:v>
                </c:pt>
                <c:pt idx="3">
                  <c:v>32949.2164348967</c:v>
                </c:pt>
                <c:pt idx="4">
                  <c:v>44147.6323341715</c:v>
                </c:pt>
                <c:pt idx="5">
                  <c:v>57079.8534737657</c:v>
                </c:pt>
                <c:pt idx="6">
                  <c:v>72132.5222708725</c:v>
                </c:pt>
                <c:pt idx="7">
                  <c:v>89653.3205521261</c:v>
                </c:pt>
                <c:pt idx="8">
                  <c:v>110046.938225517</c:v>
                </c:pt>
                <c:pt idx="9">
                  <c:v>133784.420681064</c:v>
                </c:pt>
                <c:pt idx="10">
                  <c:v>161414.048849617</c:v>
                </c:pt>
                <c:pt idx="11">
                  <c:v>193574.003223974</c:v>
                </c:pt>
                <c:pt idx="12">
                  <c:v>231007.104351909</c:v>
                </c:pt>
                <c:pt idx="13">
                  <c:v>274577.970272402</c:v>
                </c:pt>
                <c:pt idx="14">
                  <c:v>325292.987192141</c:v>
                </c:pt>
                <c:pt idx="15">
                  <c:v>384323.554678744</c:v>
                </c:pt>
                <c:pt idx="16">
                  <c:v>453033.142280876</c:v>
                </c:pt>
                <c:pt idx="17">
                  <c:v>533008.782520597</c:v>
                </c:pt>
                <c:pt idx="18">
                  <c:v>626097.727673205</c:v>
                </c:pt>
                <c:pt idx="19">
                  <c:v>734450.117021399</c:v>
                </c:pt>
                <c:pt idx="20">
                  <c:v>860568.640098611</c:v>
                </c:pt>
                <c:pt idx="21">
                  <c:v>1007366.34302755</c:v>
                </c:pt>
              </c:numCache>
            </c:numRef>
          </c:val>
        </c:ser>
        <c:axId val="63677916"/>
        <c:axId val="39095639"/>
      </c:areaChart>
      <c:catAx>
        <c:axId val="636779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9095639"/>
        <c:crosses val="autoZero"/>
        <c:auto val="1"/>
        <c:lblAlgn val="ctr"/>
        <c:lblOffset val="100"/>
      </c:catAx>
      <c:valAx>
        <c:axId val="390956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367791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24384706671482"/>
          <c:y val="0.88232983007563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Динамика роста дивидендов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66251223154967"/>
          <c:y val="0.0502414001207001"/>
          <c:w val="0.877839007055673"/>
          <c:h val="0.734610742305371"/>
        </c:manualLayout>
      </c:layout>
      <c:areaChart>
        <c:grouping val="standard"/>
        <c:ser>
          <c:idx val="0"/>
          <c:order val="0"/>
          <c:tx>
            <c:strRef>
              <c:f>'Пополнение 360 000'!$L$60:$L$60</c:f>
              <c:strCache>
                <c:ptCount val="1"/>
                <c:pt idx="0">
                  <c:v>Дивиденды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'Пополнение 360 000'!$I$62:$I$83</c:f>
              <c:strCache>
                <c:ptCount val="2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</c:strCache>
            </c:strRef>
          </c:cat>
          <c:val>
            <c:numRef>
              <c:f>'Пополнение 360 000'!$L$62:$L$83</c:f>
              <c:numCache>
                <c:formatCode>General</c:formatCode>
                <c:ptCount val="22"/>
                <c:pt idx="0">
                  <c:v>66.033</c:v>
                </c:pt>
                <c:pt idx="1">
                  <c:v>240.261201</c:v>
                </c:pt>
                <c:pt idx="2">
                  <c:v>362.3575032684</c:v>
                </c:pt>
                <c:pt idx="3">
                  <c:v>506.814945845341</c:v>
                </c:pt>
                <c:pt idx="4">
                  <c:v>667.61271838035</c:v>
                </c:pt>
                <c:pt idx="5">
                  <c:v>863.177346724361</c:v>
                </c:pt>
                <c:pt idx="6">
                  <c:v>1090.80797158886</c:v>
                </c:pt>
                <c:pt idx="7">
                  <c:v>1355.76233381153</c:v>
                </c:pt>
                <c:pt idx="8">
                  <c:v>1664.16026621896</c:v>
                </c:pt>
                <c:pt idx="9">
                  <c:v>2023.12504760742</c:v>
                </c:pt>
                <c:pt idx="10">
                  <c:v>2440.94793400417</c:v>
                </c:pt>
                <c:pt idx="11">
                  <c:v>2927.27966750086</c:v>
                </c:pt>
                <c:pt idx="12">
                  <c:v>3493.35338606999</c:v>
                </c:pt>
                <c:pt idx="13">
                  <c:v>4152.24408306555</c:v>
                </c:pt>
                <c:pt idx="14">
                  <c:v>4919.17060932198</c:v>
                </c:pt>
                <c:pt idx="15">
                  <c:v>5811.84719340148</c:v>
                </c:pt>
                <c:pt idx="16">
                  <c:v>6850.89259929399</c:v>
                </c:pt>
                <c:pt idx="17">
                  <c:v>8060.30637216627</c:v>
                </c:pt>
                <c:pt idx="18">
                  <c:v>9468.02317233515</c:v>
                </c:pt>
                <c:pt idx="19">
                  <c:v>11106.5580012972</c:v>
                </c:pt>
                <c:pt idx="20">
                  <c:v>13013.757223044</c:v>
                </c:pt>
                <c:pt idx="21">
                  <c:v>15233.6727275165</c:v>
                </c:pt>
              </c:numCache>
            </c:numRef>
          </c:val>
        </c:ser>
        <c:axId val="67694346"/>
        <c:axId val="64855330"/>
      </c:areaChart>
      <c:catAx>
        <c:axId val="676943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4855330"/>
        <c:crosses val="autoZero"/>
        <c:auto val="1"/>
        <c:lblAlgn val="ctr"/>
        <c:lblOffset val="100"/>
      </c:catAx>
      <c:valAx>
        <c:axId val="648553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69434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63383319638455"/>
          <c:y val="0.90563780469567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Стартовый портфель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14178850731044"/>
          <c:y val="0.301000434971727"/>
          <c:w val="0.411934716082965"/>
          <c:h val="0.497063940843845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4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5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6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7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8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9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1"/>
              <c:dLblPos val="outEnd"/>
              <c:showLegendKey val="0"/>
              <c:showVal val="0"/>
              <c:showCatName val="1"/>
              <c:showSerName val="0"/>
              <c:showPercent val="0"/>
            </c:dLbl>
            <c:dLblPos val="outEnd"/>
            <c:showLegendKey val="0"/>
            <c:showVal val="0"/>
            <c:showCatName val="1"/>
            <c:showSerName val="0"/>
            <c:showPercent val="0"/>
            <c:showLeaderLines val="0"/>
          </c:dLbls>
          <c:cat>
            <c:strRef>
              <c:f>'Пополнение 360 000'!$B$18:$B$29</c:f>
              <c:strCache>
                <c:ptCount val="12"/>
                <c:pt idx="0">
                  <c:v>MMM</c:v>
                </c:pt>
                <c:pt idx="1">
                  <c:v>AAPL</c:v>
                </c:pt>
                <c:pt idx="2">
                  <c:v>CTAS</c:v>
                </c:pt>
                <c:pt idx="3">
                  <c:v>HD</c:v>
                </c:pt>
                <c:pt idx="4">
                  <c:v>UNH</c:v>
                </c:pt>
                <c:pt idx="5">
                  <c:v>TXN</c:v>
                </c:pt>
                <c:pt idx="6">
                  <c:v>ACN</c:v>
                </c:pt>
                <c:pt idx="7">
                  <c:v>MSFT</c:v>
                </c:pt>
                <c:pt idx="8">
                  <c:v>ROST</c:v>
                </c:pt>
                <c:pt idx="9">
                  <c:v>AOS</c:v>
                </c:pt>
                <c:pt idx="10">
                  <c:v>VOO</c:v>
                </c:pt>
                <c:pt idx="11">
                  <c:v>VYM</c:v>
                </c:pt>
              </c:strCache>
            </c:strRef>
          </c:cat>
          <c:val>
            <c:numRef>
              <c:f>'Пополнение 360 000'!$C$34:$C$45</c:f>
              <c:numCache>
                <c:formatCode>General</c:formatCode>
                <c:ptCount val="12"/>
                <c:pt idx="0">
                  <c:v>196.5</c:v>
                </c:pt>
                <c:pt idx="1">
                  <c:v>184.92</c:v>
                </c:pt>
                <c:pt idx="2">
                  <c:v>188.63</c:v>
                </c:pt>
                <c:pt idx="3">
                  <c:v>197.41</c:v>
                </c:pt>
                <c:pt idx="4">
                  <c:v>254.37</c:v>
                </c:pt>
                <c:pt idx="5">
                  <c:v>224.76</c:v>
                </c:pt>
                <c:pt idx="6">
                  <c:v>319.26</c:v>
                </c:pt>
                <c:pt idx="7">
                  <c:v>301.23</c:v>
                </c:pt>
                <c:pt idx="8">
                  <c:v>257.94</c:v>
                </c:pt>
                <c:pt idx="9">
                  <c:v>241.08</c:v>
                </c:pt>
                <c:pt idx="10">
                  <c:v>1267.85</c:v>
                </c:pt>
                <c:pt idx="11">
                  <c:v>1257.9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2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Итоговый портфель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11228754527724"/>
          <c:y val="0.318463714503318"/>
          <c:w val="0.413857156125197"/>
          <c:h val="0.484495702317485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4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5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6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7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8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9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1"/>
              <c:dLblPos val="outEnd"/>
              <c:showLegendKey val="0"/>
              <c:showVal val="0"/>
              <c:showCatName val="1"/>
              <c:showSerName val="0"/>
              <c:showPercent val="0"/>
            </c:dLbl>
            <c:dLblPos val="outEnd"/>
            <c:showLegendKey val="0"/>
            <c:showVal val="0"/>
            <c:showCatName val="1"/>
            <c:showSerName val="0"/>
            <c:showPercent val="0"/>
            <c:showLeaderLines val="0"/>
          </c:dLbls>
          <c:cat>
            <c:strRef>
              <c:f>'Пополнение 360 000'!$B$18:$B$29</c:f>
              <c:strCache>
                <c:ptCount val="12"/>
                <c:pt idx="0">
                  <c:v>MMM</c:v>
                </c:pt>
                <c:pt idx="1">
                  <c:v>AAPL</c:v>
                </c:pt>
                <c:pt idx="2">
                  <c:v>CTAS</c:v>
                </c:pt>
                <c:pt idx="3">
                  <c:v>HD</c:v>
                </c:pt>
                <c:pt idx="4">
                  <c:v>UNH</c:v>
                </c:pt>
                <c:pt idx="5">
                  <c:v>TXN</c:v>
                </c:pt>
                <c:pt idx="6">
                  <c:v>ACN</c:v>
                </c:pt>
                <c:pt idx="7">
                  <c:v>MSFT</c:v>
                </c:pt>
                <c:pt idx="8">
                  <c:v>ROST</c:v>
                </c:pt>
                <c:pt idx="9">
                  <c:v>AOS</c:v>
                </c:pt>
                <c:pt idx="10">
                  <c:v>VOO</c:v>
                </c:pt>
                <c:pt idx="11">
                  <c:v>VYM</c:v>
                </c:pt>
              </c:strCache>
            </c:strRef>
          </c:cat>
          <c:val>
            <c:numRef>
              <c:f>'Пополнение 360 000'!$E$133:$E$144</c:f>
              <c:numCache>
                <c:formatCode>General</c:formatCode>
                <c:ptCount val="12"/>
                <c:pt idx="0">
                  <c:v>2305.40269871265</c:v>
                </c:pt>
                <c:pt idx="1">
                  <c:v>2362.17478527857</c:v>
                </c:pt>
                <c:pt idx="2">
                  <c:v>2354.54593831464</c:v>
                </c:pt>
                <c:pt idx="3">
                  <c:v>2058.19096955106</c:v>
                </c:pt>
                <c:pt idx="4">
                  <c:v>2160.24814035439</c:v>
                </c:pt>
                <c:pt idx="5">
                  <c:v>2155.34989972838</c:v>
                </c:pt>
                <c:pt idx="6">
                  <c:v>2212.43899616513</c:v>
                </c:pt>
                <c:pt idx="7">
                  <c:v>2238.02479797806</c:v>
                </c:pt>
                <c:pt idx="8">
                  <c:v>2165.17793551732</c:v>
                </c:pt>
                <c:pt idx="9">
                  <c:v>2115.30541146734</c:v>
                </c:pt>
                <c:pt idx="10">
                  <c:v>10933.315743234</c:v>
                </c:pt>
                <c:pt idx="11">
                  <c:v>11087.45701787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2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Динамика роста капитала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538135154714"/>
          <c:y val="0.150207386924748"/>
          <c:w val="0.858222084238849"/>
          <c:h val="0.650404898281651"/>
        </c:manualLayout>
      </c:layout>
      <c:areaChart>
        <c:grouping val="standard"/>
        <c:ser>
          <c:idx val="0"/>
          <c:order val="0"/>
          <c:tx>
            <c:strRef>
              <c:f>'Пополнение 1 000 000'!$J$60</c:f>
              <c:strCache>
                <c:ptCount val="1"/>
                <c:pt idx="0">
                  <c:v>Индекс S&amp;P500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'Пополнение 1 000 000'!$I$62:$I$76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'Пополнение 1 000 000'!$J$62:$J$76</c:f>
              <c:numCache>
                <c:formatCode>General</c:formatCode>
                <c:ptCount val="15"/>
                <c:pt idx="0">
                  <c:v>13334.4347218764</c:v>
                </c:pt>
                <c:pt idx="1">
                  <c:v>30483.1557521851</c:v>
                </c:pt>
                <c:pt idx="2">
                  <c:v>49346.7488855248</c:v>
                </c:pt>
                <c:pt idx="3">
                  <c:v>70096.7013321983</c:v>
                </c:pt>
                <c:pt idx="4">
                  <c:v>92921.6490235393</c:v>
                </c:pt>
                <c:pt idx="5">
                  <c:v>118029.091484014</c:v>
                </c:pt>
                <c:pt idx="6">
                  <c:v>145647.278190537</c:v>
                </c:pt>
                <c:pt idx="7">
                  <c:v>176027.283567712</c:v>
                </c:pt>
                <c:pt idx="8">
                  <c:v>209445.289482604</c:v>
                </c:pt>
                <c:pt idx="9">
                  <c:v>246205.095988985</c:v>
                </c:pt>
                <c:pt idx="10">
                  <c:v>286640.883146005</c:v>
                </c:pt>
                <c:pt idx="11">
                  <c:v>331120.249018727</c:v>
                </c:pt>
                <c:pt idx="12">
                  <c:v>380047.55147872</c:v>
                </c:pt>
                <c:pt idx="13">
                  <c:v>433867.584184713</c:v>
                </c:pt>
                <c:pt idx="14">
                  <c:v>493069.620161306</c:v>
                </c:pt>
              </c:numCache>
            </c:numRef>
          </c:val>
        </c:ser>
        <c:ser>
          <c:idx val="1"/>
          <c:order val="1"/>
          <c:tx>
            <c:strRef>
              <c:f>'Пополнение 1 000 000'!$N$60</c:f>
              <c:strCache>
                <c:ptCount val="1"/>
                <c:pt idx="0">
                  <c:v>Стратегия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'Пополнение 1 000 000'!$I$62:$I$76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'Пополнение 1 000 000'!$N$62:$N$76</c:f>
              <c:numCache>
                <c:formatCode>General</c:formatCode>
                <c:ptCount val="15"/>
                <c:pt idx="0">
                  <c:v>13359.0450518219</c:v>
                </c:pt>
                <c:pt idx="1">
                  <c:v>31273.4999950366</c:v>
                </c:pt>
                <c:pt idx="2">
                  <c:v>52255.0144869631</c:v>
                </c:pt>
                <c:pt idx="3">
                  <c:v>76778.4849074112</c:v>
                </c:pt>
                <c:pt idx="4">
                  <c:v>105596.450675862</c:v>
                </c:pt>
                <c:pt idx="5">
                  <c:v>138848.552361124</c:v>
                </c:pt>
                <c:pt idx="6">
                  <c:v>177591.473531632</c:v>
                </c:pt>
                <c:pt idx="7">
                  <c:v>222731.89668538</c:v>
                </c:pt>
                <c:pt idx="8">
                  <c:v>275326.222072762</c:v>
                </c:pt>
                <c:pt idx="9">
                  <c:v>336605.290138479</c:v>
                </c:pt>
                <c:pt idx="10">
                  <c:v>408003.186305882</c:v>
                </c:pt>
                <c:pt idx="11">
                  <c:v>491190.80220866</c:v>
                </c:pt>
                <c:pt idx="12">
                  <c:v>588114.93878774</c:v>
                </c:pt>
                <c:pt idx="13">
                  <c:v>701043.866364884</c:v>
                </c:pt>
                <c:pt idx="14">
                  <c:v>832620.407914146</c:v>
                </c:pt>
              </c:numCache>
            </c:numRef>
          </c:val>
        </c:ser>
        <c:axId val="67659221"/>
        <c:axId val="47344441"/>
      </c:areaChart>
      <c:catAx>
        <c:axId val="676592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7344441"/>
        <c:crosses val="autoZero"/>
        <c:auto val="1"/>
        <c:lblAlgn val="ctr"/>
        <c:lblOffset val="100"/>
      </c:catAx>
      <c:valAx>
        <c:axId val="473444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65922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24336489213099"/>
          <c:y val="0.88221937012538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Динамика роста дивидендов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66251223154967"/>
          <c:y val="0.0502414001207001"/>
          <c:w val="0.877839007055673"/>
          <c:h val="0.734610742305371"/>
        </c:manualLayout>
      </c:layout>
      <c:areaChart>
        <c:grouping val="standard"/>
        <c:ser>
          <c:idx val="0"/>
          <c:order val="0"/>
          <c:tx>
            <c:strRef>
              <c:f>'Пополнение 1 000 000'!$L$60</c:f>
              <c:strCache>
                <c:ptCount val="1"/>
                <c:pt idx="0">
                  <c:v>Дивиденды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'Пополнение 1 000 000'!$I$62:$I$71</c:f>
              <c:strCach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</c:strCache>
            </c:strRef>
          </c:cat>
          <c:val>
            <c:numRef>
              <c:f>'Пополнение 1 000 000'!$L$62:$L$71</c:f>
              <c:numCache>
                <c:formatCode>General</c:formatCode>
                <c:ptCount val="10"/>
                <c:pt idx="0">
                  <c:v>108.68475</c:v>
                </c:pt>
                <c:pt idx="1">
                  <c:v>501.9293958</c:v>
                </c:pt>
                <c:pt idx="2">
                  <c:v>821.8863601764</c:v>
                </c:pt>
                <c:pt idx="3">
                  <c:v>1186.19396196194</c:v>
                </c:pt>
                <c:pt idx="4">
                  <c:v>1601.19857264141</c:v>
                </c:pt>
                <c:pt idx="5">
                  <c:v>2105.41265763187</c:v>
                </c:pt>
                <c:pt idx="6">
                  <c:v>2692.88609713789</c:v>
                </c:pt>
                <c:pt idx="7">
                  <c:v>3377.36725781701</c:v>
                </c:pt>
                <c:pt idx="8">
                  <c:v>4174.87473273979</c:v>
                </c:pt>
                <c:pt idx="9">
                  <c:v>5104.0722170455</c:v>
                </c:pt>
              </c:numCache>
            </c:numRef>
          </c:val>
        </c:ser>
        <c:axId val="25228138"/>
        <c:axId val="39615312"/>
      </c:areaChart>
      <c:catAx>
        <c:axId val="252281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9615312"/>
        <c:crosses val="autoZero"/>
        <c:auto val="1"/>
        <c:lblAlgn val="ctr"/>
        <c:lblOffset val="100"/>
      </c:catAx>
      <c:valAx>
        <c:axId val="396153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522813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63336766220391"/>
          <c:y val="0.90559493289096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Стартовый портфель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14093845630738"/>
          <c:y val="0.300891692040017"/>
          <c:w val="0.411934716082965"/>
          <c:h val="0.497063940843845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4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5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6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7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8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9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1"/>
              <c:dLblPos val="outEnd"/>
              <c:showLegendKey val="0"/>
              <c:showVal val="0"/>
              <c:showCatName val="1"/>
              <c:showSerName val="0"/>
              <c:showPercent val="0"/>
            </c:dLbl>
            <c:dLblPos val="outEnd"/>
            <c:showLegendKey val="0"/>
            <c:showVal val="0"/>
            <c:showCatName val="1"/>
            <c:showSerName val="0"/>
            <c:showPercent val="0"/>
            <c:showLeaderLines val="0"/>
          </c:dLbls>
          <c:cat>
            <c:strRef>
              <c:f>'Пополнение 1 000 000'!$B$18:$B$29</c:f>
              <c:strCache>
                <c:ptCount val="12"/>
                <c:pt idx="0">
                  <c:v>MMM</c:v>
                </c:pt>
                <c:pt idx="1">
                  <c:v>AAPL</c:v>
                </c:pt>
                <c:pt idx="2">
                  <c:v>CTAS</c:v>
                </c:pt>
                <c:pt idx="3">
                  <c:v>HD</c:v>
                </c:pt>
                <c:pt idx="4">
                  <c:v>UNH</c:v>
                </c:pt>
                <c:pt idx="5">
                  <c:v>TXN</c:v>
                </c:pt>
                <c:pt idx="6">
                  <c:v>ACN</c:v>
                </c:pt>
                <c:pt idx="7">
                  <c:v>MSFT</c:v>
                </c:pt>
                <c:pt idx="8">
                  <c:v>ROST</c:v>
                </c:pt>
                <c:pt idx="9">
                  <c:v>AOS</c:v>
                </c:pt>
                <c:pt idx="10">
                  <c:v>VOO</c:v>
                </c:pt>
                <c:pt idx="11">
                  <c:v>VYM</c:v>
                </c:pt>
              </c:strCache>
            </c:strRef>
          </c:cat>
          <c:val>
            <c:numRef>
              <c:f>'Пополнение 1 000 000'!$C$34:$C$45</c:f>
              <c:numCache>
                <c:formatCode>General</c:formatCode>
                <c:ptCount val="12"/>
                <c:pt idx="0">
                  <c:v>196.5</c:v>
                </c:pt>
                <c:pt idx="1">
                  <c:v>184.92</c:v>
                </c:pt>
                <c:pt idx="2">
                  <c:v>188.63</c:v>
                </c:pt>
                <c:pt idx="3">
                  <c:v>197.41</c:v>
                </c:pt>
                <c:pt idx="4">
                  <c:v>254.37</c:v>
                </c:pt>
                <c:pt idx="5">
                  <c:v>224.76</c:v>
                </c:pt>
                <c:pt idx="6">
                  <c:v>319.26</c:v>
                </c:pt>
                <c:pt idx="7">
                  <c:v>301.23</c:v>
                </c:pt>
                <c:pt idx="8">
                  <c:v>257.94</c:v>
                </c:pt>
                <c:pt idx="9">
                  <c:v>241.08</c:v>
                </c:pt>
                <c:pt idx="10">
                  <c:v>1267.85</c:v>
                </c:pt>
                <c:pt idx="11">
                  <c:v>1257.9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2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Итоговый портфель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11228754527724"/>
          <c:y val="0.318463714503318"/>
          <c:w val="0.413857156125197"/>
          <c:h val="0.484495702317485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4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5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6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7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8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9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0"/>
              <c:dLblPos val="outEnd"/>
              <c:showLegendKey val="0"/>
              <c:showVal val="0"/>
              <c:showCatName val="1"/>
              <c:showSerName val="0"/>
              <c:showPercent val="0"/>
            </c:dLbl>
            <c:dLbl>
              <c:idx val="11"/>
              <c:dLblPos val="outEnd"/>
              <c:showLegendKey val="0"/>
              <c:showVal val="0"/>
              <c:showCatName val="1"/>
              <c:showSerName val="0"/>
              <c:showPercent val="0"/>
            </c:dLbl>
            <c:dLblPos val="outEnd"/>
            <c:showLegendKey val="0"/>
            <c:showVal val="0"/>
            <c:showCatName val="1"/>
            <c:showSerName val="0"/>
            <c:showPercent val="0"/>
            <c:showLeaderLines val="0"/>
          </c:dLbls>
          <c:cat>
            <c:strRef>
              <c:f>'Пополнение 1 000 000'!$B$18:$B$29</c:f>
              <c:strCache>
                <c:ptCount val="12"/>
                <c:pt idx="0">
                  <c:v>MMM</c:v>
                </c:pt>
                <c:pt idx="1">
                  <c:v>AAPL</c:v>
                </c:pt>
                <c:pt idx="2">
                  <c:v>CTAS</c:v>
                </c:pt>
                <c:pt idx="3">
                  <c:v>HD</c:v>
                </c:pt>
                <c:pt idx="4">
                  <c:v>UNH</c:v>
                </c:pt>
                <c:pt idx="5">
                  <c:v>TXN</c:v>
                </c:pt>
                <c:pt idx="6">
                  <c:v>ACN</c:v>
                </c:pt>
                <c:pt idx="7">
                  <c:v>MSFT</c:v>
                </c:pt>
                <c:pt idx="8">
                  <c:v>ROST</c:v>
                </c:pt>
                <c:pt idx="9">
                  <c:v>AOS</c:v>
                </c:pt>
                <c:pt idx="10">
                  <c:v>VOO</c:v>
                </c:pt>
                <c:pt idx="11">
                  <c:v>VYM</c:v>
                </c:pt>
              </c:strCache>
            </c:strRef>
          </c:cat>
          <c:val>
            <c:numRef>
              <c:f>'Пополнение 1 000 000'!$E$133:$E$144</c:f>
              <c:numCache>
                <c:formatCode>General</c:formatCode>
                <c:ptCount val="12"/>
                <c:pt idx="0">
                  <c:v>5269.49188277178</c:v>
                </c:pt>
                <c:pt idx="1">
                  <c:v>5196.78452761285</c:v>
                </c:pt>
                <c:pt idx="2">
                  <c:v>5180.00106429221</c:v>
                </c:pt>
                <c:pt idx="3">
                  <c:v>5145.47742387766</c:v>
                </c:pt>
                <c:pt idx="4">
                  <c:v>5760.6617076117</c:v>
                </c:pt>
                <c:pt idx="5">
                  <c:v>5388.37474932095</c:v>
                </c:pt>
                <c:pt idx="6">
                  <c:v>5373.06613354389</c:v>
                </c:pt>
                <c:pt idx="7">
                  <c:v>5222.05786194882</c:v>
                </c:pt>
                <c:pt idx="8">
                  <c:v>5052.08184954041</c:v>
                </c:pt>
                <c:pt idx="9">
                  <c:v>5288.26352866836</c:v>
                </c:pt>
                <c:pt idx="10">
                  <c:v>26161.8626713098</c:v>
                </c:pt>
                <c:pt idx="11">
                  <c:v>26558.3272753631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5.xml"/><Relationship Id="rId2" Type="http://schemas.openxmlformats.org/officeDocument/2006/relationships/chart" Target="../charts/chart246.xml"/><Relationship Id="rId3" Type="http://schemas.openxmlformats.org/officeDocument/2006/relationships/chart" Target="../charts/chart247.xml"/><Relationship Id="rId4" Type="http://schemas.openxmlformats.org/officeDocument/2006/relationships/chart" Target="../charts/chart24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49.xml"/><Relationship Id="rId2" Type="http://schemas.openxmlformats.org/officeDocument/2006/relationships/chart" Target="../charts/chart250.xml"/><Relationship Id="rId3" Type="http://schemas.openxmlformats.org/officeDocument/2006/relationships/chart" Target="../charts/chart251.xml"/><Relationship Id="rId4" Type="http://schemas.openxmlformats.org/officeDocument/2006/relationships/chart" Target="../charts/chart25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14400</xdr:colOff>
      <xdr:row>1</xdr:row>
      <xdr:rowOff>43560</xdr:rowOff>
    </xdr:from>
    <xdr:to>
      <xdr:col>16</xdr:col>
      <xdr:colOff>543960</xdr:colOff>
      <xdr:row>20</xdr:row>
      <xdr:rowOff>76680</xdr:rowOff>
    </xdr:to>
    <xdr:graphicFrame>
      <xdr:nvGraphicFramePr>
        <xdr:cNvPr id="0" name=""/>
        <xdr:cNvGraphicFramePr/>
      </xdr:nvGraphicFramePr>
      <xdr:xfrm>
        <a:off x="8029800" y="279000"/>
        <a:ext cx="6957000" cy="364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268200</xdr:colOff>
      <xdr:row>22</xdr:row>
      <xdr:rowOff>38520</xdr:rowOff>
    </xdr:from>
    <xdr:to>
      <xdr:col>16</xdr:col>
      <xdr:colOff>556200</xdr:colOff>
      <xdr:row>36</xdr:row>
      <xdr:rowOff>75240</xdr:rowOff>
    </xdr:to>
    <xdr:graphicFrame>
      <xdr:nvGraphicFramePr>
        <xdr:cNvPr id="1" name=""/>
        <xdr:cNvGraphicFramePr/>
      </xdr:nvGraphicFramePr>
      <xdr:xfrm>
        <a:off x="8009280" y="4210920"/>
        <a:ext cx="6989760" cy="238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11160</xdr:colOff>
      <xdr:row>37</xdr:row>
      <xdr:rowOff>10440</xdr:rowOff>
    </xdr:from>
    <xdr:to>
      <xdr:col>13</xdr:col>
      <xdr:colOff>367920</xdr:colOff>
      <xdr:row>57</xdr:row>
      <xdr:rowOff>69480</xdr:rowOff>
    </xdr:to>
    <xdr:graphicFrame>
      <xdr:nvGraphicFramePr>
        <xdr:cNvPr id="2" name=""/>
        <xdr:cNvGraphicFramePr/>
      </xdr:nvGraphicFramePr>
      <xdr:xfrm>
        <a:off x="8026560" y="6694200"/>
        <a:ext cx="4234680" cy="331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13680</xdr:colOff>
      <xdr:row>37</xdr:row>
      <xdr:rowOff>16560</xdr:rowOff>
    </xdr:from>
    <xdr:to>
      <xdr:col>18</xdr:col>
      <xdr:colOff>748800</xdr:colOff>
      <xdr:row>57</xdr:row>
      <xdr:rowOff>73800</xdr:rowOff>
    </xdr:to>
    <xdr:graphicFrame>
      <xdr:nvGraphicFramePr>
        <xdr:cNvPr id="3" name=""/>
        <xdr:cNvGraphicFramePr/>
      </xdr:nvGraphicFramePr>
      <xdr:xfrm>
        <a:off x="12941640" y="6700320"/>
        <a:ext cx="3875760" cy="330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14400</xdr:colOff>
      <xdr:row>1</xdr:row>
      <xdr:rowOff>43560</xdr:rowOff>
    </xdr:from>
    <xdr:to>
      <xdr:col>16</xdr:col>
      <xdr:colOff>543960</xdr:colOff>
      <xdr:row>20</xdr:row>
      <xdr:rowOff>76680</xdr:rowOff>
    </xdr:to>
    <xdr:graphicFrame>
      <xdr:nvGraphicFramePr>
        <xdr:cNvPr id="4" name=""/>
        <xdr:cNvGraphicFramePr/>
      </xdr:nvGraphicFramePr>
      <xdr:xfrm>
        <a:off x="8029800" y="279000"/>
        <a:ext cx="6957000" cy="364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268200</xdr:colOff>
      <xdr:row>22</xdr:row>
      <xdr:rowOff>38520</xdr:rowOff>
    </xdr:from>
    <xdr:to>
      <xdr:col>16</xdr:col>
      <xdr:colOff>556200</xdr:colOff>
      <xdr:row>36</xdr:row>
      <xdr:rowOff>75240</xdr:rowOff>
    </xdr:to>
    <xdr:graphicFrame>
      <xdr:nvGraphicFramePr>
        <xdr:cNvPr id="5" name=""/>
        <xdr:cNvGraphicFramePr/>
      </xdr:nvGraphicFramePr>
      <xdr:xfrm>
        <a:off x="8009280" y="4210920"/>
        <a:ext cx="6989760" cy="238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11160</xdr:colOff>
      <xdr:row>37</xdr:row>
      <xdr:rowOff>10440</xdr:rowOff>
    </xdr:from>
    <xdr:to>
      <xdr:col>13</xdr:col>
      <xdr:colOff>367920</xdr:colOff>
      <xdr:row>57</xdr:row>
      <xdr:rowOff>69480</xdr:rowOff>
    </xdr:to>
    <xdr:graphicFrame>
      <xdr:nvGraphicFramePr>
        <xdr:cNvPr id="6" name=""/>
        <xdr:cNvGraphicFramePr/>
      </xdr:nvGraphicFramePr>
      <xdr:xfrm>
        <a:off x="8026560" y="6694200"/>
        <a:ext cx="4234680" cy="331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13680</xdr:colOff>
      <xdr:row>37</xdr:row>
      <xdr:rowOff>16560</xdr:rowOff>
    </xdr:from>
    <xdr:to>
      <xdr:col>18</xdr:col>
      <xdr:colOff>748800</xdr:colOff>
      <xdr:row>57</xdr:row>
      <xdr:rowOff>73800</xdr:rowOff>
    </xdr:to>
    <xdr:graphicFrame>
      <xdr:nvGraphicFramePr>
        <xdr:cNvPr id="7" name=""/>
        <xdr:cNvGraphicFramePr/>
      </xdr:nvGraphicFramePr>
      <xdr:xfrm>
        <a:off x="12941640" y="6700320"/>
        <a:ext cx="3875760" cy="330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72"/>
    <col collapsed="false" customWidth="true" hidden="false" outlineLevel="0" max="2" min="2" style="1" width="14.98"/>
    <col collapsed="false" customWidth="true" hidden="false" outlineLevel="0" max="3" min="3" style="1" width="12.97"/>
    <col collapsed="false" customWidth="true" hidden="false" outlineLevel="0" max="4" min="4" style="1" width="12.98"/>
    <col collapsed="false" customWidth="true" hidden="false" outlineLevel="0" max="5" min="5" style="1" width="11.14"/>
    <col collapsed="false" customWidth="true" hidden="false" outlineLevel="0" max="6" min="6" style="1" width="16.11"/>
    <col collapsed="false" customWidth="true" hidden="false" outlineLevel="0" max="7" min="7" style="1" width="14.81"/>
    <col collapsed="false" customWidth="true" hidden="false" outlineLevel="0" max="8" min="8" style="1" width="3.89"/>
    <col collapsed="false" customWidth="true" hidden="false" outlineLevel="0" max="9" min="9" style="1" width="16.48"/>
    <col collapsed="false" customWidth="true" hidden="false" outlineLevel="0" max="10" min="10" style="1" width="14.88"/>
    <col collapsed="false" customWidth="true" hidden="false" outlineLevel="0" max="11" min="11" style="1" width="4.02"/>
    <col collapsed="false" customWidth="true" hidden="false" outlineLevel="0" max="12" min="12" style="1" width="15.84"/>
    <col collapsed="false" customWidth="true" hidden="false" outlineLevel="0" max="13" min="13" style="1" width="3.74"/>
    <col collapsed="false" customWidth="true" hidden="false" outlineLevel="0" max="14" min="14" style="1" width="14.66"/>
    <col collapsed="false" customWidth="true" hidden="false" outlineLevel="0" max="15" min="15" style="1" width="10.31"/>
    <col collapsed="false" customWidth="true" hidden="false" outlineLevel="0" max="16" min="16" style="1" width="11.16"/>
    <col collapsed="false" customWidth="false" hidden="false" outlineLevel="0" max="1025" min="17" style="1" width="11.52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I1" s="4"/>
      <c r="N1" s="4"/>
    </row>
    <row r="3" customFormat="false" ht="18.55" hidden="false" customHeight="false" outlineLevel="0" collapsed="false">
      <c r="A3" s="5" t="s">
        <v>2</v>
      </c>
      <c r="B3" s="3" t="s">
        <v>3</v>
      </c>
      <c r="C3" s="3"/>
      <c r="D3" s="3"/>
      <c r="E3" s="3"/>
      <c r="F3" s="6" t="n">
        <f aca="false">N83</f>
        <v>1007366.34302755</v>
      </c>
      <c r="G3" s="7"/>
      <c r="H3" s="7"/>
    </row>
    <row r="4" customFormat="false" ht="18.55" hidden="false" customHeight="false" outlineLevel="0" collapsed="false">
      <c r="A4" s="4"/>
      <c r="B4" s="3" t="s">
        <v>4</v>
      </c>
      <c r="C4" s="3"/>
      <c r="D4" s="3"/>
      <c r="E4" s="3"/>
      <c r="F4" s="8" t="n">
        <f aca="false">I95</f>
        <v>0.16396623863943</v>
      </c>
      <c r="G4" s="9"/>
      <c r="H4" s="9"/>
    </row>
    <row r="5" customFormat="false" ht="18.55" hidden="false" customHeight="false" outlineLevel="0" collapsed="false">
      <c r="A5" s="10"/>
      <c r="B5" s="3" t="s">
        <v>5</v>
      </c>
      <c r="C5" s="3"/>
      <c r="D5" s="3"/>
      <c r="E5" s="3"/>
      <c r="F5" s="8" t="n">
        <f aca="false">F4-F11</f>
        <v>0.14606623863943</v>
      </c>
      <c r="G5" s="11"/>
      <c r="H5" s="11"/>
    </row>
    <row r="6" customFormat="false" ht="18.55" hidden="false" customHeight="false" outlineLevel="0" collapsed="false">
      <c r="G6" s="9"/>
      <c r="H6" s="9"/>
    </row>
    <row r="7" customFormat="false" ht="18.55" hidden="false" customHeight="false" outlineLevel="0" collapsed="false">
      <c r="B7" s="3" t="s">
        <v>6</v>
      </c>
      <c r="C7" s="3"/>
      <c r="D7" s="3"/>
      <c r="E7" s="3"/>
      <c r="F7" s="12" t="n">
        <f aca="false">L83</f>
        <v>15233.6727275165</v>
      </c>
    </row>
    <row r="8" customFormat="false" ht="18.55" hidden="false" customHeight="false" outlineLevel="0" collapsed="false">
      <c r="B8" s="3" t="s">
        <v>7</v>
      </c>
      <c r="C8" s="3"/>
      <c r="D8" s="3"/>
      <c r="E8" s="3"/>
      <c r="F8" s="8" t="n">
        <f aca="false">I97</f>
        <v>0.01512227684889</v>
      </c>
    </row>
    <row r="9" customFormat="false" ht="12.8" hidden="false" customHeight="false" outlineLevel="0" collapsed="false">
      <c r="G9" s="13"/>
    </row>
    <row r="10" customFormat="false" ht="12.8" hidden="false" customHeight="false" outlineLevel="0" collapsed="false">
      <c r="A10" s="14" t="s">
        <v>8</v>
      </c>
      <c r="B10" s="14" t="n">
        <v>63.23</v>
      </c>
      <c r="C10" s="15"/>
      <c r="E10" s="14" t="s">
        <v>9</v>
      </c>
      <c r="F10" s="14"/>
    </row>
    <row r="11" customFormat="false" ht="16.15" hidden="false" customHeight="false" outlineLevel="0" collapsed="false">
      <c r="A11" s="14" t="s">
        <v>10</v>
      </c>
      <c r="B11" s="16" t="n">
        <f aca="false">315000/B10</f>
        <v>4981.81243080816</v>
      </c>
      <c r="C11" s="0"/>
      <c r="E11" s="14" t="s">
        <v>11</v>
      </c>
      <c r="F11" s="17" t="n">
        <v>0.0179</v>
      </c>
      <c r="T11" s="18"/>
      <c r="U11" s="19"/>
      <c r="V11" s="19"/>
      <c r="W11" s="19"/>
    </row>
    <row r="12" customFormat="false" ht="16.15" hidden="false" customHeight="false" outlineLevel="0" collapsed="false">
      <c r="A12" s="14" t="s">
        <v>12</v>
      </c>
      <c r="B12" s="20" t="n">
        <f aca="false">360000/B10</f>
        <v>5693.49992092361</v>
      </c>
      <c r="C12" s="0"/>
      <c r="E12" s="14" t="s">
        <v>13</v>
      </c>
      <c r="F12" s="17" t="n">
        <v>0.075</v>
      </c>
      <c r="T12" s="18"/>
      <c r="U12" s="19"/>
      <c r="V12" s="19"/>
      <c r="W12" s="19"/>
    </row>
    <row r="13" customFormat="false" ht="12.8" hidden="false" customHeight="true" outlineLevel="0" collapsed="false"/>
    <row r="14" customFormat="false" ht="12.8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12.8" hidden="false" customHeight="true" outlineLevel="0" collapsed="false">
      <c r="A15" s="21" t="s">
        <v>14</v>
      </c>
      <c r="B15" s="21" t="s">
        <v>15</v>
      </c>
      <c r="C15" s="21" t="s">
        <v>16</v>
      </c>
      <c r="D15" s="21" t="s">
        <v>17</v>
      </c>
      <c r="E15" s="21" t="s">
        <v>18</v>
      </c>
      <c r="F15" s="21" t="s">
        <v>19</v>
      </c>
      <c r="G15" s="21" t="s">
        <v>20</v>
      </c>
    </row>
    <row r="16" customFormat="false" ht="12.8" hidden="false" customHeight="true" outlineLevel="0" collapsed="false">
      <c r="A16" s="21"/>
      <c r="B16" s="21"/>
      <c r="C16" s="21"/>
      <c r="D16" s="21"/>
      <c r="E16" s="21" t="s">
        <v>21</v>
      </c>
      <c r="F16" s="21" t="s">
        <v>22</v>
      </c>
      <c r="G16" s="21" t="s">
        <v>23</v>
      </c>
    </row>
    <row r="17" customFormat="false" ht="12.8" hidden="false" customHeight="false" outlineLevel="0" collapsed="false">
      <c r="A17" s="21"/>
      <c r="B17" s="21"/>
      <c r="C17" s="21"/>
      <c r="D17" s="21"/>
      <c r="E17" s="21"/>
      <c r="F17" s="21"/>
      <c r="G17" s="21"/>
      <c r="T17" s="22"/>
      <c r="U17" s="23"/>
    </row>
    <row r="18" customFormat="false" ht="12.8" hidden="false" customHeight="true" outlineLevel="0" collapsed="false">
      <c r="A18" s="24" t="s">
        <v>24</v>
      </c>
      <c r="B18" s="24" t="s">
        <v>25</v>
      </c>
      <c r="C18" s="13" t="n">
        <v>196.5</v>
      </c>
      <c r="D18" s="25" t="n">
        <v>0.1207</v>
      </c>
      <c r="E18" s="26" t="n">
        <v>5.44</v>
      </c>
      <c r="F18" s="25" t="n">
        <f aca="false">E18/C18</f>
        <v>0.0276844783715013</v>
      </c>
      <c r="G18" s="25" t="n">
        <v>0.112</v>
      </c>
      <c r="T18" s="22"/>
      <c r="U18" s="23"/>
    </row>
    <row r="19" customFormat="false" ht="12.8" hidden="false" customHeight="false" outlineLevel="0" collapsed="false">
      <c r="A19" s="24" t="s">
        <v>26</v>
      </c>
      <c r="B19" s="24" t="s">
        <v>27</v>
      </c>
      <c r="C19" s="13" t="n">
        <v>184.92</v>
      </c>
      <c r="D19" s="25" t="n">
        <v>0.2293</v>
      </c>
      <c r="E19" s="26" t="n">
        <v>2.92</v>
      </c>
      <c r="F19" s="25" t="n">
        <f aca="false">E19/C19</f>
        <v>0.0157906121566083</v>
      </c>
      <c r="G19" s="25" t="n">
        <v>0.101</v>
      </c>
      <c r="T19" s="22"/>
      <c r="U19" s="23"/>
    </row>
    <row r="20" customFormat="false" ht="12.8" hidden="false" customHeight="true" outlineLevel="0" collapsed="false">
      <c r="A20" s="24" t="s">
        <v>28</v>
      </c>
      <c r="B20" s="1" t="s">
        <v>29</v>
      </c>
      <c r="C20" s="13" t="n">
        <v>188.63</v>
      </c>
      <c r="D20" s="25" t="n">
        <v>0.2231</v>
      </c>
      <c r="E20" s="26" t="n">
        <v>1.62</v>
      </c>
      <c r="F20" s="25" t="n">
        <f aca="false">E20/C20</f>
        <v>0.0085882415310396</v>
      </c>
      <c r="G20" s="25" t="n">
        <v>0.24</v>
      </c>
      <c r="T20" s="22"/>
      <c r="U20" s="23"/>
    </row>
    <row r="21" customFormat="false" ht="12.8" hidden="false" customHeight="false" outlineLevel="0" collapsed="false">
      <c r="A21" s="24" t="s">
        <v>30</v>
      </c>
      <c r="B21" s="24" t="s">
        <v>31</v>
      </c>
      <c r="C21" s="13" t="n">
        <v>197.41</v>
      </c>
      <c r="D21" s="25" t="n">
        <v>0.2347</v>
      </c>
      <c r="E21" s="26" t="n">
        <v>4.12</v>
      </c>
      <c r="F21" s="25" t="n">
        <f aca="false">E21/C21</f>
        <v>0.0208702699964541</v>
      </c>
      <c r="G21" s="25" t="n">
        <v>0.237</v>
      </c>
      <c r="T21" s="22"/>
      <c r="U21" s="23"/>
    </row>
    <row r="22" customFormat="false" ht="12.8" hidden="false" customHeight="true" outlineLevel="0" collapsed="false">
      <c r="A22" s="24" t="s">
        <v>32</v>
      </c>
      <c r="B22" s="1" t="s">
        <v>33</v>
      </c>
      <c r="C22" s="13" t="n">
        <v>254.37</v>
      </c>
      <c r="D22" s="25" t="n">
        <v>0.2572</v>
      </c>
      <c r="E22" s="26" t="n">
        <v>3.6</v>
      </c>
      <c r="F22" s="25" t="n">
        <f aca="false">E22/C22</f>
        <v>0.0141526123363604</v>
      </c>
      <c r="G22" s="25" t="n">
        <v>0.27</v>
      </c>
      <c r="T22" s="27"/>
      <c r="U22" s="27"/>
      <c r="V22" s="27"/>
      <c r="W22" s="27"/>
    </row>
    <row r="23" customFormat="false" ht="12.8" hidden="false" customHeight="false" outlineLevel="0" collapsed="false">
      <c r="A23" s="24" t="s">
        <v>34</v>
      </c>
      <c r="B23" s="24" t="s">
        <v>35</v>
      </c>
      <c r="C23" s="13" t="n">
        <v>112.38</v>
      </c>
      <c r="D23" s="25" t="n">
        <v>0.1544</v>
      </c>
      <c r="E23" s="26" t="n">
        <v>2.48</v>
      </c>
      <c r="F23" s="25" t="n">
        <f aca="false">E23/C23</f>
        <v>0.0220679836269799</v>
      </c>
      <c r="G23" s="25" t="n">
        <v>0.196</v>
      </c>
      <c r="O23" s="18"/>
      <c r="Q23" s="18"/>
      <c r="R23" s="18"/>
      <c r="S23" s="18"/>
      <c r="T23" s="27"/>
      <c r="U23" s="27"/>
      <c r="V23" s="27"/>
      <c r="W23" s="27"/>
    </row>
    <row r="24" customFormat="false" ht="12.8" hidden="false" customHeight="false" outlineLevel="0" collapsed="false">
      <c r="A24" s="24" t="s">
        <v>36</v>
      </c>
      <c r="B24" s="1" t="s">
        <v>37</v>
      </c>
      <c r="C24" s="13" t="n">
        <v>159.63</v>
      </c>
      <c r="D24" s="25" t="n">
        <v>0.1625</v>
      </c>
      <c r="E24" s="26" t="n">
        <v>2.66</v>
      </c>
      <c r="F24" s="25" t="n">
        <f aca="false">E24/C24</f>
        <v>0.016663534423354</v>
      </c>
      <c r="G24" s="25" t="n">
        <v>0.092</v>
      </c>
      <c r="O24" s="18"/>
      <c r="Q24" s="18"/>
      <c r="R24" s="18"/>
      <c r="S24" s="18"/>
      <c r="T24" s="27"/>
      <c r="U24" s="27"/>
      <c r="V24" s="27"/>
      <c r="W24" s="27"/>
    </row>
    <row r="25" customFormat="false" ht="12.8" hidden="false" customHeight="true" outlineLevel="0" collapsed="false">
      <c r="A25" s="1" t="s">
        <v>38</v>
      </c>
      <c r="B25" s="1" t="s">
        <v>39</v>
      </c>
      <c r="C25" s="13" t="n">
        <v>100.41</v>
      </c>
      <c r="D25" s="25" t="n">
        <v>0.1463</v>
      </c>
      <c r="E25" s="26" t="n">
        <v>1.68</v>
      </c>
      <c r="F25" s="25" t="n">
        <f aca="false">E25/C25</f>
        <v>0.0167314012548551</v>
      </c>
      <c r="G25" s="25" t="n">
        <v>0.114</v>
      </c>
      <c r="T25" s="27"/>
      <c r="U25" s="28"/>
      <c r="V25" s="28"/>
      <c r="W25" s="28"/>
    </row>
    <row r="26" customFormat="false" ht="12.8" hidden="false" customHeight="true" outlineLevel="0" collapsed="false">
      <c r="A26" s="1" t="s">
        <v>40</v>
      </c>
      <c r="B26" s="1" t="s">
        <v>41</v>
      </c>
      <c r="C26" s="13" t="n">
        <v>85.98</v>
      </c>
      <c r="D26" s="25" t="n">
        <v>0.254</v>
      </c>
      <c r="E26" s="26" t="n">
        <v>0.9</v>
      </c>
      <c r="F26" s="25" t="n">
        <f aca="false">E26/C26</f>
        <v>0.0104675505931612</v>
      </c>
      <c r="G26" s="25" t="n">
        <v>0.17</v>
      </c>
      <c r="T26" s="27"/>
      <c r="U26" s="28"/>
      <c r="V26" s="28"/>
      <c r="W26" s="28"/>
    </row>
    <row r="27" customFormat="false" ht="12.8" hidden="false" customHeight="false" outlineLevel="0" collapsed="false">
      <c r="A27" s="24" t="s">
        <v>42</v>
      </c>
      <c r="B27" s="1" t="s">
        <v>43</v>
      </c>
      <c r="C27" s="13" t="n">
        <v>60.27</v>
      </c>
      <c r="D27" s="25" t="n">
        <v>0.2662</v>
      </c>
      <c r="E27" s="26" t="n">
        <v>0.72</v>
      </c>
      <c r="F27" s="25" t="n">
        <f aca="false">E27/C27</f>
        <v>0.0119462419113987</v>
      </c>
      <c r="G27" s="25" t="n">
        <v>0.231</v>
      </c>
      <c r="Q27" s="29"/>
      <c r="R27" s="29"/>
      <c r="T27" s="27"/>
      <c r="U27" s="28"/>
      <c r="V27" s="28"/>
      <c r="W27" s="28"/>
    </row>
    <row r="28" customFormat="false" ht="12.8" hidden="false" customHeight="true" outlineLevel="0" collapsed="false">
      <c r="A28" s="1" t="s">
        <v>44</v>
      </c>
      <c r="B28" s="1" t="s">
        <v>45</v>
      </c>
      <c r="C28" s="13" t="n">
        <v>253.57</v>
      </c>
      <c r="D28" s="25" t="n">
        <v>0.1</v>
      </c>
      <c r="E28" s="26" t="n">
        <v>4.33</v>
      </c>
      <c r="F28" s="25" t="n">
        <f aca="false">E28/C28</f>
        <v>0.0170761525417045</v>
      </c>
      <c r="G28" s="25" t="n">
        <v>0.078</v>
      </c>
      <c r="Q28" s="29"/>
      <c r="R28" s="29"/>
    </row>
    <row r="29" customFormat="false" ht="12.8" hidden="false" customHeight="false" outlineLevel="0" collapsed="false">
      <c r="A29" s="1" t="s">
        <v>46</v>
      </c>
      <c r="B29" s="1" t="s">
        <v>47</v>
      </c>
      <c r="C29" s="13" t="n">
        <v>83.86</v>
      </c>
      <c r="D29" s="25" t="n">
        <v>0.0996</v>
      </c>
      <c r="E29" s="26" t="n">
        <v>2.52</v>
      </c>
      <c r="F29" s="25" t="n">
        <f aca="false">E29/C29</f>
        <v>0.0300500834724541</v>
      </c>
      <c r="G29" s="25" t="n">
        <v>0.08</v>
      </c>
      <c r="R29" s="23"/>
    </row>
    <row r="30" customFormat="false" ht="12.8" hidden="false" customHeight="false" outlineLevel="0" collapsed="false">
      <c r="E30" s="15"/>
      <c r="R30" s="23"/>
    </row>
    <row r="31" customFormat="false" ht="18.55" hidden="false" customHeight="false" outlineLevel="0" collapsed="false">
      <c r="A31" s="30" t="s">
        <v>48</v>
      </c>
      <c r="B31" s="30"/>
      <c r="C31" s="30"/>
      <c r="D31" s="30"/>
      <c r="E31" s="31"/>
      <c r="F31" s="31"/>
      <c r="G31" s="31"/>
      <c r="R31" s="23"/>
    </row>
    <row r="32" customFormat="false" ht="12.8" hidden="false" customHeight="true" outlineLevel="0" collapsed="false">
      <c r="A32" s="32" t="s">
        <v>14</v>
      </c>
      <c r="B32" s="32" t="s">
        <v>49</v>
      </c>
      <c r="C32" s="32" t="s">
        <v>50</v>
      </c>
      <c r="D32" s="33" t="s">
        <v>51</v>
      </c>
      <c r="E32" s="22"/>
      <c r="F32" s="31"/>
      <c r="G32" s="31"/>
      <c r="R32" s="23"/>
      <c r="T32" s="34"/>
      <c r="U32" s="34"/>
      <c r="V32" s="31"/>
      <c r="W32" s="31"/>
    </row>
    <row r="33" customFormat="false" ht="12.8" hidden="false" customHeight="false" outlineLevel="0" collapsed="false">
      <c r="A33" s="32"/>
      <c r="B33" s="32"/>
      <c r="C33" s="32"/>
      <c r="D33" s="33"/>
      <c r="E33" s="22"/>
      <c r="G33" s="35"/>
      <c r="M33" s="23"/>
      <c r="T33" s="31"/>
      <c r="U33" s="34"/>
      <c r="V33" s="31"/>
      <c r="W33" s="31"/>
    </row>
    <row r="34" customFormat="false" ht="12.8" hidden="false" customHeight="false" outlineLevel="0" collapsed="false">
      <c r="A34" s="24" t="str">
        <f aca="false">A18</f>
        <v>3M COMPANY</v>
      </c>
      <c r="B34" s="23" t="n">
        <v>1</v>
      </c>
      <c r="C34" s="35" t="n">
        <f aca="false">B34*C18</f>
        <v>196.5</v>
      </c>
      <c r="D34" s="36" t="n">
        <v>0.05</v>
      </c>
      <c r="E34" s="35"/>
      <c r="G34" s="35"/>
      <c r="M34" s="23"/>
      <c r="V34" s="37"/>
      <c r="W34" s="37"/>
    </row>
    <row r="35" customFormat="false" ht="12.8" hidden="false" customHeight="false" outlineLevel="0" collapsed="false">
      <c r="A35" s="24" t="str">
        <f aca="false">A19</f>
        <v>APPLE</v>
      </c>
      <c r="B35" s="23" t="n">
        <v>1</v>
      </c>
      <c r="C35" s="35" t="n">
        <f aca="false">B35*C19</f>
        <v>184.92</v>
      </c>
      <c r="D35" s="36" t="n">
        <v>0.05</v>
      </c>
      <c r="F35" s="25"/>
      <c r="G35" s="35"/>
      <c r="M35" s="23"/>
      <c r="T35" s="23"/>
      <c r="U35" s="23"/>
      <c r="V35" s="37"/>
      <c r="W35" s="37"/>
    </row>
    <row r="36" customFormat="false" ht="12.8" hidden="false" customHeight="false" outlineLevel="0" collapsed="false">
      <c r="A36" s="24" t="str">
        <f aca="false">A20</f>
        <v>CINTAS</v>
      </c>
      <c r="B36" s="23" t="n">
        <v>1</v>
      </c>
      <c r="C36" s="35" t="n">
        <f aca="false">B36*C20</f>
        <v>188.63</v>
      </c>
      <c r="D36" s="36" t="n">
        <v>0.05</v>
      </c>
      <c r="G36" s="35"/>
      <c r="M36" s="23"/>
      <c r="T36" s="23"/>
      <c r="U36" s="23"/>
      <c r="V36" s="37"/>
      <c r="W36" s="37"/>
    </row>
    <row r="37" customFormat="false" ht="12.8" hidden="false" customHeight="false" outlineLevel="0" collapsed="false">
      <c r="A37" s="24" t="str">
        <f aca="false">A21</f>
        <v>HOME DEPOT</v>
      </c>
      <c r="B37" s="23" t="n">
        <v>1</v>
      </c>
      <c r="C37" s="35" t="n">
        <f aca="false">B37*C21</f>
        <v>197.41</v>
      </c>
      <c r="D37" s="36" t="n">
        <v>0.05</v>
      </c>
      <c r="G37" s="35"/>
      <c r="T37" s="23"/>
      <c r="U37" s="23"/>
      <c r="V37" s="37"/>
      <c r="W37" s="37"/>
    </row>
    <row r="38" customFormat="false" ht="12.8" hidden="false" customHeight="false" outlineLevel="0" collapsed="false">
      <c r="A38" s="24" t="str">
        <f aca="false">A22</f>
        <v>UNITEDHEALTH</v>
      </c>
      <c r="B38" s="23" t="n">
        <v>1</v>
      </c>
      <c r="C38" s="35" t="n">
        <f aca="false">B38*C22</f>
        <v>254.37</v>
      </c>
      <c r="D38" s="36" t="n">
        <v>0.05</v>
      </c>
      <c r="G38" s="35"/>
      <c r="M38" s="23"/>
      <c r="S38" s="23"/>
      <c r="T38" s="37"/>
      <c r="U38" s="23"/>
      <c r="V38" s="37"/>
      <c r="W38" s="37"/>
    </row>
    <row r="39" customFormat="false" ht="12.8" hidden="false" customHeight="false" outlineLevel="0" collapsed="false">
      <c r="A39" s="24" t="str">
        <f aca="false">A23</f>
        <v>TEXAS INC</v>
      </c>
      <c r="B39" s="23" t="n">
        <v>2</v>
      </c>
      <c r="C39" s="35" t="n">
        <f aca="false">B39*C23</f>
        <v>224.76</v>
      </c>
      <c r="D39" s="36" t="n">
        <v>0.05</v>
      </c>
      <c r="G39" s="35"/>
      <c r="M39" s="23"/>
      <c r="T39" s="23"/>
      <c r="U39" s="23"/>
      <c r="V39" s="37"/>
      <c r="W39" s="37"/>
    </row>
    <row r="40" customFormat="false" ht="12.8" hidden="false" customHeight="false" outlineLevel="0" collapsed="false">
      <c r="A40" s="24" t="str">
        <f aca="false">A24</f>
        <v>ACCENTURE</v>
      </c>
      <c r="B40" s="23" t="n">
        <v>2</v>
      </c>
      <c r="C40" s="35" t="n">
        <f aca="false">B40*C24</f>
        <v>319.26</v>
      </c>
      <c r="D40" s="36" t="n">
        <v>0.05</v>
      </c>
      <c r="G40" s="35"/>
      <c r="T40" s="23"/>
      <c r="U40" s="23"/>
      <c r="V40" s="37"/>
      <c r="W40" s="37"/>
    </row>
    <row r="41" customFormat="false" ht="12.8" hidden="false" customHeight="true" outlineLevel="0" collapsed="false">
      <c r="A41" s="24" t="str">
        <f aca="false">A25</f>
        <v>MICROSOFT</v>
      </c>
      <c r="B41" s="23" t="n">
        <v>3</v>
      </c>
      <c r="C41" s="35" t="n">
        <f aca="false">B41*C25</f>
        <v>301.23</v>
      </c>
      <c r="D41" s="36" t="n">
        <v>0.05</v>
      </c>
      <c r="G41" s="35"/>
      <c r="Q41" s="31"/>
      <c r="R41" s="31"/>
      <c r="T41" s="23"/>
      <c r="U41" s="23"/>
      <c r="V41" s="37"/>
      <c r="W41" s="37"/>
    </row>
    <row r="42" customFormat="false" ht="12.8" hidden="false" customHeight="true" outlineLevel="0" collapsed="false">
      <c r="A42" s="24" t="str">
        <f aca="false">A26</f>
        <v>ROSS STORES</v>
      </c>
      <c r="B42" s="23" t="n">
        <v>3</v>
      </c>
      <c r="C42" s="35" t="n">
        <f aca="false">B42*C26</f>
        <v>257.94</v>
      </c>
      <c r="D42" s="36" t="n">
        <v>0.05</v>
      </c>
      <c r="G42" s="35"/>
      <c r="Q42" s="31"/>
      <c r="R42" s="31"/>
      <c r="T42" s="23"/>
      <c r="U42" s="23"/>
      <c r="V42" s="37"/>
      <c r="W42" s="37"/>
    </row>
    <row r="43" customFormat="false" ht="12.8" hidden="false" customHeight="false" outlineLevel="0" collapsed="false">
      <c r="A43" s="24" t="str">
        <f aca="false">A27</f>
        <v>AO SMITH</v>
      </c>
      <c r="B43" s="23" t="n">
        <v>4</v>
      </c>
      <c r="C43" s="35" t="n">
        <f aca="false">B43*C27</f>
        <v>241.08</v>
      </c>
      <c r="D43" s="36" t="n">
        <v>0.05</v>
      </c>
      <c r="G43" s="35"/>
      <c r="Q43" s="38"/>
      <c r="R43" s="38"/>
      <c r="T43" s="39"/>
      <c r="U43" s="23"/>
      <c r="W43" s="23"/>
    </row>
    <row r="44" customFormat="false" ht="12.8" hidden="false" customHeight="true" outlineLevel="0" collapsed="false">
      <c r="A44" s="24" t="str">
        <f aca="false">A28</f>
        <v>VANGUARD S&amp;P500</v>
      </c>
      <c r="B44" s="23" t="n">
        <v>5</v>
      </c>
      <c r="C44" s="35" t="n">
        <f aca="false">B44*C28</f>
        <v>1267.85</v>
      </c>
      <c r="D44" s="36" t="n">
        <v>0.25</v>
      </c>
      <c r="E44" s="15"/>
      <c r="G44" s="35"/>
      <c r="Q44" s="31"/>
      <c r="R44" s="31"/>
      <c r="S44" s="34"/>
    </row>
    <row r="45" customFormat="false" ht="12.8" hidden="false" customHeight="true" outlineLevel="0" collapsed="false">
      <c r="A45" s="24" t="str">
        <f aca="false">A29</f>
        <v>VANGUARD HIGH DIVIDEND</v>
      </c>
      <c r="B45" s="23" t="n">
        <v>15</v>
      </c>
      <c r="C45" s="35" t="n">
        <f aca="false">B45*C29</f>
        <v>1257.9</v>
      </c>
      <c r="D45" s="36" t="n">
        <v>0.25</v>
      </c>
      <c r="F45" s="15"/>
      <c r="G45" s="35"/>
      <c r="Q45" s="31"/>
      <c r="R45" s="31"/>
      <c r="S45" s="31"/>
      <c r="U45" s="22"/>
    </row>
    <row r="46" customFormat="false" ht="12.8" hidden="false" customHeight="true" outlineLevel="0" collapsed="false">
      <c r="A46" s="40" t="s">
        <v>52</v>
      </c>
      <c r="B46" s="40"/>
      <c r="C46" s="35" t="n">
        <f aca="false">SUM(C34:C45)</f>
        <v>4891.85</v>
      </c>
      <c r="D46" s="25"/>
      <c r="P46" s="23"/>
      <c r="S46" s="23"/>
    </row>
    <row r="47" customFormat="false" ht="12.8" hidden="false" customHeight="false" outlineLevel="0" collapsed="false">
      <c r="A47" s="0"/>
      <c r="B47" s="0"/>
      <c r="C47" s="0"/>
      <c r="D47" s="0"/>
      <c r="E47" s="0"/>
      <c r="P47" s="23"/>
      <c r="S47" s="23"/>
    </row>
    <row r="48" customFormat="false" ht="12.8" hidden="false" customHeight="true" outlineLevel="0" collapsed="false">
      <c r="A48" s="21" t="s">
        <v>53</v>
      </c>
      <c r="B48" s="21"/>
      <c r="P48" s="23"/>
      <c r="S48" s="23"/>
      <c r="T48" s="34"/>
      <c r="U48" s="34"/>
      <c r="V48" s="31"/>
      <c r="W48" s="31"/>
    </row>
    <row r="49" customFormat="false" ht="12.8" hidden="false" customHeight="true" outlineLevel="0" collapsed="false">
      <c r="A49" s="21"/>
      <c r="B49" s="21"/>
      <c r="P49" s="23"/>
      <c r="S49" s="23"/>
      <c r="T49" s="31"/>
      <c r="U49" s="34"/>
      <c r="V49" s="31"/>
      <c r="W49" s="31"/>
    </row>
    <row r="50" customFormat="false" ht="12.8" hidden="false" customHeight="true" outlineLevel="0" collapsed="false">
      <c r="A50" s="41" t="s">
        <v>54</v>
      </c>
      <c r="B50" s="41"/>
      <c r="C50" s="41"/>
      <c r="D50" s="41"/>
      <c r="E50" s="41"/>
      <c r="F50" s="41"/>
      <c r="P50" s="23"/>
      <c r="S50" s="23"/>
      <c r="T50" s="23"/>
      <c r="U50" s="23"/>
      <c r="V50" s="37"/>
      <c r="W50" s="37"/>
    </row>
    <row r="51" customFormat="false" ht="12.8" hidden="false" customHeight="true" outlineLevel="0" collapsed="false">
      <c r="A51" s="41"/>
      <c r="B51" s="41"/>
      <c r="C51" s="41"/>
      <c r="D51" s="41"/>
      <c r="E51" s="41"/>
      <c r="F51" s="41"/>
      <c r="P51" s="23"/>
      <c r="S51" s="23"/>
      <c r="T51" s="23"/>
      <c r="U51" s="23"/>
      <c r="V51" s="37"/>
      <c r="W51" s="37"/>
    </row>
    <row r="52" customFormat="false" ht="12.8" hidden="false" customHeight="true" outlineLevel="0" collapsed="false">
      <c r="A52" s="41" t="s">
        <v>55</v>
      </c>
      <c r="B52" s="41"/>
      <c r="C52" s="41"/>
      <c r="D52" s="41"/>
      <c r="E52" s="41"/>
      <c r="F52" s="41"/>
      <c r="P52" s="23"/>
      <c r="S52" s="23"/>
      <c r="T52" s="23"/>
      <c r="U52" s="23"/>
      <c r="V52" s="37"/>
      <c r="W52" s="37"/>
    </row>
    <row r="53" customFormat="false" ht="12.8" hidden="false" customHeight="true" outlineLevel="0" collapsed="false">
      <c r="A53" s="41"/>
      <c r="B53" s="41"/>
      <c r="C53" s="41"/>
      <c r="D53" s="41"/>
      <c r="E53" s="41"/>
      <c r="F53" s="41"/>
      <c r="P53" s="23"/>
      <c r="S53" s="23"/>
      <c r="T53" s="23"/>
      <c r="U53" s="23"/>
      <c r="V53" s="37"/>
      <c r="W53" s="37"/>
      <c r="Y53" s="23"/>
    </row>
    <row r="54" customFormat="false" ht="12.8" hidden="false" customHeight="true" outlineLevel="0" collapsed="false">
      <c r="A54" s="41" t="s">
        <v>56</v>
      </c>
      <c r="B54" s="41"/>
      <c r="C54" s="41"/>
      <c r="D54" s="41"/>
      <c r="E54" s="41"/>
      <c r="F54" s="41"/>
      <c r="P54" s="23"/>
      <c r="S54" s="23"/>
      <c r="T54" s="37"/>
      <c r="U54" s="23"/>
      <c r="V54" s="37"/>
      <c r="W54" s="37"/>
      <c r="Y54" s="23"/>
    </row>
    <row r="55" customFormat="false" ht="12.8" hidden="false" customHeight="true" outlineLevel="0" collapsed="false">
      <c r="A55" s="41"/>
      <c r="B55" s="41"/>
      <c r="C55" s="41"/>
      <c r="D55" s="41"/>
      <c r="E55" s="41"/>
      <c r="F55" s="41"/>
      <c r="R55" s="39"/>
      <c r="S55" s="39"/>
      <c r="T55" s="23"/>
      <c r="U55" s="23"/>
      <c r="V55" s="37"/>
      <c r="W55" s="37"/>
      <c r="Y55" s="23"/>
    </row>
    <row r="56" customFormat="false" ht="12.8" hidden="false" customHeight="true" outlineLevel="0" collapsed="false">
      <c r="A56" s="41" t="s">
        <v>57</v>
      </c>
      <c r="B56" s="41"/>
      <c r="C56" s="41"/>
      <c r="D56" s="41"/>
      <c r="E56" s="41"/>
      <c r="F56" s="41"/>
      <c r="T56" s="23"/>
      <c r="U56" s="23"/>
      <c r="V56" s="37"/>
      <c r="W56" s="37"/>
      <c r="Y56" s="23"/>
    </row>
    <row r="57" customFormat="false" ht="12.8" hidden="false" customHeight="true" outlineLevel="0" collapsed="false">
      <c r="A57" s="41"/>
      <c r="B57" s="41"/>
      <c r="C57" s="41"/>
      <c r="D57" s="41"/>
      <c r="E57" s="41"/>
      <c r="F57" s="41"/>
      <c r="R57" s="31"/>
      <c r="T57" s="23"/>
      <c r="U57" s="23"/>
      <c r="V57" s="37"/>
      <c r="W57" s="37"/>
      <c r="Y57" s="2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R58" s="31"/>
      <c r="S58" s="23"/>
      <c r="T58" s="23"/>
      <c r="U58" s="23"/>
      <c r="V58" s="37"/>
      <c r="W58" s="37"/>
      <c r="Y58" s="23"/>
    </row>
    <row r="59" customFormat="false" ht="12.8" hidden="false" customHeight="false" outlineLevel="0" collapsed="false">
      <c r="G59" s="0"/>
      <c r="R59" s="38"/>
      <c r="T59" s="39"/>
      <c r="U59" s="23"/>
      <c r="W59" s="23"/>
      <c r="Y59" s="23"/>
    </row>
    <row r="60" customFormat="false" ht="12.8" hidden="false" customHeight="true" outlineLevel="0" collapsed="false">
      <c r="A60" s="32" t="s">
        <v>58</v>
      </c>
      <c r="B60" s="32"/>
      <c r="D60" s="42" t="n">
        <v>43465</v>
      </c>
      <c r="E60" s="42" t="n">
        <f aca="true">TODAY()</f>
        <v>43275</v>
      </c>
      <c r="F60" s="43" t="s">
        <v>59</v>
      </c>
      <c r="G60" s="0"/>
      <c r="I60" s="0"/>
      <c r="J60" s="44" t="s">
        <v>60</v>
      </c>
      <c r="L60" s="44" t="s">
        <v>18</v>
      </c>
      <c r="N60" s="32" t="s">
        <v>61</v>
      </c>
      <c r="O60" s="29"/>
      <c r="Y60" s="23"/>
    </row>
    <row r="61" customFormat="false" ht="12.8" hidden="false" customHeight="true" outlineLevel="0" collapsed="false">
      <c r="A61" s="32"/>
      <c r="B61" s="32"/>
      <c r="D61" s="43" t="n">
        <v>189</v>
      </c>
      <c r="E61" s="43"/>
      <c r="F61" s="43" t="n">
        <f aca="false">2/4</f>
        <v>0.5</v>
      </c>
      <c r="G61" s="0"/>
      <c r="I61" s="0"/>
      <c r="J61" s="44"/>
      <c r="L61" s="44"/>
      <c r="N61" s="32"/>
      <c r="O61" s="29"/>
      <c r="T61" s="45"/>
      <c r="U61" s="22"/>
      <c r="Y61" s="23"/>
    </row>
    <row r="62" customFormat="false" ht="12.8" hidden="false" customHeight="false" outlineLevel="0" collapsed="false">
      <c r="A62" s="38" t="s">
        <v>62</v>
      </c>
      <c r="B62" s="38"/>
      <c r="I62" s="15" t="n">
        <v>2018</v>
      </c>
      <c r="J62" s="46" t="n">
        <f aca="false">(C46*I143*(D61/365))+C46+J89</f>
        <v>8093.29506864264</v>
      </c>
      <c r="K62" s="15"/>
      <c r="L62" s="46" t="n">
        <f aca="false">G77</f>
        <v>66.033</v>
      </c>
      <c r="M62" s="15"/>
      <c r="N62" s="46" t="n">
        <f aca="false">E77</f>
        <v>8087.96479696986</v>
      </c>
      <c r="O62" s="0"/>
      <c r="Y62" s="23"/>
    </row>
    <row r="63" customFormat="false" ht="12.8" hidden="false" customHeight="true" outlineLevel="0" collapsed="false">
      <c r="A63" s="47" t="s">
        <v>14</v>
      </c>
      <c r="B63" s="47" t="s">
        <v>63</v>
      </c>
      <c r="C63" s="48" t="s">
        <v>64</v>
      </c>
      <c r="D63" s="48" t="s">
        <v>65</v>
      </c>
      <c r="E63" s="48" t="s">
        <v>66</v>
      </c>
      <c r="F63" s="47" t="s">
        <v>67</v>
      </c>
      <c r="G63" s="47" t="s">
        <v>18</v>
      </c>
      <c r="I63" s="15" t="n">
        <v>2019</v>
      </c>
      <c r="J63" s="46" t="n">
        <f aca="false">J62*$I$143+J62+J90</f>
        <v>14596.1244964305</v>
      </c>
      <c r="K63" s="15"/>
      <c r="L63" s="46" t="n">
        <f aca="false">G94</f>
        <v>240.261201</v>
      </c>
      <c r="M63" s="15"/>
      <c r="N63" s="46" t="n">
        <f aca="false">E94</f>
        <v>15052.2442137783</v>
      </c>
      <c r="O63" s="0"/>
      <c r="Y63" s="23"/>
    </row>
    <row r="64" customFormat="false" ht="12.8" hidden="false" customHeight="true" outlineLevel="0" collapsed="false">
      <c r="A64" s="47"/>
      <c r="B64" s="47"/>
      <c r="C64" s="47"/>
      <c r="D64" s="48"/>
      <c r="E64" s="48"/>
      <c r="F64" s="47"/>
      <c r="G64" s="47"/>
      <c r="I64" s="15" t="n">
        <v>2020</v>
      </c>
      <c r="J64" s="46" t="n">
        <f aca="false">J63*$I$143+J63+J91</f>
        <v>21749.2368669972</v>
      </c>
      <c r="K64" s="15"/>
      <c r="L64" s="46" t="n">
        <f aca="false">G111</f>
        <v>362.3575032684</v>
      </c>
      <c r="M64" s="15"/>
      <c r="N64" s="46" t="n">
        <f aca="false">E111</f>
        <v>23218.4393532738</v>
      </c>
      <c r="Q64" s="0"/>
      <c r="S64" s="0"/>
      <c r="T64" s="0"/>
      <c r="U64" s="34"/>
      <c r="V64" s="31"/>
      <c r="W64" s="31"/>
      <c r="Y64" s="23"/>
    </row>
    <row r="65" customFormat="false" ht="12.8" hidden="false" customHeight="false" outlineLevel="0" collapsed="false">
      <c r="A65" s="24" t="str">
        <f aca="false">A18</f>
        <v>3M COMPANY</v>
      </c>
      <c r="B65" s="49" t="n">
        <v>1</v>
      </c>
      <c r="C65" s="23" t="n">
        <f aca="false">B34+B65+F33</f>
        <v>2</v>
      </c>
      <c r="D65" s="13" t="n">
        <f aca="false">C18+C18*D18*($D$61/365)</f>
        <v>208.781142328767</v>
      </c>
      <c r="E65" s="13" t="n">
        <f aca="false">C65*D65</f>
        <v>417.562284657534</v>
      </c>
      <c r="F65" s="26" t="n">
        <f aca="false">E18</f>
        <v>5.44</v>
      </c>
      <c r="G65" s="13" t="n">
        <f aca="false">C65*F65*(1-$I$140)*$F$61</f>
        <v>4.7328</v>
      </c>
      <c r="I65" s="15" t="n">
        <v>2021</v>
      </c>
      <c r="J65" s="46" t="n">
        <f aca="false">J64*$I$143+J64+J92</f>
        <v>29617.6604746205</v>
      </c>
      <c r="K65" s="15"/>
      <c r="L65" s="46" t="n">
        <f aca="false">G128</f>
        <v>506.814945845341</v>
      </c>
      <c r="M65" s="15"/>
      <c r="N65" s="46" t="n">
        <f aca="false">E128</f>
        <v>32949.2164348967</v>
      </c>
      <c r="O65" s="23"/>
      <c r="P65" s="50"/>
      <c r="Q65" s="25"/>
      <c r="R65" s="0"/>
      <c r="S65" s="0"/>
      <c r="T65" s="0"/>
      <c r="U65" s="51"/>
      <c r="V65" s="51"/>
      <c r="Y65" s="23"/>
    </row>
    <row r="66" customFormat="false" ht="12.8" hidden="false" customHeight="false" outlineLevel="0" collapsed="false">
      <c r="A66" s="24" t="str">
        <f aca="false">A19</f>
        <v>APPLE</v>
      </c>
      <c r="B66" s="49" t="n">
        <v>1</v>
      </c>
      <c r="C66" s="23" t="n">
        <f aca="false">B35+B66+F34</f>
        <v>2</v>
      </c>
      <c r="D66" s="13" t="n">
        <f aca="false">C19+C19*D19*($D$61/365)</f>
        <v>206.876184887671</v>
      </c>
      <c r="E66" s="13" t="n">
        <f aca="false">C66*D66</f>
        <v>413.752369775342</v>
      </c>
      <c r="F66" s="26" t="n">
        <f aca="false">E19</f>
        <v>2.92</v>
      </c>
      <c r="G66" s="13" t="n">
        <f aca="false">C66*F66*(1-$I$140)*$F$61</f>
        <v>2.5404</v>
      </c>
      <c r="I66" s="38" t="n">
        <v>2022</v>
      </c>
      <c r="J66" s="52" t="n">
        <f aca="false">J65*$I$143+J65+J93</f>
        <v>38272.9264430062</v>
      </c>
      <c r="K66" s="38"/>
      <c r="L66" s="52" t="n">
        <f aca="false">G145</f>
        <v>667.61271838035</v>
      </c>
      <c r="M66" s="38"/>
      <c r="N66" s="52" t="n">
        <f aca="false">E145</f>
        <v>44147.6323341715</v>
      </c>
      <c r="O66" s="23"/>
      <c r="P66" s="50"/>
      <c r="Q66" s="25"/>
      <c r="R66" s="0"/>
      <c r="S66" s="0"/>
      <c r="T66" s="0"/>
      <c r="U66" s="51"/>
      <c r="V66" s="51"/>
      <c r="Y66" s="23"/>
    </row>
    <row r="67" customFormat="false" ht="12.8" hidden="false" customHeight="true" outlineLevel="0" collapsed="false">
      <c r="A67" s="24" t="str">
        <f aca="false">A20</f>
        <v>CINTAS</v>
      </c>
      <c r="B67" s="49" t="n">
        <v>1</v>
      </c>
      <c r="C67" s="23" t="n">
        <f aca="false">B36+B67+F35</f>
        <v>2</v>
      </c>
      <c r="D67" s="13" t="n">
        <f aca="false">C20+C20*D20*($D$61/365)</f>
        <v>210.421106073973</v>
      </c>
      <c r="E67" s="13" t="n">
        <f aca="false">C67*D67</f>
        <v>420.842212147946</v>
      </c>
      <c r="F67" s="26" t="n">
        <f aca="false">E20</f>
        <v>1.62</v>
      </c>
      <c r="G67" s="13" t="n">
        <f aca="false">C67*F67*(1-$I$140)*$F$61</f>
        <v>1.4094</v>
      </c>
      <c r="I67" s="15" t="n">
        <v>2023</v>
      </c>
      <c r="J67" s="46" t="n">
        <f aca="false">J66*$I$143+J66+$B$12</f>
        <v>47793.7190082304</v>
      </c>
      <c r="K67" s="15"/>
      <c r="L67" s="46" t="n">
        <f aca="false">N67*$I$97</f>
        <v>863.177346724361</v>
      </c>
      <c r="M67" s="15"/>
      <c r="N67" s="46" t="n">
        <f aca="false">N66+N66*$I$95+$B$12</f>
        <v>57079.8534737657</v>
      </c>
      <c r="O67" s="23"/>
      <c r="P67" s="50"/>
      <c r="Q67" s="25"/>
      <c r="R67" s="0"/>
      <c r="S67" s="0"/>
      <c r="T67" s="0"/>
      <c r="U67" s="51"/>
      <c r="V67" s="51"/>
      <c r="Y67" s="23"/>
    </row>
    <row r="68" customFormat="false" ht="12.8" hidden="false" customHeight="false" outlineLevel="0" collapsed="false">
      <c r="A68" s="24" t="str">
        <f aca="false">A21</f>
        <v>HOME DEPOT</v>
      </c>
      <c r="B68" s="49" t="n">
        <v>1</v>
      </c>
      <c r="C68" s="23" t="n">
        <f aca="false">B37+B68+F36</f>
        <v>2</v>
      </c>
      <c r="D68" s="13" t="n">
        <f aca="false">C21+C21*D21*($D$61/365)</f>
        <v>221.401156172603</v>
      </c>
      <c r="E68" s="13" t="n">
        <f aca="false">C68*D68</f>
        <v>442.802312345206</v>
      </c>
      <c r="F68" s="26" t="n">
        <f aca="false">E21</f>
        <v>4.12</v>
      </c>
      <c r="G68" s="13" t="n">
        <f aca="false">C68*F68*(1-$I$140)*$F$61</f>
        <v>3.5844</v>
      </c>
      <c r="I68" s="15" t="n">
        <v>2024</v>
      </c>
      <c r="J68" s="46" t="n">
        <f aca="false">J67*$I$143+J67+$B$12</f>
        <v>58266.590829977</v>
      </c>
      <c r="K68" s="15"/>
      <c r="L68" s="46" t="n">
        <f aca="false">N68*$I$97</f>
        <v>1090.80797158886</v>
      </c>
      <c r="M68" s="15"/>
      <c r="N68" s="46" t="n">
        <f aca="false">N67+N67*$I$95+$B$12</f>
        <v>72132.5222708725</v>
      </c>
      <c r="O68" s="23"/>
      <c r="P68" s="50"/>
      <c r="Q68" s="25"/>
      <c r="R68" s="0"/>
      <c r="S68" s="0"/>
      <c r="T68" s="0"/>
      <c r="U68" s="51"/>
      <c r="V68" s="51"/>
      <c r="Y68" s="23"/>
    </row>
    <row r="69" customFormat="false" ht="12.8" hidden="false" customHeight="false" outlineLevel="0" collapsed="false">
      <c r="A69" s="24" t="str">
        <f aca="false">A22</f>
        <v>UNITEDHEALTH</v>
      </c>
      <c r="B69" s="49" t="n">
        <v>0</v>
      </c>
      <c r="C69" s="23" t="n">
        <f aca="false">B38+B69+F37</f>
        <v>1</v>
      </c>
      <c r="D69" s="13" t="n">
        <f aca="false">C22+C22*D22*($D$61/365)</f>
        <v>288.247066290411</v>
      </c>
      <c r="E69" s="13" t="n">
        <f aca="false">C69*D69</f>
        <v>288.247066290411</v>
      </c>
      <c r="F69" s="26" t="n">
        <f aca="false">E22</f>
        <v>3.6</v>
      </c>
      <c r="G69" s="13" t="n">
        <f aca="false">C69*F69*(1-$I$140)*$F$61</f>
        <v>1.566</v>
      </c>
      <c r="I69" s="15" t="n">
        <v>2025</v>
      </c>
      <c r="J69" s="46" t="n">
        <f aca="false">J68*$I$143+J68+$B$12</f>
        <v>69786.7498338984</v>
      </c>
      <c r="K69" s="15"/>
      <c r="L69" s="46" t="n">
        <f aca="false">N69*$I$97</f>
        <v>1355.76233381153</v>
      </c>
      <c r="M69" s="15"/>
      <c r="N69" s="46" t="n">
        <f aca="false">N68+N68*$I$95+$B$12</f>
        <v>89653.3205521261</v>
      </c>
      <c r="O69" s="23"/>
      <c r="P69" s="50"/>
      <c r="Q69" s="25"/>
      <c r="R69" s="0"/>
      <c r="S69" s="0"/>
      <c r="T69" s="0"/>
      <c r="U69" s="51"/>
      <c r="V69" s="51"/>
      <c r="Y69" s="23"/>
    </row>
    <row r="70" customFormat="false" ht="12.8" hidden="false" customHeight="true" outlineLevel="0" collapsed="false">
      <c r="A70" s="24" t="str">
        <f aca="false">A23</f>
        <v>TEXAS INC</v>
      </c>
      <c r="B70" s="49" t="n">
        <v>1</v>
      </c>
      <c r="C70" s="23" t="n">
        <f aca="false">B39+B70+F38</f>
        <v>3</v>
      </c>
      <c r="D70" s="13" t="n">
        <f aca="false">C23+C23*D23*($D$61/365)</f>
        <v>121.364734816438</v>
      </c>
      <c r="E70" s="13" t="n">
        <f aca="false">C70*D70</f>
        <v>364.094204449314</v>
      </c>
      <c r="F70" s="26" t="n">
        <f aca="false">E23</f>
        <v>2.48</v>
      </c>
      <c r="G70" s="13" t="n">
        <f aca="false">C70*F70*(1-$I$140)*$F$61</f>
        <v>3.2364</v>
      </c>
      <c r="I70" s="15" t="n">
        <v>2026</v>
      </c>
      <c r="J70" s="46" t="n">
        <f aca="false">J69*$I$143+J69+$B$12</f>
        <v>82458.9247382118</v>
      </c>
      <c r="K70" s="15"/>
      <c r="L70" s="46" t="n">
        <f aca="false">N70*$I$97</f>
        <v>1664.16026621896</v>
      </c>
      <c r="M70" s="15"/>
      <c r="N70" s="46" t="n">
        <f aca="false">N69+N69*$I$95+$B$12</f>
        <v>110046.938225517</v>
      </c>
      <c r="O70" s="23"/>
      <c r="P70" s="50"/>
      <c r="Q70" s="25"/>
      <c r="R70" s="0"/>
      <c r="S70" s="0"/>
      <c r="T70" s="0"/>
      <c r="U70" s="51"/>
      <c r="V70" s="51"/>
      <c r="Y70" s="23"/>
    </row>
    <row r="71" customFormat="false" ht="12.8" hidden="false" customHeight="false" outlineLevel="0" collapsed="false">
      <c r="A71" s="24" t="str">
        <f aca="false">A24</f>
        <v>ACCENTURE</v>
      </c>
      <c r="B71" s="49" t="n">
        <v>0</v>
      </c>
      <c r="C71" s="23" t="n">
        <f aca="false">B40+B71+F39</f>
        <v>2</v>
      </c>
      <c r="D71" s="13" t="n">
        <f aca="false">C24+C24*D24*($D$61/365)</f>
        <v>173.061880479452</v>
      </c>
      <c r="E71" s="13" t="n">
        <f aca="false">C71*D71</f>
        <v>346.123760958904</v>
      </c>
      <c r="F71" s="26" t="n">
        <f aca="false">E24</f>
        <v>2.66</v>
      </c>
      <c r="G71" s="13" t="n">
        <f aca="false">C71*F71*(1-$I$140)*$F$61</f>
        <v>2.3142</v>
      </c>
      <c r="I71" s="38" t="n">
        <v>2027</v>
      </c>
      <c r="J71" s="52" t="n">
        <f aca="false">J70*$I$143+J70+$B$12</f>
        <v>96398.3171329566</v>
      </c>
      <c r="K71" s="38"/>
      <c r="L71" s="52" t="n">
        <f aca="false">N71*$I$97</f>
        <v>2023.12504760742</v>
      </c>
      <c r="M71" s="38"/>
      <c r="N71" s="52" t="n">
        <f aca="false">N70+N70*$I$95+$B$12</f>
        <v>133784.420681064</v>
      </c>
      <c r="O71" s="23"/>
      <c r="P71" s="50"/>
      <c r="Q71" s="25"/>
      <c r="R71" s="0"/>
      <c r="S71" s="0"/>
      <c r="T71" s="0"/>
      <c r="U71" s="51"/>
      <c r="V71" s="51"/>
      <c r="Y71" s="23"/>
    </row>
    <row r="72" customFormat="false" ht="12.8" hidden="false" customHeight="true" outlineLevel="0" collapsed="false">
      <c r="A72" s="24" t="str">
        <f aca="false">A25</f>
        <v>MICROSOFT</v>
      </c>
      <c r="B72" s="49" t="n">
        <v>1</v>
      </c>
      <c r="C72" s="23" t="n">
        <f aca="false">B41+B72+F40</f>
        <v>4</v>
      </c>
      <c r="D72" s="13" t="n">
        <f aca="false">C25+C25*D25*($D$61/365)</f>
        <v>108.016593936986</v>
      </c>
      <c r="E72" s="13" t="n">
        <f aca="false">C72*D72</f>
        <v>432.066375747944</v>
      </c>
      <c r="F72" s="26" t="n">
        <f aca="false">E25</f>
        <v>1.68</v>
      </c>
      <c r="G72" s="13" t="n">
        <f aca="false">C72*F72*(1-$I$140)*$F$61</f>
        <v>2.9232</v>
      </c>
      <c r="I72" s="15" t="n">
        <v>2028</v>
      </c>
      <c r="J72" s="46" t="n">
        <f aca="false">J71*$I$143+J71+$B$12</f>
        <v>111731.648767176</v>
      </c>
      <c r="K72" s="15"/>
      <c r="L72" s="46" t="n">
        <f aca="false">N72*$I$97</f>
        <v>2440.94793400417</v>
      </c>
      <c r="M72" s="15"/>
      <c r="N72" s="46" t="n">
        <f aca="false">N71+N71*$I$95+$B$12</f>
        <v>161414.048849617</v>
      </c>
      <c r="O72" s="23"/>
      <c r="P72" s="50"/>
      <c r="Q72" s="25"/>
      <c r="R72" s="0"/>
      <c r="S72" s="0"/>
      <c r="T72" s="0"/>
      <c r="U72" s="51"/>
      <c r="V72" s="51"/>
      <c r="Y72" s="23"/>
    </row>
    <row r="73" customFormat="false" ht="12.8" hidden="false" customHeight="true" outlineLevel="0" collapsed="false">
      <c r="A73" s="24" t="str">
        <f aca="false">A26</f>
        <v>ROSS STORES</v>
      </c>
      <c r="B73" s="49" t="n">
        <v>1</v>
      </c>
      <c r="C73" s="23" t="n">
        <f aca="false">B42+B73+F41</f>
        <v>4</v>
      </c>
      <c r="D73" s="13" t="n">
        <f aca="false">C26+C26*D26*($D$61/365)</f>
        <v>97.2883722739726</v>
      </c>
      <c r="E73" s="13" t="n">
        <f aca="false">C73*D73</f>
        <v>389.15348909589</v>
      </c>
      <c r="F73" s="26" t="n">
        <f aca="false">E26</f>
        <v>0.9</v>
      </c>
      <c r="G73" s="13" t="n">
        <f aca="false">C73*F73*(1-$I$140)*$F$61</f>
        <v>1.566</v>
      </c>
      <c r="I73" s="15" t="n">
        <v>2029</v>
      </c>
      <c r="J73" s="46" t="n">
        <f aca="false">J72*$I$143+J72+$B$12</f>
        <v>128598.313564817</v>
      </c>
      <c r="K73" s="15"/>
      <c r="L73" s="46" t="n">
        <f aca="false">N73*$I$97</f>
        <v>2927.27966750086</v>
      </c>
      <c r="M73" s="15"/>
      <c r="N73" s="46" t="n">
        <f aca="false">N72+N72*$I$95+$B$12</f>
        <v>193574.003223974</v>
      </c>
      <c r="O73" s="23"/>
      <c r="P73" s="50"/>
      <c r="Q73" s="25"/>
      <c r="R73" s="0"/>
      <c r="S73" s="0"/>
      <c r="T73" s="0"/>
      <c r="U73" s="51"/>
      <c r="V73" s="51"/>
      <c r="Y73" s="23"/>
    </row>
    <row r="74" customFormat="false" ht="12.8" hidden="false" customHeight="true" outlineLevel="0" collapsed="false">
      <c r="A74" s="24" t="str">
        <f aca="false">A27</f>
        <v>AO SMITH</v>
      </c>
      <c r="B74" s="49" t="n">
        <v>2</v>
      </c>
      <c r="C74" s="23" t="n">
        <f aca="false">B43+B74+F42</f>
        <v>6</v>
      </c>
      <c r="D74" s="13" t="n">
        <f aca="false">C27+C27*D27*($D$61/365)</f>
        <v>68.5776498246575</v>
      </c>
      <c r="E74" s="13" t="n">
        <f aca="false">C74*D74</f>
        <v>411.465898947945</v>
      </c>
      <c r="F74" s="26" t="n">
        <f aca="false">E27</f>
        <v>0.72</v>
      </c>
      <c r="G74" s="13" t="n">
        <f aca="false">C74*F74*(1-$I$140)*$F$61</f>
        <v>1.8792</v>
      </c>
      <c r="I74" s="15" t="n">
        <v>2030</v>
      </c>
      <c r="J74" s="46" t="n">
        <f aca="false">J73*$I$143+J73+$B$12</f>
        <v>147151.644842222</v>
      </c>
      <c r="K74" s="15"/>
      <c r="L74" s="46" t="n">
        <f aca="false">N74*$I$97</f>
        <v>3493.35338606999</v>
      </c>
      <c r="M74" s="15"/>
      <c r="N74" s="46" t="n">
        <f aca="false">N73+N73*$I$95+$B$12</f>
        <v>231007.104351909</v>
      </c>
      <c r="O74" s="23"/>
      <c r="P74" s="50"/>
      <c r="Q74" s="25"/>
      <c r="R74" s="0"/>
      <c r="S74" s="0"/>
      <c r="T74" s="0"/>
      <c r="U74" s="51"/>
      <c r="V74" s="51"/>
      <c r="Y74" s="23"/>
    </row>
    <row r="75" customFormat="false" ht="12.8" hidden="false" customHeight="true" outlineLevel="0" collapsed="false">
      <c r="A75" s="24" t="str">
        <f aca="false">A28</f>
        <v>VANGUARD S&amp;P500</v>
      </c>
      <c r="B75" s="49" t="n">
        <v>3</v>
      </c>
      <c r="C75" s="23" t="n">
        <f aca="false">B44+B75+F43</f>
        <v>8</v>
      </c>
      <c r="D75" s="13" t="n">
        <f aca="false">C28+C28*D28*($D$61/365)</f>
        <v>266.700063013699</v>
      </c>
      <c r="E75" s="13" t="n">
        <f aca="false">C75*D75</f>
        <v>2133.60050410959</v>
      </c>
      <c r="F75" s="26" t="n">
        <f aca="false">E28</f>
        <v>4.33</v>
      </c>
      <c r="G75" s="13" t="n">
        <f aca="false">C75*F75*(1-$I$140)*$F$61</f>
        <v>15.0684</v>
      </c>
      <c r="I75" s="15" t="n">
        <v>2031</v>
      </c>
      <c r="J75" s="46" t="n">
        <f aca="false">J74*$I$143+J74+$B$12</f>
        <v>167560.309247368</v>
      </c>
      <c r="K75" s="15"/>
      <c r="L75" s="46" t="n">
        <f aca="false">N75*$I$97</f>
        <v>4152.24408306555</v>
      </c>
      <c r="M75" s="15"/>
      <c r="N75" s="46" t="n">
        <f aca="false">N74+N74*$I$95+$B$12</f>
        <v>274577.970272402</v>
      </c>
      <c r="O75" s="23"/>
      <c r="P75" s="50"/>
      <c r="Q75" s="25"/>
      <c r="R75" s="0"/>
      <c r="S75" s="0"/>
      <c r="T75" s="0"/>
      <c r="U75" s="51"/>
      <c r="V75" s="51"/>
      <c r="Y75" s="23"/>
    </row>
    <row r="76" customFormat="false" ht="12.8" hidden="false" customHeight="false" outlineLevel="0" collapsed="false">
      <c r="A76" s="24" t="str">
        <f aca="false">A29</f>
        <v>VANGUARD HIGH DIVIDEND</v>
      </c>
      <c r="B76" s="49" t="n">
        <v>8</v>
      </c>
      <c r="C76" s="23" t="n">
        <f aca="false">B45+B76+F44</f>
        <v>23</v>
      </c>
      <c r="D76" s="13" t="n">
        <f aca="false">C29+C29*D29*($D$61/365)</f>
        <v>88.1849703671233</v>
      </c>
      <c r="E76" s="13" t="n">
        <f aca="false">C76*D76</f>
        <v>2028.25431844384</v>
      </c>
      <c r="F76" s="26" t="n">
        <f aca="false">E29</f>
        <v>2.52</v>
      </c>
      <c r="G76" s="13" t="n">
        <f aca="false">C76*F76*(1-$I$140)*$F$61</f>
        <v>25.2126</v>
      </c>
      <c r="I76" s="38" t="n">
        <v>2032</v>
      </c>
      <c r="J76" s="52" t="n">
        <f aca="false">J75*$I$143+J75+$B$12</f>
        <v>190009.840093029</v>
      </c>
      <c r="K76" s="38"/>
      <c r="L76" s="52" t="n">
        <f aca="false">N76*$I$97</f>
        <v>4919.17060932198</v>
      </c>
      <c r="M76" s="38"/>
      <c r="N76" s="52" t="n">
        <f aca="false">N75+N75*$I$95+$B$12</f>
        <v>325292.987192141</v>
      </c>
      <c r="O76" s="23"/>
      <c r="P76" s="50"/>
      <c r="Q76" s="25"/>
      <c r="R76" s="0"/>
      <c r="S76" s="0"/>
      <c r="T76" s="0"/>
    </row>
    <row r="77" customFormat="false" ht="12.8" hidden="false" customHeight="true" outlineLevel="0" collapsed="false">
      <c r="B77" s="53" t="s">
        <v>68</v>
      </c>
      <c r="C77" s="53"/>
      <c r="D77" s="53"/>
      <c r="E77" s="13" t="n">
        <f aca="false">SUM(E65:E76)</f>
        <v>8087.96479696986</v>
      </c>
      <c r="F77" s="13"/>
      <c r="G77" s="13" t="n">
        <f aca="false">SUM(G65:G76)</f>
        <v>66.033</v>
      </c>
      <c r="I77" s="15" t="n">
        <v>2033</v>
      </c>
      <c r="J77" s="46" t="n">
        <f aca="false">J76*$I$143+J76+$B$12</f>
        <v>214704.324023255</v>
      </c>
      <c r="K77" s="15"/>
      <c r="L77" s="46" t="n">
        <f aca="false">N77*$I$97</f>
        <v>5811.84719340148</v>
      </c>
      <c r="M77" s="15"/>
      <c r="N77" s="46" t="n">
        <f aca="false">N76+N76*$I$95+$B$12</f>
        <v>384323.554678744</v>
      </c>
      <c r="O77" s="23"/>
      <c r="P77" s="23"/>
      <c r="R77" s="0"/>
      <c r="S77" s="0"/>
      <c r="T77" s="0"/>
    </row>
    <row r="78" customFormat="false" ht="12.8" hidden="false" customHeight="true" outlineLevel="0" collapsed="false">
      <c r="B78" s="0"/>
      <c r="C78" s="0"/>
      <c r="D78" s="0"/>
      <c r="E78" s="0"/>
      <c r="F78" s="0"/>
      <c r="G78" s="0"/>
      <c r="I78" s="15" t="n">
        <v>2034</v>
      </c>
      <c r="J78" s="46" t="n">
        <f aca="false">J77*$I$143+J77+$B$12</f>
        <v>241868.256346504</v>
      </c>
      <c r="K78" s="15"/>
      <c r="L78" s="46" t="n">
        <f aca="false">N78*$I$97</f>
        <v>6850.89259929399</v>
      </c>
      <c r="M78" s="15"/>
      <c r="N78" s="46" t="n">
        <f aca="false">N77+N77*$I$95+$B$12</f>
        <v>453033.142280876</v>
      </c>
      <c r="O78" s="23"/>
      <c r="P78" s="23"/>
      <c r="R78" s="0"/>
      <c r="S78" s="0"/>
      <c r="T78" s="0"/>
    </row>
    <row r="79" customFormat="false" ht="12.8" hidden="false" customHeight="true" outlineLevel="0" collapsed="false">
      <c r="A79" s="38" t="s">
        <v>69</v>
      </c>
      <c r="B79" s="38"/>
      <c r="I79" s="15" t="n">
        <v>2035</v>
      </c>
      <c r="J79" s="46" t="n">
        <f aca="false">J78*$I$143+J78+$B$12</f>
        <v>271748.581902078</v>
      </c>
      <c r="K79" s="15"/>
      <c r="L79" s="46" t="n">
        <f aca="false">N79*$I$97</f>
        <v>8060.30637216627</v>
      </c>
      <c r="M79" s="15"/>
      <c r="N79" s="46" t="n">
        <f aca="false">N78+N78*$I$95+$B$12</f>
        <v>533008.782520597</v>
      </c>
      <c r="O79" s="0"/>
      <c r="P79" s="0"/>
      <c r="Q79" s="0"/>
      <c r="R79" s="0"/>
      <c r="S79" s="0"/>
      <c r="T79" s="0"/>
    </row>
    <row r="80" customFormat="false" ht="12.8" hidden="false" customHeight="true" outlineLevel="0" collapsed="false">
      <c r="A80" s="47" t="s">
        <v>14</v>
      </c>
      <c r="B80" s="47" t="s">
        <v>63</v>
      </c>
      <c r="C80" s="48" t="s">
        <v>64</v>
      </c>
      <c r="D80" s="48" t="s">
        <v>65</v>
      </c>
      <c r="E80" s="48" t="s">
        <v>66</v>
      </c>
      <c r="F80" s="47" t="s">
        <v>67</v>
      </c>
      <c r="G80" s="47" t="s">
        <v>18</v>
      </c>
      <c r="I80" s="15" t="n">
        <v>2036</v>
      </c>
      <c r="J80" s="46" t="n">
        <f aca="false">J79*$I$143+J79+$B$12</f>
        <v>304616.94001321</v>
      </c>
      <c r="K80" s="15"/>
      <c r="L80" s="46" t="n">
        <f aca="false">N80*$I$97</f>
        <v>9468.02317233515</v>
      </c>
      <c r="M80" s="15"/>
      <c r="N80" s="46" t="n">
        <f aca="false">N79+N79*$I$95+$B$12</f>
        <v>626097.727673205</v>
      </c>
      <c r="O80" s="0"/>
      <c r="P80" s="0"/>
      <c r="Q80" s="0"/>
      <c r="R80" s="0"/>
      <c r="S80" s="0"/>
      <c r="T80" s="0"/>
    </row>
    <row r="81" customFormat="false" ht="12.8" hidden="false" customHeight="true" outlineLevel="0" collapsed="false">
      <c r="A81" s="47"/>
      <c r="B81" s="47"/>
      <c r="C81" s="47"/>
      <c r="D81" s="47"/>
      <c r="E81" s="48"/>
      <c r="F81" s="47"/>
      <c r="G81" s="47"/>
      <c r="I81" s="38" t="n">
        <v>2037</v>
      </c>
      <c r="J81" s="52" t="n">
        <f aca="false">J80*$I$143+J80+$B$12</f>
        <v>340772.133935454</v>
      </c>
      <c r="K81" s="38"/>
      <c r="L81" s="52" t="n">
        <f aca="false">N81*$I$97</f>
        <v>11106.5580012972</v>
      </c>
      <c r="M81" s="38"/>
      <c r="N81" s="52" t="n">
        <f aca="false">N80+N80*$I$95+$B$12</f>
        <v>734450.117021399</v>
      </c>
      <c r="O81" s="23"/>
      <c r="R81" s="0"/>
      <c r="S81" s="0"/>
      <c r="T81" s="0"/>
    </row>
    <row r="82" customFormat="false" ht="12.8" hidden="false" customHeight="true" outlineLevel="0" collapsed="false">
      <c r="A82" s="24" t="str">
        <f aca="false">A18</f>
        <v>3M COMPANY</v>
      </c>
      <c r="B82" s="49" t="n">
        <v>1</v>
      </c>
      <c r="C82" s="23" t="n">
        <f aca="false">C65+B82</f>
        <v>3</v>
      </c>
      <c r="D82" s="13" t="n">
        <f aca="false">D65+D65*D18</f>
        <v>233.981026207849</v>
      </c>
      <c r="E82" s="13" t="n">
        <f aca="false">C82*D82</f>
        <v>701.943078623547</v>
      </c>
      <c r="F82" s="26" t="n">
        <f aca="false">(F65+F65*G18)</f>
        <v>6.04928</v>
      </c>
      <c r="G82" s="13" t="n">
        <f aca="false">F82*C82*(1-$I$140)</f>
        <v>15.7886208</v>
      </c>
      <c r="I82" s="15" t="n">
        <v>2038</v>
      </c>
      <c r="J82" s="46" t="n">
        <f aca="false">J81*$I$143+J81+$B$12</f>
        <v>380542.847249923</v>
      </c>
      <c r="K82" s="15"/>
      <c r="L82" s="46" t="n">
        <f aca="false">N82*$I$97</f>
        <v>13013.757223044</v>
      </c>
      <c r="M82" s="15"/>
      <c r="N82" s="46" t="n">
        <f aca="false">N81+N81*$I$95+$B$12</f>
        <v>860568.640098611</v>
      </c>
      <c r="O82" s="23"/>
      <c r="P82" s="50"/>
      <c r="Q82" s="25"/>
      <c r="R82" s="0"/>
      <c r="S82" s="0"/>
      <c r="T82" s="0"/>
    </row>
    <row r="83" customFormat="false" ht="12.8" hidden="false" customHeight="true" outlineLevel="0" collapsed="false">
      <c r="A83" s="24" t="str">
        <f aca="false">A19</f>
        <v>APPLE</v>
      </c>
      <c r="B83" s="49" t="n">
        <v>1</v>
      </c>
      <c r="C83" s="23" t="n">
        <f aca="false">C66+B83</f>
        <v>3</v>
      </c>
      <c r="D83" s="13" t="n">
        <f aca="false">D66+D66*D19</f>
        <v>254.312894082414</v>
      </c>
      <c r="E83" s="13" t="n">
        <f aca="false">C83*D83</f>
        <v>762.938682247242</v>
      </c>
      <c r="F83" s="26" t="n">
        <f aca="false">(F66+F66*G19)</f>
        <v>3.21492</v>
      </c>
      <c r="G83" s="13" t="n">
        <f aca="false">F83*C83*(1-$I$140)</f>
        <v>8.3909412</v>
      </c>
      <c r="I83" s="15" t="n">
        <v>2039</v>
      </c>
      <c r="J83" s="46" t="n">
        <f aca="false">J82*$I$143+J82+$B$12</f>
        <v>424290.631895839</v>
      </c>
      <c r="K83" s="15"/>
      <c r="L83" s="46" t="n">
        <f aca="false">N83*$I$97</f>
        <v>15233.6727275165</v>
      </c>
      <c r="M83" s="15"/>
      <c r="N83" s="46" t="n">
        <f aca="false">N82+N82*$I$95+$B$12</f>
        <v>1007366.34302755</v>
      </c>
      <c r="O83" s="23"/>
      <c r="P83" s="50"/>
      <c r="Q83" s="25"/>
      <c r="R83" s="0"/>
      <c r="S83" s="0"/>
      <c r="T83" s="0"/>
    </row>
    <row r="84" customFormat="false" ht="12.8" hidden="false" customHeight="false" outlineLevel="0" collapsed="false">
      <c r="A84" s="24" t="str">
        <f aca="false">A20</f>
        <v>CINTAS</v>
      </c>
      <c r="B84" s="49" t="n">
        <v>1</v>
      </c>
      <c r="C84" s="23" t="n">
        <f aca="false">C67+B84</f>
        <v>3</v>
      </c>
      <c r="D84" s="13" t="n">
        <f aca="false">D67+D67*D20</f>
        <v>257.366054839076</v>
      </c>
      <c r="E84" s="13" t="n">
        <f aca="false">C84*D84</f>
        <v>772.098164517228</v>
      </c>
      <c r="F84" s="26" t="n">
        <f aca="false">(F67+F67*G20)</f>
        <v>2.0088</v>
      </c>
      <c r="G84" s="13" t="n">
        <f aca="false">F84*C84*(1-$I$140)</f>
        <v>5.242968</v>
      </c>
      <c r="I84" s="15"/>
      <c r="J84" s="46"/>
      <c r="K84" s="15"/>
      <c r="L84" s="46"/>
      <c r="M84" s="15"/>
      <c r="N84" s="46"/>
      <c r="O84" s="23"/>
      <c r="P84" s="50"/>
      <c r="Q84" s="25"/>
      <c r="R84" s="0"/>
      <c r="S84" s="0"/>
      <c r="T84" s="0"/>
    </row>
    <row r="85" customFormat="false" ht="12.8" hidden="false" customHeight="true" outlineLevel="0" collapsed="false">
      <c r="A85" s="24" t="str">
        <f aca="false">A21</f>
        <v>HOME DEPOT</v>
      </c>
      <c r="B85" s="49" t="n">
        <v>1</v>
      </c>
      <c r="C85" s="23" t="n">
        <f aca="false">C68+B85</f>
        <v>3</v>
      </c>
      <c r="D85" s="13" t="n">
        <f aca="false">D68+D68*D21</f>
        <v>273.364007526313</v>
      </c>
      <c r="E85" s="13" t="n">
        <f aca="false">C85*D85</f>
        <v>820.092022578939</v>
      </c>
      <c r="F85" s="26" t="n">
        <f aca="false">(F68+F68*G21)</f>
        <v>5.09644</v>
      </c>
      <c r="G85" s="13" t="n">
        <f aca="false">F85*C85*(1-$I$140)</f>
        <v>13.3017084</v>
      </c>
      <c r="I85" s="0"/>
      <c r="J85" s="0"/>
      <c r="K85" s="0"/>
      <c r="L85" s="0"/>
      <c r="N85" s="0"/>
      <c r="O85" s="23"/>
      <c r="P85" s="50"/>
      <c r="Q85" s="25"/>
      <c r="R85" s="0"/>
      <c r="S85" s="0"/>
      <c r="T85" s="0"/>
    </row>
    <row r="86" customFormat="false" ht="12.8" hidden="false" customHeight="true" outlineLevel="0" collapsed="false">
      <c r="A86" s="24" t="str">
        <f aca="false">A22</f>
        <v>UNITEDHEALTH</v>
      </c>
      <c r="B86" s="49" t="n">
        <v>1</v>
      </c>
      <c r="C86" s="23" t="n">
        <f aca="false">C69+B86</f>
        <v>2</v>
      </c>
      <c r="D86" s="13" t="n">
        <f aca="false">D69+D69*D22</f>
        <v>362.384211740305</v>
      </c>
      <c r="E86" s="13" t="n">
        <f aca="false">C86*D86</f>
        <v>724.76842348061</v>
      </c>
      <c r="F86" s="26" t="n">
        <f aca="false">(F69+F69*G22)</f>
        <v>4.572</v>
      </c>
      <c r="G86" s="13" t="n">
        <f aca="false">F86*C86*(1-$I$140)</f>
        <v>7.95528</v>
      </c>
      <c r="I86" s="44" t="s">
        <v>70</v>
      </c>
      <c r="J86" s="44"/>
      <c r="O86" s="23"/>
      <c r="P86" s="50"/>
      <c r="Q86" s="25"/>
      <c r="R86" s="0"/>
      <c r="S86" s="0"/>
      <c r="T86" s="0"/>
    </row>
    <row r="87" customFormat="false" ht="12.8" hidden="false" customHeight="true" outlineLevel="0" collapsed="false">
      <c r="A87" s="24" t="str">
        <f aca="false">A23</f>
        <v>TEXAS INC</v>
      </c>
      <c r="B87" s="49" t="n">
        <v>2</v>
      </c>
      <c r="C87" s="23" t="n">
        <f aca="false">C70+B87</f>
        <v>5</v>
      </c>
      <c r="D87" s="13" t="n">
        <f aca="false">D70+D70*D23</f>
        <v>140.103449872096</v>
      </c>
      <c r="E87" s="13" t="n">
        <f aca="false">C87*D87</f>
        <v>700.51724936048</v>
      </c>
      <c r="F87" s="26" t="n">
        <f aca="false">(F70+F70*G23)</f>
        <v>2.96608</v>
      </c>
      <c r="G87" s="13" t="n">
        <f aca="false">F87*C87*(1-$I$140)</f>
        <v>12.902448</v>
      </c>
      <c r="I87" s="44"/>
      <c r="J87" s="44"/>
      <c r="N87" s="39"/>
      <c r="O87" s="23"/>
      <c r="P87" s="50"/>
      <c r="Q87" s="25"/>
      <c r="R87" s="0"/>
      <c r="S87" s="0"/>
      <c r="T87" s="0"/>
    </row>
    <row r="88" customFormat="false" ht="12.8" hidden="false" customHeight="true" outlineLevel="0" collapsed="false">
      <c r="A88" s="24" t="str">
        <f aca="false">A24</f>
        <v>ACCENTURE</v>
      </c>
      <c r="B88" s="49" t="n">
        <v>2</v>
      </c>
      <c r="C88" s="23" t="n">
        <f aca="false">C71+B88</f>
        <v>4</v>
      </c>
      <c r="D88" s="13" t="n">
        <f aca="false">D71+D71*D24</f>
        <v>201.184436057363</v>
      </c>
      <c r="E88" s="13" t="n">
        <f aca="false">C88*D88</f>
        <v>804.737744229452</v>
      </c>
      <c r="F88" s="26" t="n">
        <f aca="false">(F71+F71*G24)</f>
        <v>2.90472</v>
      </c>
      <c r="G88" s="13" t="n">
        <f aca="false">F88*C88*(1-$I$140)</f>
        <v>10.1084256</v>
      </c>
      <c r="I88" s="22" t="n">
        <v>43276</v>
      </c>
      <c r="J88" s="13" t="n">
        <f aca="false">C46</f>
        <v>4891.85</v>
      </c>
      <c r="K88" s="15" t="s">
        <v>71</v>
      </c>
      <c r="L88" s="15"/>
      <c r="O88" s="23"/>
      <c r="P88" s="50"/>
      <c r="Q88" s="25"/>
      <c r="R88" s="0"/>
      <c r="S88" s="0"/>
      <c r="T88" s="0"/>
    </row>
    <row r="89" customFormat="false" ht="12.8" hidden="false" customHeight="true" outlineLevel="0" collapsed="false">
      <c r="A89" s="24" t="str">
        <f aca="false">A25</f>
        <v>MICROSOFT</v>
      </c>
      <c r="B89" s="49" t="n">
        <v>2</v>
      </c>
      <c r="C89" s="23" t="n">
        <f aca="false">C72+B89</f>
        <v>6</v>
      </c>
      <c r="D89" s="13" t="n">
        <f aca="false">D72+D72*D25</f>
        <v>123.819421629967</v>
      </c>
      <c r="E89" s="13" t="n">
        <f aca="false">C89*D89</f>
        <v>742.916529779802</v>
      </c>
      <c r="F89" s="26" t="n">
        <f aca="false">(F72+F72*G25)</f>
        <v>1.87152</v>
      </c>
      <c r="G89" s="13" t="n">
        <f aca="false">F89*C89*(1-$I$140)</f>
        <v>9.7693344</v>
      </c>
      <c r="I89" s="22" t="n">
        <v>43465</v>
      </c>
      <c r="J89" s="13" t="n">
        <f aca="false">B12*(D61/365)</f>
        <v>2948.14105494401</v>
      </c>
      <c r="K89" s="31" t="s">
        <v>12</v>
      </c>
      <c r="L89" s="31"/>
      <c r="O89" s="23"/>
      <c r="P89" s="50"/>
      <c r="Q89" s="25"/>
      <c r="R89" s="0"/>
      <c r="S89" s="0"/>
      <c r="T89" s="0"/>
    </row>
    <row r="90" customFormat="false" ht="12.8" hidden="false" customHeight="true" outlineLevel="0" collapsed="false">
      <c r="A90" s="24" t="str">
        <f aca="false">A26</f>
        <v>ROSS STORES</v>
      </c>
      <c r="B90" s="49" t="n">
        <v>2</v>
      </c>
      <c r="C90" s="23" t="n">
        <f aca="false">C73+B90</f>
        <v>6</v>
      </c>
      <c r="D90" s="13" t="n">
        <f aca="false">D73+D73*D26</f>
        <v>121.999618831562</v>
      </c>
      <c r="E90" s="13" t="n">
        <f aca="false">C90*D90</f>
        <v>731.997712989372</v>
      </c>
      <c r="F90" s="26" t="n">
        <f aca="false">(F73+F73*G26)</f>
        <v>1.053</v>
      </c>
      <c r="G90" s="13" t="n">
        <f aca="false">F90*C90*(1-$I$140)</f>
        <v>5.49666</v>
      </c>
      <c r="I90" s="22" t="n">
        <v>43830</v>
      </c>
      <c r="J90" s="13" t="n">
        <f aca="false">B12</f>
        <v>5693.49992092361</v>
      </c>
      <c r="K90" s="31"/>
      <c r="L90" s="31"/>
      <c r="O90" s="23"/>
      <c r="P90" s="50"/>
      <c r="Q90" s="25"/>
      <c r="R90" s="0"/>
      <c r="S90" s="0"/>
      <c r="T90" s="0"/>
    </row>
    <row r="91" customFormat="false" ht="12.8" hidden="false" customHeight="false" outlineLevel="0" collapsed="false">
      <c r="A91" s="24" t="str">
        <f aca="false">A27</f>
        <v>AO SMITH</v>
      </c>
      <c r="B91" s="49" t="n">
        <v>2</v>
      </c>
      <c r="C91" s="23" t="n">
        <f aca="false">C74+B91</f>
        <v>8</v>
      </c>
      <c r="D91" s="13" t="n">
        <f aca="false">D74+D74*D27</f>
        <v>86.8330202079814</v>
      </c>
      <c r="E91" s="13" t="n">
        <f aca="false">C91*D91</f>
        <v>694.664161663851</v>
      </c>
      <c r="F91" s="26" t="n">
        <f aca="false">(F74+F74*G27)</f>
        <v>0.88632</v>
      </c>
      <c r="G91" s="13" t="n">
        <f aca="false">F91*C91*(1-$I$140)</f>
        <v>6.1687872</v>
      </c>
      <c r="I91" s="22" t="n">
        <v>44196</v>
      </c>
      <c r="J91" s="13" t="n">
        <f aca="false">B12</f>
        <v>5693.49992092361</v>
      </c>
      <c r="K91" s="31"/>
      <c r="L91" s="31"/>
      <c r="O91" s="23"/>
      <c r="P91" s="50"/>
      <c r="Q91" s="25"/>
      <c r="R91" s="0"/>
      <c r="S91" s="0"/>
      <c r="T91" s="0"/>
    </row>
    <row r="92" customFormat="false" ht="12.8" hidden="false" customHeight="false" outlineLevel="0" collapsed="false">
      <c r="A92" s="24" t="str">
        <f aca="false">A28</f>
        <v>VANGUARD S&amp;P500</v>
      </c>
      <c r="B92" s="49" t="n">
        <v>5</v>
      </c>
      <c r="C92" s="23" t="n">
        <f aca="false">C75+B92</f>
        <v>13</v>
      </c>
      <c r="D92" s="13" t="n">
        <f aca="false">D75+D75*D28</f>
        <v>293.370069315069</v>
      </c>
      <c r="E92" s="13" t="n">
        <f aca="false">C92*D92</f>
        <v>3813.8109010959</v>
      </c>
      <c r="F92" s="26" t="n">
        <f aca="false">(F75+F75*G28)</f>
        <v>4.66774</v>
      </c>
      <c r="G92" s="13" t="n">
        <f aca="false">F92*C92*(1-$I$140)</f>
        <v>52.7921394</v>
      </c>
      <c r="I92" s="22" t="n">
        <v>44561</v>
      </c>
      <c r="J92" s="13" t="n">
        <f aca="false">B12</f>
        <v>5693.49992092361</v>
      </c>
      <c r="K92" s="31"/>
      <c r="L92" s="31"/>
      <c r="O92" s="23"/>
      <c r="P92" s="50"/>
      <c r="Q92" s="25"/>
      <c r="R92" s="0"/>
      <c r="S92" s="0"/>
      <c r="T92" s="0"/>
    </row>
    <row r="93" customFormat="false" ht="12.8" hidden="false" customHeight="true" outlineLevel="0" collapsed="false">
      <c r="A93" s="24" t="str">
        <f aca="false">A29</f>
        <v>VANGUARD HIGH DIVIDEND</v>
      </c>
      <c r="B93" s="49" t="n">
        <v>16</v>
      </c>
      <c r="C93" s="23" t="n">
        <f aca="false">C76+B93</f>
        <v>39</v>
      </c>
      <c r="D93" s="13" t="n">
        <f aca="false">D76+D76*D29</f>
        <v>96.9681934156888</v>
      </c>
      <c r="E93" s="13" t="n">
        <f aca="false">C93*D93</f>
        <v>3781.75954321186</v>
      </c>
      <c r="F93" s="26" t="n">
        <f aca="false">(F76+F76*G29)</f>
        <v>2.7216</v>
      </c>
      <c r="G93" s="13" t="n">
        <f aca="false">F93*C93*(1-$I$140)</f>
        <v>92.343888</v>
      </c>
      <c r="I93" s="22" t="n">
        <v>44926</v>
      </c>
      <c r="J93" s="13" t="n">
        <f aca="false">B12</f>
        <v>5693.49992092361</v>
      </c>
      <c r="K93" s="31"/>
      <c r="L93" s="31"/>
      <c r="O93" s="23"/>
      <c r="P93" s="50"/>
      <c r="Q93" s="25"/>
      <c r="R93" s="0"/>
      <c r="S93" s="0"/>
      <c r="T93" s="0"/>
    </row>
    <row r="94" customFormat="false" ht="12.8" hidden="false" customHeight="false" outlineLevel="0" collapsed="false">
      <c r="B94" s="53" t="s">
        <v>68</v>
      </c>
      <c r="C94" s="53"/>
      <c r="D94" s="53"/>
      <c r="E94" s="13" t="n">
        <f aca="false">SUM(E82:E93)</f>
        <v>15052.2442137783</v>
      </c>
      <c r="F94" s="13"/>
      <c r="G94" s="13" t="n">
        <f aca="false">SUM(G82:G93)</f>
        <v>240.261201</v>
      </c>
      <c r="I94" s="22" t="n">
        <v>44926</v>
      </c>
      <c r="J94" s="13" t="n">
        <f aca="false">-E145</f>
        <v>-44147.6323341715</v>
      </c>
      <c r="K94" s="15" t="s">
        <v>72</v>
      </c>
      <c r="L94" s="15"/>
      <c r="O94" s="23"/>
      <c r="P94" s="23"/>
      <c r="R94" s="0"/>
      <c r="S94" s="0"/>
      <c r="T94" s="0"/>
    </row>
    <row r="95" customFormat="false" ht="12.8" hidden="false" customHeight="true" outlineLevel="0" collapsed="false">
      <c r="A95" s="0"/>
      <c r="B95" s="0"/>
      <c r="C95" s="0"/>
      <c r="D95" s="0"/>
      <c r="E95" s="0"/>
      <c r="F95" s="0"/>
      <c r="G95" s="0"/>
      <c r="I95" s="27" t="n">
        <f aca="false">XIRR(J88:J94,I88:I94)</f>
        <v>0.16396623863943</v>
      </c>
      <c r="J95" s="27" t="s">
        <v>73</v>
      </c>
      <c r="K95" s="27"/>
      <c r="L95" s="27"/>
      <c r="O95" s="0"/>
      <c r="P95" s="0"/>
      <c r="Q95" s="0"/>
      <c r="R95" s="0"/>
      <c r="S95" s="0"/>
      <c r="T95" s="0"/>
    </row>
    <row r="96" customFormat="false" ht="12.8" hidden="false" customHeight="false" outlineLevel="0" collapsed="false">
      <c r="A96" s="38" t="s">
        <v>74</v>
      </c>
      <c r="B96" s="38"/>
      <c r="I96" s="27"/>
      <c r="J96" s="27"/>
      <c r="K96" s="27"/>
      <c r="L96" s="27"/>
      <c r="O96" s="23"/>
      <c r="R96" s="0"/>
      <c r="S96" s="0"/>
      <c r="T96" s="0"/>
    </row>
    <row r="97" customFormat="false" ht="12.8" hidden="false" customHeight="true" outlineLevel="0" collapsed="false">
      <c r="A97" s="47" t="s">
        <v>14</v>
      </c>
      <c r="B97" s="47" t="s">
        <v>63</v>
      </c>
      <c r="C97" s="48" t="s">
        <v>64</v>
      </c>
      <c r="D97" s="48" t="s">
        <v>65</v>
      </c>
      <c r="E97" s="48" t="s">
        <v>66</v>
      </c>
      <c r="F97" s="47" t="s">
        <v>67</v>
      </c>
      <c r="G97" s="47" t="s">
        <v>18</v>
      </c>
      <c r="I97" s="27" t="n">
        <f aca="false">G145/E145</f>
        <v>0.01512227684889</v>
      </c>
      <c r="J97" s="28" t="s">
        <v>75</v>
      </c>
      <c r="K97" s="28"/>
      <c r="L97" s="28"/>
      <c r="O97" s="0"/>
      <c r="P97" s="0"/>
      <c r="Q97" s="0"/>
      <c r="R97" s="0"/>
      <c r="S97" s="0"/>
      <c r="T97" s="0"/>
    </row>
    <row r="98" customFormat="false" ht="12.8" hidden="false" customHeight="false" outlineLevel="0" collapsed="false">
      <c r="A98" s="47"/>
      <c r="B98" s="47"/>
      <c r="C98" s="47"/>
      <c r="D98" s="47"/>
      <c r="E98" s="48"/>
      <c r="F98" s="47"/>
      <c r="G98" s="47"/>
      <c r="I98" s="27"/>
      <c r="J98" s="27"/>
      <c r="K98" s="28"/>
      <c r="L98" s="28"/>
      <c r="O98" s="23"/>
      <c r="R98" s="0"/>
      <c r="S98" s="0"/>
      <c r="T98" s="0"/>
    </row>
    <row r="99" customFormat="false" ht="12.8" hidden="false" customHeight="true" outlineLevel="0" collapsed="false">
      <c r="A99" s="24" t="str">
        <f aca="false">A18</f>
        <v>3M COMPANY</v>
      </c>
      <c r="B99" s="49" t="n">
        <v>1</v>
      </c>
      <c r="C99" s="23" t="n">
        <f aca="false">C82+B99</f>
        <v>4</v>
      </c>
      <c r="D99" s="13" t="n">
        <f aca="false">D82+D82*D18</f>
        <v>262.222536071137</v>
      </c>
      <c r="E99" s="13" t="n">
        <f aca="false">C99*D99</f>
        <v>1048.89014428455</v>
      </c>
      <c r="F99" s="26" t="n">
        <f aca="false">(F82+F82*G18)</f>
        <v>6.72679936</v>
      </c>
      <c r="G99" s="13" t="n">
        <f aca="false">F99*C99*(1-$I$140)</f>
        <v>23.4092617728</v>
      </c>
      <c r="I99" s="0"/>
      <c r="J99" s="0"/>
      <c r="K99" s="0"/>
      <c r="L99" s="0"/>
      <c r="O99" s="23"/>
      <c r="P99" s="50"/>
      <c r="Q99" s="25"/>
      <c r="R99" s="0"/>
      <c r="S99" s="0"/>
      <c r="T99" s="0"/>
    </row>
    <row r="100" customFormat="false" ht="12.8" hidden="false" customHeight="false" outlineLevel="0" collapsed="false">
      <c r="A100" s="24" t="str">
        <f aca="false">A19</f>
        <v>APPLE</v>
      </c>
      <c r="B100" s="49" t="n">
        <v>1</v>
      </c>
      <c r="C100" s="23" t="n">
        <f aca="false">C83+B100</f>
        <v>4</v>
      </c>
      <c r="D100" s="13" t="n">
        <f aca="false">D83+D83*D19</f>
        <v>312.626840695512</v>
      </c>
      <c r="E100" s="13" t="n">
        <f aca="false">C100*D100</f>
        <v>1250.50736278205</v>
      </c>
      <c r="F100" s="26" t="n">
        <f aca="false">(F83+F83*G19)</f>
        <v>3.53962692</v>
      </c>
      <c r="G100" s="13" t="n">
        <f aca="false">F100*C100*(1-$I$140)</f>
        <v>12.3179016816</v>
      </c>
      <c r="I100" s="0"/>
      <c r="J100" s="0"/>
      <c r="K100" s="0"/>
      <c r="L100" s="0"/>
      <c r="O100" s="23"/>
      <c r="P100" s="50"/>
      <c r="Q100" s="25"/>
      <c r="R100" s="0"/>
      <c r="S100" s="0"/>
      <c r="T100" s="0"/>
    </row>
    <row r="101" customFormat="false" ht="12.8" hidden="false" customHeight="true" outlineLevel="0" collapsed="false">
      <c r="A101" s="24" t="str">
        <f aca="false">A20</f>
        <v>CINTAS</v>
      </c>
      <c r="B101" s="49" t="n">
        <v>1</v>
      </c>
      <c r="C101" s="23" t="n">
        <f aca="false">C84+B101</f>
        <v>4</v>
      </c>
      <c r="D101" s="13" t="n">
        <f aca="false">D84+D84*D20</f>
        <v>314.784421673674</v>
      </c>
      <c r="E101" s="13" t="n">
        <f aca="false">C101*D101</f>
        <v>1259.1376866947</v>
      </c>
      <c r="F101" s="26" t="n">
        <f aca="false">(F84+F84*G20)</f>
        <v>2.490912</v>
      </c>
      <c r="G101" s="13" t="n">
        <f aca="false">F101*C101*(1-$I$140)</f>
        <v>8.66837376</v>
      </c>
      <c r="I101" s="32" t="s">
        <v>76</v>
      </c>
      <c r="J101" s="32"/>
      <c r="K101" s="0"/>
      <c r="L101" s="0"/>
      <c r="O101" s="23"/>
      <c r="P101" s="50"/>
      <c r="Q101" s="25"/>
      <c r="R101" s="0"/>
      <c r="S101" s="0"/>
      <c r="T101" s="0"/>
    </row>
    <row r="102" customFormat="false" ht="12.8" hidden="false" customHeight="false" outlineLevel="0" collapsed="false">
      <c r="A102" s="24" t="str">
        <f aca="false">A21</f>
        <v>HOME DEPOT</v>
      </c>
      <c r="B102" s="49" t="n">
        <v>0</v>
      </c>
      <c r="C102" s="23" t="n">
        <f aca="false">C85+B102</f>
        <v>3</v>
      </c>
      <c r="D102" s="13" t="n">
        <f aca="false">D85+D85*D21</f>
        <v>337.522540092738</v>
      </c>
      <c r="E102" s="13" t="n">
        <f aca="false">C102*D102</f>
        <v>1012.56762027821</v>
      </c>
      <c r="F102" s="26" t="n">
        <f aca="false">(F85+F85*G21)</f>
        <v>6.30429628</v>
      </c>
      <c r="G102" s="13" t="n">
        <f aca="false">F102*C102*(1-$I$140)</f>
        <v>16.4542132908</v>
      </c>
      <c r="I102" s="32"/>
      <c r="J102" s="32"/>
      <c r="K102" s="0"/>
      <c r="L102" s="0"/>
      <c r="N102" s="39"/>
      <c r="O102" s="23"/>
      <c r="P102" s="50"/>
      <c r="Q102" s="25"/>
      <c r="R102" s="0"/>
      <c r="S102" s="0"/>
      <c r="T102" s="0"/>
    </row>
    <row r="103" customFormat="false" ht="12.8" hidden="false" customHeight="false" outlineLevel="0" collapsed="false">
      <c r="A103" s="24" t="str">
        <f aca="false">A22</f>
        <v>UNITEDHEALTH</v>
      </c>
      <c r="B103" s="49" t="n">
        <v>1</v>
      </c>
      <c r="C103" s="23" t="n">
        <f aca="false">C86+B103</f>
        <v>3</v>
      </c>
      <c r="D103" s="13" t="n">
        <f aca="false">D86+D86*D22</f>
        <v>455.589430999911</v>
      </c>
      <c r="E103" s="13" t="n">
        <f aca="false">C103*D103</f>
        <v>1366.76829299973</v>
      </c>
      <c r="F103" s="26" t="n">
        <f aca="false">(F86+F86*G22)</f>
        <v>5.80644</v>
      </c>
      <c r="G103" s="13" t="n">
        <f aca="false">F103*C103*(1-$I$140)</f>
        <v>15.1548084</v>
      </c>
      <c r="I103" s="54" t="s">
        <v>77</v>
      </c>
      <c r="J103" s="54"/>
      <c r="K103" s="0"/>
      <c r="L103" s="0"/>
      <c r="O103" s="23"/>
      <c r="P103" s="50"/>
      <c r="Q103" s="25"/>
      <c r="R103" s="0"/>
      <c r="S103" s="0"/>
      <c r="T103" s="0"/>
    </row>
    <row r="104" customFormat="false" ht="12.8" hidden="false" customHeight="false" outlineLevel="0" collapsed="false">
      <c r="A104" s="24" t="str">
        <f aca="false">A23</f>
        <v>TEXAS INC</v>
      </c>
      <c r="B104" s="49" t="n">
        <v>2</v>
      </c>
      <c r="C104" s="23" t="n">
        <f aca="false">C87+B104</f>
        <v>7</v>
      </c>
      <c r="D104" s="13" t="n">
        <f aca="false">D87+D87*D23</f>
        <v>161.735422532348</v>
      </c>
      <c r="E104" s="13" t="n">
        <f aca="false">C104*D104</f>
        <v>1132.14795772644</v>
      </c>
      <c r="F104" s="26" t="n">
        <f aca="false">(F87+F87*G23)</f>
        <v>3.54743168</v>
      </c>
      <c r="G104" s="13" t="n">
        <f aca="false">F104*C104*(1-$I$140)</f>
        <v>21.6038589312</v>
      </c>
      <c r="I104" s="1" t="n">
        <v>2018</v>
      </c>
      <c r="J104" s="13" t="n">
        <f aca="false">(J88*I95*0.9*(D61/365))+J88+J89</f>
        <v>8213.79081216992</v>
      </c>
      <c r="O104" s="23"/>
      <c r="P104" s="50"/>
      <c r="Q104" s="25"/>
      <c r="R104" s="0"/>
      <c r="S104" s="0"/>
      <c r="T104" s="0"/>
    </row>
    <row r="105" customFormat="false" ht="12.8" hidden="false" customHeight="false" outlineLevel="0" collapsed="false">
      <c r="A105" s="24" t="str">
        <f aca="false">A24</f>
        <v>ACCENTURE</v>
      </c>
      <c r="B105" s="49" t="n">
        <v>1</v>
      </c>
      <c r="C105" s="23" t="n">
        <f aca="false">C88+B105</f>
        <v>5</v>
      </c>
      <c r="D105" s="13" t="n">
        <f aca="false">D88+D88*D24</f>
        <v>233.876906916685</v>
      </c>
      <c r="E105" s="13" t="n">
        <f aca="false">C105*D105</f>
        <v>1169.38453458343</v>
      </c>
      <c r="F105" s="26" t="n">
        <f aca="false">(F88+F88*G24)</f>
        <v>3.17195424</v>
      </c>
      <c r="G105" s="13" t="n">
        <f aca="false">F105*C105*(1-$I$140)</f>
        <v>13.798000944</v>
      </c>
      <c r="I105" s="1" t="n">
        <v>2019</v>
      </c>
      <c r="J105" s="13" t="n">
        <f aca="false">((J104)*($I$95*0.9)+J104+J90)</f>
        <v>15119.3966790919</v>
      </c>
      <c r="K105" s="28"/>
      <c r="L105" s="28"/>
      <c r="O105" s="23"/>
      <c r="P105" s="50"/>
      <c r="Q105" s="25"/>
      <c r="R105" s="0"/>
      <c r="S105" s="0"/>
      <c r="T105" s="0"/>
    </row>
    <row r="106" customFormat="false" ht="12.8" hidden="false" customHeight="false" outlineLevel="0" collapsed="false">
      <c r="A106" s="24" t="str">
        <f aca="false">A25</f>
        <v>MICROSOFT</v>
      </c>
      <c r="B106" s="49" t="n">
        <v>2</v>
      </c>
      <c r="C106" s="23" t="n">
        <f aca="false">C89+B106</f>
        <v>8</v>
      </c>
      <c r="D106" s="13" t="n">
        <f aca="false">D89+D89*D25</f>
        <v>141.934203014432</v>
      </c>
      <c r="E106" s="13" t="n">
        <f aca="false">C106*D106</f>
        <v>1135.47362411546</v>
      </c>
      <c r="F106" s="26" t="n">
        <f aca="false">(F89+F89*G25)</f>
        <v>2.08487328</v>
      </c>
      <c r="G106" s="13" t="n">
        <f aca="false">F106*C106*(1-$I$140)</f>
        <v>14.5107180288</v>
      </c>
      <c r="I106" s="1" t="n">
        <v>2020</v>
      </c>
      <c r="J106" s="13" t="n">
        <f aca="false">((J105)*($I$95*0.9)+J105+J91)</f>
        <v>23044.0601435869</v>
      </c>
      <c r="O106" s="23"/>
      <c r="P106" s="50"/>
      <c r="Q106" s="25"/>
      <c r="R106" s="0"/>
      <c r="S106" s="0"/>
      <c r="T106" s="0"/>
    </row>
    <row r="107" customFormat="false" ht="12.8" hidden="false" customHeight="false" outlineLevel="0" collapsed="false">
      <c r="A107" s="24" t="str">
        <f aca="false">A26</f>
        <v>ROSS STORES</v>
      </c>
      <c r="B107" s="49" t="n">
        <v>1</v>
      </c>
      <c r="C107" s="23" t="n">
        <f aca="false">C90+B107</f>
        <v>7</v>
      </c>
      <c r="D107" s="13" t="n">
        <f aca="false">D90+D90*D26</f>
        <v>152.987522014778</v>
      </c>
      <c r="E107" s="13" t="n">
        <f aca="false">C107*D107</f>
        <v>1070.91265410345</v>
      </c>
      <c r="F107" s="26" t="n">
        <f aca="false">(F90+F90*G26)</f>
        <v>1.23201</v>
      </c>
      <c r="G107" s="13" t="n">
        <f aca="false">F107*C107*(1-$I$140)</f>
        <v>7.5029409</v>
      </c>
      <c r="I107" s="1" t="n">
        <v>2021</v>
      </c>
      <c r="J107" s="13" t="n">
        <f aca="false">((J106)*($I$95*0.9)+J106+J92)</f>
        <v>32138.1631427628</v>
      </c>
      <c r="O107" s="23"/>
      <c r="P107" s="50"/>
      <c r="Q107" s="25"/>
      <c r="R107" s="0"/>
      <c r="S107" s="0"/>
      <c r="T107" s="0"/>
    </row>
    <row r="108" customFormat="false" ht="12.8" hidden="false" customHeight="false" outlineLevel="0" collapsed="false">
      <c r="A108" s="24" t="str">
        <f aca="false">A27</f>
        <v>AO SMITH</v>
      </c>
      <c r="B108" s="49" t="n">
        <v>2</v>
      </c>
      <c r="C108" s="23" t="n">
        <f aca="false">C91+B108</f>
        <v>10</v>
      </c>
      <c r="D108" s="13" t="n">
        <f aca="false">D91+D91*D27</f>
        <v>109.947970187346</v>
      </c>
      <c r="E108" s="13" t="n">
        <f aca="false">C108*D108</f>
        <v>1099.47970187346</v>
      </c>
      <c r="F108" s="26" t="n">
        <f aca="false">(F91+F91*G27)</f>
        <v>1.09105992</v>
      </c>
      <c r="G108" s="13" t="n">
        <f aca="false">F108*C108*(1-$I$140)</f>
        <v>9.492221304</v>
      </c>
      <c r="I108" s="1" t="n">
        <v>2022</v>
      </c>
      <c r="J108" s="13" t="n">
        <f aca="false">((J107)*($I$95*0.9)+J107+J93)</f>
        <v>42574.2794182556</v>
      </c>
      <c r="O108" s="23"/>
      <c r="P108" s="50"/>
      <c r="Q108" s="25"/>
      <c r="R108" s="0"/>
      <c r="S108" s="0"/>
      <c r="T108" s="0"/>
    </row>
    <row r="109" customFormat="false" ht="12.8" hidden="false" customHeight="false" outlineLevel="0" collapsed="false">
      <c r="A109" s="24" t="str">
        <f aca="false">A28</f>
        <v>VANGUARD S&amp;P500</v>
      </c>
      <c r="B109" s="49" t="n">
        <v>5</v>
      </c>
      <c r="C109" s="23" t="n">
        <f aca="false">C92+B109</f>
        <v>18</v>
      </c>
      <c r="D109" s="13" t="n">
        <f aca="false">D92+D92*D28</f>
        <v>322.707076246575</v>
      </c>
      <c r="E109" s="13" t="n">
        <f aca="false">C109*D109</f>
        <v>5808.72737243835</v>
      </c>
      <c r="F109" s="26" t="n">
        <f aca="false">(F92+F92*G28)</f>
        <v>5.03182372</v>
      </c>
      <c r="G109" s="13" t="n">
        <f aca="false">F109*C109*(1-$I$140)</f>
        <v>78.7983594552</v>
      </c>
      <c r="I109" s="1" t="n">
        <v>2023</v>
      </c>
      <c r="J109" s="13" t="n">
        <f aca="false">((J108)*($I$95*0.9)+J108+$B$12)</f>
        <v>54550.4493522752</v>
      </c>
      <c r="O109" s="23"/>
      <c r="P109" s="50"/>
      <c r="Q109" s="25"/>
      <c r="R109" s="0"/>
      <c r="S109" s="0"/>
      <c r="T109" s="0"/>
    </row>
    <row r="110" customFormat="false" ht="12.8" hidden="false" customHeight="false" outlineLevel="0" collapsed="false">
      <c r="A110" s="24" t="str">
        <f aca="false">A29</f>
        <v>VANGUARD HIGH DIVIDEND</v>
      </c>
      <c r="B110" s="49" t="n">
        <v>16</v>
      </c>
      <c r="C110" s="23" t="n">
        <f aca="false">C93+B110</f>
        <v>55</v>
      </c>
      <c r="D110" s="13" t="n">
        <f aca="false">D93+D93*D29</f>
        <v>106.626225479891</v>
      </c>
      <c r="E110" s="13" t="n">
        <f aca="false">C110*D110</f>
        <v>5864.44240139401</v>
      </c>
      <c r="F110" s="26" t="n">
        <f aca="false">(F93+F93*G29)</f>
        <v>2.939328</v>
      </c>
      <c r="G110" s="13" t="n">
        <f aca="false">F110*C110*(1-$I$140)</f>
        <v>140.6468448</v>
      </c>
      <c r="I110" s="1" t="n">
        <v>2024</v>
      </c>
      <c r="J110" s="13" t="n">
        <f aca="false">((J109)*($I$95*0.9)+J109+$B$12)</f>
        <v>68293.9380699438</v>
      </c>
      <c r="O110" s="23"/>
      <c r="P110" s="50"/>
      <c r="Q110" s="25"/>
      <c r="R110" s="0"/>
      <c r="S110" s="0"/>
      <c r="T110" s="0"/>
    </row>
    <row r="111" customFormat="false" ht="12.8" hidden="false" customHeight="true" outlineLevel="0" collapsed="false">
      <c r="B111" s="53" t="s">
        <v>68</v>
      </c>
      <c r="C111" s="53"/>
      <c r="D111" s="53"/>
      <c r="E111" s="13" t="n">
        <f aca="false">SUM(E99:E110)</f>
        <v>23218.4393532738</v>
      </c>
      <c r="F111" s="13"/>
      <c r="G111" s="13" t="n">
        <f aca="false">SUM(G99:G110)</f>
        <v>362.3575032684</v>
      </c>
      <c r="I111" s="1" t="n">
        <v>2025</v>
      </c>
      <c r="J111" s="13" t="n">
        <f aca="false">((J110)*($I$95*0.9)+J110+$B$12)</f>
        <v>84065.54812335</v>
      </c>
      <c r="O111" s="23"/>
      <c r="P111" s="23"/>
      <c r="R111" s="0"/>
      <c r="S111" s="0"/>
      <c r="T111" s="0"/>
    </row>
    <row r="112" customFormat="false" ht="12.8" hidden="false" customHeight="true" outlineLevel="0" collapsed="false">
      <c r="A112" s="0"/>
      <c r="B112" s="0"/>
      <c r="C112" s="0"/>
      <c r="D112" s="0"/>
      <c r="E112" s="0"/>
      <c r="F112" s="0"/>
      <c r="G112" s="0"/>
      <c r="I112" s="1" t="n">
        <v>2026</v>
      </c>
      <c r="J112" s="13" t="n">
        <f aca="false">((J111)*($I$95*0.9)+J111+$B$12)</f>
        <v>102164.568596727</v>
      </c>
      <c r="O112" s="0"/>
      <c r="P112" s="0"/>
      <c r="Q112" s="0"/>
      <c r="R112" s="0"/>
      <c r="S112" s="0"/>
      <c r="T112" s="0"/>
    </row>
    <row r="113" customFormat="false" ht="12.8" hidden="false" customHeight="false" outlineLevel="0" collapsed="false">
      <c r="A113" s="38" t="s">
        <v>78</v>
      </c>
      <c r="B113" s="38"/>
      <c r="I113" s="1" t="n">
        <v>2027</v>
      </c>
      <c r="J113" s="13" t="n">
        <f aca="false">((J112)*($I$95*0.9)+J112+$B$12)</f>
        <v>122934.454549173</v>
      </c>
      <c r="O113" s="0"/>
      <c r="P113" s="0"/>
      <c r="Q113" s="0"/>
      <c r="R113" s="0"/>
      <c r="S113" s="0"/>
      <c r="T113" s="0"/>
    </row>
    <row r="114" customFormat="false" ht="12.8" hidden="false" customHeight="true" outlineLevel="0" collapsed="false">
      <c r="A114" s="47" t="s">
        <v>14</v>
      </c>
      <c r="B114" s="47" t="s">
        <v>63</v>
      </c>
      <c r="C114" s="48" t="s">
        <v>64</v>
      </c>
      <c r="D114" s="48" t="s">
        <v>65</v>
      </c>
      <c r="E114" s="48" t="s">
        <v>66</v>
      </c>
      <c r="F114" s="47" t="s">
        <v>67</v>
      </c>
      <c r="G114" s="47" t="s">
        <v>18</v>
      </c>
      <c r="J114" s="13"/>
      <c r="O114" s="0"/>
      <c r="P114" s="0"/>
      <c r="Q114" s="0"/>
      <c r="R114" s="0"/>
      <c r="S114" s="0"/>
      <c r="T114" s="0"/>
    </row>
    <row r="115" customFormat="false" ht="12.8" hidden="false" customHeight="false" outlineLevel="0" collapsed="false">
      <c r="A115" s="47"/>
      <c r="B115" s="47"/>
      <c r="C115" s="47"/>
      <c r="D115" s="47"/>
      <c r="E115" s="48"/>
      <c r="F115" s="47"/>
      <c r="G115" s="47"/>
      <c r="I115" s="54" t="s">
        <v>79</v>
      </c>
      <c r="J115" s="54"/>
      <c r="O115" s="23"/>
      <c r="R115" s="0"/>
      <c r="S115" s="0"/>
      <c r="T115" s="0"/>
    </row>
    <row r="116" customFormat="false" ht="12.8" hidden="false" customHeight="true" outlineLevel="0" collapsed="false">
      <c r="A116" s="24" t="str">
        <f aca="false">A18</f>
        <v>3M COMPANY</v>
      </c>
      <c r="B116" s="49" t="n">
        <v>1</v>
      </c>
      <c r="C116" s="23" t="n">
        <f aca="false">C99+B116</f>
        <v>5</v>
      </c>
      <c r="D116" s="13" t="n">
        <f aca="false">D99+D99*D18</f>
        <v>293.872796174923</v>
      </c>
      <c r="E116" s="13" t="n">
        <f aca="false">C116*D116</f>
        <v>1469.36398087462</v>
      </c>
      <c r="F116" s="26" t="n">
        <f aca="false">(F99+F99*G18)</f>
        <v>7.48020088832</v>
      </c>
      <c r="G116" s="13" t="n">
        <f aca="false">F116*C116*(1-$I$140)</f>
        <v>32.538873864192</v>
      </c>
      <c r="I116" s="1" t="n">
        <v>2018</v>
      </c>
      <c r="J116" s="13" t="n">
        <f aca="false">(J88*I95*0.8*(D61/365))+J88+J89</f>
        <v>8172.25750581149</v>
      </c>
      <c r="O116" s="23"/>
      <c r="P116" s="50"/>
      <c r="Q116" s="25"/>
      <c r="R116" s="0"/>
      <c r="S116" s="0"/>
      <c r="T116" s="0"/>
    </row>
    <row r="117" customFormat="false" ht="12.8" hidden="false" customHeight="false" outlineLevel="0" collapsed="false">
      <c r="A117" s="24" t="str">
        <f aca="false">A19</f>
        <v>APPLE</v>
      </c>
      <c r="B117" s="49" t="n">
        <v>1</v>
      </c>
      <c r="C117" s="23" t="n">
        <f aca="false">C100+B117</f>
        <v>5</v>
      </c>
      <c r="D117" s="13" t="n">
        <f aca="false">D100+D100*D19</f>
        <v>384.312175266993</v>
      </c>
      <c r="E117" s="13" t="n">
        <f aca="false">C117*D117</f>
        <v>1921.56087633497</v>
      </c>
      <c r="F117" s="26" t="n">
        <f aca="false">(F100+F100*G19)</f>
        <v>3.89712923892</v>
      </c>
      <c r="G117" s="13" t="n">
        <f aca="false">F117*C117*(1-$I$140)</f>
        <v>16.952512189302</v>
      </c>
      <c r="I117" s="1" t="n">
        <v>2019</v>
      </c>
      <c r="J117" s="13" t="n">
        <f aca="false">((J116)*($I$95*0.8)+J116+J90)</f>
        <v>14937.7368862717</v>
      </c>
      <c r="O117" s="23"/>
      <c r="P117" s="50"/>
      <c r="Q117" s="25"/>
      <c r="R117" s="0"/>
      <c r="S117" s="0"/>
      <c r="T117" s="0"/>
    </row>
    <row r="118" customFormat="false" ht="12.8" hidden="false" customHeight="false" outlineLevel="0" collapsed="false">
      <c r="A118" s="24" t="str">
        <f aca="false">A20</f>
        <v>CINTAS</v>
      </c>
      <c r="B118" s="49" t="n">
        <v>0</v>
      </c>
      <c r="C118" s="23" t="n">
        <f aca="false">C101+B118</f>
        <v>4</v>
      </c>
      <c r="D118" s="13" t="n">
        <f aca="false">D101+D101*D20</f>
        <v>385.01282614907</v>
      </c>
      <c r="E118" s="13" t="n">
        <f aca="false">C118*D118</f>
        <v>1540.05130459628</v>
      </c>
      <c r="F118" s="26" t="n">
        <f aca="false">(F101+F101*G20)</f>
        <v>3.08873088</v>
      </c>
      <c r="G118" s="13" t="n">
        <f aca="false">F118*C118*(1-$I$140)</f>
        <v>10.7487834624</v>
      </c>
      <c r="I118" s="1" t="n">
        <v>2020</v>
      </c>
      <c r="J118" s="13" t="n">
        <f aca="false">((J117)*($I$95*0.8)+J117+J91)</f>
        <v>22590.6644320173</v>
      </c>
      <c r="O118" s="23"/>
      <c r="P118" s="50"/>
      <c r="Q118" s="25"/>
      <c r="R118" s="0"/>
      <c r="S118" s="0"/>
      <c r="T118" s="0"/>
    </row>
    <row r="119" customFormat="false" ht="12.8" hidden="false" customHeight="false" outlineLevel="0" collapsed="false">
      <c r="A119" s="24" t="str">
        <f aca="false">A21</f>
        <v>HOME DEPOT</v>
      </c>
      <c r="B119" s="49" t="n">
        <v>1</v>
      </c>
      <c r="C119" s="23" t="n">
        <f aca="false">C102+B119</f>
        <v>4</v>
      </c>
      <c r="D119" s="13" t="n">
        <f aca="false">D102+D102*D21</f>
        <v>416.739080252504</v>
      </c>
      <c r="E119" s="13" t="n">
        <f aca="false">C119*D119</f>
        <v>1666.95632101002</v>
      </c>
      <c r="F119" s="26" t="n">
        <f aca="false">(F102+F102*G21)</f>
        <v>7.79841449836</v>
      </c>
      <c r="G119" s="13" t="n">
        <f aca="false">F119*C119*(1-$I$140)</f>
        <v>27.1384824542928</v>
      </c>
      <c r="I119" s="1" t="n">
        <v>2021</v>
      </c>
      <c r="J119" s="13" t="n">
        <f aca="false">((J118)*($I$95*0.8)+J118+J92)</f>
        <v>31247.4493731676</v>
      </c>
      <c r="O119" s="23"/>
      <c r="P119" s="50"/>
      <c r="Q119" s="25"/>
      <c r="R119" s="0"/>
      <c r="S119" s="0"/>
      <c r="T119" s="0"/>
    </row>
    <row r="120" customFormat="false" ht="12.8" hidden="false" customHeight="false" outlineLevel="0" collapsed="false">
      <c r="A120" s="24" t="str">
        <f aca="false">A22</f>
        <v>UNITEDHEALTH</v>
      </c>
      <c r="B120" s="49" t="n">
        <v>0</v>
      </c>
      <c r="C120" s="23" t="n">
        <f aca="false">C103+B120</f>
        <v>3</v>
      </c>
      <c r="D120" s="13" t="n">
        <f aca="false">D103+D103*D22</f>
        <v>572.767032653088</v>
      </c>
      <c r="E120" s="13" t="n">
        <f aca="false">C120*D120</f>
        <v>1718.30109795926</v>
      </c>
      <c r="F120" s="26" t="n">
        <f aca="false">(F103+F103*G22)</f>
        <v>7.3741788</v>
      </c>
      <c r="G120" s="13" t="n">
        <f aca="false">F120*C120*(1-$I$140)</f>
        <v>19.246606668</v>
      </c>
      <c r="I120" s="1" t="n">
        <v>2022</v>
      </c>
      <c r="J120" s="13" t="n">
        <f aca="false">((J119)*($I$95*0.8)+J119+J93)</f>
        <v>41039.7706867267</v>
      </c>
      <c r="O120" s="23"/>
      <c r="P120" s="50"/>
      <c r="Q120" s="25"/>
      <c r="R120" s="0"/>
      <c r="S120" s="0"/>
      <c r="T120" s="0"/>
    </row>
    <row r="121" customFormat="false" ht="12.8" hidden="false" customHeight="false" outlineLevel="0" collapsed="false">
      <c r="A121" s="24" t="str">
        <f aca="false">A23</f>
        <v>TEXAS INC</v>
      </c>
      <c r="B121" s="49" t="n">
        <v>2</v>
      </c>
      <c r="C121" s="23" t="n">
        <f aca="false">C104+B121</f>
        <v>9</v>
      </c>
      <c r="D121" s="13" t="n">
        <f aca="false">D104+D104*D23</f>
        <v>186.707371771343</v>
      </c>
      <c r="E121" s="13" t="n">
        <f aca="false">C121*D121</f>
        <v>1680.36634594209</v>
      </c>
      <c r="F121" s="26" t="n">
        <f aca="false">(F104+F104*G23)</f>
        <v>4.24272828928</v>
      </c>
      <c r="G121" s="13" t="n">
        <f aca="false">F121*C121*(1-$I$140)</f>
        <v>33.2205625050624</v>
      </c>
      <c r="I121" s="1" t="n">
        <v>2023</v>
      </c>
      <c r="J121" s="13" t="n">
        <f aca="false">((J120)*($I$95*0.8)+J120+$B$12)</f>
        <v>52116.5800749522</v>
      </c>
      <c r="O121" s="23"/>
      <c r="P121" s="50"/>
      <c r="Q121" s="25"/>
      <c r="R121" s="0"/>
      <c r="S121" s="0"/>
      <c r="T121" s="0"/>
    </row>
    <row r="122" customFormat="false" ht="12.8" hidden="false" customHeight="false" outlineLevel="0" collapsed="false">
      <c r="A122" s="24" t="str">
        <f aca="false">A24</f>
        <v>ACCENTURE</v>
      </c>
      <c r="B122" s="49" t="n">
        <v>1</v>
      </c>
      <c r="C122" s="23" t="n">
        <f aca="false">C105+B122</f>
        <v>6</v>
      </c>
      <c r="D122" s="13" t="n">
        <f aca="false">D105+D105*D24</f>
        <v>271.881904290646</v>
      </c>
      <c r="E122" s="13" t="n">
        <f aca="false">C122*D122</f>
        <v>1631.29142574388</v>
      </c>
      <c r="F122" s="26" t="n">
        <f aca="false">(F105+F105*G24)</f>
        <v>3.46377403008</v>
      </c>
      <c r="G122" s="13" t="n">
        <f aca="false">F122*C122*(1-$I$140)</f>
        <v>18.0809004370176</v>
      </c>
      <c r="I122" s="1" t="n">
        <v>2024</v>
      </c>
      <c r="J122" s="13" t="n">
        <f aca="false">((J121)*($I$95*0.8)+J121+$B$12)</f>
        <v>64646.3676803882</v>
      </c>
      <c r="O122" s="23"/>
      <c r="P122" s="50"/>
      <c r="Q122" s="25"/>
      <c r="R122" s="0"/>
      <c r="S122" s="0"/>
      <c r="T122" s="0"/>
    </row>
    <row r="123" customFormat="false" ht="12.8" hidden="false" customHeight="false" outlineLevel="0" collapsed="false">
      <c r="A123" s="24" t="str">
        <f aca="false">A25</f>
        <v>MICROSOFT</v>
      </c>
      <c r="B123" s="49" t="n">
        <v>2</v>
      </c>
      <c r="C123" s="23" t="n">
        <f aca="false">C106+B123</f>
        <v>10</v>
      </c>
      <c r="D123" s="13" t="n">
        <f aca="false">D106+D106*D25</f>
        <v>162.699176915443</v>
      </c>
      <c r="E123" s="13" t="n">
        <f aca="false">C123*D123</f>
        <v>1626.99176915443</v>
      </c>
      <c r="F123" s="26" t="n">
        <f aca="false">(F106+F106*G25)</f>
        <v>2.32254883392</v>
      </c>
      <c r="G123" s="13" t="n">
        <f aca="false">F123*C123*(1-$I$140)</f>
        <v>20.206174855104</v>
      </c>
      <c r="I123" s="1" t="n">
        <v>2025</v>
      </c>
      <c r="J123" s="13" t="n">
        <f aca="false">((J122)*($I$95*0.8)+J122+$B$12)</f>
        <v>78819.7250015158</v>
      </c>
      <c r="O123" s="23"/>
      <c r="P123" s="50"/>
      <c r="Q123" s="25"/>
      <c r="R123" s="0"/>
      <c r="S123" s="0"/>
      <c r="T123" s="0"/>
    </row>
    <row r="124" customFormat="false" ht="12.8" hidden="false" customHeight="false" outlineLevel="0" collapsed="false">
      <c r="A124" s="24" t="str">
        <f aca="false">A26</f>
        <v>ROSS STORES</v>
      </c>
      <c r="B124" s="49" t="n">
        <v>1</v>
      </c>
      <c r="C124" s="23" t="n">
        <f aca="false">C107+B124</f>
        <v>8</v>
      </c>
      <c r="D124" s="13" t="n">
        <f aca="false">D107+D107*D26</f>
        <v>191.846352606532</v>
      </c>
      <c r="E124" s="13" t="n">
        <f aca="false">C124*D124</f>
        <v>1534.77082085226</v>
      </c>
      <c r="F124" s="26" t="n">
        <f aca="false">(F107+F107*G26)</f>
        <v>1.4414517</v>
      </c>
      <c r="G124" s="13" t="n">
        <f aca="false">F124*C124*(1-$I$140)</f>
        <v>10.032503832</v>
      </c>
      <c r="I124" s="1" t="n">
        <v>2026</v>
      </c>
      <c r="J124" s="13" t="n">
        <f aca="false">((J123)*($I$95*0.8)+J123+$B$12)</f>
        <v>94852.2439937136</v>
      </c>
      <c r="O124" s="23"/>
      <c r="P124" s="50"/>
      <c r="Q124" s="25"/>
      <c r="R124" s="0"/>
      <c r="S124" s="0"/>
      <c r="T124" s="0"/>
    </row>
    <row r="125" customFormat="false" ht="12.8" hidden="false" customHeight="false" outlineLevel="0" collapsed="false">
      <c r="A125" s="24" t="str">
        <f aca="false">A27</f>
        <v>AO SMITH</v>
      </c>
      <c r="B125" s="49" t="n">
        <v>2</v>
      </c>
      <c r="C125" s="23" t="n">
        <f aca="false">C108+B125</f>
        <v>12</v>
      </c>
      <c r="D125" s="13" t="n">
        <f aca="false">D108+D108*D27</f>
        <v>139.216119851218</v>
      </c>
      <c r="E125" s="13" t="n">
        <f aca="false">C125*D125</f>
        <v>1670.59343821462</v>
      </c>
      <c r="F125" s="26" t="n">
        <f aca="false">(F108+F108*G27)</f>
        <v>1.34309476152</v>
      </c>
      <c r="G125" s="13" t="n">
        <f aca="false">F125*C125*(1-$I$140)</f>
        <v>14.0219093102688</v>
      </c>
      <c r="I125" s="1" t="n">
        <v>2027</v>
      </c>
      <c r="J125" s="13" t="n">
        <f aca="false">((J124)*($I$95*0.8)+J124+$B$12)</f>
        <v>112987.796453964</v>
      </c>
      <c r="O125" s="23"/>
      <c r="P125" s="50"/>
      <c r="Q125" s="25"/>
      <c r="R125" s="0"/>
      <c r="S125" s="0"/>
      <c r="T125" s="0"/>
    </row>
    <row r="126" customFormat="false" ht="12.8" hidden="false" customHeight="false" outlineLevel="0" collapsed="false">
      <c r="A126" s="24" t="str">
        <f aca="false">A28</f>
        <v>VANGUARD S&amp;P500</v>
      </c>
      <c r="B126" s="49" t="n">
        <v>5</v>
      </c>
      <c r="C126" s="23" t="n">
        <f aca="false">C109+B126</f>
        <v>23</v>
      </c>
      <c r="D126" s="13" t="n">
        <f aca="false">D109+D109*D28</f>
        <v>354.977783871233</v>
      </c>
      <c r="E126" s="13" t="n">
        <f aca="false">C126*D126</f>
        <v>8164.48902903836</v>
      </c>
      <c r="F126" s="26" t="n">
        <f aca="false">(F109+F109*G28)</f>
        <v>5.42430597016</v>
      </c>
      <c r="G126" s="13" t="n">
        <f aca="false">F126*C126*(1-$I$140)</f>
        <v>108.540362462902</v>
      </c>
      <c r="O126" s="23"/>
      <c r="P126" s="50"/>
      <c r="Q126" s="25"/>
      <c r="R126" s="0"/>
      <c r="S126" s="0"/>
      <c r="T126" s="0"/>
    </row>
    <row r="127" customFormat="false" ht="12.8" hidden="false" customHeight="true" outlineLevel="0" collapsed="false">
      <c r="A127" s="24" t="str">
        <f aca="false">A29</f>
        <v>VANGUARD HIGH DIVIDEND</v>
      </c>
      <c r="B127" s="49" t="n">
        <v>16</v>
      </c>
      <c r="C127" s="23" t="n">
        <f aca="false">C110+B127</f>
        <v>71</v>
      </c>
      <c r="D127" s="13" t="n">
        <f aca="false">D110+D110*D29</f>
        <v>117.246197537689</v>
      </c>
      <c r="E127" s="13" t="n">
        <f aca="false">C127*D127</f>
        <v>8324.48002517592</v>
      </c>
      <c r="F127" s="26" t="n">
        <f aca="false">(F110+F110*G29)</f>
        <v>3.17447424</v>
      </c>
      <c r="G127" s="13" t="n">
        <f aca="false">F127*C127*(1-$I$140)</f>
        <v>196.0872738048</v>
      </c>
      <c r="I127" s="54" t="s">
        <v>80</v>
      </c>
      <c r="J127" s="54"/>
      <c r="O127" s="23"/>
      <c r="P127" s="50"/>
      <c r="Q127" s="25"/>
      <c r="R127" s="0"/>
      <c r="S127" s="0"/>
      <c r="T127" s="0"/>
    </row>
    <row r="128" customFormat="false" ht="12.8" hidden="false" customHeight="false" outlineLevel="0" collapsed="false">
      <c r="B128" s="53" t="s">
        <v>68</v>
      </c>
      <c r="C128" s="53"/>
      <c r="D128" s="53"/>
      <c r="E128" s="13" t="n">
        <f aca="false">SUM(E116:E127)</f>
        <v>32949.2164348967</v>
      </c>
      <c r="F128" s="13"/>
      <c r="G128" s="13" t="n">
        <f aca="false">SUM(G116:G127)</f>
        <v>506.814945845341</v>
      </c>
      <c r="I128" s="1" t="n">
        <v>2018</v>
      </c>
      <c r="J128" s="13" t="n">
        <f aca="false">(J88*I95*0.7*(D61/365))+J88+J89</f>
        <v>8130.72419945305</v>
      </c>
      <c r="O128" s="55"/>
      <c r="P128" s="34"/>
      <c r="R128" s="0"/>
      <c r="S128" s="0"/>
      <c r="T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I129" s="1" t="n">
        <v>2019</v>
      </c>
      <c r="J129" s="13" t="n">
        <f aca="false">((J128)*($I$95*0.7)+J128+J90)</f>
        <v>14757.4391054559</v>
      </c>
      <c r="O129" s="0"/>
      <c r="P129" s="0"/>
      <c r="Q129" s="0"/>
      <c r="R129" s="0"/>
      <c r="S129" s="0"/>
      <c r="T129" s="0"/>
    </row>
    <row r="130" customFormat="false" ht="12.8" hidden="false" customHeight="false" outlineLevel="0" collapsed="false">
      <c r="A130" s="38" t="s">
        <v>81</v>
      </c>
      <c r="B130" s="38"/>
      <c r="I130" s="1" t="n">
        <v>2020</v>
      </c>
      <c r="J130" s="13" t="n">
        <f aca="false">((J129)*($I$95*0.7)+J129+J91)</f>
        <v>22144.7442738299</v>
      </c>
      <c r="O130" s="0"/>
      <c r="P130" s="0"/>
      <c r="Q130" s="0"/>
      <c r="R130" s="0"/>
      <c r="S130" s="0"/>
      <c r="T130" s="0"/>
    </row>
    <row r="131" customFormat="false" ht="12.8" hidden="false" customHeight="true" outlineLevel="0" collapsed="false">
      <c r="A131" s="47" t="s">
        <v>14</v>
      </c>
      <c r="B131" s="47" t="s">
        <v>63</v>
      </c>
      <c r="C131" s="48" t="s">
        <v>64</v>
      </c>
      <c r="D131" s="48" t="s">
        <v>65</v>
      </c>
      <c r="E131" s="48" t="s">
        <v>66</v>
      </c>
      <c r="F131" s="47" t="s">
        <v>67</v>
      </c>
      <c r="G131" s="47" t="s">
        <v>18</v>
      </c>
      <c r="I131" s="1" t="n">
        <v>2021</v>
      </c>
      <c r="J131" s="13" t="n">
        <f aca="false">((J130)*($I$95*0.7)+J130+J92)</f>
        <v>30379.9374917019</v>
      </c>
      <c r="O131" s="0"/>
      <c r="P131" s="0"/>
      <c r="Q131" s="0"/>
      <c r="R131" s="0"/>
      <c r="S131" s="0"/>
      <c r="T131" s="0"/>
    </row>
    <row r="132" customFormat="false" ht="12.8" hidden="false" customHeight="false" outlineLevel="0" collapsed="false">
      <c r="A132" s="47"/>
      <c r="B132" s="47"/>
      <c r="C132" s="47"/>
      <c r="D132" s="47"/>
      <c r="E132" s="48"/>
      <c r="F132" s="47"/>
      <c r="G132" s="47"/>
      <c r="I132" s="1" t="n">
        <v>2022</v>
      </c>
      <c r="J132" s="13" t="n">
        <f aca="false">((J131)*($I$95*0.7)+J131+$B$12)</f>
        <v>39560.3362690563</v>
      </c>
      <c r="O132" s="23"/>
      <c r="R132" s="0"/>
      <c r="S132" s="0"/>
      <c r="T132" s="0"/>
    </row>
    <row r="133" customFormat="false" ht="12.8" hidden="false" customHeight="true" outlineLevel="0" collapsed="false">
      <c r="A133" s="24" t="str">
        <f aca="false">A18</f>
        <v>3M COMPANY</v>
      </c>
      <c r="B133" s="49" t="n">
        <v>2</v>
      </c>
      <c r="C133" s="23" t="n">
        <f aca="false">C116+B133</f>
        <v>7</v>
      </c>
      <c r="D133" s="13" t="n">
        <f aca="false">D116+D116*D18</f>
        <v>329.343242673236</v>
      </c>
      <c r="E133" s="13" t="n">
        <f aca="false">C133*D133</f>
        <v>2305.40269871265</v>
      </c>
      <c r="F133" s="26" t="n">
        <f aca="false">(F116+F116*G18)</f>
        <v>8.31798338781184</v>
      </c>
      <c r="G133" s="13" t="n">
        <f aca="false">F133*C133*(1-$I$140)</f>
        <v>50.6565188317741</v>
      </c>
      <c r="I133" s="1" t="n">
        <v>2023</v>
      </c>
      <c r="J133" s="13" t="n">
        <f aca="false">((J132)*($I$95*0.7)+J132+$B$12)</f>
        <v>49794.4278661236</v>
      </c>
      <c r="O133" s="23"/>
      <c r="P133" s="50"/>
      <c r="Q133" s="25"/>
      <c r="R133" s="0"/>
      <c r="S133" s="0"/>
      <c r="T133" s="0"/>
    </row>
    <row r="134" customFormat="false" ht="12.8" hidden="false" customHeight="false" outlineLevel="0" collapsed="false">
      <c r="A134" s="24" t="str">
        <f aca="false">A19</f>
        <v>APPLE</v>
      </c>
      <c r="B134" s="49" t="n">
        <v>0</v>
      </c>
      <c r="C134" s="23" t="n">
        <f aca="false">C117+B134</f>
        <v>5</v>
      </c>
      <c r="D134" s="13" t="n">
        <f aca="false">D117+D117*D19</f>
        <v>472.434957055714</v>
      </c>
      <c r="E134" s="13" t="n">
        <f aca="false">C134*D134</f>
        <v>2362.17478527857</v>
      </c>
      <c r="F134" s="26" t="n">
        <f aca="false">(F117+F117*G19)</f>
        <v>4.29073929205092</v>
      </c>
      <c r="G134" s="13" t="n">
        <f aca="false">F134*C134*(1-$I$140)</f>
        <v>18.6647159204215</v>
      </c>
      <c r="I134" s="1" t="n">
        <v>2024</v>
      </c>
      <c r="J134" s="13" t="n">
        <f aca="false">((J133)*($I$95*0.7)+J133+$B$12)</f>
        <v>61203.1513167348</v>
      </c>
      <c r="O134" s="23"/>
      <c r="P134" s="50"/>
      <c r="Q134" s="25"/>
      <c r="R134" s="0"/>
      <c r="S134" s="0"/>
      <c r="T134" s="0"/>
    </row>
    <row r="135" customFormat="false" ht="12.8" hidden="false" customHeight="false" outlineLevel="0" collapsed="false">
      <c r="A135" s="24" t="str">
        <f aca="false">A20</f>
        <v>CINTAS</v>
      </c>
      <c r="B135" s="49" t="n">
        <v>1</v>
      </c>
      <c r="C135" s="23" t="n">
        <f aca="false">C118+B135</f>
        <v>5</v>
      </c>
      <c r="D135" s="13" t="n">
        <f aca="false">D118+D118*D20</f>
        <v>470.909187662928</v>
      </c>
      <c r="E135" s="13" t="n">
        <f aca="false">C135*D135</f>
        <v>2354.54593831464</v>
      </c>
      <c r="F135" s="26" t="n">
        <f aca="false">(F118+F118*G20)</f>
        <v>3.8300262912</v>
      </c>
      <c r="G135" s="13" t="n">
        <f aca="false">F135*C135*(1-$I$140)</f>
        <v>16.66061436672</v>
      </c>
      <c r="I135" s="1" t="n">
        <v>2025</v>
      </c>
      <c r="J135" s="13" t="n">
        <f aca="false">((J134)*($I$95*0.7)+J134+$B$12)</f>
        <v>73921.3265976578</v>
      </c>
      <c r="L135" s="23"/>
      <c r="O135" s="23"/>
      <c r="P135" s="50"/>
      <c r="Q135" s="25"/>
      <c r="R135" s="0"/>
      <c r="S135" s="0"/>
      <c r="T135" s="0"/>
    </row>
    <row r="136" customFormat="false" ht="12.8" hidden="false" customHeight="false" outlineLevel="0" collapsed="false">
      <c r="A136" s="24" t="str">
        <f aca="false">A21</f>
        <v>HOME DEPOT</v>
      </c>
      <c r="B136" s="49" t="n">
        <v>0</v>
      </c>
      <c r="C136" s="23" t="n">
        <f aca="false">C119+B136</f>
        <v>4</v>
      </c>
      <c r="D136" s="13" t="n">
        <f aca="false">D119+D119*D21</f>
        <v>514.547742387766</v>
      </c>
      <c r="E136" s="13" t="n">
        <f aca="false">C136*D136</f>
        <v>2058.19096955106</v>
      </c>
      <c r="F136" s="26" t="n">
        <f aca="false">(F119+F119*G21)</f>
        <v>9.64663873447132</v>
      </c>
      <c r="G136" s="13" t="n">
        <f aca="false">F136*C136*(1-$I$140)</f>
        <v>33.5703027959602</v>
      </c>
      <c r="I136" s="1" t="n">
        <v>2026</v>
      </c>
      <c r="J136" s="13" t="n">
        <f aca="false">((J135)*($I$95*0.7)+J135+$B$12)</f>
        <v>88099.2478327998</v>
      </c>
      <c r="L136" s="23"/>
      <c r="O136" s="23"/>
      <c r="P136" s="50"/>
      <c r="Q136" s="25"/>
      <c r="R136" s="0"/>
      <c r="S136" s="0"/>
      <c r="T136" s="0"/>
    </row>
    <row r="137" customFormat="false" ht="12.8" hidden="false" customHeight="false" outlineLevel="0" collapsed="false">
      <c r="A137" s="24" t="str">
        <f aca="false">A22</f>
        <v>UNITEDHEALTH</v>
      </c>
      <c r="B137" s="49" t="n">
        <v>0</v>
      </c>
      <c r="C137" s="23" t="n">
        <f aca="false">C120+B137</f>
        <v>3</v>
      </c>
      <c r="D137" s="13" t="n">
        <f aca="false">D120+D120*D22</f>
        <v>720.082713451463</v>
      </c>
      <c r="E137" s="13" t="n">
        <f aca="false">C137*D137</f>
        <v>2160.24814035439</v>
      </c>
      <c r="F137" s="26" t="n">
        <f aca="false">(F120+F120*G22)</f>
        <v>9.365207076</v>
      </c>
      <c r="G137" s="13" t="n">
        <f aca="false">F137*C137*(1-$I$140)</f>
        <v>24.44319046836</v>
      </c>
      <c r="I137" s="1" t="n">
        <v>2027</v>
      </c>
      <c r="J137" s="13" t="n">
        <f aca="false">((J136)*($I$95*0.7)+J136+$B$12)</f>
        <v>103904.459359598</v>
      </c>
      <c r="L137" s="23"/>
      <c r="O137" s="23"/>
      <c r="P137" s="50"/>
      <c r="Q137" s="25"/>
      <c r="R137" s="0"/>
      <c r="S137" s="0"/>
      <c r="T137" s="0"/>
    </row>
    <row r="138" customFormat="false" ht="12.8" hidden="false" customHeight="false" outlineLevel="0" collapsed="false">
      <c r="A138" s="24" t="str">
        <f aca="false">A23</f>
        <v>TEXAS INC</v>
      </c>
      <c r="B138" s="49" t="n">
        <v>1</v>
      </c>
      <c r="C138" s="23" t="n">
        <f aca="false">C121+B138</f>
        <v>10</v>
      </c>
      <c r="D138" s="13" t="n">
        <f aca="false">D121+D121*D23</f>
        <v>215.534989972838</v>
      </c>
      <c r="E138" s="13" t="n">
        <f aca="false">C138*D138</f>
        <v>2155.34989972838</v>
      </c>
      <c r="F138" s="26" t="n">
        <f aca="false">(F121+F121*G23)</f>
        <v>5.07430303397888</v>
      </c>
      <c r="G138" s="13" t="n">
        <f aca="false">F138*C138*(1-$I$140)</f>
        <v>44.1464363956163</v>
      </c>
      <c r="L138" s="23"/>
      <c r="O138" s="23"/>
      <c r="P138" s="50"/>
      <c r="Q138" s="25"/>
      <c r="R138" s="0"/>
      <c r="S138" s="0"/>
      <c r="T138" s="0"/>
    </row>
    <row r="139" customFormat="false" ht="12.8" hidden="false" customHeight="false" outlineLevel="0" collapsed="false">
      <c r="A139" s="24" t="str">
        <f aca="false">A24</f>
        <v>ACCENTURE</v>
      </c>
      <c r="B139" s="49" t="n">
        <v>1</v>
      </c>
      <c r="C139" s="23" t="n">
        <f aca="false">C122+B139</f>
        <v>7</v>
      </c>
      <c r="D139" s="13" t="n">
        <f aca="false">D122+D122*D24</f>
        <v>316.062713737876</v>
      </c>
      <c r="E139" s="13" t="n">
        <f aca="false">C139*D139</f>
        <v>2212.43899616513</v>
      </c>
      <c r="F139" s="26" t="n">
        <f aca="false">(F122+F122*G24)</f>
        <v>3.78244124084736</v>
      </c>
      <c r="G139" s="13" t="n">
        <f aca="false">F139*C139*(1-$I$140)</f>
        <v>23.0350671567604</v>
      </c>
      <c r="I139" s="14" t="s">
        <v>82</v>
      </c>
      <c r="J139" s="14"/>
      <c r="L139" s="23"/>
      <c r="O139" s="23"/>
      <c r="P139" s="50"/>
      <c r="Q139" s="25"/>
      <c r="R139" s="0"/>
      <c r="S139" s="0"/>
      <c r="T139" s="0"/>
    </row>
    <row r="140" customFormat="false" ht="12.8" hidden="false" customHeight="false" outlineLevel="0" collapsed="false">
      <c r="A140" s="24" t="str">
        <f aca="false">A25</f>
        <v>MICROSOFT</v>
      </c>
      <c r="B140" s="49" t="n">
        <v>2</v>
      </c>
      <c r="C140" s="23" t="n">
        <f aca="false">C123+B140</f>
        <v>12</v>
      </c>
      <c r="D140" s="13" t="n">
        <f aca="false">D123+D123*D25</f>
        <v>186.502066498172</v>
      </c>
      <c r="E140" s="13" t="n">
        <f aca="false">C140*D140</f>
        <v>2238.02479797806</v>
      </c>
      <c r="F140" s="26" t="n">
        <f aca="false">(F123+F123*G25)</f>
        <v>2.58731940098688</v>
      </c>
      <c r="G140" s="13" t="n">
        <f aca="false">F140*C140*(1-$I$140)</f>
        <v>27.011614546303</v>
      </c>
      <c r="I140" s="25" t="n">
        <v>0.13</v>
      </c>
      <c r="J140" s="13"/>
      <c r="L140" s="23"/>
      <c r="O140" s="23"/>
      <c r="P140" s="50"/>
      <c r="Q140" s="25"/>
      <c r="R140" s="0"/>
      <c r="S140" s="0"/>
      <c r="T140" s="0"/>
    </row>
    <row r="141" customFormat="false" ht="12.8" hidden="false" customHeight="false" outlineLevel="0" collapsed="false">
      <c r="A141" s="24" t="str">
        <f aca="false">A26</f>
        <v>ROSS STORES</v>
      </c>
      <c r="B141" s="49" t="n">
        <v>1</v>
      </c>
      <c r="C141" s="23" t="n">
        <f aca="false">C124+B141</f>
        <v>9</v>
      </c>
      <c r="D141" s="13" t="n">
        <f aca="false">D124+D124*D26</f>
        <v>240.575326168591</v>
      </c>
      <c r="E141" s="13" t="n">
        <f aca="false">C141*D141</f>
        <v>2165.17793551732</v>
      </c>
      <c r="F141" s="26" t="n">
        <f aca="false">(F124+F124*G26)</f>
        <v>1.686498489</v>
      </c>
      <c r="G141" s="13" t="n">
        <f aca="false">F141*C141*(1-$I$140)</f>
        <v>13.20528316887</v>
      </c>
      <c r="L141" s="23"/>
      <c r="O141" s="23"/>
      <c r="P141" s="50"/>
      <c r="Q141" s="25"/>
      <c r="R141" s="0"/>
      <c r="S141" s="0"/>
      <c r="T141" s="0"/>
    </row>
    <row r="142" customFormat="false" ht="12.8" hidden="false" customHeight="false" outlineLevel="0" collapsed="false">
      <c r="A142" s="24" t="str">
        <f aca="false">A27</f>
        <v>AO SMITH</v>
      </c>
      <c r="B142" s="49" t="n">
        <v>0</v>
      </c>
      <c r="C142" s="23" t="n">
        <f aca="false">C125+B142</f>
        <v>12</v>
      </c>
      <c r="D142" s="13" t="n">
        <f aca="false">D125+D125*D27</f>
        <v>176.275450955612</v>
      </c>
      <c r="E142" s="13" t="n">
        <f aca="false">C142*D142</f>
        <v>2115.30541146734</v>
      </c>
      <c r="F142" s="26" t="n">
        <f aca="false">(F125+F125*G27)</f>
        <v>1.65334965143112</v>
      </c>
      <c r="G142" s="13" t="n">
        <f aca="false">F142*C142*(1-$I$140)</f>
        <v>17.2609703609409</v>
      </c>
      <c r="I142" s="14" t="s">
        <v>83</v>
      </c>
      <c r="J142" s="14"/>
      <c r="O142" s="23"/>
      <c r="P142" s="50"/>
      <c r="Q142" s="25"/>
      <c r="R142" s="0"/>
      <c r="S142" s="0"/>
      <c r="T142" s="0"/>
    </row>
    <row r="143" customFormat="false" ht="12.8" hidden="false" customHeight="true" outlineLevel="0" collapsed="false">
      <c r="A143" s="24" t="str">
        <f aca="false">A28</f>
        <v>VANGUARD S&amp;P500</v>
      </c>
      <c r="B143" s="49" t="n">
        <v>5</v>
      </c>
      <c r="C143" s="23" t="n">
        <f aca="false">C126+B143</f>
        <v>28</v>
      </c>
      <c r="D143" s="13" t="n">
        <f aca="false">D126+D126*D28</f>
        <v>390.475562258356</v>
      </c>
      <c r="E143" s="13" t="n">
        <f aca="false">C143*D143</f>
        <v>10933.315743234</v>
      </c>
      <c r="F143" s="26" t="n">
        <f aca="false">(F126+F126*G28)</f>
        <v>5.84740183583248</v>
      </c>
      <c r="G143" s="13" t="n">
        <f aca="false">F143*C143*(1-$I$140)</f>
        <v>142.442708720879</v>
      </c>
      <c r="I143" s="25" t="n">
        <v>0.1</v>
      </c>
      <c r="O143" s="23"/>
      <c r="P143" s="50"/>
      <c r="Q143" s="25"/>
      <c r="R143" s="0"/>
      <c r="S143" s="0"/>
      <c r="T143" s="0"/>
    </row>
    <row r="144" customFormat="false" ht="12.8" hidden="false" customHeight="false" outlineLevel="0" collapsed="false">
      <c r="A144" s="24" t="str">
        <f aca="false">A29</f>
        <v>VANGUARD HIGH DIVIDEND</v>
      </c>
      <c r="B144" s="49" t="n">
        <v>15</v>
      </c>
      <c r="C144" s="23" t="n">
        <f aca="false">C127+B144</f>
        <v>86</v>
      </c>
      <c r="D144" s="13" t="n">
        <f aca="false">D127+D127*D29</f>
        <v>128.923918812442</v>
      </c>
      <c r="E144" s="13" t="n">
        <f aca="false">C144*D144</f>
        <v>11087.45701787</v>
      </c>
      <c r="F144" s="26" t="n">
        <f aca="false">(F127+F127*G29)</f>
        <v>3.4284321792</v>
      </c>
      <c r="G144" s="13" t="n">
        <f aca="false">F144*C144*(1-$I$140)</f>
        <v>256.515295647744</v>
      </c>
      <c r="O144" s="23"/>
      <c r="P144" s="50"/>
      <c r="Q144" s="25"/>
      <c r="R144" s="0"/>
      <c r="S144" s="0"/>
      <c r="T144" s="0"/>
    </row>
    <row r="145" customFormat="false" ht="12.8" hidden="false" customHeight="false" outlineLevel="0" collapsed="false">
      <c r="B145" s="53" t="s">
        <v>68</v>
      </c>
      <c r="C145" s="53"/>
      <c r="D145" s="53"/>
      <c r="E145" s="13" t="n">
        <f aca="false">SUM(E133:E144)</f>
        <v>44147.6323341715</v>
      </c>
      <c r="F145" s="13"/>
      <c r="G145" s="13" t="n">
        <f aca="false">SUM(G133:G144)</f>
        <v>667.61271838035</v>
      </c>
      <c r="O145" s="23"/>
      <c r="P145" s="23"/>
      <c r="S145" s="0"/>
      <c r="T145" s="0"/>
    </row>
  </sheetData>
  <mergeCells count="89">
    <mergeCell ref="B1:G1"/>
    <mergeCell ref="B3:E3"/>
    <mergeCell ref="B4:E4"/>
    <mergeCell ref="B5:E5"/>
    <mergeCell ref="B7:E7"/>
    <mergeCell ref="B8:E8"/>
    <mergeCell ref="E10:F10"/>
    <mergeCell ref="A15:A17"/>
    <mergeCell ref="B15:B17"/>
    <mergeCell ref="C15:C17"/>
    <mergeCell ref="D15:D17"/>
    <mergeCell ref="E15:G15"/>
    <mergeCell ref="E16:E17"/>
    <mergeCell ref="F16:F17"/>
    <mergeCell ref="G16:G17"/>
    <mergeCell ref="A31:D31"/>
    <mergeCell ref="A32:A33"/>
    <mergeCell ref="B32:B33"/>
    <mergeCell ref="C32:C33"/>
    <mergeCell ref="D32:D33"/>
    <mergeCell ref="A46:B46"/>
    <mergeCell ref="A48:B49"/>
    <mergeCell ref="A50:F51"/>
    <mergeCell ref="A52:F53"/>
    <mergeCell ref="A54:F55"/>
    <mergeCell ref="A56:F57"/>
    <mergeCell ref="A60:B61"/>
    <mergeCell ref="J60:J61"/>
    <mergeCell ref="L60:L61"/>
    <mergeCell ref="N60:N61"/>
    <mergeCell ref="A62:B62"/>
    <mergeCell ref="A63:A64"/>
    <mergeCell ref="B63:B64"/>
    <mergeCell ref="C63:C64"/>
    <mergeCell ref="D63:D64"/>
    <mergeCell ref="E63:E64"/>
    <mergeCell ref="F63:F64"/>
    <mergeCell ref="G63:G64"/>
    <mergeCell ref="B77:D77"/>
    <mergeCell ref="A79:B79"/>
    <mergeCell ref="A80:A81"/>
    <mergeCell ref="B80:B81"/>
    <mergeCell ref="C80:C81"/>
    <mergeCell ref="D80:D81"/>
    <mergeCell ref="E80:E81"/>
    <mergeCell ref="F80:F81"/>
    <mergeCell ref="G80:G81"/>
    <mergeCell ref="I86:J87"/>
    <mergeCell ref="K88:L88"/>
    <mergeCell ref="K89:L93"/>
    <mergeCell ref="B94:D94"/>
    <mergeCell ref="K94:L94"/>
    <mergeCell ref="I95:I96"/>
    <mergeCell ref="J95:L96"/>
    <mergeCell ref="A96:B96"/>
    <mergeCell ref="A97:A98"/>
    <mergeCell ref="B97:B98"/>
    <mergeCell ref="C97:C98"/>
    <mergeCell ref="D97:D98"/>
    <mergeCell ref="E97:E98"/>
    <mergeCell ref="F97:F98"/>
    <mergeCell ref="G97:G98"/>
    <mergeCell ref="I97:I98"/>
    <mergeCell ref="J97:L98"/>
    <mergeCell ref="I101:J102"/>
    <mergeCell ref="I103:J103"/>
    <mergeCell ref="B111:D111"/>
    <mergeCell ref="A113:B113"/>
    <mergeCell ref="A114:A115"/>
    <mergeCell ref="B114:B115"/>
    <mergeCell ref="C114:C115"/>
    <mergeCell ref="D114:D115"/>
    <mergeCell ref="E114:E115"/>
    <mergeCell ref="F114:F115"/>
    <mergeCell ref="G114:G115"/>
    <mergeCell ref="I115:J115"/>
    <mergeCell ref="I127:J127"/>
    <mergeCell ref="B128:D128"/>
    <mergeCell ref="A130:B130"/>
    <mergeCell ref="A131:A132"/>
    <mergeCell ref="B131:B132"/>
    <mergeCell ref="C131:C132"/>
    <mergeCell ref="D131:D132"/>
    <mergeCell ref="E131:E132"/>
    <mergeCell ref="F131:F132"/>
    <mergeCell ref="G131:G132"/>
    <mergeCell ref="I139:J139"/>
    <mergeCell ref="I142:J142"/>
    <mergeCell ref="B145:D1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72"/>
    <col collapsed="false" customWidth="true" hidden="false" outlineLevel="0" max="2" min="2" style="1" width="14.98"/>
    <col collapsed="false" customWidth="true" hidden="false" outlineLevel="0" max="3" min="3" style="1" width="12.97"/>
    <col collapsed="false" customWidth="true" hidden="false" outlineLevel="0" max="4" min="4" style="1" width="12.98"/>
    <col collapsed="false" customWidth="true" hidden="false" outlineLevel="0" max="5" min="5" style="1" width="11.14"/>
    <col collapsed="false" customWidth="true" hidden="false" outlineLevel="0" max="6" min="6" style="1" width="16.11"/>
    <col collapsed="false" customWidth="true" hidden="false" outlineLevel="0" max="7" min="7" style="1" width="14.81"/>
    <col collapsed="false" customWidth="true" hidden="false" outlineLevel="0" max="8" min="8" style="1" width="3.89"/>
    <col collapsed="false" customWidth="true" hidden="false" outlineLevel="0" max="9" min="9" style="1" width="16.48"/>
    <col collapsed="false" customWidth="true" hidden="false" outlineLevel="0" max="10" min="10" style="1" width="14.88"/>
    <col collapsed="false" customWidth="true" hidden="false" outlineLevel="0" max="11" min="11" style="1" width="4.02"/>
    <col collapsed="false" customWidth="true" hidden="false" outlineLevel="0" max="12" min="12" style="1" width="15.84"/>
    <col collapsed="false" customWidth="true" hidden="false" outlineLevel="0" max="13" min="13" style="1" width="3.74"/>
    <col collapsed="false" customWidth="true" hidden="false" outlineLevel="0" max="14" min="14" style="1" width="14.66"/>
    <col collapsed="false" customWidth="true" hidden="false" outlineLevel="0" max="15" min="15" style="1" width="10.31"/>
    <col collapsed="false" customWidth="true" hidden="false" outlineLevel="0" max="16" min="16" style="1" width="11.16"/>
    <col collapsed="false" customWidth="false" hidden="false" outlineLevel="0" max="1025" min="17" style="1" width="11.52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I1" s="4"/>
      <c r="N1" s="4"/>
    </row>
    <row r="3" customFormat="false" ht="18.55" hidden="false" customHeight="false" outlineLevel="0" collapsed="false">
      <c r="A3" s="5" t="s">
        <v>2</v>
      </c>
      <c r="B3" s="3" t="s">
        <v>84</v>
      </c>
      <c r="C3" s="3"/>
      <c r="D3" s="3"/>
      <c r="E3" s="3"/>
      <c r="F3" s="6" t="n">
        <f aca="false">N76</f>
        <v>832620.407914146</v>
      </c>
      <c r="G3" s="7"/>
      <c r="H3" s="7"/>
    </row>
    <row r="4" customFormat="false" ht="18.55" hidden="false" customHeight="false" outlineLevel="0" collapsed="false">
      <c r="A4" s="4"/>
      <c r="B4" s="3" t="s">
        <v>4</v>
      </c>
      <c r="C4" s="3"/>
      <c r="D4" s="3"/>
      <c r="E4" s="3"/>
      <c r="F4" s="8" t="n">
        <f aca="false">I88</f>
        <v>0.165126990685186</v>
      </c>
      <c r="G4" s="9"/>
      <c r="H4" s="9"/>
    </row>
    <row r="5" customFormat="false" ht="18.55" hidden="false" customHeight="false" outlineLevel="0" collapsed="false">
      <c r="A5" s="10"/>
      <c r="B5" s="3" t="s">
        <v>5</v>
      </c>
      <c r="C5" s="3"/>
      <c r="D5" s="3"/>
      <c r="E5" s="3"/>
      <c r="F5" s="8" t="n">
        <f aca="false">F4-F11</f>
        <v>0.147226990685186</v>
      </c>
      <c r="G5" s="11"/>
      <c r="H5" s="11"/>
    </row>
    <row r="6" customFormat="false" ht="18.55" hidden="false" customHeight="false" outlineLevel="0" collapsed="false">
      <c r="G6" s="9"/>
      <c r="H6" s="9"/>
    </row>
    <row r="7" customFormat="false" ht="18.55" hidden="false" customHeight="false" outlineLevel="0" collapsed="false">
      <c r="B7" s="3" t="s">
        <v>85</v>
      </c>
      <c r="C7" s="3"/>
      <c r="D7" s="3"/>
      <c r="E7" s="3"/>
      <c r="F7" s="12" t="n">
        <f aca="false">L76</f>
        <v>12625.3354177272</v>
      </c>
    </row>
    <row r="8" customFormat="false" ht="18.55" hidden="false" customHeight="false" outlineLevel="0" collapsed="false">
      <c r="B8" s="3" t="s">
        <v>7</v>
      </c>
      <c r="C8" s="3"/>
      <c r="D8" s="3"/>
      <c r="E8" s="3"/>
      <c r="F8" s="8" t="n">
        <f aca="false">I90</f>
        <v>0.0151633749277847</v>
      </c>
    </row>
    <row r="9" customFormat="false" ht="12.8" hidden="false" customHeight="false" outlineLevel="0" collapsed="false">
      <c r="G9" s="13"/>
    </row>
    <row r="10" customFormat="false" ht="12.8" hidden="false" customHeight="false" outlineLevel="0" collapsed="false">
      <c r="A10" s="14" t="s">
        <v>8</v>
      </c>
      <c r="B10" s="14" t="n">
        <v>63.23</v>
      </c>
      <c r="C10" s="15"/>
      <c r="E10" s="14" t="s">
        <v>9</v>
      </c>
      <c r="F10" s="14"/>
    </row>
    <row r="11" customFormat="false" ht="16.15" hidden="false" customHeight="false" outlineLevel="0" collapsed="false">
      <c r="A11" s="14" t="s">
        <v>10</v>
      </c>
      <c r="B11" s="16" t="n">
        <f aca="false">315000/B10</f>
        <v>4981.81243080816</v>
      </c>
      <c r="C11" s="0"/>
      <c r="E11" s="14" t="s">
        <v>11</v>
      </c>
      <c r="F11" s="17" t="n">
        <v>0.0179</v>
      </c>
      <c r="T11" s="18"/>
      <c r="U11" s="19"/>
      <c r="V11" s="19"/>
      <c r="W11" s="19"/>
    </row>
    <row r="12" customFormat="false" ht="16.15" hidden="false" customHeight="false" outlineLevel="0" collapsed="false">
      <c r="A12" s="14" t="s">
        <v>12</v>
      </c>
      <c r="B12" s="20" t="n">
        <f aca="false">1000000/B10</f>
        <v>15815.2775581211</v>
      </c>
      <c r="C12" s="0"/>
      <c r="E12" s="14" t="s">
        <v>13</v>
      </c>
      <c r="F12" s="17" t="n">
        <v>0.075</v>
      </c>
      <c r="T12" s="18"/>
      <c r="U12" s="19"/>
      <c r="V12" s="19"/>
      <c r="W12" s="19"/>
    </row>
    <row r="13" customFormat="false" ht="12.8" hidden="false" customHeight="true" outlineLevel="0" collapsed="false"/>
    <row r="14" customFormat="false" ht="12.8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12.8" hidden="false" customHeight="true" outlineLevel="0" collapsed="false">
      <c r="A15" s="21" t="s">
        <v>14</v>
      </c>
      <c r="B15" s="21" t="s">
        <v>15</v>
      </c>
      <c r="C15" s="21" t="s">
        <v>16</v>
      </c>
      <c r="D15" s="21" t="s">
        <v>17</v>
      </c>
      <c r="E15" s="21" t="s">
        <v>18</v>
      </c>
      <c r="F15" s="21" t="s">
        <v>19</v>
      </c>
      <c r="G15" s="21" t="s">
        <v>20</v>
      </c>
    </row>
    <row r="16" customFormat="false" ht="12.8" hidden="false" customHeight="true" outlineLevel="0" collapsed="false">
      <c r="A16" s="21"/>
      <c r="B16" s="21"/>
      <c r="C16" s="21"/>
      <c r="D16" s="21"/>
      <c r="E16" s="21" t="s">
        <v>21</v>
      </c>
      <c r="F16" s="21" t="s">
        <v>22</v>
      </c>
      <c r="G16" s="21" t="s">
        <v>23</v>
      </c>
    </row>
    <row r="17" customFormat="false" ht="12.8" hidden="false" customHeight="false" outlineLevel="0" collapsed="false">
      <c r="A17" s="21"/>
      <c r="B17" s="21"/>
      <c r="C17" s="21"/>
      <c r="D17" s="21"/>
      <c r="E17" s="21"/>
      <c r="F17" s="21"/>
      <c r="G17" s="21"/>
      <c r="T17" s="22"/>
      <c r="U17" s="23"/>
    </row>
    <row r="18" customFormat="false" ht="12.8" hidden="false" customHeight="true" outlineLevel="0" collapsed="false">
      <c r="A18" s="24" t="s">
        <v>24</v>
      </c>
      <c r="B18" s="24" t="s">
        <v>25</v>
      </c>
      <c r="C18" s="13" t="n">
        <v>196.5</v>
      </c>
      <c r="D18" s="25" t="n">
        <v>0.1207</v>
      </c>
      <c r="E18" s="26" t="n">
        <v>5.44</v>
      </c>
      <c r="F18" s="25" t="n">
        <f aca="false">E18/C18</f>
        <v>0.0276844783715013</v>
      </c>
      <c r="G18" s="25" t="n">
        <v>0.112</v>
      </c>
      <c r="T18" s="22"/>
      <c r="U18" s="23"/>
    </row>
    <row r="19" customFormat="false" ht="12.8" hidden="false" customHeight="false" outlineLevel="0" collapsed="false">
      <c r="A19" s="24" t="s">
        <v>26</v>
      </c>
      <c r="B19" s="24" t="s">
        <v>27</v>
      </c>
      <c r="C19" s="13" t="n">
        <v>184.92</v>
      </c>
      <c r="D19" s="25" t="n">
        <v>0.2293</v>
      </c>
      <c r="E19" s="26" t="n">
        <v>2.92</v>
      </c>
      <c r="F19" s="25" t="n">
        <f aca="false">E19/C19</f>
        <v>0.0157906121566083</v>
      </c>
      <c r="G19" s="25" t="n">
        <v>0.101</v>
      </c>
      <c r="T19" s="22"/>
      <c r="U19" s="23"/>
    </row>
    <row r="20" customFormat="false" ht="12.8" hidden="false" customHeight="true" outlineLevel="0" collapsed="false">
      <c r="A20" s="24" t="s">
        <v>28</v>
      </c>
      <c r="B20" s="1" t="s">
        <v>29</v>
      </c>
      <c r="C20" s="13" t="n">
        <v>188.63</v>
      </c>
      <c r="D20" s="25" t="n">
        <v>0.2231</v>
      </c>
      <c r="E20" s="26" t="n">
        <v>1.62</v>
      </c>
      <c r="F20" s="25" t="n">
        <f aca="false">E20/C20</f>
        <v>0.0085882415310396</v>
      </c>
      <c r="G20" s="25" t="n">
        <v>0.24</v>
      </c>
      <c r="T20" s="22"/>
      <c r="U20" s="23"/>
    </row>
    <row r="21" customFormat="false" ht="12.8" hidden="false" customHeight="false" outlineLevel="0" collapsed="false">
      <c r="A21" s="24" t="s">
        <v>30</v>
      </c>
      <c r="B21" s="24" t="s">
        <v>31</v>
      </c>
      <c r="C21" s="13" t="n">
        <v>197.41</v>
      </c>
      <c r="D21" s="25" t="n">
        <v>0.2347</v>
      </c>
      <c r="E21" s="26" t="n">
        <v>4.12</v>
      </c>
      <c r="F21" s="25" t="n">
        <f aca="false">E21/C21</f>
        <v>0.0208702699964541</v>
      </c>
      <c r="G21" s="25" t="n">
        <v>0.237</v>
      </c>
      <c r="T21" s="22"/>
      <c r="U21" s="23"/>
    </row>
    <row r="22" customFormat="false" ht="12.8" hidden="false" customHeight="true" outlineLevel="0" collapsed="false">
      <c r="A22" s="24" t="s">
        <v>32</v>
      </c>
      <c r="B22" s="1" t="s">
        <v>33</v>
      </c>
      <c r="C22" s="13" t="n">
        <v>254.37</v>
      </c>
      <c r="D22" s="25" t="n">
        <v>0.2572</v>
      </c>
      <c r="E22" s="26" t="n">
        <v>3.6</v>
      </c>
      <c r="F22" s="25" t="n">
        <f aca="false">E22/C22</f>
        <v>0.0141526123363604</v>
      </c>
      <c r="G22" s="25" t="n">
        <v>0.27</v>
      </c>
      <c r="T22" s="27"/>
      <c r="U22" s="27"/>
      <c r="V22" s="27"/>
      <c r="W22" s="27"/>
    </row>
    <row r="23" customFormat="false" ht="12.8" hidden="false" customHeight="false" outlineLevel="0" collapsed="false">
      <c r="A23" s="24" t="s">
        <v>34</v>
      </c>
      <c r="B23" s="24" t="s">
        <v>35</v>
      </c>
      <c r="C23" s="13" t="n">
        <v>112.38</v>
      </c>
      <c r="D23" s="25" t="n">
        <v>0.1544</v>
      </c>
      <c r="E23" s="26" t="n">
        <v>2.48</v>
      </c>
      <c r="F23" s="25" t="n">
        <f aca="false">E23/C23</f>
        <v>0.0220679836269799</v>
      </c>
      <c r="G23" s="25" t="n">
        <v>0.196</v>
      </c>
      <c r="O23" s="18"/>
      <c r="Q23" s="18"/>
      <c r="R23" s="18"/>
      <c r="S23" s="18"/>
      <c r="T23" s="27"/>
      <c r="U23" s="27"/>
      <c r="V23" s="27"/>
      <c r="W23" s="27"/>
    </row>
    <row r="24" customFormat="false" ht="12.8" hidden="false" customHeight="false" outlineLevel="0" collapsed="false">
      <c r="A24" s="24" t="s">
        <v>36</v>
      </c>
      <c r="B24" s="1" t="s">
        <v>37</v>
      </c>
      <c r="C24" s="13" t="n">
        <v>159.63</v>
      </c>
      <c r="D24" s="25" t="n">
        <v>0.1625</v>
      </c>
      <c r="E24" s="26" t="n">
        <v>2.66</v>
      </c>
      <c r="F24" s="25" t="n">
        <f aca="false">E24/C24</f>
        <v>0.016663534423354</v>
      </c>
      <c r="G24" s="25" t="n">
        <v>0.092</v>
      </c>
      <c r="O24" s="18"/>
      <c r="Q24" s="18"/>
      <c r="R24" s="18"/>
      <c r="S24" s="18"/>
      <c r="T24" s="27"/>
      <c r="U24" s="27"/>
      <c r="V24" s="27"/>
      <c r="W24" s="27"/>
    </row>
    <row r="25" customFormat="false" ht="12.8" hidden="false" customHeight="true" outlineLevel="0" collapsed="false">
      <c r="A25" s="1" t="s">
        <v>38</v>
      </c>
      <c r="B25" s="1" t="s">
        <v>39</v>
      </c>
      <c r="C25" s="13" t="n">
        <v>100.41</v>
      </c>
      <c r="D25" s="25" t="n">
        <v>0.1463</v>
      </c>
      <c r="E25" s="26" t="n">
        <v>1.68</v>
      </c>
      <c r="F25" s="25" t="n">
        <f aca="false">E25/C25</f>
        <v>0.0167314012548551</v>
      </c>
      <c r="G25" s="25" t="n">
        <v>0.114</v>
      </c>
      <c r="T25" s="27"/>
      <c r="U25" s="28"/>
      <c r="V25" s="28"/>
      <c r="W25" s="28"/>
    </row>
    <row r="26" customFormat="false" ht="12.8" hidden="false" customHeight="true" outlineLevel="0" collapsed="false">
      <c r="A26" s="1" t="s">
        <v>40</v>
      </c>
      <c r="B26" s="1" t="s">
        <v>41</v>
      </c>
      <c r="C26" s="13" t="n">
        <v>85.98</v>
      </c>
      <c r="D26" s="25" t="n">
        <v>0.254</v>
      </c>
      <c r="E26" s="26" t="n">
        <v>0.9</v>
      </c>
      <c r="F26" s="25" t="n">
        <f aca="false">E26/C26</f>
        <v>0.0104675505931612</v>
      </c>
      <c r="G26" s="25" t="n">
        <v>0.17</v>
      </c>
      <c r="T26" s="27"/>
      <c r="U26" s="28"/>
      <c r="V26" s="28"/>
      <c r="W26" s="28"/>
    </row>
    <row r="27" customFormat="false" ht="12.8" hidden="false" customHeight="false" outlineLevel="0" collapsed="false">
      <c r="A27" s="24" t="s">
        <v>42</v>
      </c>
      <c r="B27" s="1" t="s">
        <v>43</v>
      </c>
      <c r="C27" s="13" t="n">
        <v>60.27</v>
      </c>
      <c r="D27" s="25" t="n">
        <v>0.2662</v>
      </c>
      <c r="E27" s="26" t="n">
        <v>0.72</v>
      </c>
      <c r="F27" s="25" t="n">
        <f aca="false">E27/C27</f>
        <v>0.0119462419113987</v>
      </c>
      <c r="G27" s="25" t="n">
        <v>0.231</v>
      </c>
      <c r="Q27" s="29"/>
      <c r="R27" s="29"/>
      <c r="T27" s="27"/>
      <c r="U27" s="28"/>
      <c r="V27" s="28"/>
      <c r="W27" s="28"/>
    </row>
    <row r="28" customFormat="false" ht="12.8" hidden="false" customHeight="true" outlineLevel="0" collapsed="false">
      <c r="A28" s="1" t="s">
        <v>44</v>
      </c>
      <c r="B28" s="1" t="s">
        <v>45</v>
      </c>
      <c r="C28" s="13" t="n">
        <v>253.57</v>
      </c>
      <c r="D28" s="25" t="n">
        <v>0.1</v>
      </c>
      <c r="E28" s="26" t="n">
        <v>4.33</v>
      </c>
      <c r="F28" s="25" t="n">
        <f aca="false">E28/C28</f>
        <v>0.0170761525417045</v>
      </c>
      <c r="G28" s="25" t="n">
        <v>0.078</v>
      </c>
      <c r="Q28" s="29"/>
      <c r="R28" s="29"/>
    </row>
    <row r="29" customFormat="false" ht="12.8" hidden="false" customHeight="false" outlineLevel="0" collapsed="false">
      <c r="A29" s="1" t="s">
        <v>46</v>
      </c>
      <c r="B29" s="1" t="s">
        <v>47</v>
      </c>
      <c r="C29" s="13" t="n">
        <v>83.86</v>
      </c>
      <c r="D29" s="25" t="n">
        <v>0.0996</v>
      </c>
      <c r="E29" s="26" t="n">
        <v>2.52</v>
      </c>
      <c r="F29" s="25" t="n">
        <f aca="false">E29/C29</f>
        <v>0.0300500834724541</v>
      </c>
      <c r="G29" s="25" t="n">
        <v>0.08</v>
      </c>
      <c r="R29" s="23"/>
    </row>
    <row r="30" customFormat="false" ht="12.8" hidden="false" customHeight="false" outlineLevel="0" collapsed="false">
      <c r="E30" s="15"/>
      <c r="R30" s="23"/>
    </row>
    <row r="31" customFormat="false" ht="18.55" hidden="false" customHeight="false" outlineLevel="0" collapsed="false">
      <c r="A31" s="30" t="s">
        <v>48</v>
      </c>
      <c r="B31" s="30"/>
      <c r="C31" s="30"/>
      <c r="D31" s="30"/>
      <c r="E31" s="31"/>
      <c r="F31" s="31"/>
      <c r="G31" s="31"/>
      <c r="R31" s="23"/>
    </row>
    <row r="32" customFormat="false" ht="12.8" hidden="false" customHeight="true" outlineLevel="0" collapsed="false">
      <c r="A32" s="32" t="s">
        <v>14</v>
      </c>
      <c r="B32" s="32" t="s">
        <v>49</v>
      </c>
      <c r="C32" s="32" t="s">
        <v>50</v>
      </c>
      <c r="D32" s="33" t="s">
        <v>51</v>
      </c>
      <c r="E32" s="22"/>
      <c r="F32" s="31"/>
      <c r="G32" s="31"/>
      <c r="R32" s="23"/>
      <c r="T32" s="34"/>
      <c r="U32" s="34"/>
      <c r="V32" s="31"/>
      <c r="W32" s="31"/>
    </row>
    <row r="33" customFormat="false" ht="12.8" hidden="false" customHeight="false" outlineLevel="0" collapsed="false">
      <c r="A33" s="32"/>
      <c r="B33" s="32"/>
      <c r="C33" s="32"/>
      <c r="D33" s="33"/>
      <c r="E33" s="22"/>
      <c r="G33" s="35"/>
      <c r="M33" s="23"/>
      <c r="T33" s="31"/>
      <c r="U33" s="34"/>
      <c r="V33" s="31"/>
      <c r="W33" s="31"/>
    </row>
    <row r="34" customFormat="false" ht="12.8" hidden="false" customHeight="false" outlineLevel="0" collapsed="false">
      <c r="A34" s="24" t="str">
        <f aca="false">A18</f>
        <v>3M COMPANY</v>
      </c>
      <c r="B34" s="23" t="n">
        <v>1</v>
      </c>
      <c r="C34" s="35" t="n">
        <f aca="false">B34*C18</f>
        <v>196.5</v>
      </c>
      <c r="D34" s="36" t="n">
        <v>0.05</v>
      </c>
      <c r="E34" s="35"/>
      <c r="G34" s="35"/>
      <c r="M34" s="23"/>
      <c r="V34" s="37"/>
      <c r="W34" s="37"/>
    </row>
    <row r="35" customFormat="false" ht="12.8" hidden="false" customHeight="false" outlineLevel="0" collapsed="false">
      <c r="A35" s="24" t="str">
        <f aca="false">A19</f>
        <v>APPLE</v>
      </c>
      <c r="B35" s="23" t="n">
        <v>1</v>
      </c>
      <c r="C35" s="35" t="n">
        <f aca="false">B35*C19</f>
        <v>184.92</v>
      </c>
      <c r="D35" s="36" t="n">
        <v>0.05</v>
      </c>
      <c r="F35" s="25"/>
      <c r="G35" s="35"/>
      <c r="M35" s="23"/>
      <c r="T35" s="23"/>
      <c r="U35" s="23"/>
      <c r="V35" s="37"/>
      <c r="W35" s="37"/>
    </row>
    <row r="36" customFormat="false" ht="12.8" hidden="false" customHeight="false" outlineLevel="0" collapsed="false">
      <c r="A36" s="24" t="str">
        <f aca="false">A20</f>
        <v>CINTAS</v>
      </c>
      <c r="B36" s="23" t="n">
        <v>1</v>
      </c>
      <c r="C36" s="35" t="n">
        <f aca="false">B36*C20</f>
        <v>188.63</v>
      </c>
      <c r="D36" s="36" t="n">
        <v>0.05</v>
      </c>
      <c r="G36" s="35"/>
      <c r="M36" s="23"/>
      <c r="T36" s="23"/>
      <c r="U36" s="23"/>
      <c r="V36" s="37"/>
      <c r="W36" s="37"/>
    </row>
    <row r="37" customFormat="false" ht="12.8" hidden="false" customHeight="false" outlineLevel="0" collapsed="false">
      <c r="A37" s="24" t="str">
        <f aca="false">A21</f>
        <v>HOME DEPOT</v>
      </c>
      <c r="B37" s="23" t="n">
        <v>1</v>
      </c>
      <c r="C37" s="35" t="n">
        <f aca="false">B37*C21</f>
        <v>197.41</v>
      </c>
      <c r="D37" s="36" t="n">
        <v>0.05</v>
      </c>
      <c r="G37" s="35"/>
      <c r="T37" s="23"/>
      <c r="U37" s="23"/>
      <c r="V37" s="37"/>
      <c r="W37" s="37"/>
    </row>
    <row r="38" customFormat="false" ht="12.8" hidden="false" customHeight="false" outlineLevel="0" collapsed="false">
      <c r="A38" s="24" t="str">
        <f aca="false">A22</f>
        <v>UNITEDHEALTH</v>
      </c>
      <c r="B38" s="23" t="n">
        <v>1</v>
      </c>
      <c r="C38" s="35" t="n">
        <f aca="false">B38*C22</f>
        <v>254.37</v>
      </c>
      <c r="D38" s="36" t="n">
        <v>0.05</v>
      </c>
      <c r="G38" s="35"/>
      <c r="M38" s="23"/>
      <c r="S38" s="23"/>
      <c r="T38" s="37"/>
      <c r="U38" s="23"/>
      <c r="V38" s="37"/>
      <c r="W38" s="37"/>
    </row>
    <row r="39" customFormat="false" ht="12.8" hidden="false" customHeight="false" outlineLevel="0" collapsed="false">
      <c r="A39" s="24" t="str">
        <f aca="false">A23</f>
        <v>TEXAS INC</v>
      </c>
      <c r="B39" s="23" t="n">
        <v>2</v>
      </c>
      <c r="C39" s="35" t="n">
        <f aca="false">B39*C23</f>
        <v>224.76</v>
      </c>
      <c r="D39" s="36" t="n">
        <v>0.05</v>
      </c>
      <c r="G39" s="35"/>
      <c r="M39" s="23"/>
      <c r="T39" s="23"/>
      <c r="U39" s="23"/>
      <c r="V39" s="37"/>
      <c r="W39" s="37"/>
    </row>
    <row r="40" customFormat="false" ht="12.8" hidden="false" customHeight="false" outlineLevel="0" collapsed="false">
      <c r="A40" s="24" t="str">
        <f aca="false">A24</f>
        <v>ACCENTURE</v>
      </c>
      <c r="B40" s="23" t="n">
        <v>2</v>
      </c>
      <c r="C40" s="35" t="n">
        <f aca="false">B40*C24</f>
        <v>319.26</v>
      </c>
      <c r="D40" s="36" t="n">
        <v>0.05</v>
      </c>
      <c r="G40" s="35"/>
      <c r="T40" s="23"/>
      <c r="U40" s="23"/>
      <c r="V40" s="37"/>
      <c r="W40" s="37"/>
    </row>
    <row r="41" customFormat="false" ht="12.8" hidden="false" customHeight="true" outlineLevel="0" collapsed="false">
      <c r="A41" s="24" t="str">
        <f aca="false">A25</f>
        <v>MICROSOFT</v>
      </c>
      <c r="B41" s="23" t="n">
        <v>3</v>
      </c>
      <c r="C41" s="35" t="n">
        <f aca="false">B41*C25</f>
        <v>301.23</v>
      </c>
      <c r="D41" s="36" t="n">
        <v>0.05</v>
      </c>
      <c r="G41" s="35"/>
      <c r="Q41" s="31"/>
      <c r="R41" s="31"/>
      <c r="T41" s="23"/>
      <c r="U41" s="23"/>
      <c r="V41" s="37"/>
      <c r="W41" s="37"/>
    </row>
    <row r="42" customFormat="false" ht="12.8" hidden="false" customHeight="true" outlineLevel="0" collapsed="false">
      <c r="A42" s="24" t="str">
        <f aca="false">A26</f>
        <v>ROSS STORES</v>
      </c>
      <c r="B42" s="23" t="n">
        <v>3</v>
      </c>
      <c r="C42" s="35" t="n">
        <f aca="false">B42*C26</f>
        <v>257.94</v>
      </c>
      <c r="D42" s="36" t="n">
        <v>0.05</v>
      </c>
      <c r="G42" s="35"/>
      <c r="Q42" s="31"/>
      <c r="R42" s="31"/>
      <c r="T42" s="23"/>
      <c r="U42" s="23"/>
      <c r="V42" s="37"/>
      <c r="W42" s="37"/>
    </row>
    <row r="43" customFormat="false" ht="12.8" hidden="false" customHeight="false" outlineLevel="0" collapsed="false">
      <c r="A43" s="24" t="str">
        <f aca="false">A27</f>
        <v>AO SMITH</v>
      </c>
      <c r="B43" s="23" t="n">
        <v>4</v>
      </c>
      <c r="C43" s="35" t="n">
        <f aca="false">B43*C27</f>
        <v>241.08</v>
      </c>
      <c r="D43" s="36" t="n">
        <v>0.05</v>
      </c>
      <c r="G43" s="35"/>
      <c r="Q43" s="38"/>
      <c r="R43" s="38"/>
      <c r="T43" s="39"/>
      <c r="U43" s="23"/>
      <c r="W43" s="23"/>
    </row>
    <row r="44" customFormat="false" ht="12.8" hidden="false" customHeight="true" outlineLevel="0" collapsed="false">
      <c r="A44" s="24" t="str">
        <f aca="false">A28</f>
        <v>VANGUARD S&amp;P500</v>
      </c>
      <c r="B44" s="23" t="n">
        <v>5</v>
      </c>
      <c r="C44" s="35" t="n">
        <f aca="false">B44*C28</f>
        <v>1267.85</v>
      </c>
      <c r="D44" s="36" t="n">
        <v>0.25</v>
      </c>
      <c r="E44" s="15"/>
      <c r="G44" s="35"/>
      <c r="Q44" s="31"/>
      <c r="R44" s="31"/>
      <c r="S44" s="34"/>
    </row>
    <row r="45" customFormat="false" ht="12.8" hidden="false" customHeight="true" outlineLevel="0" collapsed="false">
      <c r="A45" s="24" t="str">
        <f aca="false">A29</f>
        <v>VANGUARD HIGH DIVIDEND</v>
      </c>
      <c r="B45" s="23" t="n">
        <v>15</v>
      </c>
      <c r="C45" s="35" t="n">
        <f aca="false">B45*C29</f>
        <v>1257.9</v>
      </c>
      <c r="D45" s="36" t="n">
        <v>0.25</v>
      </c>
      <c r="F45" s="15"/>
      <c r="G45" s="35"/>
      <c r="Q45" s="31"/>
      <c r="R45" s="31"/>
      <c r="S45" s="31"/>
      <c r="U45" s="22"/>
    </row>
    <row r="46" customFormat="false" ht="12.8" hidden="false" customHeight="true" outlineLevel="0" collapsed="false">
      <c r="A46" s="40" t="s">
        <v>52</v>
      </c>
      <c r="B46" s="40"/>
      <c r="C46" s="35" t="n">
        <f aca="false">SUM(C34:C45)</f>
        <v>4891.85</v>
      </c>
      <c r="D46" s="25"/>
      <c r="P46" s="23"/>
      <c r="S46" s="23"/>
    </row>
    <row r="47" customFormat="false" ht="12.8" hidden="false" customHeight="false" outlineLevel="0" collapsed="false">
      <c r="A47" s="0"/>
      <c r="B47" s="0"/>
      <c r="C47" s="0"/>
      <c r="D47" s="0"/>
      <c r="E47" s="0"/>
      <c r="P47" s="23"/>
      <c r="S47" s="23"/>
    </row>
    <row r="48" customFormat="false" ht="12.8" hidden="false" customHeight="true" outlineLevel="0" collapsed="false">
      <c r="A48" s="21" t="s">
        <v>53</v>
      </c>
      <c r="B48" s="21"/>
      <c r="P48" s="23"/>
      <c r="S48" s="23"/>
      <c r="T48" s="34"/>
      <c r="U48" s="34"/>
      <c r="V48" s="31"/>
      <c r="W48" s="31"/>
    </row>
    <row r="49" customFormat="false" ht="12.8" hidden="false" customHeight="true" outlineLevel="0" collapsed="false">
      <c r="A49" s="21"/>
      <c r="B49" s="21"/>
      <c r="P49" s="23"/>
      <c r="S49" s="23"/>
      <c r="T49" s="31"/>
      <c r="U49" s="34"/>
      <c r="V49" s="31"/>
      <c r="W49" s="31"/>
    </row>
    <row r="50" customFormat="false" ht="12.8" hidden="false" customHeight="true" outlineLevel="0" collapsed="false">
      <c r="A50" s="41" t="s">
        <v>54</v>
      </c>
      <c r="B50" s="41"/>
      <c r="C50" s="41"/>
      <c r="D50" s="41"/>
      <c r="E50" s="41"/>
      <c r="F50" s="41"/>
      <c r="P50" s="23"/>
      <c r="S50" s="23"/>
      <c r="T50" s="23"/>
      <c r="U50" s="23"/>
      <c r="V50" s="37"/>
      <c r="W50" s="37"/>
    </row>
    <row r="51" customFormat="false" ht="12.8" hidden="false" customHeight="true" outlineLevel="0" collapsed="false">
      <c r="A51" s="41"/>
      <c r="B51" s="41"/>
      <c r="C51" s="41"/>
      <c r="D51" s="41"/>
      <c r="E51" s="41"/>
      <c r="F51" s="41"/>
      <c r="P51" s="23"/>
      <c r="S51" s="23"/>
      <c r="T51" s="23"/>
      <c r="U51" s="23"/>
      <c r="V51" s="37"/>
      <c r="W51" s="37"/>
    </row>
    <row r="52" customFormat="false" ht="12.8" hidden="false" customHeight="true" outlineLevel="0" collapsed="false">
      <c r="A52" s="41" t="s">
        <v>55</v>
      </c>
      <c r="B52" s="41"/>
      <c r="C52" s="41"/>
      <c r="D52" s="41"/>
      <c r="E52" s="41"/>
      <c r="F52" s="41"/>
      <c r="P52" s="23"/>
      <c r="S52" s="23"/>
      <c r="T52" s="23"/>
      <c r="U52" s="23"/>
      <c r="V52" s="37"/>
      <c r="W52" s="37"/>
    </row>
    <row r="53" customFormat="false" ht="12.8" hidden="false" customHeight="true" outlineLevel="0" collapsed="false">
      <c r="A53" s="41"/>
      <c r="B53" s="41"/>
      <c r="C53" s="41"/>
      <c r="D53" s="41"/>
      <c r="E53" s="41"/>
      <c r="F53" s="41"/>
      <c r="P53" s="23"/>
      <c r="S53" s="23"/>
      <c r="T53" s="23"/>
      <c r="U53" s="23"/>
      <c r="V53" s="37"/>
      <c r="W53" s="37"/>
      <c r="Y53" s="23"/>
    </row>
    <row r="54" customFormat="false" ht="12.8" hidden="false" customHeight="true" outlineLevel="0" collapsed="false">
      <c r="A54" s="41" t="s">
        <v>56</v>
      </c>
      <c r="B54" s="41"/>
      <c r="C54" s="41"/>
      <c r="D54" s="41"/>
      <c r="E54" s="41"/>
      <c r="F54" s="41"/>
      <c r="P54" s="23"/>
      <c r="S54" s="23"/>
      <c r="T54" s="37"/>
      <c r="U54" s="23"/>
      <c r="V54" s="37"/>
      <c r="W54" s="37"/>
      <c r="Y54" s="23"/>
    </row>
    <row r="55" customFormat="false" ht="12.8" hidden="false" customHeight="true" outlineLevel="0" collapsed="false">
      <c r="A55" s="41"/>
      <c r="B55" s="41"/>
      <c r="C55" s="41"/>
      <c r="D55" s="41"/>
      <c r="E55" s="41"/>
      <c r="F55" s="41"/>
      <c r="R55" s="39"/>
      <c r="S55" s="39"/>
      <c r="T55" s="23"/>
      <c r="U55" s="23"/>
      <c r="V55" s="37"/>
      <c r="W55" s="37"/>
      <c r="Y55" s="23"/>
    </row>
    <row r="56" customFormat="false" ht="12.8" hidden="false" customHeight="true" outlineLevel="0" collapsed="false">
      <c r="A56" s="41" t="s">
        <v>57</v>
      </c>
      <c r="B56" s="41"/>
      <c r="C56" s="41"/>
      <c r="D56" s="41"/>
      <c r="E56" s="41"/>
      <c r="F56" s="41"/>
      <c r="T56" s="23"/>
      <c r="U56" s="23"/>
      <c r="V56" s="37"/>
      <c r="W56" s="37"/>
      <c r="Y56" s="23"/>
    </row>
    <row r="57" customFormat="false" ht="12.8" hidden="false" customHeight="true" outlineLevel="0" collapsed="false">
      <c r="A57" s="41"/>
      <c r="B57" s="41"/>
      <c r="C57" s="41"/>
      <c r="D57" s="41"/>
      <c r="E57" s="41"/>
      <c r="F57" s="41"/>
      <c r="R57" s="31"/>
      <c r="T57" s="23"/>
      <c r="U57" s="23"/>
      <c r="V57" s="37"/>
      <c r="W57" s="37"/>
      <c r="Y57" s="2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R58" s="31"/>
      <c r="S58" s="23"/>
      <c r="T58" s="23"/>
      <c r="U58" s="23"/>
      <c r="V58" s="37"/>
      <c r="W58" s="37"/>
      <c r="Y58" s="23"/>
    </row>
    <row r="59" customFormat="false" ht="12.8" hidden="false" customHeight="false" outlineLevel="0" collapsed="false">
      <c r="G59" s="0"/>
      <c r="R59" s="38"/>
      <c r="T59" s="39"/>
      <c r="U59" s="23"/>
      <c r="W59" s="23"/>
      <c r="Y59" s="23"/>
    </row>
    <row r="60" customFormat="false" ht="12.8" hidden="false" customHeight="true" outlineLevel="0" collapsed="false">
      <c r="A60" s="32" t="s">
        <v>58</v>
      </c>
      <c r="B60" s="32"/>
      <c r="D60" s="42" t="n">
        <v>43465</v>
      </c>
      <c r="E60" s="42" t="n">
        <f aca="true">TODAY()</f>
        <v>43275</v>
      </c>
      <c r="F60" s="43" t="s">
        <v>59</v>
      </c>
      <c r="G60" s="0"/>
      <c r="I60" s="0"/>
      <c r="J60" s="44" t="s">
        <v>60</v>
      </c>
      <c r="L60" s="44" t="s">
        <v>18</v>
      </c>
      <c r="N60" s="32" t="s">
        <v>61</v>
      </c>
      <c r="O60" s="29"/>
      <c r="Y60" s="23"/>
    </row>
    <row r="61" customFormat="false" ht="12.8" hidden="false" customHeight="true" outlineLevel="0" collapsed="false">
      <c r="A61" s="32"/>
      <c r="B61" s="32"/>
      <c r="D61" s="43" t="n">
        <v>189</v>
      </c>
      <c r="E61" s="43"/>
      <c r="F61" s="43" t="n">
        <f aca="false">2/4</f>
        <v>0.5</v>
      </c>
      <c r="G61" s="0"/>
      <c r="I61" s="0"/>
      <c r="J61" s="44"/>
      <c r="L61" s="44"/>
      <c r="N61" s="32"/>
      <c r="O61" s="29"/>
      <c r="T61" s="45"/>
      <c r="U61" s="22"/>
      <c r="Y61" s="23"/>
    </row>
    <row r="62" customFormat="false" ht="12.8" hidden="false" customHeight="false" outlineLevel="0" collapsed="false">
      <c r="A62" s="38" t="s">
        <v>62</v>
      </c>
      <c r="B62" s="38"/>
      <c r="I62" s="15" t="n">
        <v>2018</v>
      </c>
      <c r="J62" s="46" t="n">
        <f aca="false">(C46*I136*(D61/365))+C46+J82</f>
        <v>13334.4347218764</v>
      </c>
      <c r="K62" s="15"/>
      <c r="L62" s="46" t="n">
        <f aca="false">G77</f>
        <v>108.68475</v>
      </c>
      <c r="M62" s="15"/>
      <c r="N62" s="46" t="n">
        <f aca="false">E77</f>
        <v>13359.0450518219</v>
      </c>
      <c r="O62" s="0"/>
      <c r="Y62" s="23"/>
    </row>
    <row r="63" customFormat="false" ht="12.8" hidden="false" customHeight="true" outlineLevel="0" collapsed="false">
      <c r="A63" s="47" t="s">
        <v>14</v>
      </c>
      <c r="B63" s="47" t="s">
        <v>63</v>
      </c>
      <c r="C63" s="48" t="s">
        <v>64</v>
      </c>
      <c r="D63" s="48" t="s">
        <v>65</v>
      </c>
      <c r="E63" s="48" t="s">
        <v>66</v>
      </c>
      <c r="F63" s="47" t="s">
        <v>67</v>
      </c>
      <c r="G63" s="47" t="s">
        <v>18</v>
      </c>
      <c r="I63" s="15" t="n">
        <v>2019</v>
      </c>
      <c r="J63" s="46" t="n">
        <f aca="false">J62*$I$136+J62+J83</f>
        <v>30483.1557521851</v>
      </c>
      <c r="K63" s="15"/>
      <c r="L63" s="46" t="n">
        <f aca="false">G94</f>
        <v>501.9293958</v>
      </c>
      <c r="M63" s="15"/>
      <c r="N63" s="46" t="n">
        <f aca="false">E94</f>
        <v>31273.4999950366</v>
      </c>
      <c r="O63" s="0"/>
      <c r="Y63" s="23"/>
    </row>
    <row r="64" customFormat="false" ht="12.8" hidden="false" customHeight="true" outlineLevel="0" collapsed="false">
      <c r="A64" s="47"/>
      <c r="B64" s="47"/>
      <c r="C64" s="47"/>
      <c r="D64" s="48"/>
      <c r="E64" s="48"/>
      <c r="F64" s="47"/>
      <c r="G64" s="47"/>
      <c r="I64" s="15" t="n">
        <v>2020</v>
      </c>
      <c r="J64" s="46" t="n">
        <f aca="false">J63*$I$136+J63+J84</f>
        <v>49346.7488855248</v>
      </c>
      <c r="K64" s="15"/>
      <c r="L64" s="46" t="n">
        <f aca="false">G111</f>
        <v>821.8863601764</v>
      </c>
      <c r="M64" s="15"/>
      <c r="N64" s="46" t="n">
        <f aca="false">E111</f>
        <v>52255.0144869631</v>
      </c>
      <c r="Q64" s="0"/>
      <c r="S64" s="0"/>
      <c r="T64" s="0"/>
      <c r="U64" s="34"/>
      <c r="V64" s="31"/>
      <c r="W64" s="31"/>
      <c r="Y64" s="23"/>
    </row>
    <row r="65" customFormat="false" ht="12.8" hidden="false" customHeight="false" outlineLevel="0" collapsed="false">
      <c r="A65" s="24" t="str">
        <f aca="false">A18</f>
        <v>3M COMPANY</v>
      </c>
      <c r="B65" s="49" t="n">
        <v>2</v>
      </c>
      <c r="C65" s="23" t="n">
        <f aca="false">B34+B65+F33</f>
        <v>3</v>
      </c>
      <c r="D65" s="13" t="n">
        <f aca="false">C18+C18*D18*($D$61/365)</f>
        <v>208.781142328767</v>
      </c>
      <c r="E65" s="13" t="n">
        <f aca="false">C65*D65</f>
        <v>626.343426986301</v>
      </c>
      <c r="F65" s="26" t="n">
        <f aca="false">E18</f>
        <v>5.44</v>
      </c>
      <c r="G65" s="13" t="n">
        <f aca="false">C65*F65*(1-$I$133)*$F$61</f>
        <v>7.0992</v>
      </c>
      <c r="I65" s="15" t="n">
        <v>2021</v>
      </c>
      <c r="J65" s="46" t="n">
        <f aca="false">J64*$I$136+J64+J85</f>
        <v>70096.7013321983</v>
      </c>
      <c r="K65" s="15"/>
      <c r="L65" s="46" t="n">
        <f aca="false">G128</f>
        <v>1186.19396196194</v>
      </c>
      <c r="M65" s="15"/>
      <c r="N65" s="46" t="n">
        <f aca="false">E128</f>
        <v>76778.4849074112</v>
      </c>
      <c r="O65" s="23"/>
      <c r="P65" s="50"/>
      <c r="Q65" s="25"/>
      <c r="R65" s="0"/>
      <c r="S65" s="0"/>
      <c r="T65" s="0"/>
      <c r="U65" s="51"/>
      <c r="V65" s="51"/>
      <c r="Y65" s="23"/>
    </row>
    <row r="66" customFormat="false" ht="12.8" hidden="false" customHeight="false" outlineLevel="0" collapsed="false">
      <c r="A66" s="24" t="str">
        <f aca="false">A19</f>
        <v>APPLE</v>
      </c>
      <c r="B66" s="49" t="n">
        <v>2</v>
      </c>
      <c r="C66" s="23" t="n">
        <f aca="false">B35+B66+F34</f>
        <v>3</v>
      </c>
      <c r="D66" s="13" t="n">
        <f aca="false">C19+C19*D19*($D$61/365)</f>
        <v>206.876184887671</v>
      </c>
      <c r="E66" s="13" t="n">
        <f aca="false">C66*D66</f>
        <v>620.628554663013</v>
      </c>
      <c r="F66" s="26" t="n">
        <f aca="false">E19</f>
        <v>2.92</v>
      </c>
      <c r="G66" s="13" t="n">
        <f aca="false">C66*F66*(1-$I$133)*$F$61</f>
        <v>3.8106</v>
      </c>
      <c r="I66" s="38" t="n">
        <v>2022</v>
      </c>
      <c r="J66" s="52" t="n">
        <f aca="false">J65*$I$136+J65+J86</f>
        <v>92921.6490235393</v>
      </c>
      <c r="K66" s="38"/>
      <c r="L66" s="52" t="n">
        <f aca="false">G145</f>
        <v>1601.19857264141</v>
      </c>
      <c r="M66" s="38"/>
      <c r="N66" s="52" t="n">
        <f aca="false">E145</f>
        <v>105596.450675862</v>
      </c>
      <c r="O66" s="23"/>
      <c r="P66" s="50"/>
      <c r="Q66" s="25"/>
      <c r="R66" s="0"/>
      <c r="S66" s="0"/>
      <c r="T66" s="0"/>
      <c r="U66" s="51"/>
      <c r="V66" s="51"/>
      <c r="Y66" s="23"/>
    </row>
    <row r="67" customFormat="false" ht="12.8" hidden="false" customHeight="true" outlineLevel="0" collapsed="false">
      <c r="A67" s="24" t="str">
        <f aca="false">A20</f>
        <v>CINTAS</v>
      </c>
      <c r="B67" s="49" t="n">
        <v>2</v>
      </c>
      <c r="C67" s="23" t="n">
        <f aca="false">B36+B67+F35</f>
        <v>3</v>
      </c>
      <c r="D67" s="13" t="n">
        <f aca="false">C20+C20*D20*($D$61/365)</f>
        <v>210.421106073973</v>
      </c>
      <c r="E67" s="13" t="n">
        <f aca="false">C67*D67</f>
        <v>631.263318221919</v>
      </c>
      <c r="F67" s="26" t="n">
        <f aca="false">E20</f>
        <v>1.62</v>
      </c>
      <c r="G67" s="13" t="n">
        <f aca="false">C67*F67*(1-$I$133)*$F$61</f>
        <v>2.1141</v>
      </c>
      <c r="I67" s="15" t="n">
        <v>2023</v>
      </c>
      <c r="J67" s="46" t="n">
        <f aca="false">J66*$I$136+J66+$B$12</f>
        <v>118029.091484014</v>
      </c>
      <c r="K67" s="15"/>
      <c r="L67" s="46" t="n">
        <f aca="false">N67*$I$90</f>
        <v>2105.41265763187</v>
      </c>
      <c r="M67" s="15"/>
      <c r="N67" s="46" t="n">
        <f aca="false">N66+N66*$I$88+$B$12</f>
        <v>138848.552361124</v>
      </c>
      <c r="O67" s="23"/>
      <c r="P67" s="50"/>
      <c r="Q67" s="25"/>
      <c r="R67" s="0"/>
      <c r="S67" s="0"/>
      <c r="T67" s="0"/>
      <c r="U67" s="51"/>
      <c r="V67" s="51"/>
      <c r="Y67" s="23"/>
    </row>
    <row r="68" customFormat="false" ht="12.8" hidden="false" customHeight="false" outlineLevel="0" collapsed="false">
      <c r="A68" s="24" t="str">
        <f aca="false">A21</f>
        <v>HOME DEPOT</v>
      </c>
      <c r="B68" s="49" t="n">
        <v>2</v>
      </c>
      <c r="C68" s="23" t="n">
        <f aca="false">B37+B68+F36</f>
        <v>3</v>
      </c>
      <c r="D68" s="13" t="n">
        <f aca="false">C21+C21*D21*($D$61/365)</f>
        <v>221.401156172603</v>
      </c>
      <c r="E68" s="13" t="n">
        <f aca="false">C68*D68</f>
        <v>664.203468517809</v>
      </c>
      <c r="F68" s="26" t="n">
        <f aca="false">E21</f>
        <v>4.12</v>
      </c>
      <c r="G68" s="13" t="n">
        <f aca="false">C68*F68*(1-$I$133)*$F$61</f>
        <v>5.3766</v>
      </c>
      <c r="I68" s="15" t="n">
        <v>2024</v>
      </c>
      <c r="J68" s="46" t="n">
        <f aca="false">J67*$I$136+J67+$B$12</f>
        <v>145647.278190537</v>
      </c>
      <c r="K68" s="15"/>
      <c r="L68" s="46" t="n">
        <f aca="false">N68*$I$90</f>
        <v>2692.88609713789</v>
      </c>
      <c r="M68" s="15"/>
      <c r="N68" s="46" t="n">
        <f aca="false">N67+N67*$I$88+$B$12</f>
        <v>177591.473531632</v>
      </c>
      <c r="O68" s="23"/>
      <c r="P68" s="50"/>
      <c r="Q68" s="25"/>
      <c r="R68" s="0"/>
      <c r="S68" s="0"/>
      <c r="T68" s="0"/>
      <c r="U68" s="51"/>
      <c r="V68" s="51"/>
      <c r="Y68" s="23"/>
    </row>
    <row r="69" customFormat="false" ht="12.8" hidden="false" customHeight="false" outlineLevel="0" collapsed="false">
      <c r="A69" s="24" t="str">
        <f aca="false">A22</f>
        <v>UNITEDHEALTH</v>
      </c>
      <c r="B69" s="49" t="n">
        <v>1</v>
      </c>
      <c r="C69" s="23" t="n">
        <f aca="false">B38+B69+F37</f>
        <v>2</v>
      </c>
      <c r="D69" s="13" t="n">
        <f aca="false">C22+C22*D22*($D$61/365)</f>
        <v>288.247066290411</v>
      </c>
      <c r="E69" s="13" t="n">
        <f aca="false">C69*D69</f>
        <v>576.494132580822</v>
      </c>
      <c r="F69" s="26" t="n">
        <f aca="false">E22</f>
        <v>3.6</v>
      </c>
      <c r="G69" s="13" t="n">
        <f aca="false">C69*F69*(1-$I$133)*$F$61</f>
        <v>3.132</v>
      </c>
      <c r="I69" s="15" t="n">
        <v>2025</v>
      </c>
      <c r="J69" s="46" t="n">
        <f aca="false">J68*$I$136+J68+$B$12</f>
        <v>176027.283567712</v>
      </c>
      <c r="K69" s="15"/>
      <c r="L69" s="46" t="n">
        <f aca="false">N69*$I$90</f>
        <v>3377.36725781701</v>
      </c>
      <c r="M69" s="15"/>
      <c r="N69" s="46" t="n">
        <f aca="false">N68+N68*$I$88+$B$12</f>
        <v>222731.89668538</v>
      </c>
      <c r="O69" s="23"/>
      <c r="P69" s="50"/>
      <c r="Q69" s="25"/>
      <c r="R69" s="0"/>
      <c r="S69" s="0"/>
      <c r="T69" s="0"/>
      <c r="U69" s="51"/>
      <c r="V69" s="51"/>
      <c r="Y69" s="23"/>
    </row>
    <row r="70" customFormat="false" ht="12.8" hidden="false" customHeight="true" outlineLevel="0" collapsed="false">
      <c r="A70" s="24" t="str">
        <f aca="false">A23</f>
        <v>TEXAS INC</v>
      </c>
      <c r="B70" s="49" t="n">
        <v>3</v>
      </c>
      <c r="C70" s="23" t="n">
        <f aca="false">B39+B70+F38</f>
        <v>5</v>
      </c>
      <c r="D70" s="13" t="n">
        <f aca="false">C23+C23*D23*($D$61/365)</f>
        <v>121.364734816438</v>
      </c>
      <c r="E70" s="13" t="n">
        <f aca="false">C70*D70</f>
        <v>606.82367408219</v>
      </c>
      <c r="F70" s="26" t="n">
        <f aca="false">E23</f>
        <v>2.48</v>
      </c>
      <c r="G70" s="13" t="n">
        <f aca="false">C70*F70*(1-$I$133)*$F$61</f>
        <v>5.394</v>
      </c>
      <c r="I70" s="15" t="n">
        <v>2026</v>
      </c>
      <c r="J70" s="46" t="n">
        <f aca="false">J69*$I$136+J69+$B$12</f>
        <v>209445.289482604</v>
      </c>
      <c r="K70" s="15"/>
      <c r="L70" s="46" t="n">
        <f aca="false">N70*$I$90</f>
        <v>4174.87473273979</v>
      </c>
      <c r="M70" s="15"/>
      <c r="N70" s="46" t="n">
        <f aca="false">N69+N69*$I$88+$B$12</f>
        <v>275326.222072762</v>
      </c>
      <c r="O70" s="23"/>
      <c r="P70" s="50"/>
      <c r="Q70" s="25"/>
      <c r="R70" s="0"/>
      <c r="S70" s="0"/>
      <c r="T70" s="0"/>
      <c r="U70" s="51"/>
      <c r="V70" s="51"/>
      <c r="Y70" s="23"/>
    </row>
    <row r="71" customFormat="false" ht="12.8" hidden="false" customHeight="false" outlineLevel="0" collapsed="false">
      <c r="A71" s="24" t="str">
        <f aca="false">A24</f>
        <v>ACCENTURE</v>
      </c>
      <c r="B71" s="49" t="n">
        <v>2</v>
      </c>
      <c r="C71" s="23" t="n">
        <f aca="false">B40+B71+F39</f>
        <v>4</v>
      </c>
      <c r="D71" s="13" t="n">
        <f aca="false">C24+C24*D24*($D$61/365)</f>
        <v>173.061880479452</v>
      </c>
      <c r="E71" s="13" t="n">
        <f aca="false">C71*D71</f>
        <v>692.247521917808</v>
      </c>
      <c r="F71" s="26" t="n">
        <f aca="false">E24</f>
        <v>2.66</v>
      </c>
      <c r="G71" s="13" t="n">
        <f aca="false">C71*F71*(1-$I$133)*$F$61</f>
        <v>4.6284</v>
      </c>
      <c r="I71" s="38" t="n">
        <v>2027</v>
      </c>
      <c r="J71" s="52" t="n">
        <f aca="false">J70*$I$136+J70+$B$12</f>
        <v>246205.095988985</v>
      </c>
      <c r="K71" s="38"/>
      <c r="L71" s="52" t="n">
        <f aca="false">N71*$I$90</f>
        <v>5104.0722170455</v>
      </c>
      <c r="M71" s="38"/>
      <c r="N71" s="52" t="n">
        <f aca="false">N70+N70*$I$88+$B$12</f>
        <v>336605.290138479</v>
      </c>
      <c r="O71" s="23"/>
      <c r="P71" s="50"/>
      <c r="Q71" s="25"/>
      <c r="R71" s="0"/>
      <c r="S71" s="0"/>
      <c r="T71" s="0"/>
      <c r="U71" s="51"/>
      <c r="V71" s="51"/>
      <c r="Y71" s="23"/>
    </row>
    <row r="72" customFormat="false" ht="12.8" hidden="false" customHeight="true" outlineLevel="0" collapsed="false">
      <c r="A72" s="24" t="str">
        <f aca="false">A25</f>
        <v>MICROSOFT</v>
      </c>
      <c r="B72" s="49" t="n">
        <v>4</v>
      </c>
      <c r="C72" s="23" t="n">
        <f aca="false">B41+B72+F40</f>
        <v>7</v>
      </c>
      <c r="D72" s="13" t="n">
        <f aca="false">C25+C25*D25*($D$61/365)</f>
        <v>108.016593936986</v>
      </c>
      <c r="E72" s="13" t="n">
        <f aca="false">C72*D72</f>
        <v>756.116157558902</v>
      </c>
      <c r="F72" s="26" t="n">
        <f aca="false">E25</f>
        <v>1.68</v>
      </c>
      <c r="G72" s="13" t="n">
        <f aca="false">C72*F72*(1-$I$133)*$F$61</f>
        <v>5.1156</v>
      </c>
      <c r="I72" s="15" t="n">
        <v>2028</v>
      </c>
      <c r="J72" s="46" t="n">
        <f aca="false">J71*$I$136+J71+$B$12</f>
        <v>286640.883146005</v>
      </c>
      <c r="K72" s="15"/>
      <c r="L72" s="46" t="n">
        <f aca="false">N72*$I$90</f>
        <v>6186.70528568686</v>
      </c>
      <c r="M72" s="15"/>
      <c r="N72" s="46" t="n">
        <f aca="false">N71+N71*$I$88+$B$12</f>
        <v>408003.186305882</v>
      </c>
      <c r="O72" s="23"/>
      <c r="P72" s="50"/>
      <c r="Q72" s="25"/>
      <c r="R72" s="0"/>
      <c r="S72" s="0"/>
      <c r="T72" s="0"/>
      <c r="U72" s="51"/>
      <c r="V72" s="51"/>
      <c r="Y72" s="23"/>
    </row>
    <row r="73" customFormat="false" ht="12.8" hidden="false" customHeight="true" outlineLevel="0" collapsed="false">
      <c r="A73" s="24" t="str">
        <f aca="false">A26</f>
        <v>ROSS STORES</v>
      </c>
      <c r="B73" s="49" t="n">
        <v>4</v>
      </c>
      <c r="C73" s="23" t="n">
        <f aca="false">B42+B73+F41</f>
        <v>7</v>
      </c>
      <c r="D73" s="13" t="n">
        <f aca="false">C26+C26*D26*($D$61/365)</f>
        <v>97.2883722739726</v>
      </c>
      <c r="E73" s="13" t="n">
        <f aca="false">C73*D73</f>
        <v>681.018605917808</v>
      </c>
      <c r="F73" s="26" t="n">
        <f aca="false">E26</f>
        <v>0.9</v>
      </c>
      <c r="G73" s="13" t="n">
        <f aca="false">C73*F73*(1-$I$133)*$F$61</f>
        <v>2.7405</v>
      </c>
      <c r="I73" s="15" t="n">
        <v>2029</v>
      </c>
      <c r="J73" s="46" t="n">
        <f aca="false">J72*$I$136+J72+$B$12</f>
        <v>331120.249018727</v>
      </c>
      <c r="K73" s="15"/>
      <c r="L73" s="46" t="n">
        <f aca="false">N73*$I$90</f>
        <v>7448.11029496923</v>
      </c>
      <c r="M73" s="15"/>
      <c r="N73" s="46" t="n">
        <f aca="false">N72+N72*$I$88+$B$12</f>
        <v>491190.80220866</v>
      </c>
      <c r="O73" s="23"/>
      <c r="P73" s="50"/>
      <c r="Q73" s="25"/>
      <c r="R73" s="0"/>
      <c r="S73" s="0"/>
      <c r="T73" s="0"/>
      <c r="U73" s="51"/>
      <c r="V73" s="51"/>
      <c r="Y73" s="23"/>
    </row>
    <row r="74" customFormat="false" ht="12.8" hidden="false" customHeight="true" outlineLevel="0" collapsed="false">
      <c r="A74" s="24" t="str">
        <f aca="false">A27</f>
        <v>AO SMITH</v>
      </c>
      <c r="B74" s="49" t="n">
        <v>6</v>
      </c>
      <c r="C74" s="23" t="n">
        <f aca="false">B43+B74+F42</f>
        <v>10</v>
      </c>
      <c r="D74" s="13" t="n">
        <f aca="false">C27+C27*D27*($D$61/365)</f>
        <v>68.5776498246575</v>
      </c>
      <c r="E74" s="13" t="n">
        <f aca="false">C74*D74</f>
        <v>685.776498246575</v>
      </c>
      <c r="F74" s="26" t="n">
        <f aca="false">E27</f>
        <v>0.72</v>
      </c>
      <c r="G74" s="13" t="n">
        <f aca="false">C74*F74*(1-$I$133)*$F$61</f>
        <v>3.132</v>
      </c>
      <c r="I74" s="15" t="n">
        <v>2030</v>
      </c>
      <c r="J74" s="46" t="n">
        <f aca="false">J73*$I$136+J73+$B$12</f>
        <v>380047.55147872</v>
      </c>
      <c r="K74" s="15"/>
      <c r="L74" s="46" t="n">
        <f aca="false">N74*$I$90</f>
        <v>8917.80731746963</v>
      </c>
      <c r="M74" s="15"/>
      <c r="N74" s="46" t="n">
        <f aca="false">N73+N73*$I$88+$B$12</f>
        <v>588114.93878774</v>
      </c>
      <c r="O74" s="23"/>
      <c r="P74" s="50"/>
      <c r="Q74" s="25"/>
      <c r="R74" s="0"/>
      <c r="S74" s="0"/>
      <c r="T74" s="0"/>
      <c r="U74" s="51"/>
      <c r="V74" s="51"/>
      <c r="Y74" s="23"/>
    </row>
    <row r="75" customFormat="false" ht="12.8" hidden="false" customHeight="true" outlineLevel="0" collapsed="false">
      <c r="A75" s="24" t="str">
        <f aca="false">A28</f>
        <v>VANGUARD S&amp;P500</v>
      </c>
      <c r="B75" s="49" t="n">
        <v>8</v>
      </c>
      <c r="C75" s="23" t="n">
        <f aca="false">B44+B75+F43</f>
        <v>13</v>
      </c>
      <c r="D75" s="13" t="n">
        <f aca="false">C28+C28*D28*($D$61/365)</f>
        <v>266.700063013699</v>
      </c>
      <c r="E75" s="13" t="n">
        <f aca="false">C75*D75</f>
        <v>3467.10081917809</v>
      </c>
      <c r="F75" s="26" t="n">
        <f aca="false">E28</f>
        <v>4.33</v>
      </c>
      <c r="G75" s="13" t="n">
        <f aca="false">C75*F75*(1-$I$133)*$F$61</f>
        <v>24.48615</v>
      </c>
      <c r="I75" s="15" t="n">
        <v>2031</v>
      </c>
      <c r="J75" s="46" t="n">
        <f aca="false">J74*$I$136+J74+$B$12</f>
        <v>433867.584184713</v>
      </c>
      <c r="K75" s="15"/>
      <c r="L75" s="46" t="n">
        <f aca="false">N75*$I$90</f>
        <v>10630.1909865145</v>
      </c>
      <c r="M75" s="15"/>
      <c r="N75" s="46" t="n">
        <f aca="false">N74+N74*$I$88+$B$12</f>
        <v>701043.866364884</v>
      </c>
      <c r="O75" s="23"/>
      <c r="P75" s="50"/>
      <c r="Q75" s="25"/>
      <c r="R75" s="0"/>
      <c r="S75" s="0"/>
      <c r="T75" s="0"/>
      <c r="U75" s="51"/>
      <c r="V75" s="51"/>
      <c r="Y75" s="23"/>
    </row>
    <row r="76" customFormat="false" ht="12.8" hidden="false" customHeight="false" outlineLevel="0" collapsed="false">
      <c r="A76" s="24" t="str">
        <f aca="false">A29</f>
        <v>VANGUARD HIGH DIVIDEND</v>
      </c>
      <c r="B76" s="49" t="n">
        <v>23</v>
      </c>
      <c r="C76" s="23" t="n">
        <f aca="false">B45+B76+F44</f>
        <v>38</v>
      </c>
      <c r="D76" s="13" t="n">
        <f aca="false">C29+C29*D29*($D$61/365)</f>
        <v>88.1849703671233</v>
      </c>
      <c r="E76" s="13" t="n">
        <f aca="false">C76*D76</f>
        <v>3351.02887395069</v>
      </c>
      <c r="F76" s="26" t="n">
        <f aca="false">E29</f>
        <v>2.52</v>
      </c>
      <c r="G76" s="13" t="n">
        <f aca="false">C76*F76*(1-$I$133)*$F$61</f>
        <v>41.6556</v>
      </c>
      <c r="I76" s="38" t="n">
        <v>2032</v>
      </c>
      <c r="J76" s="52" t="n">
        <f aca="false">J75*$I$136+J75+$B$12</f>
        <v>493069.620161306</v>
      </c>
      <c r="K76" s="38"/>
      <c r="L76" s="52" t="n">
        <f aca="false">N76*$I$90</f>
        <v>12625.3354177272</v>
      </c>
      <c r="M76" s="38"/>
      <c r="N76" s="52" t="n">
        <f aca="false">N75+N75*$I$88+$B$12</f>
        <v>832620.407914146</v>
      </c>
      <c r="O76" s="23"/>
      <c r="P76" s="50"/>
      <c r="Q76" s="25"/>
      <c r="R76" s="0"/>
      <c r="S76" s="0"/>
      <c r="T76" s="0"/>
    </row>
    <row r="77" customFormat="false" ht="12.8" hidden="false" customHeight="true" outlineLevel="0" collapsed="false">
      <c r="B77" s="53" t="s">
        <v>68</v>
      </c>
      <c r="C77" s="53"/>
      <c r="D77" s="53"/>
      <c r="E77" s="13" t="n">
        <f aca="false">SUM(E65:E76)</f>
        <v>13359.0450518219</v>
      </c>
      <c r="F77" s="13"/>
      <c r="G77" s="13" t="n">
        <f aca="false">SUM(G65:G76)</f>
        <v>108.68475</v>
      </c>
      <c r="I77" s="15"/>
      <c r="J77" s="46"/>
      <c r="K77" s="15"/>
      <c r="L77" s="46"/>
      <c r="M77" s="15"/>
      <c r="N77" s="46"/>
      <c r="O77" s="23"/>
      <c r="P77" s="23"/>
      <c r="R77" s="0"/>
      <c r="S77" s="0"/>
      <c r="T77" s="0"/>
    </row>
    <row r="78" customFormat="false" ht="12.8" hidden="false" customHeight="true" outlineLevel="0" collapsed="false">
      <c r="B78" s="0"/>
      <c r="C78" s="0"/>
      <c r="D78" s="0"/>
      <c r="E78" s="0"/>
      <c r="F78" s="0"/>
      <c r="G78" s="0"/>
      <c r="I78" s="15"/>
      <c r="J78" s="46"/>
      <c r="K78" s="15"/>
      <c r="L78" s="46"/>
      <c r="M78" s="15"/>
      <c r="N78" s="46"/>
      <c r="O78" s="23"/>
      <c r="P78" s="23"/>
      <c r="R78" s="0"/>
      <c r="S78" s="0"/>
      <c r="T78" s="0"/>
    </row>
    <row r="79" customFormat="false" ht="12.8" hidden="false" customHeight="true" outlineLevel="0" collapsed="false">
      <c r="A79" s="38" t="s">
        <v>69</v>
      </c>
      <c r="B79" s="38"/>
      <c r="I79" s="44" t="s">
        <v>70</v>
      </c>
      <c r="J79" s="44"/>
      <c r="M79" s="15"/>
      <c r="N79" s="46"/>
      <c r="O79" s="0"/>
      <c r="P79" s="0"/>
      <c r="Q79" s="0"/>
      <c r="R79" s="0"/>
      <c r="S79" s="0"/>
      <c r="T79" s="0"/>
    </row>
    <row r="80" customFormat="false" ht="12.8" hidden="false" customHeight="true" outlineLevel="0" collapsed="false">
      <c r="A80" s="47" t="s">
        <v>14</v>
      </c>
      <c r="B80" s="47" t="s">
        <v>63</v>
      </c>
      <c r="C80" s="48" t="s">
        <v>64</v>
      </c>
      <c r="D80" s="48" t="s">
        <v>65</v>
      </c>
      <c r="E80" s="48" t="s">
        <v>66</v>
      </c>
      <c r="F80" s="47" t="s">
        <v>67</v>
      </c>
      <c r="G80" s="47" t="s">
        <v>18</v>
      </c>
      <c r="I80" s="44"/>
      <c r="J80" s="44"/>
      <c r="M80" s="15"/>
      <c r="N80" s="46"/>
      <c r="O80" s="0"/>
      <c r="P80" s="0"/>
      <c r="Q80" s="0"/>
      <c r="R80" s="0"/>
      <c r="S80" s="0"/>
      <c r="T80" s="0"/>
    </row>
    <row r="81" customFormat="false" ht="12.8" hidden="false" customHeight="true" outlineLevel="0" collapsed="false">
      <c r="A81" s="47"/>
      <c r="B81" s="47"/>
      <c r="C81" s="47"/>
      <c r="D81" s="47"/>
      <c r="E81" s="48"/>
      <c r="F81" s="47"/>
      <c r="G81" s="47"/>
      <c r="I81" s="22" t="n">
        <v>43276</v>
      </c>
      <c r="J81" s="13" t="n">
        <f aca="false">C46</f>
        <v>4891.85</v>
      </c>
      <c r="K81" s="15" t="s">
        <v>71</v>
      </c>
      <c r="L81" s="15"/>
      <c r="M81" s="15"/>
      <c r="N81" s="46"/>
      <c r="O81" s="23"/>
      <c r="R81" s="0"/>
      <c r="S81" s="0"/>
      <c r="T81" s="0"/>
    </row>
    <row r="82" customFormat="false" ht="12.8" hidden="false" customHeight="true" outlineLevel="0" collapsed="false">
      <c r="A82" s="24" t="str">
        <f aca="false">A18</f>
        <v>3M COMPANY</v>
      </c>
      <c r="B82" s="49" t="n">
        <v>4</v>
      </c>
      <c r="C82" s="23" t="n">
        <f aca="false">C65+B82</f>
        <v>7</v>
      </c>
      <c r="D82" s="13" t="n">
        <f aca="false">D65+D65*D18</f>
        <v>233.981026207849</v>
      </c>
      <c r="E82" s="13" t="n">
        <f aca="false">C82*D82</f>
        <v>1637.86718345494</v>
      </c>
      <c r="F82" s="26" t="n">
        <f aca="false">(F65+F65*G18)</f>
        <v>6.04928</v>
      </c>
      <c r="G82" s="13" t="n">
        <f aca="false">F82*C82*(1-$I$133)</f>
        <v>36.8401152</v>
      </c>
      <c r="I82" s="22" t="n">
        <v>43465</v>
      </c>
      <c r="J82" s="13" t="n">
        <f aca="false">B12*(D61/365)</f>
        <v>8189.28070817778</v>
      </c>
      <c r="K82" s="31" t="s">
        <v>12</v>
      </c>
      <c r="L82" s="31"/>
      <c r="N82" s="0"/>
      <c r="O82" s="23"/>
      <c r="P82" s="50"/>
      <c r="Q82" s="25"/>
      <c r="R82" s="0"/>
      <c r="S82" s="0"/>
      <c r="T82" s="0"/>
    </row>
    <row r="83" customFormat="false" ht="12.8" hidden="false" customHeight="true" outlineLevel="0" collapsed="false">
      <c r="A83" s="24" t="str">
        <f aca="false">A19</f>
        <v>APPLE</v>
      </c>
      <c r="B83" s="49" t="n">
        <v>3</v>
      </c>
      <c r="C83" s="23" t="n">
        <f aca="false">C66+B83</f>
        <v>6</v>
      </c>
      <c r="D83" s="13" t="n">
        <f aca="false">D66+D66*D19</f>
        <v>254.312894082414</v>
      </c>
      <c r="E83" s="13" t="n">
        <f aca="false">C83*D83</f>
        <v>1525.87736449448</v>
      </c>
      <c r="F83" s="26" t="n">
        <f aca="false">(F66+F66*G19)</f>
        <v>3.21492</v>
      </c>
      <c r="G83" s="13" t="n">
        <f aca="false">F83*C83*(1-$I$133)</f>
        <v>16.7818824</v>
      </c>
      <c r="I83" s="22" t="n">
        <v>43830</v>
      </c>
      <c r="J83" s="13" t="n">
        <f aca="false">B12</f>
        <v>15815.2775581211</v>
      </c>
      <c r="K83" s="31"/>
      <c r="L83" s="31"/>
      <c r="N83" s="0"/>
      <c r="O83" s="23"/>
      <c r="P83" s="50"/>
      <c r="Q83" s="25"/>
      <c r="R83" s="0"/>
      <c r="S83" s="0"/>
      <c r="T83" s="0"/>
    </row>
    <row r="84" customFormat="false" ht="12.8" hidden="false" customHeight="false" outlineLevel="0" collapsed="false">
      <c r="A84" s="24" t="str">
        <f aca="false">A20</f>
        <v>CINTAS</v>
      </c>
      <c r="B84" s="49" t="n">
        <v>3</v>
      </c>
      <c r="C84" s="23" t="n">
        <f aca="false">C67+B84</f>
        <v>6</v>
      </c>
      <c r="D84" s="13" t="n">
        <f aca="false">D67+D67*D20</f>
        <v>257.366054839076</v>
      </c>
      <c r="E84" s="13" t="n">
        <f aca="false">C84*D84</f>
        <v>1544.19632903446</v>
      </c>
      <c r="F84" s="26" t="n">
        <f aca="false">(F67+F67*G20)</f>
        <v>2.0088</v>
      </c>
      <c r="G84" s="13" t="n">
        <f aca="false">F84*C84*(1-$I$133)</f>
        <v>10.485936</v>
      </c>
      <c r="I84" s="22" t="n">
        <v>44196</v>
      </c>
      <c r="J84" s="13" t="n">
        <f aca="false">B12</f>
        <v>15815.2775581211</v>
      </c>
      <c r="K84" s="31"/>
      <c r="L84" s="31"/>
      <c r="N84" s="0"/>
      <c r="O84" s="23"/>
      <c r="P84" s="50"/>
      <c r="Q84" s="25"/>
      <c r="R84" s="0"/>
      <c r="S84" s="0"/>
      <c r="T84" s="0"/>
    </row>
    <row r="85" customFormat="false" ht="12.8" hidden="false" customHeight="true" outlineLevel="0" collapsed="false">
      <c r="A85" s="24" t="str">
        <f aca="false">A21</f>
        <v>HOME DEPOT</v>
      </c>
      <c r="B85" s="49" t="n">
        <v>3</v>
      </c>
      <c r="C85" s="23" t="n">
        <f aca="false">C68+B85</f>
        <v>6</v>
      </c>
      <c r="D85" s="13" t="n">
        <f aca="false">D68+D68*D21</f>
        <v>273.364007526313</v>
      </c>
      <c r="E85" s="13" t="n">
        <f aca="false">C85*D85</f>
        <v>1640.18404515788</v>
      </c>
      <c r="F85" s="26" t="n">
        <f aca="false">(F68+F68*G21)</f>
        <v>5.09644</v>
      </c>
      <c r="G85" s="13" t="n">
        <f aca="false">F85*C85*(1-$I$133)</f>
        <v>26.6034168</v>
      </c>
      <c r="I85" s="22" t="n">
        <v>44561</v>
      </c>
      <c r="J85" s="13" t="n">
        <f aca="false">B12</f>
        <v>15815.2775581211</v>
      </c>
      <c r="K85" s="31"/>
      <c r="L85" s="31"/>
      <c r="N85" s="0"/>
      <c r="O85" s="23"/>
      <c r="P85" s="50"/>
      <c r="Q85" s="25"/>
      <c r="R85" s="0"/>
      <c r="S85" s="0"/>
      <c r="T85" s="0"/>
    </row>
    <row r="86" customFormat="false" ht="12.8" hidden="false" customHeight="true" outlineLevel="0" collapsed="false">
      <c r="A86" s="24" t="str">
        <f aca="false">A22</f>
        <v>UNITEDHEALTH</v>
      </c>
      <c r="B86" s="49" t="n">
        <v>2</v>
      </c>
      <c r="C86" s="23" t="n">
        <f aca="false">C69+B86</f>
        <v>4</v>
      </c>
      <c r="D86" s="13" t="n">
        <f aca="false">D69+D69*D22</f>
        <v>362.384211740305</v>
      </c>
      <c r="E86" s="13" t="n">
        <f aca="false">C86*D86</f>
        <v>1449.53684696122</v>
      </c>
      <c r="F86" s="26" t="n">
        <f aca="false">(F69+F69*G22)</f>
        <v>4.572</v>
      </c>
      <c r="G86" s="13" t="n">
        <f aca="false">F86*C86*(1-$I$133)</f>
        <v>15.91056</v>
      </c>
      <c r="I86" s="22" t="n">
        <v>44926</v>
      </c>
      <c r="J86" s="13" t="n">
        <f aca="false">B12</f>
        <v>15815.2775581211</v>
      </c>
      <c r="K86" s="31"/>
      <c r="L86" s="31"/>
      <c r="O86" s="23"/>
      <c r="P86" s="50"/>
      <c r="Q86" s="25"/>
      <c r="R86" s="0"/>
      <c r="S86" s="0"/>
      <c r="T86" s="0"/>
    </row>
    <row r="87" customFormat="false" ht="12.8" hidden="false" customHeight="true" outlineLevel="0" collapsed="false">
      <c r="A87" s="24" t="str">
        <f aca="false">A23</f>
        <v>TEXAS INC</v>
      </c>
      <c r="B87" s="49" t="n">
        <v>6</v>
      </c>
      <c r="C87" s="23" t="n">
        <f aca="false">C70+B87</f>
        <v>11</v>
      </c>
      <c r="D87" s="13" t="n">
        <f aca="false">D70+D70*D23</f>
        <v>140.103449872096</v>
      </c>
      <c r="E87" s="13" t="n">
        <f aca="false">C87*D87</f>
        <v>1541.13794859306</v>
      </c>
      <c r="F87" s="26" t="n">
        <f aca="false">(F70+F70*G23)</f>
        <v>2.96608</v>
      </c>
      <c r="G87" s="13" t="n">
        <f aca="false">F87*C87*(1-$I$133)</f>
        <v>28.3853856</v>
      </c>
      <c r="I87" s="22" t="n">
        <v>44926</v>
      </c>
      <c r="J87" s="13" t="n">
        <f aca="false">-E145</f>
        <v>-105596.450675862</v>
      </c>
      <c r="K87" s="15" t="s">
        <v>72</v>
      </c>
      <c r="L87" s="15"/>
      <c r="N87" s="39"/>
      <c r="O87" s="23"/>
      <c r="P87" s="50"/>
      <c r="Q87" s="25"/>
      <c r="R87" s="0"/>
      <c r="S87" s="0"/>
      <c r="T87" s="0"/>
    </row>
    <row r="88" customFormat="false" ht="12.8" hidden="false" customHeight="true" outlineLevel="0" collapsed="false">
      <c r="A88" s="24" t="str">
        <f aca="false">A24</f>
        <v>ACCENTURE</v>
      </c>
      <c r="B88" s="49" t="n">
        <v>4</v>
      </c>
      <c r="C88" s="23" t="n">
        <f aca="false">C71+B88</f>
        <v>8</v>
      </c>
      <c r="D88" s="13" t="n">
        <f aca="false">D71+D71*D24</f>
        <v>201.184436057363</v>
      </c>
      <c r="E88" s="13" t="n">
        <f aca="false">C88*D88</f>
        <v>1609.4754884589</v>
      </c>
      <c r="F88" s="26" t="n">
        <f aca="false">(F71+F71*G24)</f>
        <v>2.90472</v>
      </c>
      <c r="G88" s="13" t="n">
        <f aca="false">F88*C88*(1-$I$133)</f>
        <v>20.2168512</v>
      </c>
      <c r="I88" s="27" t="n">
        <f aca="false">XIRR(J81:J87,I81:I87)</f>
        <v>0.165126990685186</v>
      </c>
      <c r="J88" s="27" t="s">
        <v>73</v>
      </c>
      <c r="K88" s="27"/>
      <c r="L88" s="27"/>
      <c r="O88" s="23"/>
      <c r="P88" s="50"/>
      <c r="Q88" s="25"/>
      <c r="R88" s="0"/>
      <c r="S88" s="0"/>
      <c r="T88" s="0"/>
    </row>
    <row r="89" customFormat="false" ht="12.8" hidden="false" customHeight="true" outlineLevel="0" collapsed="false">
      <c r="A89" s="24" t="str">
        <f aca="false">A25</f>
        <v>MICROSOFT</v>
      </c>
      <c r="B89" s="49" t="n">
        <v>6</v>
      </c>
      <c r="C89" s="23" t="n">
        <f aca="false">C72+B89</f>
        <v>13</v>
      </c>
      <c r="D89" s="13" t="n">
        <f aca="false">D72+D72*D25</f>
        <v>123.819421629967</v>
      </c>
      <c r="E89" s="13" t="n">
        <f aca="false">C89*D89</f>
        <v>1609.65248118957</v>
      </c>
      <c r="F89" s="26" t="n">
        <f aca="false">(F72+F72*G25)</f>
        <v>1.87152</v>
      </c>
      <c r="G89" s="13" t="n">
        <f aca="false">F89*C89*(1-$I$133)</f>
        <v>21.1668912</v>
      </c>
      <c r="I89" s="27"/>
      <c r="J89" s="27"/>
      <c r="K89" s="27"/>
      <c r="L89" s="27"/>
      <c r="O89" s="23"/>
      <c r="P89" s="50"/>
      <c r="Q89" s="25"/>
      <c r="R89" s="0"/>
      <c r="S89" s="0"/>
      <c r="T89" s="0"/>
    </row>
    <row r="90" customFormat="false" ht="12.8" hidden="false" customHeight="true" outlineLevel="0" collapsed="false">
      <c r="A90" s="24" t="str">
        <f aca="false">A26</f>
        <v>ROSS STORES</v>
      </c>
      <c r="B90" s="49" t="n">
        <v>5</v>
      </c>
      <c r="C90" s="23" t="n">
        <f aca="false">C73+B90</f>
        <v>12</v>
      </c>
      <c r="D90" s="13" t="n">
        <f aca="false">D73+D73*D26</f>
        <v>121.999618831562</v>
      </c>
      <c r="E90" s="13" t="n">
        <f aca="false">C90*D90</f>
        <v>1463.99542597874</v>
      </c>
      <c r="F90" s="26" t="n">
        <f aca="false">(F73+F73*G26)</f>
        <v>1.053</v>
      </c>
      <c r="G90" s="13" t="n">
        <f aca="false">F90*C90*(1-$I$133)</f>
        <v>10.99332</v>
      </c>
      <c r="I90" s="27" t="n">
        <f aca="false">G145/E145</f>
        <v>0.0151633749277847</v>
      </c>
      <c r="J90" s="28" t="s">
        <v>75</v>
      </c>
      <c r="K90" s="28"/>
      <c r="L90" s="28"/>
      <c r="O90" s="23"/>
      <c r="P90" s="50"/>
      <c r="Q90" s="25"/>
      <c r="R90" s="0"/>
      <c r="S90" s="0"/>
      <c r="T90" s="0"/>
    </row>
    <row r="91" customFormat="false" ht="12.8" hidden="false" customHeight="false" outlineLevel="0" collapsed="false">
      <c r="A91" s="24" t="str">
        <f aca="false">A27</f>
        <v>AO SMITH</v>
      </c>
      <c r="B91" s="49" t="n">
        <v>7</v>
      </c>
      <c r="C91" s="23" t="n">
        <f aca="false">C74+B91</f>
        <v>17</v>
      </c>
      <c r="D91" s="13" t="n">
        <f aca="false">D74+D74*D27</f>
        <v>86.8330202079814</v>
      </c>
      <c r="E91" s="13" t="n">
        <f aca="false">C91*D91</f>
        <v>1476.16134353568</v>
      </c>
      <c r="F91" s="26" t="n">
        <f aca="false">(F74+F74*G27)</f>
        <v>0.88632</v>
      </c>
      <c r="G91" s="13" t="n">
        <f aca="false">F91*C91*(1-$I$133)</f>
        <v>13.1086728</v>
      </c>
      <c r="I91" s="27"/>
      <c r="J91" s="27"/>
      <c r="K91" s="28"/>
      <c r="L91" s="28"/>
      <c r="O91" s="23"/>
      <c r="P91" s="50"/>
      <c r="Q91" s="25"/>
      <c r="R91" s="0"/>
      <c r="S91" s="0"/>
      <c r="T91" s="0"/>
    </row>
    <row r="92" customFormat="false" ht="12.8" hidden="false" customHeight="false" outlineLevel="0" collapsed="false">
      <c r="A92" s="24" t="str">
        <f aca="false">A28</f>
        <v>VANGUARD S&amp;P500</v>
      </c>
      <c r="B92" s="49" t="n">
        <v>14</v>
      </c>
      <c r="C92" s="23" t="n">
        <f aca="false">C75+B92</f>
        <v>27</v>
      </c>
      <c r="D92" s="13" t="n">
        <f aca="false">D75+D75*D28</f>
        <v>293.370069315069</v>
      </c>
      <c r="E92" s="13" t="n">
        <f aca="false">C92*D92</f>
        <v>7920.99187150686</v>
      </c>
      <c r="F92" s="26" t="n">
        <f aca="false">(F75+F75*G28)</f>
        <v>4.66774</v>
      </c>
      <c r="G92" s="13" t="n">
        <f aca="false">F92*C92*(1-$I$133)</f>
        <v>109.6452126</v>
      </c>
      <c r="I92" s="0"/>
      <c r="J92" s="0"/>
      <c r="K92" s="0"/>
      <c r="L92" s="0"/>
      <c r="O92" s="23"/>
      <c r="P92" s="50"/>
      <c r="Q92" s="25"/>
      <c r="R92" s="0"/>
      <c r="S92" s="0"/>
      <c r="T92" s="0"/>
    </row>
    <row r="93" customFormat="false" ht="12.8" hidden="false" customHeight="true" outlineLevel="0" collapsed="false">
      <c r="A93" s="24" t="str">
        <f aca="false">A29</f>
        <v>VANGUARD HIGH DIVIDEND</v>
      </c>
      <c r="B93" s="49" t="n">
        <v>43</v>
      </c>
      <c r="C93" s="23" t="n">
        <f aca="false">C76+B93</f>
        <v>81</v>
      </c>
      <c r="D93" s="13" t="n">
        <f aca="false">D76+D76*D29</f>
        <v>96.9681934156888</v>
      </c>
      <c r="E93" s="13" t="n">
        <f aca="false">C93*D93</f>
        <v>7854.42366667079</v>
      </c>
      <c r="F93" s="26" t="n">
        <f aca="false">(F76+F76*G29)</f>
        <v>2.7216</v>
      </c>
      <c r="G93" s="13" t="n">
        <f aca="false">F93*C93*(1-$I$133)</f>
        <v>191.791152</v>
      </c>
      <c r="I93" s="0"/>
      <c r="J93" s="0"/>
      <c r="K93" s="0"/>
      <c r="L93" s="0"/>
      <c r="O93" s="23"/>
      <c r="P93" s="50"/>
      <c r="Q93" s="25"/>
      <c r="R93" s="0"/>
      <c r="S93" s="0"/>
      <c r="T93" s="0"/>
    </row>
    <row r="94" customFormat="false" ht="12.8" hidden="false" customHeight="true" outlineLevel="0" collapsed="false">
      <c r="B94" s="53" t="s">
        <v>68</v>
      </c>
      <c r="C94" s="53"/>
      <c r="D94" s="53"/>
      <c r="E94" s="13" t="n">
        <f aca="false">SUM(E82:E93)</f>
        <v>31273.4999950366</v>
      </c>
      <c r="F94" s="13"/>
      <c r="G94" s="13" t="n">
        <f aca="false">SUM(G82:G93)</f>
        <v>501.9293958</v>
      </c>
      <c r="I94" s="32" t="s">
        <v>76</v>
      </c>
      <c r="J94" s="32"/>
      <c r="K94" s="0"/>
      <c r="L94" s="0"/>
      <c r="O94" s="23"/>
      <c r="P94" s="23"/>
      <c r="R94" s="0"/>
      <c r="S94" s="0"/>
      <c r="T94" s="0"/>
    </row>
    <row r="95" customFormat="false" ht="12.8" hidden="false" customHeight="true" outlineLevel="0" collapsed="false">
      <c r="A95" s="0"/>
      <c r="B95" s="0"/>
      <c r="C95" s="0"/>
      <c r="D95" s="0"/>
      <c r="E95" s="0"/>
      <c r="F95" s="0"/>
      <c r="G95" s="0"/>
      <c r="I95" s="32"/>
      <c r="J95" s="32"/>
      <c r="K95" s="0"/>
      <c r="L95" s="0"/>
      <c r="O95" s="0"/>
      <c r="P95" s="0"/>
      <c r="Q95" s="0"/>
      <c r="R95" s="0"/>
      <c r="S95" s="0"/>
      <c r="T95" s="0"/>
    </row>
    <row r="96" customFormat="false" ht="12.8" hidden="false" customHeight="false" outlineLevel="0" collapsed="false">
      <c r="A96" s="38" t="s">
        <v>74</v>
      </c>
      <c r="B96" s="38"/>
      <c r="I96" s="54" t="s">
        <v>77</v>
      </c>
      <c r="J96" s="54"/>
      <c r="K96" s="0"/>
      <c r="L96" s="0"/>
      <c r="O96" s="23"/>
      <c r="R96" s="0"/>
      <c r="S96" s="0"/>
      <c r="T96" s="0"/>
    </row>
    <row r="97" customFormat="false" ht="12.8" hidden="false" customHeight="true" outlineLevel="0" collapsed="false">
      <c r="A97" s="47" t="s">
        <v>14</v>
      </c>
      <c r="B97" s="47" t="s">
        <v>63</v>
      </c>
      <c r="C97" s="48" t="s">
        <v>64</v>
      </c>
      <c r="D97" s="48" t="s">
        <v>65</v>
      </c>
      <c r="E97" s="48" t="s">
        <v>66</v>
      </c>
      <c r="F97" s="47" t="s">
        <v>67</v>
      </c>
      <c r="G97" s="47" t="s">
        <v>18</v>
      </c>
      <c r="I97" s="1" t="n">
        <v>2018</v>
      </c>
      <c r="J97" s="13" t="n">
        <f aca="false">(J81*I88*0.9*(D61/365))+J81+J82</f>
        <v>13457.5766737726</v>
      </c>
      <c r="O97" s="0"/>
      <c r="P97" s="0"/>
      <c r="Q97" s="0"/>
      <c r="R97" s="0"/>
      <c r="S97" s="0"/>
      <c r="T97" s="0"/>
    </row>
    <row r="98" customFormat="false" ht="12.8" hidden="false" customHeight="false" outlineLevel="0" collapsed="false">
      <c r="A98" s="47"/>
      <c r="B98" s="47"/>
      <c r="C98" s="47"/>
      <c r="D98" s="47"/>
      <c r="E98" s="48"/>
      <c r="F98" s="47"/>
      <c r="G98" s="47"/>
      <c r="I98" s="1" t="n">
        <v>2019</v>
      </c>
      <c r="J98" s="13" t="n">
        <f aca="false">((J97)*($I$88*0.9)+J97+J83)</f>
        <v>31272.8424561434</v>
      </c>
      <c r="K98" s="28"/>
      <c r="L98" s="28"/>
      <c r="O98" s="23"/>
      <c r="R98" s="0"/>
      <c r="S98" s="0"/>
      <c r="T98" s="0"/>
    </row>
    <row r="99" customFormat="false" ht="12.8" hidden="false" customHeight="true" outlineLevel="0" collapsed="false">
      <c r="A99" s="24" t="str">
        <f aca="false">A18</f>
        <v>3M COMPANY</v>
      </c>
      <c r="B99" s="49" t="n">
        <v>3</v>
      </c>
      <c r="C99" s="23" t="n">
        <f aca="false">C82+B99</f>
        <v>10</v>
      </c>
      <c r="D99" s="13" t="n">
        <f aca="false">D82+D82*D18</f>
        <v>262.222536071137</v>
      </c>
      <c r="E99" s="13" t="n">
        <f aca="false">C99*D99</f>
        <v>2622.22536071137</v>
      </c>
      <c r="F99" s="26" t="n">
        <f aca="false">(F82+F82*G18)</f>
        <v>6.72679936</v>
      </c>
      <c r="G99" s="13" t="n">
        <f aca="false">F99*C99*(1-$I$133)</f>
        <v>58.523154432</v>
      </c>
      <c r="I99" s="1" t="n">
        <v>2020</v>
      </c>
      <c r="J99" s="13" t="n">
        <f aca="false">((J98)*($I$88*0.9)+J98+J84)</f>
        <v>51735.7113427239</v>
      </c>
      <c r="O99" s="23"/>
      <c r="P99" s="50"/>
      <c r="Q99" s="25"/>
      <c r="R99" s="0"/>
      <c r="S99" s="0"/>
      <c r="T99" s="0"/>
    </row>
    <row r="100" customFormat="false" ht="12.8" hidden="false" customHeight="false" outlineLevel="0" collapsed="false">
      <c r="A100" s="24" t="str">
        <f aca="false">A19</f>
        <v>APPLE</v>
      </c>
      <c r="B100" s="49" t="n">
        <v>2</v>
      </c>
      <c r="C100" s="23" t="n">
        <f aca="false">C83+B100</f>
        <v>8</v>
      </c>
      <c r="D100" s="13" t="n">
        <f aca="false">D83+D83*D19</f>
        <v>312.626840695512</v>
      </c>
      <c r="E100" s="13" t="n">
        <f aca="false">C100*D100</f>
        <v>2501.0147255641</v>
      </c>
      <c r="F100" s="26" t="n">
        <f aca="false">(F83+F83*G19)</f>
        <v>3.53962692</v>
      </c>
      <c r="G100" s="13" t="n">
        <f aca="false">F100*C100*(1-$I$133)</f>
        <v>24.6358033632</v>
      </c>
      <c r="I100" s="1" t="n">
        <v>2021</v>
      </c>
      <c r="J100" s="13" t="n">
        <f aca="false">((J99)*($I$88*0.9)+J99+J85)</f>
        <v>75239.6549933283</v>
      </c>
      <c r="O100" s="23"/>
      <c r="P100" s="50"/>
      <c r="Q100" s="25"/>
      <c r="R100" s="0"/>
      <c r="S100" s="0"/>
      <c r="T100" s="0"/>
    </row>
    <row r="101" customFormat="false" ht="12.8" hidden="false" customHeight="false" outlineLevel="0" collapsed="false">
      <c r="A101" s="24" t="str">
        <f aca="false">A20</f>
        <v>CINTAS</v>
      </c>
      <c r="B101" s="49" t="n">
        <v>2</v>
      </c>
      <c r="C101" s="23" t="n">
        <f aca="false">C84+B101</f>
        <v>8</v>
      </c>
      <c r="D101" s="13" t="n">
        <f aca="false">D84+D84*D20</f>
        <v>314.784421673674</v>
      </c>
      <c r="E101" s="13" t="n">
        <f aca="false">C101*D101</f>
        <v>2518.27537338939</v>
      </c>
      <c r="F101" s="26" t="n">
        <f aca="false">(F84+F84*G20)</f>
        <v>2.490912</v>
      </c>
      <c r="G101" s="13" t="n">
        <f aca="false">F101*C101*(1-$I$133)</f>
        <v>17.33674752</v>
      </c>
      <c r="I101" s="1" t="n">
        <v>2022</v>
      </c>
      <c r="J101" s="13" t="n">
        <f aca="false">((J100)*($I$88*0.9)+J100+J86)</f>
        <v>102236.620579765</v>
      </c>
      <c r="O101" s="23"/>
      <c r="P101" s="50"/>
      <c r="Q101" s="25"/>
      <c r="R101" s="0"/>
      <c r="S101" s="0"/>
      <c r="T101" s="0"/>
    </row>
    <row r="102" customFormat="false" ht="12.8" hidden="false" customHeight="false" outlineLevel="0" collapsed="false">
      <c r="A102" s="24" t="str">
        <f aca="false">A21</f>
        <v>HOME DEPOT</v>
      </c>
      <c r="B102" s="49" t="n">
        <v>2</v>
      </c>
      <c r="C102" s="23" t="n">
        <f aca="false">C85+B102</f>
        <v>8</v>
      </c>
      <c r="D102" s="13" t="n">
        <f aca="false">D85+D85*D21</f>
        <v>337.522540092738</v>
      </c>
      <c r="E102" s="13" t="n">
        <f aca="false">C102*D102</f>
        <v>2700.1803207419</v>
      </c>
      <c r="F102" s="26" t="n">
        <f aca="false">(F85+F85*G21)</f>
        <v>6.30429628</v>
      </c>
      <c r="G102" s="13" t="n">
        <f aca="false">F102*C102*(1-$I$133)</f>
        <v>43.8779021088</v>
      </c>
      <c r="I102" s="1" t="n">
        <v>2023</v>
      </c>
      <c r="J102" s="13" t="n">
        <f aca="false">((J101)*($I$88*0.9)+J101+$B$12)</f>
        <v>133245.72108263</v>
      </c>
      <c r="N102" s="39"/>
      <c r="O102" s="23"/>
      <c r="P102" s="50"/>
      <c r="Q102" s="25"/>
      <c r="R102" s="0"/>
      <c r="S102" s="0"/>
      <c r="T102" s="0"/>
    </row>
    <row r="103" customFormat="false" ht="12.8" hidden="false" customHeight="false" outlineLevel="0" collapsed="false">
      <c r="A103" s="24" t="str">
        <f aca="false">A22</f>
        <v>UNITEDHEALTH</v>
      </c>
      <c r="B103" s="49" t="n">
        <v>2</v>
      </c>
      <c r="C103" s="23" t="n">
        <f aca="false">C86+B103</f>
        <v>6</v>
      </c>
      <c r="D103" s="13" t="n">
        <f aca="false">D86+D86*D22</f>
        <v>455.589430999911</v>
      </c>
      <c r="E103" s="13" t="n">
        <f aca="false">C103*D103</f>
        <v>2733.53658599947</v>
      </c>
      <c r="F103" s="26" t="n">
        <f aca="false">(F86+F86*G22)</f>
        <v>5.80644</v>
      </c>
      <c r="G103" s="13" t="n">
        <f aca="false">F103*C103*(1-$I$133)</f>
        <v>30.3096168</v>
      </c>
      <c r="I103" s="1" t="n">
        <v>2024</v>
      </c>
      <c r="J103" s="13" t="n">
        <f aca="false">((J102)*($I$88*0.9)+J102+$B$12)</f>
        <v>168863.217090399</v>
      </c>
      <c r="O103" s="23"/>
      <c r="P103" s="50"/>
      <c r="Q103" s="25"/>
      <c r="R103" s="0"/>
      <c r="S103" s="0"/>
      <c r="T103" s="0"/>
    </row>
    <row r="104" customFormat="false" ht="12.8" hidden="false" customHeight="false" outlineLevel="0" collapsed="false">
      <c r="A104" s="24" t="str">
        <f aca="false">A23</f>
        <v>TEXAS INC</v>
      </c>
      <c r="B104" s="49" t="n">
        <v>5</v>
      </c>
      <c r="C104" s="23" t="n">
        <f aca="false">C87+B104</f>
        <v>16</v>
      </c>
      <c r="D104" s="13" t="n">
        <f aca="false">D87+D87*D23</f>
        <v>161.735422532348</v>
      </c>
      <c r="E104" s="13" t="n">
        <f aca="false">C104*D104</f>
        <v>2587.76676051757</v>
      </c>
      <c r="F104" s="26" t="n">
        <f aca="false">(F87+F87*G23)</f>
        <v>3.54743168</v>
      </c>
      <c r="G104" s="13" t="n">
        <f aca="false">F104*C104*(1-$I$133)</f>
        <v>49.3802489856</v>
      </c>
      <c r="I104" s="1" t="n">
        <v>2025</v>
      </c>
      <c r="J104" s="13" t="n">
        <f aca="false">((J103)*($I$88*0.9)+J103+$B$12)</f>
        <v>209773.982036521</v>
      </c>
      <c r="O104" s="23"/>
      <c r="P104" s="50"/>
      <c r="Q104" s="25"/>
      <c r="R104" s="0"/>
      <c r="S104" s="0"/>
      <c r="T104" s="0"/>
    </row>
    <row r="105" customFormat="false" ht="12.8" hidden="false" customHeight="false" outlineLevel="0" collapsed="false">
      <c r="A105" s="24" t="str">
        <f aca="false">A24</f>
        <v>ACCENTURE</v>
      </c>
      <c r="B105" s="49" t="n">
        <v>3</v>
      </c>
      <c r="C105" s="23" t="n">
        <f aca="false">C88+B105</f>
        <v>11</v>
      </c>
      <c r="D105" s="13" t="n">
        <f aca="false">D88+D88*D24</f>
        <v>233.876906916685</v>
      </c>
      <c r="E105" s="13" t="n">
        <f aca="false">C105*D105</f>
        <v>2572.64597608353</v>
      </c>
      <c r="F105" s="26" t="n">
        <f aca="false">(F88+F88*G24)</f>
        <v>3.17195424</v>
      </c>
      <c r="G105" s="13" t="n">
        <f aca="false">F105*C105*(1-$I$133)</f>
        <v>30.3556020768</v>
      </c>
      <c r="I105" s="1" t="n">
        <v>2026</v>
      </c>
      <c r="J105" s="13" t="n">
        <f aca="false">((J104)*($I$88*0.9)+J104+$B$12)</f>
        <v>256764.671334607</v>
      </c>
      <c r="O105" s="23"/>
      <c r="P105" s="50"/>
      <c r="Q105" s="25"/>
      <c r="R105" s="0"/>
      <c r="S105" s="0"/>
      <c r="T105" s="0"/>
    </row>
    <row r="106" customFormat="false" ht="12.8" hidden="false" customHeight="false" outlineLevel="0" collapsed="false">
      <c r="A106" s="24" t="str">
        <f aca="false">A25</f>
        <v>MICROSOFT</v>
      </c>
      <c r="B106" s="49" t="n">
        <v>6</v>
      </c>
      <c r="C106" s="23" t="n">
        <f aca="false">C89+B106</f>
        <v>19</v>
      </c>
      <c r="D106" s="13" t="n">
        <f aca="false">D89+D89*D25</f>
        <v>141.934203014432</v>
      </c>
      <c r="E106" s="13" t="n">
        <f aca="false">C106*D106</f>
        <v>2696.74985727421</v>
      </c>
      <c r="F106" s="26" t="n">
        <f aca="false">(F89+F89*G25)</f>
        <v>2.08487328</v>
      </c>
      <c r="G106" s="13" t="n">
        <f aca="false">F106*C106*(1-$I$133)</f>
        <v>34.4629553184</v>
      </c>
      <c r="I106" s="1" t="n">
        <v>2027</v>
      </c>
      <c r="J106" s="13" t="n">
        <f aca="false">((J105)*($I$88*0.9)+J105+$B$12)</f>
        <v>310738.848635307</v>
      </c>
      <c r="O106" s="23"/>
      <c r="P106" s="50"/>
      <c r="Q106" s="25"/>
      <c r="R106" s="0"/>
      <c r="S106" s="0"/>
      <c r="T106" s="0"/>
    </row>
    <row r="107" customFormat="false" ht="12.8" hidden="false" customHeight="false" outlineLevel="0" collapsed="false">
      <c r="A107" s="24" t="str">
        <f aca="false">A26</f>
        <v>ROSS STORES</v>
      </c>
      <c r="B107" s="49" t="n">
        <v>4</v>
      </c>
      <c r="C107" s="23" t="n">
        <f aca="false">C90+B107</f>
        <v>16</v>
      </c>
      <c r="D107" s="13" t="n">
        <f aca="false">D90+D90*D26</f>
        <v>152.987522014778</v>
      </c>
      <c r="E107" s="13" t="n">
        <f aca="false">C107*D107</f>
        <v>2447.80035223645</v>
      </c>
      <c r="F107" s="26" t="n">
        <f aca="false">(F90+F90*G26)</f>
        <v>1.23201</v>
      </c>
      <c r="G107" s="13" t="n">
        <f aca="false">F107*C107*(1-$I$133)</f>
        <v>17.1495792</v>
      </c>
      <c r="J107" s="13"/>
      <c r="O107" s="23"/>
      <c r="P107" s="50"/>
      <c r="Q107" s="25"/>
      <c r="R107" s="0"/>
      <c r="S107" s="0"/>
      <c r="T107" s="0"/>
    </row>
    <row r="108" customFormat="false" ht="12.8" hidden="false" customHeight="false" outlineLevel="0" collapsed="false">
      <c r="A108" s="24" t="str">
        <f aca="false">A27</f>
        <v>AO SMITH</v>
      </c>
      <c r="B108" s="49" t="n">
        <v>6</v>
      </c>
      <c r="C108" s="23" t="n">
        <f aca="false">C91+B108</f>
        <v>23</v>
      </c>
      <c r="D108" s="13" t="n">
        <f aca="false">D91+D91*D27</f>
        <v>109.947970187346</v>
      </c>
      <c r="E108" s="13" t="n">
        <f aca="false">C108*D108</f>
        <v>2528.80331430896</v>
      </c>
      <c r="F108" s="26" t="n">
        <f aca="false">(F91+F91*G27)</f>
        <v>1.09105992</v>
      </c>
      <c r="G108" s="13" t="n">
        <f aca="false">F108*C108*(1-$I$133)</f>
        <v>21.8321089992</v>
      </c>
      <c r="I108" s="54" t="s">
        <v>79</v>
      </c>
      <c r="J108" s="54"/>
      <c r="O108" s="23"/>
      <c r="P108" s="50"/>
      <c r="Q108" s="25"/>
      <c r="R108" s="0"/>
      <c r="S108" s="0"/>
      <c r="T108" s="0"/>
    </row>
    <row r="109" customFormat="false" ht="12.8" hidden="false" customHeight="false" outlineLevel="0" collapsed="false">
      <c r="A109" s="24" t="str">
        <f aca="false">A28</f>
        <v>VANGUARD S&amp;P500</v>
      </c>
      <c r="B109" s="49" t="n">
        <v>14</v>
      </c>
      <c r="C109" s="23" t="n">
        <f aca="false">C92+B109</f>
        <v>41</v>
      </c>
      <c r="D109" s="13" t="n">
        <f aca="false">D92+D92*D28</f>
        <v>322.707076246575</v>
      </c>
      <c r="E109" s="13" t="n">
        <f aca="false">C109*D109</f>
        <v>13230.9901261096</v>
      </c>
      <c r="F109" s="26" t="n">
        <f aca="false">(F92+F92*G28)</f>
        <v>5.03182372</v>
      </c>
      <c r="G109" s="13" t="n">
        <f aca="false">F109*C109*(1-$I$133)</f>
        <v>179.4851520924</v>
      </c>
      <c r="I109" s="1" t="n">
        <v>2018</v>
      </c>
      <c r="J109" s="13" t="n">
        <f aca="false">(J81*I88*0.8*(D61/365))+J81+J82</f>
        <v>13415.749344262</v>
      </c>
      <c r="O109" s="23"/>
      <c r="P109" s="50"/>
      <c r="Q109" s="25"/>
      <c r="R109" s="0"/>
      <c r="S109" s="0"/>
      <c r="T109" s="0"/>
    </row>
    <row r="110" customFormat="false" ht="12.8" hidden="false" customHeight="false" outlineLevel="0" collapsed="false">
      <c r="A110" s="24" t="str">
        <f aca="false">A29</f>
        <v>VANGUARD HIGH DIVIDEND</v>
      </c>
      <c r="B110" s="49" t="n">
        <v>42</v>
      </c>
      <c r="C110" s="23" t="n">
        <f aca="false">C93+B110</f>
        <v>123</v>
      </c>
      <c r="D110" s="13" t="n">
        <f aca="false">D93+D93*D29</f>
        <v>106.626225479891</v>
      </c>
      <c r="E110" s="13" t="n">
        <f aca="false">C110*D110</f>
        <v>13115.0257340266</v>
      </c>
      <c r="F110" s="26" t="n">
        <f aca="false">(F93+F93*G29)</f>
        <v>2.939328</v>
      </c>
      <c r="G110" s="13" t="n">
        <f aca="false">F110*C110*(1-$I$133)</f>
        <v>314.53748928</v>
      </c>
      <c r="I110" s="1" t="n">
        <v>2019</v>
      </c>
      <c r="J110" s="13" t="n">
        <f aca="false">((J109)*($I$88*0.8)+J109+J83)</f>
        <v>31003.268755987</v>
      </c>
      <c r="O110" s="23"/>
      <c r="P110" s="50"/>
      <c r="Q110" s="25"/>
      <c r="R110" s="0"/>
      <c r="S110" s="0"/>
      <c r="T110" s="0"/>
    </row>
    <row r="111" customFormat="false" ht="12.8" hidden="false" customHeight="true" outlineLevel="0" collapsed="false">
      <c r="B111" s="53" t="s">
        <v>68</v>
      </c>
      <c r="C111" s="53"/>
      <c r="D111" s="53"/>
      <c r="E111" s="13" t="n">
        <f aca="false">SUM(E99:E110)</f>
        <v>52255.0144869631</v>
      </c>
      <c r="F111" s="13"/>
      <c r="G111" s="13" t="n">
        <f aca="false">SUM(G99:G110)</f>
        <v>821.8863601764</v>
      </c>
      <c r="I111" s="1" t="n">
        <v>2020</v>
      </c>
      <c r="J111" s="13" t="n">
        <f aca="false">((J110)*($I$88*0.8)+J110+J84)</f>
        <v>50914.1274909722</v>
      </c>
      <c r="O111" s="23"/>
      <c r="P111" s="23"/>
      <c r="R111" s="0"/>
      <c r="S111" s="0"/>
      <c r="T111" s="0"/>
    </row>
    <row r="112" customFormat="false" ht="12.8" hidden="false" customHeight="true" outlineLevel="0" collapsed="false">
      <c r="A112" s="0"/>
      <c r="B112" s="0"/>
      <c r="C112" s="0"/>
      <c r="D112" s="0"/>
      <c r="E112" s="0"/>
      <c r="F112" s="0"/>
      <c r="G112" s="0"/>
      <c r="I112" s="1" t="n">
        <v>2021</v>
      </c>
      <c r="J112" s="13" t="n">
        <f aca="false">((J111)*($I$88*0.8)+J111+J85)</f>
        <v>73455.2423738502</v>
      </c>
      <c r="O112" s="0"/>
      <c r="P112" s="0"/>
      <c r="Q112" s="0"/>
      <c r="R112" s="0"/>
      <c r="S112" s="0"/>
      <c r="T112" s="0"/>
    </row>
    <row r="113" customFormat="false" ht="12.8" hidden="false" customHeight="false" outlineLevel="0" collapsed="false">
      <c r="A113" s="38" t="s">
        <v>78</v>
      </c>
      <c r="B113" s="38"/>
      <c r="I113" s="1" t="n">
        <v>2022</v>
      </c>
      <c r="J113" s="13" t="n">
        <f aca="false">((J112)*($I$88*0.8)+J112+J86)</f>
        <v>98974.0744305673</v>
      </c>
      <c r="O113" s="0"/>
      <c r="P113" s="0"/>
      <c r="Q113" s="0"/>
      <c r="R113" s="0"/>
      <c r="S113" s="0"/>
      <c r="T113" s="0"/>
    </row>
    <row r="114" customFormat="false" ht="12.8" hidden="false" customHeight="true" outlineLevel="0" collapsed="false">
      <c r="A114" s="47" t="s">
        <v>14</v>
      </c>
      <c r="B114" s="47" t="s">
        <v>63</v>
      </c>
      <c r="C114" s="48" t="s">
        <v>64</v>
      </c>
      <c r="D114" s="48" t="s">
        <v>65</v>
      </c>
      <c r="E114" s="48" t="s">
        <v>66</v>
      </c>
      <c r="F114" s="47" t="s">
        <v>67</v>
      </c>
      <c r="G114" s="47" t="s">
        <v>18</v>
      </c>
      <c r="I114" s="1" t="n">
        <v>2023</v>
      </c>
      <c r="J114" s="13" t="n">
        <f aca="false">((J113)*($I$88*0.8)+J113+$B$12)</f>
        <v>127863.984841945</v>
      </c>
      <c r="O114" s="0"/>
      <c r="P114" s="0"/>
      <c r="Q114" s="0"/>
      <c r="R114" s="0"/>
      <c r="S114" s="0"/>
      <c r="T114" s="0"/>
    </row>
    <row r="115" customFormat="false" ht="12.8" hidden="false" customHeight="false" outlineLevel="0" collapsed="false">
      <c r="A115" s="47"/>
      <c r="B115" s="47"/>
      <c r="C115" s="47"/>
      <c r="D115" s="47"/>
      <c r="E115" s="48"/>
      <c r="F115" s="47"/>
      <c r="G115" s="47"/>
      <c r="I115" s="1" t="n">
        <v>2024</v>
      </c>
      <c r="J115" s="13" t="n">
        <f aca="false">((J114)*($I$88*0.8)+J114+$B$12)</f>
        <v>160570.29842724</v>
      </c>
      <c r="O115" s="23"/>
      <c r="R115" s="0"/>
      <c r="S115" s="0"/>
      <c r="T115" s="0"/>
    </row>
    <row r="116" customFormat="false" ht="12.8" hidden="false" customHeight="true" outlineLevel="0" collapsed="false">
      <c r="A116" s="24" t="str">
        <f aca="false">A18</f>
        <v>3M COMPANY</v>
      </c>
      <c r="B116" s="49" t="n">
        <v>3</v>
      </c>
      <c r="C116" s="23" t="n">
        <f aca="false">C99+B116</f>
        <v>13</v>
      </c>
      <c r="D116" s="13" t="n">
        <f aca="false">D99+D99*D18</f>
        <v>293.872796174923</v>
      </c>
      <c r="E116" s="13" t="n">
        <f aca="false">C116*D116</f>
        <v>3820.346350274</v>
      </c>
      <c r="F116" s="26" t="n">
        <f aca="false">(F99+F99*G18)</f>
        <v>7.48020088832</v>
      </c>
      <c r="G116" s="13" t="n">
        <f aca="false">F116*C116*(1-$I$133)</f>
        <v>84.6010720468992</v>
      </c>
      <c r="I116" s="1" t="n">
        <v>2025</v>
      </c>
      <c r="J116" s="13" t="n">
        <f aca="false">((J115)*($I$88*0.8)+J115+$B$12)</f>
        <v>197597.168123531</v>
      </c>
      <c r="O116" s="23"/>
      <c r="P116" s="50"/>
      <c r="Q116" s="25"/>
      <c r="R116" s="0"/>
      <c r="S116" s="0"/>
      <c r="T116" s="0"/>
    </row>
    <row r="117" customFormat="false" ht="12.8" hidden="false" customHeight="false" outlineLevel="0" collapsed="false">
      <c r="A117" s="24" t="str">
        <f aca="false">A19</f>
        <v>APPLE</v>
      </c>
      <c r="B117" s="49" t="n">
        <v>2</v>
      </c>
      <c r="C117" s="23" t="n">
        <f aca="false">C100+B117</f>
        <v>10</v>
      </c>
      <c r="D117" s="13" t="n">
        <f aca="false">D100+D100*D19</f>
        <v>384.312175266993</v>
      </c>
      <c r="E117" s="13" t="n">
        <f aca="false">C117*D117</f>
        <v>3843.12175266993</v>
      </c>
      <c r="F117" s="26" t="n">
        <f aca="false">(F100+F100*G19)</f>
        <v>3.89712923892</v>
      </c>
      <c r="G117" s="13" t="n">
        <f aca="false">F117*C117*(1-$I$133)</f>
        <v>33.905024378604</v>
      </c>
      <c r="I117" s="1" t="n">
        <v>2026</v>
      </c>
      <c r="J117" s="13" t="n">
        <f aca="false">((J116)*($I$88*0.8)+J116+$B$12)</f>
        <v>239515.346273775</v>
      </c>
      <c r="O117" s="23"/>
      <c r="P117" s="50"/>
      <c r="Q117" s="25"/>
      <c r="R117" s="0"/>
      <c r="S117" s="0"/>
      <c r="T117" s="0"/>
    </row>
    <row r="118" customFormat="false" ht="12.8" hidden="false" customHeight="false" outlineLevel="0" collapsed="false">
      <c r="A118" s="24" t="str">
        <f aca="false">A20</f>
        <v>CINTAS</v>
      </c>
      <c r="B118" s="49" t="n">
        <v>2</v>
      </c>
      <c r="C118" s="23" t="n">
        <f aca="false">C101+B118</f>
        <v>10</v>
      </c>
      <c r="D118" s="13" t="n">
        <f aca="false">D101+D101*D20</f>
        <v>385.01282614907</v>
      </c>
      <c r="E118" s="13" t="n">
        <f aca="false">C118*D118</f>
        <v>3850.1282614907</v>
      </c>
      <c r="F118" s="26" t="n">
        <f aca="false">(F101+F101*G20)</f>
        <v>3.08873088</v>
      </c>
      <c r="G118" s="13" t="n">
        <f aca="false">F118*C118*(1-$I$133)</f>
        <v>26.871958656</v>
      </c>
      <c r="I118" s="1" t="n">
        <v>2027</v>
      </c>
      <c r="J118" s="13" t="n">
        <f aca="false">((J117)*($I$88*0.8)+J117+$B$12)</f>
        <v>286970.982514383</v>
      </c>
      <c r="O118" s="23"/>
      <c r="P118" s="50"/>
      <c r="Q118" s="25"/>
      <c r="R118" s="0"/>
      <c r="S118" s="0"/>
      <c r="T118" s="0"/>
    </row>
    <row r="119" customFormat="false" ht="12.8" hidden="false" customHeight="false" outlineLevel="0" collapsed="false">
      <c r="A119" s="24" t="str">
        <f aca="false">A21</f>
        <v>HOME DEPOT</v>
      </c>
      <c r="B119" s="49" t="n">
        <v>1</v>
      </c>
      <c r="C119" s="23" t="n">
        <f aca="false">C102+B119</f>
        <v>9</v>
      </c>
      <c r="D119" s="13" t="n">
        <f aca="false">D102+D102*D21</f>
        <v>416.739080252504</v>
      </c>
      <c r="E119" s="13" t="n">
        <f aca="false">C119*D119</f>
        <v>3750.65172227254</v>
      </c>
      <c r="F119" s="26" t="n">
        <f aca="false">(F102+F102*G21)</f>
        <v>7.79841449836</v>
      </c>
      <c r="G119" s="13" t="n">
        <f aca="false">F119*C119*(1-$I$133)</f>
        <v>61.0615855221588</v>
      </c>
      <c r="O119" s="23"/>
      <c r="P119" s="50"/>
      <c r="Q119" s="25"/>
      <c r="R119" s="0"/>
      <c r="S119" s="0"/>
      <c r="T119" s="0"/>
    </row>
    <row r="120" customFormat="false" ht="12.8" hidden="false" customHeight="false" outlineLevel="0" collapsed="false">
      <c r="A120" s="24" t="str">
        <f aca="false">A22</f>
        <v>UNITEDHEALTH</v>
      </c>
      <c r="B120" s="49" t="n">
        <v>1</v>
      </c>
      <c r="C120" s="23" t="n">
        <f aca="false">C103+B120</f>
        <v>7</v>
      </c>
      <c r="D120" s="13" t="n">
        <f aca="false">D103+D103*D22</f>
        <v>572.767032653088</v>
      </c>
      <c r="E120" s="13" t="n">
        <f aca="false">C120*D120</f>
        <v>4009.36922857162</v>
      </c>
      <c r="F120" s="26" t="n">
        <f aca="false">(F103+F103*G22)</f>
        <v>7.3741788</v>
      </c>
      <c r="G120" s="13" t="n">
        <f aca="false">F120*C120*(1-$I$133)</f>
        <v>44.908748892</v>
      </c>
      <c r="I120" s="54" t="s">
        <v>80</v>
      </c>
      <c r="J120" s="54"/>
      <c r="O120" s="23"/>
      <c r="P120" s="50"/>
      <c r="Q120" s="25"/>
      <c r="R120" s="0"/>
      <c r="S120" s="0"/>
      <c r="T120" s="0"/>
    </row>
    <row r="121" customFormat="false" ht="12.8" hidden="false" customHeight="false" outlineLevel="0" collapsed="false">
      <c r="A121" s="24" t="str">
        <f aca="false">A23</f>
        <v>TEXAS INC</v>
      </c>
      <c r="B121" s="49" t="n">
        <v>5</v>
      </c>
      <c r="C121" s="23" t="n">
        <f aca="false">C104+B121</f>
        <v>21</v>
      </c>
      <c r="D121" s="13" t="n">
        <f aca="false">D104+D104*D23</f>
        <v>186.707371771343</v>
      </c>
      <c r="E121" s="13" t="n">
        <f aca="false">C121*D121</f>
        <v>3920.8548071982</v>
      </c>
      <c r="F121" s="26" t="n">
        <f aca="false">(F104+F104*G23)</f>
        <v>4.24272828928</v>
      </c>
      <c r="G121" s="13" t="n">
        <f aca="false">F121*C121*(1-$I$133)</f>
        <v>77.5146458451456</v>
      </c>
      <c r="I121" s="1" t="n">
        <v>2018</v>
      </c>
      <c r="J121" s="13" t="n">
        <f aca="false">(J81*I88*0.7*(D61/365))+J81+J82</f>
        <v>13373.9220147515</v>
      </c>
      <c r="O121" s="23"/>
      <c r="P121" s="50"/>
      <c r="Q121" s="25"/>
      <c r="R121" s="0"/>
      <c r="S121" s="0"/>
      <c r="T121" s="0"/>
    </row>
    <row r="122" customFormat="false" ht="12.8" hidden="false" customHeight="false" outlineLevel="0" collapsed="false">
      <c r="A122" s="24" t="str">
        <f aca="false">A24</f>
        <v>ACCENTURE</v>
      </c>
      <c r="B122" s="49" t="n">
        <v>3</v>
      </c>
      <c r="C122" s="23" t="n">
        <f aca="false">C105+B122</f>
        <v>14</v>
      </c>
      <c r="D122" s="13" t="n">
        <f aca="false">D105+D105*D24</f>
        <v>271.881904290646</v>
      </c>
      <c r="E122" s="13" t="n">
        <f aca="false">C122*D122</f>
        <v>3806.34666006904</v>
      </c>
      <c r="F122" s="26" t="n">
        <f aca="false">(F105+F105*G24)</f>
        <v>3.46377403008</v>
      </c>
      <c r="G122" s="13" t="n">
        <f aca="false">F122*C122*(1-$I$133)</f>
        <v>42.1887676863744</v>
      </c>
      <c r="I122" s="1" t="n">
        <v>2019</v>
      </c>
      <c r="J122" s="13" t="n">
        <f aca="false">((J121)*($I$88*0.7)+J121+J83)</f>
        <v>30735.0764200406</v>
      </c>
      <c r="O122" s="23"/>
      <c r="P122" s="50"/>
      <c r="Q122" s="25"/>
      <c r="R122" s="0"/>
      <c r="S122" s="0"/>
      <c r="T122" s="0"/>
    </row>
    <row r="123" customFormat="false" ht="12.8" hidden="false" customHeight="false" outlineLevel="0" collapsed="false">
      <c r="A123" s="24" t="str">
        <f aca="false">A25</f>
        <v>MICROSOFT</v>
      </c>
      <c r="B123" s="49" t="n">
        <v>4</v>
      </c>
      <c r="C123" s="23" t="n">
        <f aca="false">C106+B123</f>
        <v>23</v>
      </c>
      <c r="D123" s="13" t="n">
        <f aca="false">D106+D106*D25</f>
        <v>162.699176915443</v>
      </c>
      <c r="E123" s="13" t="n">
        <f aca="false">C123*D123</f>
        <v>3742.08106905519</v>
      </c>
      <c r="F123" s="26" t="n">
        <f aca="false">(F106+F106*G25)</f>
        <v>2.32254883392</v>
      </c>
      <c r="G123" s="13" t="n">
        <f aca="false">F123*C123*(1-$I$133)</f>
        <v>46.4742021667392</v>
      </c>
      <c r="I123" s="1" t="n">
        <v>2020</v>
      </c>
      <c r="J123" s="13" t="n">
        <f aca="false">((J122)*($I$88*0.7)+J122+J84)</f>
        <v>50102.9874525661</v>
      </c>
      <c r="O123" s="23"/>
      <c r="P123" s="50"/>
      <c r="Q123" s="25"/>
      <c r="R123" s="0"/>
      <c r="S123" s="0"/>
      <c r="T123" s="0"/>
    </row>
    <row r="124" customFormat="false" ht="12.8" hidden="false" customHeight="false" outlineLevel="0" collapsed="false">
      <c r="A124" s="24" t="str">
        <f aca="false">A26</f>
        <v>ROSS STORES</v>
      </c>
      <c r="B124" s="49" t="n">
        <v>3</v>
      </c>
      <c r="C124" s="23" t="n">
        <f aca="false">C107+B124</f>
        <v>19</v>
      </c>
      <c r="D124" s="13" t="n">
        <f aca="false">D107+D107*D26</f>
        <v>191.846352606532</v>
      </c>
      <c r="E124" s="13" t="n">
        <f aca="false">C124*D124</f>
        <v>3645.08069952411</v>
      </c>
      <c r="F124" s="26" t="n">
        <f aca="false">(F107+F107*G26)</f>
        <v>1.4414517</v>
      </c>
      <c r="G124" s="13" t="n">
        <f aca="false">F124*C124*(1-$I$133)</f>
        <v>23.827196601</v>
      </c>
      <c r="I124" s="1" t="n">
        <v>2021</v>
      </c>
      <c r="J124" s="13" t="n">
        <f aca="false">((J123)*($I$88*0.7)+J123+J85)</f>
        <v>71709.6138903531</v>
      </c>
      <c r="O124" s="23"/>
      <c r="P124" s="50"/>
      <c r="Q124" s="25"/>
      <c r="R124" s="0"/>
      <c r="S124" s="0"/>
      <c r="T124" s="0"/>
    </row>
    <row r="125" customFormat="false" ht="12.8" hidden="false" customHeight="false" outlineLevel="0" collapsed="false">
      <c r="A125" s="24" t="str">
        <f aca="false">A27</f>
        <v>AO SMITH</v>
      </c>
      <c r="B125" s="49" t="n">
        <v>4</v>
      </c>
      <c r="C125" s="23" t="n">
        <f aca="false">C108+B125</f>
        <v>27</v>
      </c>
      <c r="D125" s="13" t="n">
        <f aca="false">D108+D108*D27</f>
        <v>139.216119851218</v>
      </c>
      <c r="E125" s="13" t="n">
        <f aca="false">C125*D125</f>
        <v>3758.83523598289</v>
      </c>
      <c r="F125" s="26" t="n">
        <f aca="false">(F108+F108*G27)</f>
        <v>1.34309476152</v>
      </c>
      <c r="G125" s="13" t="n">
        <f aca="false">F125*C125*(1-$I$133)</f>
        <v>31.5492959481048</v>
      </c>
      <c r="I125" s="1" t="n">
        <v>2022</v>
      </c>
      <c r="J125" s="13" t="n">
        <f aca="false">((J124)*($I$88*0.7)+J124+$B$12)</f>
        <v>95813.7263699117</v>
      </c>
      <c r="O125" s="23"/>
      <c r="P125" s="50"/>
      <c r="Q125" s="25"/>
      <c r="R125" s="0"/>
      <c r="S125" s="0"/>
      <c r="T125" s="0"/>
    </row>
    <row r="126" customFormat="false" ht="12.8" hidden="false" customHeight="false" outlineLevel="0" collapsed="false">
      <c r="A126" s="24" t="str">
        <f aca="false">A28</f>
        <v>VANGUARD S&amp;P500</v>
      </c>
      <c r="B126" s="49" t="n">
        <v>13</v>
      </c>
      <c r="C126" s="23" t="n">
        <f aca="false">C109+B126</f>
        <v>54</v>
      </c>
      <c r="D126" s="13" t="n">
        <f aca="false">D109+D109*D28</f>
        <v>354.977783871233</v>
      </c>
      <c r="E126" s="13" t="n">
        <f aca="false">C126*D126</f>
        <v>19168.8003290466</v>
      </c>
      <c r="F126" s="26" t="n">
        <f aca="false">(F109+F109*G28)</f>
        <v>5.42430597016</v>
      </c>
      <c r="G126" s="13" t="n">
        <f aca="false">F126*C126*(1-$I$133)</f>
        <v>254.833894478117</v>
      </c>
      <c r="I126" s="1" t="n">
        <v>2023</v>
      </c>
      <c r="J126" s="13" t="n">
        <f aca="false">((J125)*($I$88*0.7)+J125+$B$12)</f>
        <v>122704.006539291</v>
      </c>
      <c r="O126" s="23"/>
      <c r="P126" s="50"/>
      <c r="Q126" s="25"/>
      <c r="R126" s="0"/>
      <c r="S126" s="0"/>
      <c r="T126" s="0"/>
    </row>
    <row r="127" customFormat="false" ht="12.8" hidden="false" customHeight="true" outlineLevel="0" collapsed="false">
      <c r="A127" s="24" t="str">
        <f aca="false">A29</f>
        <v>VANGUARD HIGH DIVIDEND</v>
      </c>
      <c r="B127" s="49" t="n">
        <v>43</v>
      </c>
      <c r="C127" s="23" t="n">
        <f aca="false">C110+B127</f>
        <v>166</v>
      </c>
      <c r="D127" s="13" t="n">
        <f aca="false">D110+D110*D29</f>
        <v>117.246197537689</v>
      </c>
      <c r="E127" s="13" t="n">
        <f aca="false">C127*D127</f>
        <v>19462.8687912564</v>
      </c>
      <c r="F127" s="26" t="n">
        <f aca="false">(F110+F110*G29)</f>
        <v>3.17447424</v>
      </c>
      <c r="G127" s="13" t="n">
        <f aca="false">F127*C127*(1-$I$133)</f>
        <v>458.4575697408</v>
      </c>
      <c r="I127" s="1" t="n">
        <v>2024</v>
      </c>
      <c r="J127" s="13" t="n">
        <f aca="false">((J126)*($I$88*0.7)+J126+$B$12)</f>
        <v>152702.504438806</v>
      </c>
      <c r="O127" s="23"/>
      <c r="P127" s="50"/>
      <c r="Q127" s="25"/>
      <c r="R127" s="0"/>
      <c r="S127" s="0"/>
      <c r="T127" s="0"/>
    </row>
    <row r="128" customFormat="false" ht="12.8" hidden="false" customHeight="false" outlineLevel="0" collapsed="false">
      <c r="B128" s="53" t="s">
        <v>68</v>
      </c>
      <c r="C128" s="53"/>
      <c r="D128" s="53"/>
      <c r="E128" s="13" t="n">
        <f aca="false">SUM(E116:E127)</f>
        <v>76778.4849074112</v>
      </c>
      <c r="F128" s="13"/>
      <c r="G128" s="13" t="n">
        <f aca="false">SUM(G116:G127)</f>
        <v>1186.19396196194</v>
      </c>
      <c r="I128" s="1" t="n">
        <v>2025</v>
      </c>
      <c r="J128" s="13" t="n">
        <f aca="false">((J127)*($I$88*0.7)+J127+$B$12)</f>
        <v>186168.495516577</v>
      </c>
      <c r="L128" s="23"/>
      <c r="O128" s="55"/>
      <c r="P128" s="34"/>
      <c r="R128" s="0"/>
      <c r="S128" s="0"/>
      <c r="T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I129" s="1" t="n">
        <v>2026</v>
      </c>
      <c r="J129" s="13" t="n">
        <f aca="false">((J128)*($I$88*0.7)+J128+$B$12)</f>
        <v>223502.783472227</v>
      </c>
      <c r="L129" s="23"/>
      <c r="O129" s="0"/>
      <c r="P129" s="0"/>
      <c r="Q129" s="0"/>
      <c r="R129" s="0"/>
      <c r="S129" s="0"/>
      <c r="T129" s="0"/>
    </row>
    <row r="130" customFormat="false" ht="12.8" hidden="false" customHeight="false" outlineLevel="0" collapsed="false">
      <c r="A130" s="38" t="s">
        <v>81</v>
      </c>
      <c r="B130" s="38"/>
      <c r="I130" s="1" t="n">
        <v>2027</v>
      </c>
      <c r="J130" s="13" t="n">
        <f aca="false">((J129)*($I$88*0.7)+J129+$B$12)</f>
        <v>265152.50046152</v>
      </c>
      <c r="L130" s="23"/>
      <c r="O130" s="0"/>
      <c r="P130" s="0"/>
      <c r="Q130" s="0"/>
      <c r="R130" s="0"/>
      <c r="S130" s="0"/>
      <c r="T130" s="0"/>
    </row>
    <row r="131" customFormat="false" ht="12.8" hidden="false" customHeight="true" outlineLevel="0" collapsed="false">
      <c r="A131" s="47" t="s">
        <v>14</v>
      </c>
      <c r="B131" s="47" t="s">
        <v>63</v>
      </c>
      <c r="C131" s="48" t="s">
        <v>64</v>
      </c>
      <c r="D131" s="48" t="s">
        <v>65</v>
      </c>
      <c r="E131" s="48" t="s">
        <v>66</v>
      </c>
      <c r="F131" s="47" t="s">
        <v>67</v>
      </c>
      <c r="G131" s="47" t="s">
        <v>18</v>
      </c>
      <c r="L131" s="23"/>
      <c r="O131" s="0"/>
      <c r="P131" s="0"/>
      <c r="Q131" s="0"/>
      <c r="R131" s="0"/>
      <c r="S131" s="0"/>
      <c r="T131" s="0"/>
    </row>
    <row r="132" customFormat="false" ht="12.8" hidden="false" customHeight="false" outlineLevel="0" collapsed="false">
      <c r="A132" s="47"/>
      <c r="B132" s="47"/>
      <c r="C132" s="47"/>
      <c r="D132" s="47"/>
      <c r="E132" s="48"/>
      <c r="F132" s="47"/>
      <c r="G132" s="47"/>
      <c r="I132" s="14" t="s">
        <v>82</v>
      </c>
      <c r="J132" s="14"/>
      <c r="L132" s="23"/>
      <c r="O132" s="23"/>
      <c r="R132" s="0"/>
      <c r="S132" s="0"/>
      <c r="T132" s="0"/>
    </row>
    <row r="133" customFormat="false" ht="12.8" hidden="false" customHeight="true" outlineLevel="0" collapsed="false">
      <c r="A133" s="24" t="str">
        <f aca="false">A18</f>
        <v>3M COMPANY</v>
      </c>
      <c r="B133" s="49" t="n">
        <v>3</v>
      </c>
      <c r="C133" s="23" t="n">
        <f aca="false">C116+B133</f>
        <v>16</v>
      </c>
      <c r="D133" s="13" t="n">
        <f aca="false">D116+D116*D18</f>
        <v>329.343242673236</v>
      </c>
      <c r="E133" s="13" t="n">
        <f aca="false">C133*D133</f>
        <v>5269.49188277178</v>
      </c>
      <c r="F133" s="26" t="n">
        <f aca="false">(F116+F116*G18)</f>
        <v>8.31798338781184</v>
      </c>
      <c r="G133" s="13" t="n">
        <f aca="false">F133*C133*(1-$I$133)</f>
        <v>115.786328758341</v>
      </c>
      <c r="I133" s="25" t="n">
        <v>0.13</v>
      </c>
      <c r="J133" s="13"/>
      <c r="L133" s="23"/>
      <c r="O133" s="23"/>
      <c r="P133" s="50"/>
      <c r="Q133" s="25"/>
      <c r="R133" s="0"/>
      <c r="S133" s="0"/>
      <c r="T133" s="0"/>
    </row>
    <row r="134" customFormat="false" ht="12.8" hidden="false" customHeight="false" outlineLevel="0" collapsed="false">
      <c r="A134" s="24" t="str">
        <f aca="false">A19</f>
        <v>APPLE</v>
      </c>
      <c r="B134" s="49" t="n">
        <v>1</v>
      </c>
      <c r="C134" s="23" t="n">
        <f aca="false">C117+B134</f>
        <v>11</v>
      </c>
      <c r="D134" s="13" t="n">
        <f aca="false">D117+D117*D19</f>
        <v>472.434957055714</v>
      </c>
      <c r="E134" s="13" t="n">
        <f aca="false">C134*D134</f>
        <v>5196.78452761285</v>
      </c>
      <c r="F134" s="26" t="n">
        <f aca="false">(F117+F117*G19)</f>
        <v>4.29073929205092</v>
      </c>
      <c r="G134" s="13" t="n">
        <f aca="false">F134*C134*(1-$I$133)</f>
        <v>41.0623750249273</v>
      </c>
      <c r="L134" s="23"/>
      <c r="O134" s="23"/>
      <c r="P134" s="50"/>
      <c r="Q134" s="25"/>
      <c r="R134" s="0"/>
      <c r="S134" s="0"/>
      <c r="T134" s="0"/>
    </row>
    <row r="135" customFormat="false" ht="12.8" hidden="false" customHeight="false" outlineLevel="0" collapsed="false">
      <c r="A135" s="24" t="str">
        <f aca="false">A20</f>
        <v>CINTAS</v>
      </c>
      <c r="B135" s="49" t="n">
        <v>1</v>
      </c>
      <c r="C135" s="23" t="n">
        <f aca="false">C118+B135</f>
        <v>11</v>
      </c>
      <c r="D135" s="13" t="n">
        <f aca="false">D118+D118*D20</f>
        <v>470.909187662928</v>
      </c>
      <c r="E135" s="13" t="n">
        <f aca="false">C135*D135</f>
        <v>5180.00106429221</v>
      </c>
      <c r="F135" s="26" t="n">
        <f aca="false">(F118+F118*G20)</f>
        <v>3.8300262912</v>
      </c>
      <c r="G135" s="13" t="n">
        <f aca="false">F135*C135*(1-$I$133)</f>
        <v>36.653351606784</v>
      </c>
      <c r="I135" s="14" t="s">
        <v>83</v>
      </c>
      <c r="J135" s="14"/>
      <c r="O135" s="23"/>
      <c r="P135" s="50"/>
      <c r="Q135" s="25"/>
      <c r="R135" s="0"/>
      <c r="S135" s="0"/>
      <c r="T135" s="0"/>
    </row>
    <row r="136" customFormat="false" ht="12.8" hidden="false" customHeight="false" outlineLevel="0" collapsed="false">
      <c r="A136" s="24" t="str">
        <f aca="false">A21</f>
        <v>HOME DEPOT</v>
      </c>
      <c r="B136" s="49" t="n">
        <v>1</v>
      </c>
      <c r="C136" s="23" t="n">
        <f aca="false">C119+B136</f>
        <v>10</v>
      </c>
      <c r="D136" s="13" t="n">
        <f aca="false">D119+D119*D21</f>
        <v>514.547742387766</v>
      </c>
      <c r="E136" s="13" t="n">
        <f aca="false">C136*D136</f>
        <v>5145.47742387766</v>
      </c>
      <c r="F136" s="26" t="n">
        <f aca="false">(F119+F119*G21)</f>
        <v>9.64663873447132</v>
      </c>
      <c r="G136" s="13" t="n">
        <f aca="false">F136*C136*(1-$I$133)</f>
        <v>83.9257569899005</v>
      </c>
      <c r="I136" s="25" t="n">
        <v>0.1</v>
      </c>
      <c r="O136" s="23"/>
      <c r="P136" s="50"/>
      <c r="Q136" s="25"/>
      <c r="R136" s="0"/>
      <c r="S136" s="0"/>
      <c r="T136" s="0"/>
    </row>
    <row r="137" customFormat="false" ht="12.8" hidden="false" customHeight="false" outlineLevel="0" collapsed="false">
      <c r="A137" s="24" t="str">
        <f aca="false">A22</f>
        <v>UNITEDHEALTH</v>
      </c>
      <c r="B137" s="49" t="n">
        <v>1</v>
      </c>
      <c r="C137" s="23" t="n">
        <f aca="false">C120+B137</f>
        <v>8</v>
      </c>
      <c r="D137" s="13" t="n">
        <f aca="false">D120+D120*D22</f>
        <v>720.082713451463</v>
      </c>
      <c r="E137" s="13" t="n">
        <f aca="false">C137*D137</f>
        <v>5760.6617076117</v>
      </c>
      <c r="F137" s="26" t="n">
        <f aca="false">(F120+F120*G22)</f>
        <v>9.365207076</v>
      </c>
      <c r="G137" s="13" t="n">
        <f aca="false">F137*C137*(1-$I$133)</f>
        <v>65.18184124896</v>
      </c>
      <c r="I137" s="0"/>
      <c r="J137" s="0"/>
      <c r="K137" s="0"/>
      <c r="L137" s="0"/>
      <c r="O137" s="23"/>
      <c r="P137" s="50"/>
      <c r="Q137" s="25"/>
      <c r="R137" s="0"/>
      <c r="S137" s="0"/>
      <c r="T137" s="0"/>
    </row>
    <row r="138" customFormat="false" ht="12.8" hidden="false" customHeight="false" outlineLevel="0" collapsed="false">
      <c r="A138" s="24" t="str">
        <f aca="false">A23</f>
        <v>TEXAS INC</v>
      </c>
      <c r="B138" s="49" t="n">
        <v>4</v>
      </c>
      <c r="C138" s="23" t="n">
        <f aca="false">C121+B138</f>
        <v>25</v>
      </c>
      <c r="D138" s="13" t="n">
        <f aca="false">D121+D121*D23</f>
        <v>215.534989972838</v>
      </c>
      <c r="E138" s="13" t="n">
        <f aca="false">C138*D138</f>
        <v>5388.37474932095</v>
      </c>
      <c r="F138" s="26" t="n">
        <f aca="false">(F121+F121*G23)</f>
        <v>5.07430303397888</v>
      </c>
      <c r="G138" s="13" t="n">
        <f aca="false">F138*C138*(1-$I$133)</f>
        <v>110.366090989041</v>
      </c>
      <c r="I138" s="0"/>
      <c r="J138" s="0"/>
      <c r="K138" s="0"/>
      <c r="L138" s="0"/>
      <c r="O138" s="23"/>
      <c r="P138" s="50"/>
      <c r="Q138" s="25"/>
      <c r="R138" s="0"/>
      <c r="S138" s="0"/>
      <c r="T138" s="0"/>
    </row>
    <row r="139" customFormat="false" ht="12.8" hidden="false" customHeight="false" outlineLevel="0" collapsed="false">
      <c r="A139" s="24" t="str">
        <f aca="false">A24</f>
        <v>ACCENTURE</v>
      </c>
      <c r="B139" s="49" t="n">
        <v>3</v>
      </c>
      <c r="C139" s="23" t="n">
        <f aca="false">C122+B139</f>
        <v>17</v>
      </c>
      <c r="D139" s="13" t="n">
        <f aca="false">D122+D122*D24</f>
        <v>316.062713737876</v>
      </c>
      <c r="E139" s="13" t="n">
        <f aca="false">C139*D139</f>
        <v>5373.06613354389</v>
      </c>
      <c r="F139" s="26" t="n">
        <f aca="false">(F122+F122*G24)</f>
        <v>3.78244124084736</v>
      </c>
      <c r="G139" s="13" t="n">
        <f aca="false">F139*C139*(1-$I$133)</f>
        <v>55.9423059521325</v>
      </c>
      <c r="I139" s="0"/>
      <c r="J139" s="0"/>
      <c r="K139" s="0"/>
      <c r="L139" s="0"/>
      <c r="O139" s="23"/>
      <c r="P139" s="50"/>
      <c r="Q139" s="25"/>
      <c r="R139" s="0"/>
      <c r="S139" s="0"/>
      <c r="T139" s="0"/>
    </row>
    <row r="140" customFormat="false" ht="12.8" hidden="false" customHeight="false" outlineLevel="0" collapsed="false">
      <c r="A140" s="24" t="str">
        <f aca="false">A25</f>
        <v>MICROSOFT</v>
      </c>
      <c r="B140" s="49" t="n">
        <v>5</v>
      </c>
      <c r="C140" s="23" t="n">
        <f aca="false">C123+B140</f>
        <v>28</v>
      </c>
      <c r="D140" s="13" t="n">
        <f aca="false">D123+D123*D25</f>
        <v>186.502066498172</v>
      </c>
      <c r="E140" s="13" t="n">
        <f aca="false">C140*D140</f>
        <v>5222.05786194882</v>
      </c>
      <c r="F140" s="26" t="n">
        <f aca="false">(F123+F123*G25)</f>
        <v>2.58731940098688</v>
      </c>
      <c r="G140" s="13" t="n">
        <f aca="false">F140*C140*(1-$I$133)</f>
        <v>63.0271006080404</v>
      </c>
      <c r="I140" s="0"/>
      <c r="J140" s="0"/>
      <c r="K140" s="0"/>
      <c r="L140" s="0"/>
      <c r="O140" s="23"/>
      <c r="P140" s="50"/>
      <c r="Q140" s="25"/>
      <c r="R140" s="0"/>
      <c r="S140" s="0"/>
      <c r="T140" s="0"/>
    </row>
    <row r="141" customFormat="false" ht="12.8" hidden="false" customHeight="false" outlineLevel="0" collapsed="false">
      <c r="A141" s="24" t="str">
        <f aca="false">A26</f>
        <v>ROSS STORES</v>
      </c>
      <c r="B141" s="49" t="n">
        <v>2</v>
      </c>
      <c r="C141" s="23" t="n">
        <f aca="false">C124+B141</f>
        <v>21</v>
      </c>
      <c r="D141" s="13" t="n">
        <f aca="false">D124+D124*D26</f>
        <v>240.575326168591</v>
      </c>
      <c r="E141" s="13" t="n">
        <f aca="false">C141*D141</f>
        <v>5052.08184954041</v>
      </c>
      <c r="F141" s="26" t="n">
        <f aca="false">(F124+F124*G26)</f>
        <v>1.686498489</v>
      </c>
      <c r="G141" s="13" t="n">
        <f aca="false">F141*C141*(1-$I$133)</f>
        <v>30.81232739403</v>
      </c>
      <c r="I141" s="0"/>
      <c r="J141" s="0"/>
      <c r="K141" s="0"/>
      <c r="L141" s="0"/>
      <c r="O141" s="23"/>
      <c r="P141" s="50"/>
      <c r="Q141" s="25"/>
      <c r="R141" s="0"/>
      <c r="S141" s="0"/>
      <c r="T141" s="0"/>
    </row>
    <row r="142" customFormat="false" ht="12.8" hidden="false" customHeight="false" outlineLevel="0" collapsed="false">
      <c r="A142" s="24" t="str">
        <f aca="false">A27</f>
        <v>AO SMITH</v>
      </c>
      <c r="B142" s="49" t="n">
        <v>3</v>
      </c>
      <c r="C142" s="23" t="n">
        <f aca="false">C125+B142</f>
        <v>30</v>
      </c>
      <c r="D142" s="13" t="n">
        <f aca="false">D125+D125*D27</f>
        <v>176.275450955612</v>
      </c>
      <c r="E142" s="13" t="n">
        <f aca="false">C142*D142</f>
        <v>5288.26352866836</v>
      </c>
      <c r="F142" s="26" t="n">
        <f aca="false">(F125+F125*G27)</f>
        <v>1.65334965143112</v>
      </c>
      <c r="G142" s="13" t="n">
        <f aca="false">F142*C142*(1-$I$133)</f>
        <v>43.1524259023522</v>
      </c>
      <c r="O142" s="23"/>
      <c r="P142" s="50"/>
      <c r="Q142" s="25"/>
      <c r="R142" s="0"/>
      <c r="S142" s="0"/>
      <c r="T142" s="0"/>
    </row>
    <row r="143" customFormat="false" ht="12.8" hidden="false" customHeight="true" outlineLevel="0" collapsed="false">
      <c r="A143" s="24" t="str">
        <f aca="false">A28</f>
        <v>VANGUARD S&amp;P500</v>
      </c>
      <c r="B143" s="49" t="n">
        <v>13</v>
      </c>
      <c r="C143" s="23" t="n">
        <f aca="false">C126+B143</f>
        <v>67</v>
      </c>
      <c r="D143" s="13" t="n">
        <f aca="false">D126+D126*D28</f>
        <v>390.475562258356</v>
      </c>
      <c r="E143" s="13" t="n">
        <f aca="false">C143*D143</f>
        <v>26161.8626713098</v>
      </c>
      <c r="F143" s="26" t="n">
        <f aca="false">(F126+F126*G28)</f>
        <v>5.84740183583248</v>
      </c>
      <c r="G143" s="13" t="n">
        <f aca="false">F143*C143*(1-$I$133)</f>
        <v>340.845053010675</v>
      </c>
      <c r="O143" s="23"/>
      <c r="P143" s="50"/>
      <c r="Q143" s="25"/>
      <c r="R143" s="0"/>
      <c r="S143" s="0"/>
      <c r="T143" s="0"/>
    </row>
    <row r="144" customFormat="false" ht="12.8" hidden="false" customHeight="false" outlineLevel="0" collapsed="false">
      <c r="A144" s="24" t="str">
        <f aca="false">A29</f>
        <v>VANGUARD HIGH DIVIDEND</v>
      </c>
      <c r="B144" s="49" t="n">
        <v>40</v>
      </c>
      <c r="C144" s="23" t="n">
        <f aca="false">C127+B144</f>
        <v>206</v>
      </c>
      <c r="D144" s="13" t="n">
        <f aca="false">D127+D127*D29</f>
        <v>128.923918812442</v>
      </c>
      <c r="E144" s="13" t="n">
        <f aca="false">C144*D144</f>
        <v>26558.3272753631</v>
      </c>
      <c r="F144" s="26" t="n">
        <f aca="false">(F127+F127*G29)</f>
        <v>3.4284321792</v>
      </c>
      <c r="G144" s="13" t="n">
        <f aca="false">F144*C144*(1-$I$133)</f>
        <v>614.443615156224</v>
      </c>
      <c r="O144" s="23"/>
      <c r="P144" s="50"/>
      <c r="Q144" s="25"/>
      <c r="R144" s="0"/>
      <c r="S144" s="0"/>
      <c r="T144" s="0"/>
    </row>
    <row r="145" customFormat="false" ht="12.8" hidden="false" customHeight="false" outlineLevel="0" collapsed="false">
      <c r="B145" s="53" t="s">
        <v>68</v>
      </c>
      <c r="C145" s="53"/>
      <c r="D145" s="53"/>
      <c r="E145" s="13" t="n">
        <f aca="false">SUM(E133:E144)</f>
        <v>105596.450675862</v>
      </c>
      <c r="F145" s="13"/>
      <c r="G145" s="13" t="n">
        <f aca="false">SUM(G133:G144)</f>
        <v>1601.19857264141</v>
      </c>
      <c r="O145" s="23"/>
      <c r="P145" s="23"/>
      <c r="S145" s="0"/>
      <c r="T145" s="0"/>
    </row>
  </sheetData>
  <mergeCells count="89">
    <mergeCell ref="B1:G1"/>
    <mergeCell ref="B3:E3"/>
    <mergeCell ref="B4:E4"/>
    <mergeCell ref="B5:E5"/>
    <mergeCell ref="B7:E7"/>
    <mergeCell ref="B8:E8"/>
    <mergeCell ref="E10:F10"/>
    <mergeCell ref="A15:A17"/>
    <mergeCell ref="B15:B17"/>
    <mergeCell ref="C15:C17"/>
    <mergeCell ref="D15:D17"/>
    <mergeCell ref="E15:G15"/>
    <mergeCell ref="E16:E17"/>
    <mergeCell ref="F16:F17"/>
    <mergeCell ref="G16:G17"/>
    <mergeCell ref="A31:D31"/>
    <mergeCell ref="A32:A33"/>
    <mergeCell ref="B32:B33"/>
    <mergeCell ref="C32:C33"/>
    <mergeCell ref="D32:D33"/>
    <mergeCell ref="A46:B46"/>
    <mergeCell ref="A48:B49"/>
    <mergeCell ref="A50:F51"/>
    <mergeCell ref="A52:F53"/>
    <mergeCell ref="A54:F55"/>
    <mergeCell ref="A56:F57"/>
    <mergeCell ref="A60:B61"/>
    <mergeCell ref="J60:J61"/>
    <mergeCell ref="L60:L61"/>
    <mergeCell ref="N60:N61"/>
    <mergeCell ref="A62:B62"/>
    <mergeCell ref="A63:A64"/>
    <mergeCell ref="B63:B64"/>
    <mergeCell ref="C63:C64"/>
    <mergeCell ref="D63:D64"/>
    <mergeCell ref="E63:E64"/>
    <mergeCell ref="F63:F64"/>
    <mergeCell ref="G63:G64"/>
    <mergeCell ref="B77:D77"/>
    <mergeCell ref="A79:B79"/>
    <mergeCell ref="I79:J80"/>
    <mergeCell ref="A80:A81"/>
    <mergeCell ref="B80:B81"/>
    <mergeCell ref="C80:C81"/>
    <mergeCell ref="D80:D81"/>
    <mergeCell ref="E80:E81"/>
    <mergeCell ref="F80:F81"/>
    <mergeCell ref="G80:G81"/>
    <mergeCell ref="K81:L81"/>
    <mergeCell ref="K82:L86"/>
    <mergeCell ref="K87:L87"/>
    <mergeCell ref="I88:I89"/>
    <mergeCell ref="J88:L89"/>
    <mergeCell ref="I90:I91"/>
    <mergeCell ref="J90:L91"/>
    <mergeCell ref="B94:D94"/>
    <mergeCell ref="I94:J95"/>
    <mergeCell ref="A96:B96"/>
    <mergeCell ref="I96:J96"/>
    <mergeCell ref="A97:A98"/>
    <mergeCell ref="B97:B98"/>
    <mergeCell ref="C97:C98"/>
    <mergeCell ref="D97:D98"/>
    <mergeCell ref="E97:E98"/>
    <mergeCell ref="F97:F98"/>
    <mergeCell ref="G97:G98"/>
    <mergeCell ref="I108:J108"/>
    <mergeCell ref="B111:D111"/>
    <mergeCell ref="A113:B113"/>
    <mergeCell ref="A114:A115"/>
    <mergeCell ref="B114:B115"/>
    <mergeCell ref="C114:C115"/>
    <mergeCell ref="D114:D115"/>
    <mergeCell ref="E114:E115"/>
    <mergeCell ref="F114:F115"/>
    <mergeCell ref="G114:G115"/>
    <mergeCell ref="I120:J120"/>
    <mergeCell ref="B128:D128"/>
    <mergeCell ref="A130:B130"/>
    <mergeCell ref="A131:A132"/>
    <mergeCell ref="B131:B132"/>
    <mergeCell ref="C131:C132"/>
    <mergeCell ref="D131:D132"/>
    <mergeCell ref="E131:E132"/>
    <mergeCell ref="F131:F132"/>
    <mergeCell ref="G131:G132"/>
    <mergeCell ref="I132:J132"/>
    <mergeCell ref="I135:J135"/>
    <mergeCell ref="B145:D1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10.32"/>
    <col collapsed="false" customWidth="true" hidden="false" outlineLevel="0" max="3" min="3" style="0" width="11.26"/>
    <col collapsed="false" customWidth="true" hidden="false" outlineLevel="0" max="4" min="4" style="0" width="12.03"/>
    <col collapsed="false" customWidth="true" hidden="false" outlineLevel="0" max="6" min="5" style="0" width="10.32"/>
    <col collapsed="false" customWidth="false" hidden="false" outlineLevel="0" max="1025" min="7" style="0" width="11.52"/>
  </cols>
  <sheetData>
    <row r="1" customFormat="false" ht="12.8" hidden="false" customHeight="true" outlineLevel="0" collapsed="false">
      <c r="A1" s="21" t="s">
        <v>86</v>
      </c>
      <c r="B1" s="21" t="s">
        <v>51</v>
      </c>
      <c r="C1" s="21" t="s">
        <v>18</v>
      </c>
      <c r="D1" s="21"/>
      <c r="H1" s="56" t="s">
        <v>87</v>
      </c>
      <c r="I1" s="56"/>
    </row>
    <row r="2" customFormat="false" ht="12.8" hidden="false" customHeight="true" outlineLevel="0" collapsed="false">
      <c r="A2" s="21"/>
      <c r="B2" s="21"/>
      <c r="C2" s="21" t="s">
        <v>88</v>
      </c>
      <c r="D2" s="21" t="s">
        <v>23</v>
      </c>
      <c r="H2" s="56"/>
      <c r="I2" s="56"/>
    </row>
    <row r="3" customFormat="false" ht="12.8" hidden="false" customHeight="false" outlineLevel="0" collapsed="false">
      <c r="A3" s="21"/>
      <c r="B3" s="21"/>
      <c r="C3" s="21"/>
      <c r="D3" s="21"/>
      <c r="H3" s="0" t="n">
        <v>2018</v>
      </c>
      <c r="I3" s="13" t="n">
        <f aca="false">100000*12/'Пополнение 360 000'!B10</f>
        <v>18978.3330697454</v>
      </c>
      <c r="J3" s="57"/>
    </row>
    <row r="4" customFormat="false" ht="12.8" hidden="false" customHeight="false" outlineLevel="0" collapsed="false">
      <c r="A4" s="0" t="s">
        <v>89</v>
      </c>
      <c r="B4" s="25" t="n">
        <v>0.25</v>
      </c>
      <c r="C4" s="25" t="n">
        <v>0.0301</v>
      </c>
      <c r="D4" s="25" t="n">
        <v>0.08</v>
      </c>
      <c r="H4" s="0" t="n">
        <v>2019</v>
      </c>
      <c r="I4" s="13" t="n">
        <f aca="false">I3+I3*'Пополнение 360 000'!$F$11</f>
        <v>19318.0452316938</v>
      </c>
      <c r="J4" s="57"/>
    </row>
    <row r="5" customFormat="false" ht="12.8" hidden="false" customHeight="false" outlineLevel="0" collapsed="false">
      <c r="A5" s="0" t="s">
        <v>90</v>
      </c>
      <c r="B5" s="25" t="n">
        <v>0.25</v>
      </c>
      <c r="C5" s="25" t="n">
        <v>0.0363</v>
      </c>
      <c r="D5" s="25" t="n">
        <v>0.064</v>
      </c>
      <c r="G5" s="25"/>
      <c r="H5" s="0" t="n">
        <v>2020</v>
      </c>
      <c r="I5" s="13" t="n">
        <f aca="false">I4+I4*'Пополнение 360 000'!$F$11</f>
        <v>19663.8382413412</v>
      </c>
      <c r="J5" s="57"/>
    </row>
    <row r="6" customFormat="false" ht="12.8" hidden="false" customHeight="false" outlineLevel="0" collapsed="false">
      <c r="A6" s="0" t="s">
        <v>91</v>
      </c>
      <c r="B6" s="58" t="n">
        <v>0.25</v>
      </c>
      <c r="C6" s="25" t="n">
        <v>0.0372</v>
      </c>
      <c r="D6" s="25" t="n">
        <v>0.064</v>
      </c>
      <c r="H6" s="0" t="n">
        <v>2021</v>
      </c>
      <c r="I6" s="13" t="n">
        <f aca="false">I5+I5*'Пополнение 360 000'!$F$11</f>
        <v>20015.8209458612</v>
      </c>
      <c r="J6" s="57"/>
    </row>
    <row r="7" customFormat="false" ht="12.8" hidden="false" customHeight="false" outlineLevel="0" collapsed="false">
      <c r="A7" s="0" t="s">
        <v>92</v>
      </c>
      <c r="B7" s="25" t="n">
        <v>0.25</v>
      </c>
      <c r="C7" s="25" t="n">
        <v>0.0316</v>
      </c>
      <c r="D7" s="25" t="n">
        <v>0.071</v>
      </c>
      <c r="E7" s="25"/>
      <c r="F7" s="25"/>
      <c r="H7" s="0" t="n">
        <v>2022</v>
      </c>
      <c r="I7" s="13" t="n">
        <f aca="false">I6+I6*'Пополнение 360 000'!$F$11</f>
        <v>20374.1041407921</v>
      </c>
      <c r="J7" s="57"/>
    </row>
    <row r="8" customFormat="false" ht="12.8" hidden="false" customHeight="false" outlineLevel="0" collapsed="false">
      <c r="H8" s="0" t="n">
        <v>2023</v>
      </c>
      <c r="I8" s="13" t="n">
        <f aca="false">I7+I7*'Пополнение 360 000'!$F$11</f>
        <v>20738.8006049123</v>
      </c>
      <c r="J8" s="57"/>
    </row>
    <row r="9" customFormat="false" ht="12.8" hidden="false" customHeight="false" outlineLevel="0" collapsed="false">
      <c r="A9" s="38" t="s">
        <v>93</v>
      </c>
      <c r="B9" s="38"/>
      <c r="C9" s="38"/>
      <c r="H9" s="0" t="n">
        <v>2024</v>
      </c>
      <c r="I9" s="13" t="n">
        <f aca="false">I8+I8*'Пополнение 360 000'!$F$11</f>
        <v>21110.0251357402</v>
      </c>
      <c r="J9" s="57"/>
    </row>
    <row r="10" customFormat="false" ht="18.55" hidden="false" customHeight="false" outlineLevel="0" collapsed="false">
      <c r="A10" s="59" t="s">
        <v>94</v>
      </c>
      <c r="B10" s="6" t="n">
        <f aca="false">'Пополнение 360 000'!N76</f>
        <v>325292.987192141</v>
      </c>
      <c r="C10" s="6"/>
      <c r="G10" s="60"/>
      <c r="H10" s="0" t="n">
        <v>2025</v>
      </c>
      <c r="I10" s="13" t="n">
        <f aca="false">I9+I9*'Пополнение 360 000'!$F$11</f>
        <v>21487.8945856699</v>
      </c>
      <c r="J10" s="57"/>
    </row>
    <row r="11" s="1" customFormat="true" ht="12.8" hidden="false" customHeight="false" outlineLevel="0" collapsed="false">
      <c r="G11" s="46"/>
      <c r="H11" s="0" t="n">
        <v>2026</v>
      </c>
      <c r="I11" s="13" t="n">
        <f aca="false">I10+I10*'Пополнение 360 000'!$F$11</f>
        <v>21872.5278987534</v>
      </c>
      <c r="J11" s="13"/>
    </row>
    <row r="12" customFormat="false" ht="18.55" hidden="false" customHeight="true" outlineLevel="0" collapsed="false">
      <c r="A12" s="61" t="s">
        <v>95</v>
      </c>
      <c r="B12" s="61" t="s">
        <v>95</v>
      </c>
      <c r="C12" s="61"/>
      <c r="H12" s="62" t="n">
        <v>2027</v>
      </c>
      <c r="I12" s="60" t="n">
        <f aca="false">I11+I11*'Пополнение 360 000'!$F$11</f>
        <v>22264.0461481411</v>
      </c>
      <c r="J12" s="57"/>
    </row>
    <row r="13" customFormat="false" ht="12.8" hidden="false" customHeight="true" outlineLevel="0" collapsed="false">
      <c r="A13" s="63" t="s">
        <v>96</v>
      </c>
      <c r="B13" s="32" t="s">
        <v>67</v>
      </c>
      <c r="C13" s="32" t="s">
        <v>97</v>
      </c>
      <c r="D13" s="31"/>
      <c r="G13" s="1"/>
      <c r="H13" s="1" t="n">
        <v>2028</v>
      </c>
      <c r="I13" s="13" t="n">
        <f aca="false">I12+I12*'Пополнение 360 000'!$F$11</f>
        <v>22662.5725741928</v>
      </c>
      <c r="J13" s="57"/>
    </row>
    <row r="14" s="1" customFormat="true" ht="12.8" hidden="false" customHeight="false" outlineLevel="0" collapsed="false">
      <c r="A14" s="63"/>
      <c r="B14" s="32"/>
      <c r="C14" s="32"/>
      <c r="D14" s="64"/>
      <c r="E14" s="0"/>
      <c r="F14" s="0"/>
      <c r="G14" s="65"/>
      <c r="H14" s="1" t="n">
        <v>2029</v>
      </c>
      <c r="I14" s="13" t="n">
        <f aca="false">I13+I13*'Пополнение 360 000'!$F$11</f>
        <v>23068.2326232709</v>
      </c>
      <c r="J14" s="13"/>
    </row>
    <row r="15" customFormat="false" ht="12.8" hidden="false" customHeight="true" outlineLevel="0" collapsed="false">
      <c r="A15" s="14" t="n">
        <v>1</v>
      </c>
      <c r="B15" s="20" t="n">
        <f aca="false">B27*0.87</f>
        <v>9565.56558137209</v>
      </c>
      <c r="C15" s="16" t="n">
        <f aca="false">(B15/12)</f>
        <v>797.130465114341</v>
      </c>
      <c r="E15" s="1"/>
      <c r="F15" s="1"/>
      <c r="G15" s="31"/>
      <c r="H15" s="1" t="n">
        <v>2030</v>
      </c>
      <c r="I15" s="13" t="n">
        <f aca="false">I14+I14*'Пополнение 360 000'!$F$11</f>
        <v>23481.1539872274</v>
      </c>
      <c r="J15" s="57"/>
    </row>
    <row r="16" customFormat="false" ht="12.8" hidden="false" customHeight="false" outlineLevel="0" collapsed="false">
      <c r="A16" s="14" t="n">
        <v>2</v>
      </c>
      <c r="B16" s="66" t="n">
        <f aca="false">C27*0.87</f>
        <v>10211.8355684023</v>
      </c>
      <c r="C16" s="16" t="n">
        <f aca="false">(B16/12)</f>
        <v>850.986297366858</v>
      </c>
      <c r="D16" s="57"/>
      <c r="G16" s="31"/>
      <c r="H16" s="1" t="n">
        <v>2031</v>
      </c>
      <c r="I16" s="13" t="n">
        <f aca="false">I15+I15*'Пополнение 360 000'!$F$11</f>
        <v>23901.4666435988</v>
      </c>
      <c r="J16" s="57"/>
      <c r="K16" s="13"/>
    </row>
    <row r="17" customFormat="false" ht="12.8" hidden="false" customHeight="false" outlineLevel="0" collapsed="false">
      <c r="A17" s="14" t="n">
        <v>3</v>
      </c>
      <c r="B17" s="66" t="n">
        <f aca="false">D27*0.87</f>
        <v>10902.1927377882</v>
      </c>
      <c r="C17" s="16" t="n">
        <f aca="false">(B17/12)</f>
        <v>908.516061482353</v>
      </c>
      <c r="D17" s="35"/>
      <c r="G17" s="35"/>
      <c r="H17" s="62" t="n">
        <v>2032</v>
      </c>
      <c r="I17" s="60" t="n">
        <f aca="false">I16+I16*'Пополнение 360 000'!$F$11</f>
        <v>24329.3028965192</v>
      </c>
      <c r="J17" s="57"/>
      <c r="K17" s="13"/>
    </row>
    <row r="18" customFormat="false" ht="12.8" hidden="false" customHeight="false" outlineLevel="0" collapsed="false">
      <c r="A18" s="14" t="n">
        <v>4</v>
      </c>
      <c r="B18" s="66" t="n">
        <f aca="false">E27*0.87</f>
        <v>11639.6767414555</v>
      </c>
      <c r="C18" s="16" t="n">
        <f aca="false">(B18/12)</f>
        <v>969.973061787962</v>
      </c>
      <c r="D18" s="64"/>
      <c r="G18" s="35"/>
      <c r="H18" s="1" t="n">
        <v>2033</v>
      </c>
      <c r="I18" s="13" t="n">
        <f aca="false">I17+I17*'Пополнение 360 000'!$F$11</f>
        <v>24764.7974183669</v>
      </c>
    </row>
    <row r="19" customFormat="false" ht="12.8" hidden="false" customHeight="false" outlineLevel="0" collapsed="false">
      <c r="A19" s="14" t="n">
        <v>5</v>
      </c>
      <c r="B19" s="66" t="n">
        <f aca="false">F27*0.87</f>
        <v>12427.5392148335</v>
      </c>
      <c r="C19" s="16" t="n">
        <f aca="false">(B19/12)</f>
        <v>1035.62826790279</v>
      </c>
      <c r="D19" s="64"/>
      <c r="G19" s="35"/>
      <c r="H19" s="1" t="n">
        <v>2034</v>
      </c>
      <c r="I19" s="13" t="n">
        <f aca="false">I18+I18*'Пополнение 360 000'!$F$11</f>
        <v>25208.0872921557</v>
      </c>
    </row>
    <row r="20" customFormat="false" ht="12.8" hidden="false" customHeight="false" outlineLevel="0" collapsed="false">
      <c r="G20" s="35"/>
      <c r="H20" s="1" t="n">
        <v>2035</v>
      </c>
      <c r="I20" s="13" t="n">
        <f aca="false">I19+I19*'Пополнение 360 000'!$F$11</f>
        <v>25659.3120546853</v>
      </c>
    </row>
    <row r="21" customFormat="false" ht="18.55" hidden="false" customHeight="false" outlineLevel="0" collapsed="false">
      <c r="A21" s="4" t="s">
        <v>98</v>
      </c>
      <c r="B21" s="4"/>
      <c r="C21" s="4"/>
      <c r="D21" s="4"/>
      <c r="E21" s="10"/>
      <c r="F21" s="67"/>
      <c r="G21" s="35"/>
      <c r="H21" s="1" t="n">
        <v>2036</v>
      </c>
      <c r="I21" s="13" t="n">
        <f aca="false">I20+I20*'Пополнение 360 000'!$F$11</f>
        <v>26118.6137404642</v>
      </c>
    </row>
    <row r="22" customFormat="false" ht="12.8" hidden="false" customHeight="false" outlineLevel="0" collapsed="false">
      <c r="A22" s="68" t="s">
        <v>99</v>
      </c>
      <c r="B22" s="69" t="n">
        <v>1</v>
      </c>
      <c r="C22" s="69" t="n">
        <v>2</v>
      </c>
      <c r="D22" s="69" t="n">
        <v>3</v>
      </c>
      <c r="E22" s="69" t="n">
        <v>4</v>
      </c>
      <c r="F22" s="69" t="n">
        <v>5</v>
      </c>
      <c r="G22" s="35"/>
      <c r="H22" s="62" t="n">
        <v>2037</v>
      </c>
      <c r="I22" s="60" t="n">
        <f aca="false">I21+I21*'Пополнение 360 000'!$F$11</f>
        <v>26586.1369264185</v>
      </c>
    </row>
    <row r="23" customFormat="false" ht="12.8" hidden="false" customHeight="false" outlineLevel="0" collapsed="false">
      <c r="A23" s="70" t="str">
        <f aca="false">A4</f>
        <v>Vanguard High Dividends (VYM)</v>
      </c>
      <c r="B23" s="66" t="n">
        <f aca="false">(B10*B4*C4)</f>
        <v>2447.82972862086</v>
      </c>
      <c r="C23" s="66" t="n">
        <f aca="false">B23*$D$4+B23</f>
        <v>2643.65610691053</v>
      </c>
      <c r="D23" s="66" t="n">
        <f aca="false">C23*$D$4+C23</f>
        <v>2855.14859546337</v>
      </c>
      <c r="E23" s="66" t="n">
        <f aca="false">D23*$D$4+D23</f>
        <v>3083.56048310044</v>
      </c>
      <c r="F23" s="66" t="n">
        <f aca="false">E23*$D$4+E23</f>
        <v>3330.24532174847</v>
      </c>
      <c r="H23" s="1" t="n">
        <v>2038</v>
      </c>
      <c r="I23" s="13" t="n">
        <f aca="false">I22+I22*'Пополнение 360 000'!$F$11</f>
        <v>27062.0287774014</v>
      </c>
    </row>
    <row r="24" customFormat="false" ht="12.8" hidden="false" customHeight="false" outlineLevel="0" collapsed="false">
      <c r="A24" s="70" t="str">
        <f aca="false">A5</f>
        <v>Vanguard REIT (VNQ)</v>
      </c>
      <c r="B24" s="66" t="n">
        <f aca="false">(B10*B5*C5)</f>
        <v>2952.03385876867</v>
      </c>
      <c r="C24" s="66" t="n">
        <f aca="false">B24*$D$5+B24</f>
        <v>3140.96402572987</v>
      </c>
      <c r="D24" s="66" t="n">
        <f aca="false">C24*$D$5+C24</f>
        <v>3341.98572337658</v>
      </c>
      <c r="E24" s="66" t="n">
        <f aca="false">D24*$D$5+D24</f>
        <v>3555.87280967268</v>
      </c>
      <c r="F24" s="66" t="n">
        <f aca="false">E24*$D$5+E24</f>
        <v>3783.44866949173</v>
      </c>
      <c r="H24" s="1" t="n">
        <v>2039</v>
      </c>
      <c r="I24" s="13" t="n">
        <f aca="false">I23+I23*'Пополнение 360 000'!$F$11</f>
        <v>27546.4390925168</v>
      </c>
    </row>
    <row r="25" s="1" customFormat="true" ht="12.8" hidden="false" customHeight="false" outlineLevel="0" collapsed="false">
      <c r="A25" s="70" t="str">
        <f aca="false">A6</f>
        <v>iShares High Dividends (HDV)</v>
      </c>
      <c r="B25" s="20" t="n">
        <f aca="false">(B10*B6*C6)</f>
        <v>3025.22478088691</v>
      </c>
      <c r="C25" s="20" t="n">
        <f aca="false">B25*$D$6+B25</f>
        <v>3218.83916686367</v>
      </c>
      <c r="D25" s="20" t="n">
        <f aca="false">C25*$D$6+C25</f>
        <v>3424.84487354294</v>
      </c>
      <c r="E25" s="20" t="n">
        <f aca="false">D25*$D$6+D25</f>
        <v>3644.03494544969</v>
      </c>
      <c r="F25" s="20" t="n">
        <f aca="false">E25*$D$6+E25</f>
        <v>3877.25318195847</v>
      </c>
      <c r="G25" s="31"/>
      <c r="I25" s="13"/>
    </row>
    <row r="26" customFormat="false" ht="12.8" hidden="false" customHeight="true" outlineLevel="0" collapsed="false">
      <c r="A26" s="70" t="str">
        <f aca="false">A7</f>
        <v>iShares Dow Dividends (DVY)</v>
      </c>
      <c r="B26" s="20" t="n">
        <f aca="false">(B10*B7*C7)</f>
        <v>2569.81459881791</v>
      </c>
      <c r="C26" s="20" t="n">
        <f aca="false">B26*$D$6+B26</f>
        <v>2734.28273314226</v>
      </c>
      <c r="D26" s="20" t="n">
        <f aca="false">C26*$D$6+C26</f>
        <v>2909.27682806336</v>
      </c>
      <c r="E26" s="20" t="n">
        <f aca="false">D26*$D$6+D26</f>
        <v>3095.47054505942</v>
      </c>
      <c r="F26" s="20" t="n">
        <f aca="false">E26*$D$6+E26</f>
        <v>3293.58065994322</v>
      </c>
      <c r="G26" s="31"/>
      <c r="H26" s="1"/>
      <c r="I26" s="13"/>
    </row>
    <row r="27" customFormat="false" ht="12.8" hidden="false" customHeight="false" outlineLevel="0" collapsed="false">
      <c r="A27" s="71"/>
      <c r="B27" s="66" t="n">
        <f aca="false">SUM(B23:B26)</f>
        <v>10994.9029670944</v>
      </c>
      <c r="C27" s="66" t="n">
        <f aca="false">SUM(C23:C26)</f>
        <v>11737.7420326463</v>
      </c>
      <c r="D27" s="66" t="n">
        <f aca="false">SUM(D23:D26)</f>
        <v>12531.2560204463</v>
      </c>
      <c r="E27" s="66" t="n">
        <f aca="false">SUM(E23:E26)</f>
        <v>13378.9387832822</v>
      </c>
      <c r="F27" s="66" t="n">
        <f aca="false">SUM(F23:F26)</f>
        <v>14284.5278331419</v>
      </c>
      <c r="G27" s="31"/>
      <c r="H27" s="62"/>
      <c r="I27" s="60"/>
    </row>
    <row r="28" customFormat="false" ht="12.8" hidden="false" customHeight="false" outlineLevel="0" collapsed="false">
      <c r="G28" s="72"/>
    </row>
    <row r="29" customFormat="false" ht="12.8" hidden="false" customHeight="false" outlineLevel="0" collapsed="false">
      <c r="A29" s="38" t="s">
        <v>100</v>
      </c>
      <c r="B29" s="38"/>
      <c r="C29" s="38"/>
      <c r="G29" s="72"/>
    </row>
    <row r="30" customFormat="false" ht="18.55" hidden="false" customHeight="false" outlineLevel="0" collapsed="false">
      <c r="A30" s="59" t="s">
        <v>94</v>
      </c>
      <c r="B30" s="6" t="n">
        <f aca="false">'Пополнение 360 000'!N83</f>
        <v>1007366.34302755</v>
      </c>
      <c r="C30" s="6"/>
      <c r="G30" s="72"/>
    </row>
    <row r="31" customFormat="false" ht="12.8" hidden="false" customHeight="false" outlineLevel="0" collapsed="false">
      <c r="G31" s="72"/>
    </row>
    <row r="32" customFormat="false" ht="18.55" hidden="false" customHeight="true" outlineLevel="0" collapsed="false">
      <c r="A32" s="61" t="s">
        <v>95</v>
      </c>
      <c r="B32" s="61" t="s">
        <v>95</v>
      </c>
      <c r="C32" s="61"/>
      <c r="G32" s="72"/>
    </row>
    <row r="33" customFormat="false" ht="12.8" hidden="false" customHeight="true" outlineLevel="0" collapsed="false">
      <c r="A33" s="63" t="s">
        <v>96</v>
      </c>
      <c r="B33" s="32" t="s">
        <v>67</v>
      </c>
      <c r="C33" s="32" t="s">
        <v>97</v>
      </c>
      <c r="G33" s="72"/>
    </row>
    <row r="34" customFormat="false" ht="12.8" hidden="false" customHeight="false" outlineLevel="0" collapsed="false">
      <c r="A34" s="63"/>
      <c r="B34" s="32"/>
      <c r="C34" s="32"/>
      <c r="G34" s="72"/>
    </row>
    <row r="35" customFormat="false" ht="12.8" hidden="false" customHeight="true" outlineLevel="0" collapsed="false">
      <c r="A35" s="14" t="n">
        <v>1</v>
      </c>
      <c r="B35" s="66" t="n">
        <f aca="false">B47*0.87</f>
        <v>29622.6146830682</v>
      </c>
      <c r="C35" s="16" t="n">
        <f aca="false">(B35/12)</f>
        <v>2468.55122358902</v>
      </c>
      <c r="G35" s="72"/>
    </row>
    <row r="36" customFormat="false" ht="12.8" hidden="false" customHeight="false" outlineLevel="0" collapsed="false">
      <c r="A36" s="14" t="n">
        <v>2</v>
      </c>
      <c r="B36" s="66" t="n">
        <f aca="false">C47*0.87</f>
        <v>31623.981632484</v>
      </c>
      <c r="C36" s="16" t="n">
        <f aca="false">(B36/12)</f>
        <v>2635.331802707</v>
      </c>
      <c r="G36" s="72"/>
    </row>
    <row r="37" customFormat="false" ht="12.8" hidden="false" customHeight="false" outlineLevel="0" collapsed="false">
      <c r="A37" s="14" t="n">
        <v>3</v>
      </c>
      <c r="B37" s="66" t="n">
        <f aca="false">D47*0.87</f>
        <v>33761.8776354384</v>
      </c>
      <c r="C37" s="16" t="n">
        <f aca="false">(B37/12)</f>
        <v>2813.4898029532</v>
      </c>
      <c r="G37" s="72"/>
    </row>
    <row r="38" customFormat="false" ht="12.8" hidden="false" customHeight="false" outlineLevel="0" collapsed="false">
      <c r="A38" s="14" t="n">
        <v>4</v>
      </c>
      <c r="B38" s="66" t="n">
        <f aca="false">E47*0.87</f>
        <v>36045.7158768599</v>
      </c>
      <c r="C38" s="16" t="n">
        <f aca="false">(B38/12)</f>
        <v>3003.80965640499</v>
      </c>
    </row>
    <row r="39" customFormat="false" ht="12.8" hidden="false" customHeight="false" outlineLevel="0" collapsed="false">
      <c r="A39" s="14" t="n">
        <v>5</v>
      </c>
      <c r="B39" s="66" t="n">
        <f aca="false">F47*0.87</f>
        <v>38485.5660115527</v>
      </c>
      <c r="C39" s="16" t="n">
        <f aca="false">(B39/12)</f>
        <v>3207.13050096272</v>
      </c>
    </row>
    <row r="41" customFormat="false" ht="18.55" hidden="false" customHeight="false" outlineLevel="0" collapsed="false">
      <c r="A41" s="4" t="s">
        <v>98</v>
      </c>
      <c r="B41" s="4"/>
      <c r="C41" s="4"/>
      <c r="D41" s="4"/>
      <c r="E41" s="10"/>
      <c r="F41" s="67"/>
      <c r="G41" s="73"/>
      <c r="H41" s="73"/>
      <c r="I41" s="73"/>
      <c r="J41" s="73"/>
      <c r="K41" s="73"/>
    </row>
    <row r="42" customFormat="false" ht="12.8" hidden="false" customHeight="false" outlineLevel="0" collapsed="false">
      <c r="A42" s="68" t="s">
        <v>99</v>
      </c>
      <c r="B42" s="69" t="n">
        <v>1</v>
      </c>
      <c r="C42" s="69" t="n">
        <v>2</v>
      </c>
      <c r="D42" s="69" t="n">
        <v>3</v>
      </c>
      <c r="E42" s="69" t="n">
        <v>4</v>
      </c>
      <c r="F42" s="69" t="n">
        <v>5</v>
      </c>
      <c r="G42" s="74"/>
      <c r="H42" s="74"/>
      <c r="I42" s="74"/>
      <c r="J42" s="74"/>
      <c r="K42" s="74"/>
    </row>
    <row r="43" customFormat="false" ht="12.8" hidden="false" customHeight="false" outlineLevel="0" collapsed="false">
      <c r="A43" s="70" t="str">
        <f aca="false">A4</f>
        <v>Vanguard High Dividends (VYM)</v>
      </c>
      <c r="B43" s="66" t="n">
        <f aca="false">(B30*B4*C4)</f>
        <v>7580.43173128234</v>
      </c>
      <c r="C43" s="66" t="n">
        <f aca="false">B43*$D$4+B43</f>
        <v>8186.86626978492</v>
      </c>
      <c r="D43" s="66" t="n">
        <f aca="false">C43*$D$4+C43</f>
        <v>8841.81557136772</v>
      </c>
      <c r="E43" s="66" t="n">
        <f aca="false">D43*$D$4+D43</f>
        <v>9549.16081707713</v>
      </c>
      <c r="F43" s="66" t="n">
        <f aca="false">E43*$D$4+E43</f>
        <v>10313.0936824433</v>
      </c>
      <c r="G43" s="74"/>
      <c r="H43" s="74"/>
      <c r="I43" s="74"/>
      <c r="J43" s="74"/>
      <c r="K43" s="74"/>
    </row>
    <row r="44" customFormat="false" ht="12.8" hidden="false" customHeight="false" outlineLevel="0" collapsed="false">
      <c r="A44" s="70" t="str">
        <f aca="false">A5</f>
        <v>Vanguard REIT (VNQ)</v>
      </c>
      <c r="B44" s="66" t="n">
        <f aca="false">(B30*B5*C5)</f>
        <v>9141.84956297504</v>
      </c>
      <c r="C44" s="66" t="n">
        <f aca="false">B44*$D$5+B44</f>
        <v>9726.92793500545</v>
      </c>
      <c r="D44" s="66" t="n">
        <f aca="false">C44*$D$5+C44</f>
        <v>10349.4513228458</v>
      </c>
      <c r="E44" s="66" t="n">
        <f aca="false">D44*$D$5+D44</f>
        <v>11011.8162075079</v>
      </c>
      <c r="F44" s="66" t="n">
        <f aca="false">E44*$D$5+E44</f>
        <v>11716.5724447884</v>
      </c>
      <c r="G44" s="74"/>
      <c r="H44" s="74"/>
      <c r="I44" s="74"/>
      <c r="J44" s="74"/>
      <c r="K44" s="74"/>
    </row>
    <row r="45" customFormat="false" ht="12.8" hidden="false" customHeight="false" outlineLevel="0" collapsed="false">
      <c r="A45" s="70" t="str">
        <f aca="false">A6</f>
        <v>iShares High Dividends (HDV)</v>
      </c>
      <c r="B45" s="66" t="n">
        <f aca="false">(B30*B6*C6)</f>
        <v>9368.50699015624</v>
      </c>
      <c r="C45" s="66" t="n">
        <f aca="false">B45*$D$6+B45</f>
        <v>9968.09143752624</v>
      </c>
      <c r="D45" s="66" t="n">
        <f aca="false">C45*$D$6+C45</f>
        <v>10606.0492895279</v>
      </c>
      <c r="E45" s="66" t="n">
        <f aca="false">D45*$D$6+D45</f>
        <v>11284.8364440577</v>
      </c>
      <c r="F45" s="66" t="n">
        <f aca="false">E45*$D$6+E45</f>
        <v>12007.0659764774</v>
      </c>
      <c r="G45" s="74"/>
      <c r="H45" s="74"/>
      <c r="I45" s="74"/>
      <c r="J45" s="74"/>
      <c r="K45" s="74"/>
    </row>
    <row r="46" customFormat="false" ht="12.8" hidden="false" customHeight="false" outlineLevel="0" collapsed="false">
      <c r="A46" s="70" t="str">
        <f aca="false">A7</f>
        <v>iShares Dow Dividends (DVY)</v>
      </c>
      <c r="B46" s="66" t="n">
        <f aca="false">(B30*B7*C7)</f>
        <v>7958.19410991767</v>
      </c>
      <c r="C46" s="66" t="n">
        <f aca="false">B46*$D$6+B46</f>
        <v>8467.5185329524</v>
      </c>
      <c r="D46" s="66" t="n">
        <f aca="false">C46*$D$6+C46</f>
        <v>9009.43971906135</v>
      </c>
      <c r="E46" s="66" t="n">
        <f aca="false">D46*$D$6+D46</f>
        <v>9586.04386108128</v>
      </c>
      <c r="F46" s="66" t="n">
        <f aca="false">E46*$D$6+E46</f>
        <v>10199.5506681905</v>
      </c>
      <c r="G46" s="74"/>
      <c r="H46" s="74"/>
      <c r="I46" s="74"/>
      <c r="J46" s="74"/>
      <c r="K46" s="74"/>
    </row>
    <row r="47" customFormat="false" ht="12.8" hidden="false" customHeight="false" outlineLevel="0" collapsed="false">
      <c r="A47" s="71"/>
      <c r="B47" s="66" t="n">
        <f aca="false">SUM(B43:B46)</f>
        <v>34048.9823943313</v>
      </c>
      <c r="C47" s="66" t="n">
        <f aca="false">SUM(C43:C46)</f>
        <v>36349.404175269</v>
      </c>
      <c r="D47" s="66" t="n">
        <f aca="false">SUM(D43:D46)</f>
        <v>38806.7559028028</v>
      </c>
      <c r="E47" s="66" t="n">
        <f aca="false">SUM(E43:E46)</f>
        <v>41431.8573297241</v>
      </c>
      <c r="F47" s="66" t="n">
        <f aca="false">SUM(F43:F46)</f>
        <v>44236.2827718996</v>
      </c>
      <c r="G47" s="74"/>
      <c r="H47" s="74"/>
      <c r="I47" s="74"/>
      <c r="J47" s="74"/>
      <c r="K47" s="74"/>
    </row>
    <row r="49" customFormat="false" ht="12.8" hidden="false" customHeight="false" outlineLevel="0" collapsed="false">
      <c r="A49" s="38" t="s">
        <v>101</v>
      </c>
      <c r="B49" s="38"/>
      <c r="C49" s="38"/>
    </row>
    <row r="50" customFormat="false" ht="18.55" hidden="false" customHeight="false" outlineLevel="0" collapsed="false">
      <c r="A50" s="59" t="s">
        <v>94</v>
      </c>
      <c r="B50" s="6" t="n">
        <f aca="false">'Пополнение 1 000 000'!N76</f>
        <v>832620.407914146</v>
      </c>
      <c r="C50" s="6"/>
    </row>
    <row r="52" customFormat="false" ht="18.55" hidden="false" customHeight="true" outlineLevel="0" collapsed="false">
      <c r="A52" s="61" t="s">
        <v>95</v>
      </c>
      <c r="B52" s="61" t="s">
        <v>95</v>
      </c>
      <c r="C52" s="61"/>
    </row>
    <row r="53" customFormat="false" ht="12.8" hidden="false" customHeight="true" outlineLevel="0" collapsed="false">
      <c r="A53" s="63" t="s">
        <v>96</v>
      </c>
      <c r="B53" s="32" t="s">
        <v>67</v>
      </c>
      <c r="C53" s="32" t="s">
        <v>97</v>
      </c>
    </row>
    <row r="54" customFormat="false" ht="12.8" hidden="false" customHeight="false" outlineLevel="0" collapsed="false">
      <c r="A54" s="63"/>
      <c r="B54" s="32"/>
      <c r="C54" s="32"/>
    </row>
    <row r="55" customFormat="false" ht="12.8" hidden="false" customHeight="false" outlineLevel="0" collapsed="false">
      <c r="A55" s="14" t="n">
        <v>1</v>
      </c>
      <c r="B55" s="66" t="n">
        <f aca="false">B67*0.87</f>
        <v>24484.0357151234</v>
      </c>
      <c r="C55" s="16" t="n">
        <f aca="false">(B55/12)</f>
        <v>2040.33630959361</v>
      </c>
    </row>
    <row r="56" customFormat="false" ht="12.8" hidden="false" customHeight="false" outlineLevel="0" collapsed="false">
      <c r="A56" s="14" t="n">
        <v>2</v>
      </c>
      <c r="B56" s="66" t="n">
        <f aca="false">C67*0.87</f>
        <v>26138.2293233795</v>
      </c>
      <c r="C56" s="16" t="n">
        <f aca="false">(B56/12)</f>
        <v>2178.18577694829</v>
      </c>
    </row>
    <row r="57" customFormat="false" ht="12.8" hidden="false" customHeight="false" outlineLevel="0" collapsed="false">
      <c r="A57" s="14" t="n">
        <v>3</v>
      </c>
      <c r="B57" s="66" t="n">
        <f aca="false">D67*0.87</f>
        <v>27905.268548363</v>
      </c>
      <c r="C57" s="16" t="n">
        <f aca="false">(B57/12)</f>
        <v>2325.43904569692</v>
      </c>
    </row>
    <row r="58" customFormat="false" ht="12.8" hidden="false" customHeight="false" outlineLevel="0" collapsed="false">
      <c r="A58" s="14" t="n">
        <v>4</v>
      </c>
      <c r="B58" s="66" t="n">
        <f aca="false">E67*0.87</f>
        <v>29792.9336876084</v>
      </c>
      <c r="C58" s="16" t="n">
        <f aca="false">(B58/12)</f>
        <v>2482.74447396737</v>
      </c>
    </row>
    <row r="59" customFormat="false" ht="12.8" hidden="false" customHeight="false" outlineLevel="0" collapsed="false">
      <c r="A59" s="14" t="n">
        <v>5</v>
      </c>
      <c r="B59" s="66" t="n">
        <f aca="false">F67*0.87</f>
        <v>31809.5476319376</v>
      </c>
      <c r="C59" s="16" t="n">
        <f aca="false">(B59/12)</f>
        <v>2650.7956359948</v>
      </c>
    </row>
    <row r="61" customFormat="false" ht="18.55" hidden="false" customHeight="false" outlineLevel="0" collapsed="false">
      <c r="A61" s="4" t="s">
        <v>98</v>
      </c>
      <c r="B61" s="4"/>
      <c r="C61" s="4"/>
      <c r="D61" s="4"/>
      <c r="E61" s="10"/>
      <c r="F61" s="67"/>
    </row>
    <row r="62" customFormat="false" ht="12.8" hidden="false" customHeight="false" outlineLevel="0" collapsed="false">
      <c r="A62" s="68" t="s">
        <v>99</v>
      </c>
      <c r="B62" s="69" t="n">
        <v>1</v>
      </c>
      <c r="C62" s="69" t="n">
        <v>2</v>
      </c>
      <c r="D62" s="69" t="n">
        <v>3</v>
      </c>
      <c r="E62" s="69" t="n">
        <v>4</v>
      </c>
      <c r="F62" s="69" t="n">
        <v>5</v>
      </c>
    </row>
    <row r="63" customFormat="false" ht="12.8" hidden="false" customHeight="false" outlineLevel="0" collapsed="false">
      <c r="A63" s="70" t="str">
        <f aca="false">A4</f>
        <v>Vanguard High Dividends (VYM)</v>
      </c>
      <c r="B63" s="66" t="n">
        <f aca="false">(B50*B4*C4)</f>
        <v>6265.46856955395</v>
      </c>
      <c r="C63" s="66" t="n">
        <f aca="false">B63*$D$4+B63</f>
        <v>6766.70605511826</v>
      </c>
      <c r="D63" s="66" t="n">
        <f aca="false">C63*$D$4+C63</f>
        <v>7308.04253952773</v>
      </c>
      <c r="E63" s="66" t="n">
        <f aca="false">D63*$D$4+D63</f>
        <v>7892.68594268994</v>
      </c>
      <c r="F63" s="66" t="n">
        <f aca="false">E63*$D$4+E63</f>
        <v>8524.10081810514</v>
      </c>
    </row>
    <row r="64" customFormat="false" ht="12.8" hidden="false" customHeight="false" outlineLevel="0" collapsed="false">
      <c r="A64" s="70" t="str">
        <f aca="false">A5</f>
        <v>Vanguard REIT (VNQ)</v>
      </c>
      <c r="B64" s="66" t="n">
        <f aca="false">(B50*B5*C5)</f>
        <v>7556.03020182087</v>
      </c>
      <c r="C64" s="66" t="n">
        <f aca="false">B64*$D$5+B64</f>
        <v>8039.61613473741</v>
      </c>
      <c r="D64" s="66" t="n">
        <f aca="false">C64*$D$5+C64</f>
        <v>8554.1515673606</v>
      </c>
      <c r="E64" s="66" t="n">
        <f aca="false">D64*$D$5+D64</f>
        <v>9101.61726767168</v>
      </c>
      <c r="F64" s="66" t="n">
        <f aca="false">E64*$D$5+E64</f>
        <v>9684.12077280267</v>
      </c>
    </row>
    <row r="65" customFormat="false" ht="12.8" hidden="false" customHeight="false" outlineLevel="0" collapsed="false">
      <c r="A65" s="70" t="str">
        <f aca="false">A6</f>
        <v>iShares High Dividends (HDV)</v>
      </c>
      <c r="B65" s="66" t="n">
        <f aca="false">(B50*B6*C6)</f>
        <v>7743.36979360156</v>
      </c>
      <c r="C65" s="66" t="n">
        <f aca="false">B65*$D$6+B65</f>
        <v>8238.94546039206</v>
      </c>
      <c r="D65" s="66" t="n">
        <f aca="false">C65*$D$6+C65</f>
        <v>8766.23796985715</v>
      </c>
      <c r="E65" s="66" t="n">
        <f aca="false">D65*$D$6+D65</f>
        <v>9327.27719992801</v>
      </c>
      <c r="F65" s="66" t="n">
        <f aca="false">E65*$D$6+E65</f>
        <v>9924.2229407234</v>
      </c>
    </row>
    <row r="66" customFormat="false" ht="12.8" hidden="false" customHeight="false" outlineLevel="0" collapsed="false">
      <c r="A66" s="70" t="str">
        <f aca="false">A7</f>
        <v>iShares Dow Dividends (DVY)</v>
      </c>
      <c r="B66" s="66" t="n">
        <f aca="false">(B50*B7*C7)</f>
        <v>6577.70122252175</v>
      </c>
      <c r="C66" s="66" t="n">
        <f aca="false">B66*$D$6+B66</f>
        <v>6998.67410076315</v>
      </c>
      <c r="D66" s="66" t="n">
        <f aca="false">C66*$D$6+C66</f>
        <v>7446.58924321199</v>
      </c>
      <c r="E66" s="66" t="n">
        <f aca="false">D66*$D$6+D66</f>
        <v>7923.17095477755</v>
      </c>
      <c r="F66" s="66" t="n">
        <f aca="false">E66*$D$6+E66</f>
        <v>8430.25389588332</v>
      </c>
    </row>
    <row r="67" customFormat="false" ht="12.8" hidden="false" customHeight="false" outlineLevel="0" collapsed="false">
      <c r="A67" s="71"/>
      <c r="B67" s="66" t="n">
        <f aca="false">SUM(B63:B66)</f>
        <v>28142.5697874981</v>
      </c>
      <c r="C67" s="66" t="n">
        <f aca="false">SUM(C63:C66)</f>
        <v>30043.9417510109</v>
      </c>
      <c r="D67" s="66" t="n">
        <f aca="false">SUM(D63:D66)</f>
        <v>32075.0213199575</v>
      </c>
      <c r="E67" s="66" t="n">
        <f aca="false">SUM(E63:E66)</f>
        <v>34244.7513650672</v>
      </c>
      <c r="F67" s="66" t="n">
        <f aca="false">SUM(F63:F66)</f>
        <v>36562.6984275145</v>
      </c>
    </row>
  </sheetData>
  <mergeCells count="27">
    <mergeCell ref="A1:A3"/>
    <mergeCell ref="B1:B3"/>
    <mergeCell ref="C1:D1"/>
    <mergeCell ref="H1:I2"/>
    <mergeCell ref="C2:C3"/>
    <mergeCell ref="D2:D3"/>
    <mergeCell ref="A9:C9"/>
    <mergeCell ref="B10:C10"/>
    <mergeCell ref="A12:C12"/>
    <mergeCell ref="A13:A14"/>
    <mergeCell ref="B13:B14"/>
    <mergeCell ref="C13:C14"/>
    <mergeCell ref="A21:D21"/>
    <mergeCell ref="A29:C29"/>
    <mergeCell ref="B30:C30"/>
    <mergeCell ref="A32:C32"/>
    <mergeCell ref="A33:A34"/>
    <mergeCell ref="B33:B34"/>
    <mergeCell ref="C33:C34"/>
    <mergeCell ref="A41:D41"/>
    <mergeCell ref="A49:C49"/>
    <mergeCell ref="B50:C50"/>
    <mergeCell ref="A52:C52"/>
    <mergeCell ref="A53:A54"/>
    <mergeCell ref="B53:B54"/>
    <mergeCell ref="C53:C54"/>
    <mergeCell ref="A61:D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2017-10-29T15:22:05Z</dcterms:created>
  <dc:creator/>
  <dc:description/>
  <dc:language>ru-RU</dc:language>
  <cp:lastModifiedBy/>
  <dcterms:modified xsi:type="dcterms:W3CDTF">2018-06-24T18:08:00Z</dcterms:modified>
  <cp:revision>259</cp:revision>
  <dc:subject/>
  <dc:title/>
</cp:coreProperties>
</file>