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!AntonD-X\!Myanmar-Мьянма!\Finance\Financial report 1-06-15 - 31-05-16\"/>
    </mc:Choice>
  </mc:AlternateContent>
  <bookViews>
    <workbookView xWindow="120" yWindow="120" windowWidth="15600" windowHeight="7680"/>
  </bookViews>
  <sheets>
    <sheet name="Control Sheet" sheetId="19" r:id="rId1"/>
    <sheet name="Acc code" sheetId="1" r:id="rId2"/>
    <sheet name="Cash Book" sheetId="13" r:id="rId3"/>
    <sheet name="Main Ledger" sheetId="14" r:id="rId4"/>
    <sheet name="Petty-Cash Book" sheetId="2" state="hidden" r:id="rId5"/>
    <sheet name="Ledger" sheetId="3" state="hidden" r:id="rId6"/>
    <sheet name="Cash Book-USD" sheetId="9" r:id="rId7"/>
    <sheet name="Ledger-USD" sheetId="10" r:id="rId8"/>
    <sheet name="Cash Trial" sheetId="4" r:id="rId9"/>
    <sheet name="JV-MMK" sheetId="5" r:id="rId10"/>
    <sheet name="JV-USD" sheetId="12" r:id="rId11"/>
    <sheet name="Trial balance" sheetId="6" r:id="rId12"/>
    <sheet name="IS For Jemery" sheetId="18" state="hidden" r:id="rId13"/>
    <sheet name="Income Statement" sheetId="7" r:id="rId14"/>
    <sheet name="B-S" sheetId="8" r:id="rId15"/>
    <sheet name="FA-Sch" sheetId="15" state="hidden" r:id="rId16"/>
  </sheets>
  <externalReferences>
    <externalReference r:id="rId17"/>
    <externalReference r:id="rId18"/>
  </externalReferences>
  <definedNames>
    <definedName name="_xlnm._FilterDatabase" localSheetId="14" hidden="1">'B-S'!$A$3:$H$59</definedName>
    <definedName name="_xlnm._FilterDatabase" localSheetId="2" hidden="1">'Cash Book'!$C$4:$H$144</definedName>
    <definedName name="_xlnm._FilterDatabase" localSheetId="6" hidden="1">'Cash Book-USD'!$C$4:$H$74</definedName>
    <definedName name="_xlnm._FilterDatabase" localSheetId="8" hidden="1">'Cash Trial'!$A$3:$I$76</definedName>
    <definedName name="_xlnm._FilterDatabase" localSheetId="13" hidden="1">'Income Statement'!$A$3:$E$51</definedName>
    <definedName name="_xlnm._FilterDatabase" localSheetId="12" hidden="1">'IS For Jemery'!$A$9:$D$44</definedName>
    <definedName name="_xlnm._FilterDatabase" localSheetId="9" hidden="1">'JV-MMK'!$C$4:$G$216</definedName>
    <definedName name="_xlnm._FilterDatabase" localSheetId="10" hidden="1">'JV-USD'!$C$4:$G$216</definedName>
    <definedName name="_xlnm._FilterDatabase" localSheetId="5" hidden="1">Ledger!$A$4:$G$320</definedName>
    <definedName name="_xlnm._FilterDatabase" localSheetId="7" hidden="1">'Ledger-USD'!$A$4:$G$71</definedName>
    <definedName name="_xlnm._FilterDatabase" localSheetId="3" hidden="1">'Main Ledger'!$A$4:$G$144</definedName>
    <definedName name="_xlnm._FilterDatabase" localSheetId="4" hidden="1">'Petty-Cash Book'!$C$4:$H$326</definedName>
    <definedName name="_xlnm._FilterDatabase" localSheetId="11" hidden="1">'Trial balance'!$A$3:$I$76</definedName>
    <definedName name="AccountDescCol">'[1]Account No.s'!$C$2:$C$204</definedName>
    <definedName name="AccountNoCol">'[1]Account No.s'!$B$2:$B$204</definedName>
    <definedName name="DateCorrection">'[2]Regular loan repayment schedule'!$V$8</definedName>
    <definedName name="MandatorySavingPercent">[2]Settings!$B$17</definedName>
    <definedName name="MonthlyLoanRate">[2]Settings!$B$13</definedName>
    <definedName name="MonthlyManSavingsRate">[2]Settings!$C$10</definedName>
    <definedName name="MonthlyVolSavingsRate">[2]Settings!$C$9</definedName>
    <definedName name="PeriodEndDate">[2]Settings!$C$6</definedName>
    <definedName name="PeriodStartDate">[2]Settings!$C$5</definedName>
    <definedName name="_xlnm.Print_Titles" localSheetId="14">'B-S'!$3:$3</definedName>
    <definedName name="_xlnm.Print_Titles" localSheetId="2">'Cash Book'!$4:$4</definedName>
    <definedName name="_xlnm.Print_Titles" localSheetId="6">'Cash Book-USD'!$4:$4</definedName>
    <definedName name="_xlnm.Print_Titles" localSheetId="8">'Cash Trial'!$3:$4</definedName>
    <definedName name="_xlnm.Print_Titles" localSheetId="15">'FA-Sch'!$3:$3</definedName>
    <definedName name="_xlnm.Print_Titles" localSheetId="9">'JV-MMK'!$4:$4</definedName>
    <definedName name="_xlnm.Print_Titles" localSheetId="10">'JV-USD'!$4:$4</definedName>
    <definedName name="_xlnm.Print_Titles" localSheetId="5">Ledger!$4:$4</definedName>
    <definedName name="_xlnm.Print_Titles" localSheetId="7">'Ledger-USD'!$4:$4</definedName>
    <definedName name="_xlnm.Print_Titles" localSheetId="3">'Main Ledger'!$4:$4</definedName>
    <definedName name="_xlnm.Print_Titles" localSheetId="4">'Petty-Cash Book'!$4:$4</definedName>
    <definedName name="_xlnm.Print_Titles" localSheetId="11">'Trial balance'!$3:$4</definedName>
    <definedName name="_xlnm.Print_Area" localSheetId="14">'B-S'!$A$1:$G$58</definedName>
    <definedName name="_xlnm.Print_Area" localSheetId="13">'Income Statement'!$A$1:$D$50</definedName>
  </definedNames>
  <calcPr calcId="171027" calcMode="manual"/>
</workbook>
</file>

<file path=xl/calcChain.xml><?xml version="1.0" encoding="utf-8"?>
<calcChain xmlns="http://schemas.openxmlformats.org/spreadsheetml/2006/main">
  <c r="G140" i="14" l="1"/>
  <c r="F140" i="14"/>
  <c r="E140" i="14"/>
  <c r="C140" i="14"/>
  <c r="B140" i="14"/>
  <c r="A140" i="14"/>
  <c r="G139" i="14"/>
  <c r="F139" i="14"/>
  <c r="E139" i="14"/>
  <c r="C139" i="14"/>
  <c r="B139" i="14"/>
  <c r="A139" i="14"/>
  <c r="G138" i="14"/>
  <c r="F138" i="14"/>
  <c r="E138" i="14"/>
  <c r="C138" i="14"/>
  <c r="B138" i="14"/>
  <c r="A138" i="14"/>
  <c r="G137" i="14"/>
  <c r="F137" i="14"/>
  <c r="E137" i="14"/>
  <c r="C137" i="14"/>
  <c r="B137" i="14"/>
  <c r="A137" i="14"/>
  <c r="G136" i="14"/>
  <c r="F136" i="14"/>
  <c r="E136" i="14"/>
  <c r="C136" i="14"/>
  <c r="B136" i="14"/>
  <c r="A136" i="14"/>
  <c r="G135" i="14"/>
  <c r="F135" i="14"/>
  <c r="E135" i="14"/>
  <c r="C135" i="14"/>
  <c r="B135" i="14"/>
  <c r="A135" i="14"/>
  <c r="G134" i="14"/>
  <c r="F134" i="14"/>
  <c r="E134" i="14"/>
  <c r="C134" i="14"/>
  <c r="B134" i="14"/>
  <c r="A134" i="14"/>
  <c r="G133" i="14"/>
  <c r="F133" i="14"/>
  <c r="E133" i="14"/>
  <c r="C133" i="14"/>
  <c r="B133" i="14"/>
  <c r="A133" i="14"/>
  <c r="G132" i="14"/>
  <c r="F132" i="14"/>
  <c r="E132" i="14"/>
  <c r="C132" i="14"/>
  <c r="B132" i="14"/>
  <c r="A132" i="14"/>
  <c r="G131" i="14"/>
  <c r="F131" i="14"/>
  <c r="E131" i="14"/>
  <c r="C131" i="14"/>
  <c r="B131" i="14"/>
  <c r="A131" i="14"/>
  <c r="G130" i="14"/>
  <c r="F130" i="14"/>
  <c r="E130" i="14"/>
  <c r="C130" i="14"/>
  <c r="B130" i="14"/>
  <c r="A130" i="14"/>
  <c r="G129" i="14"/>
  <c r="F129" i="14"/>
  <c r="E129" i="14"/>
  <c r="C129" i="14"/>
  <c r="B129" i="14"/>
  <c r="A129" i="14"/>
  <c r="G128" i="14"/>
  <c r="F128" i="14"/>
  <c r="E128" i="14"/>
  <c r="C128" i="14"/>
  <c r="B128" i="14"/>
  <c r="A128" i="14"/>
  <c r="G127" i="14"/>
  <c r="F127" i="14"/>
  <c r="E127" i="14"/>
  <c r="C127" i="14"/>
  <c r="B127" i="14"/>
  <c r="A127" i="14"/>
  <c r="G126" i="14"/>
  <c r="F126" i="14"/>
  <c r="E126" i="14"/>
  <c r="C126" i="14"/>
  <c r="B126" i="14"/>
  <c r="A126" i="14"/>
  <c r="G125" i="14"/>
  <c r="F125" i="14"/>
  <c r="E125" i="14"/>
  <c r="C125" i="14"/>
  <c r="B125" i="14"/>
  <c r="A125" i="14"/>
  <c r="G124" i="14"/>
  <c r="F124" i="14"/>
  <c r="E124" i="14"/>
  <c r="C124" i="14"/>
  <c r="B124" i="14"/>
  <c r="A124" i="14"/>
  <c r="G123" i="14"/>
  <c r="F123" i="14"/>
  <c r="E123" i="14"/>
  <c r="C123" i="14"/>
  <c r="B123" i="14"/>
  <c r="A123" i="14"/>
  <c r="G122" i="14"/>
  <c r="F122" i="14"/>
  <c r="E122" i="14"/>
  <c r="C122" i="14"/>
  <c r="B122" i="14"/>
  <c r="A122" i="14"/>
  <c r="G121" i="14"/>
  <c r="F121" i="14"/>
  <c r="E121" i="14"/>
  <c r="C121" i="14"/>
  <c r="B121" i="14"/>
  <c r="A121" i="14"/>
  <c r="G120" i="14"/>
  <c r="F120" i="14"/>
  <c r="E120" i="14"/>
  <c r="C120" i="14"/>
  <c r="B120" i="14"/>
  <c r="A120" i="14"/>
  <c r="G119" i="14"/>
  <c r="F119" i="14"/>
  <c r="E119" i="14"/>
  <c r="C119" i="14"/>
  <c r="B119" i="14"/>
  <c r="A119" i="14"/>
  <c r="G118" i="14"/>
  <c r="F118" i="14"/>
  <c r="E118" i="14"/>
  <c r="C118" i="14"/>
  <c r="B118" i="14"/>
  <c r="A118" i="14"/>
  <c r="G117" i="14"/>
  <c r="F117" i="14"/>
  <c r="E117" i="14"/>
  <c r="C117" i="14"/>
  <c r="B117" i="14"/>
  <c r="A117" i="14"/>
  <c r="G116" i="14"/>
  <c r="F116" i="14"/>
  <c r="E116" i="14"/>
  <c r="C116" i="14"/>
  <c r="B116" i="14"/>
  <c r="A116" i="14"/>
  <c r="G115" i="14"/>
  <c r="F115" i="14"/>
  <c r="E115" i="14"/>
  <c r="C115" i="14"/>
  <c r="B115" i="14"/>
  <c r="A115" i="14"/>
  <c r="G114" i="14"/>
  <c r="F114" i="14"/>
  <c r="E114" i="14"/>
  <c r="C114" i="14"/>
  <c r="B114" i="14"/>
  <c r="A114" i="14"/>
  <c r="D142" i="13"/>
  <c r="D140" i="14" s="1"/>
  <c r="D141" i="13"/>
  <c r="D139" i="14" s="1"/>
  <c r="D140" i="13"/>
  <c r="D138" i="14" s="1"/>
  <c r="D139" i="13"/>
  <c r="D137" i="14" s="1"/>
  <c r="D138" i="13"/>
  <c r="D136" i="14" s="1"/>
  <c r="D137" i="13"/>
  <c r="D135" i="14" s="1"/>
  <c r="D136" i="13"/>
  <c r="D134" i="14" s="1"/>
  <c r="D135" i="13"/>
  <c r="D133" i="14" s="1"/>
  <c r="D134" i="13"/>
  <c r="D132" i="14" s="1"/>
  <c r="D133" i="13"/>
  <c r="D131" i="14" s="1"/>
  <c r="D132" i="13"/>
  <c r="D130" i="14" s="1"/>
  <c r="D131" i="13"/>
  <c r="D129" i="14" s="1"/>
  <c r="D130" i="13"/>
  <c r="D128" i="14" s="1"/>
  <c r="D129" i="13"/>
  <c r="D127" i="14" s="1"/>
  <c r="D128" i="13"/>
  <c r="D126" i="14" s="1"/>
  <c r="D127" i="13"/>
  <c r="D125" i="14" s="1"/>
  <c r="D126" i="13"/>
  <c r="D124" i="14" s="1"/>
  <c r="D125" i="13"/>
  <c r="D123" i="14" s="1"/>
  <c r="D124" i="13"/>
  <c r="D122" i="14" s="1"/>
  <c r="D123" i="13"/>
  <c r="D121" i="14" s="1"/>
  <c r="D122" i="13"/>
  <c r="D120" i="14" s="1"/>
  <c r="D121" i="13"/>
  <c r="D119" i="14" s="1"/>
  <c r="D120" i="13"/>
  <c r="D118" i="14" s="1"/>
  <c r="D119" i="13"/>
  <c r="D117" i="14" s="1"/>
  <c r="D118" i="13"/>
  <c r="D116" i="14" s="1"/>
  <c r="D117" i="13"/>
  <c r="D115" i="14" s="1"/>
  <c r="D116" i="13"/>
  <c r="D114" i="14" s="1"/>
  <c r="F109" i="13"/>
  <c r="F108" i="13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F101" i="13"/>
  <c r="F67" i="5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F57" i="5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F34" i="13"/>
  <c r="D34" i="13"/>
  <c r="D33" i="13"/>
  <c r="F32" i="13"/>
  <c r="D32" i="13"/>
  <c r="F31" i="13"/>
  <c r="D31" i="13"/>
  <c r="F30" i="13"/>
  <c r="D30" i="13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52" i="5" l="1"/>
  <c r="D51" i="5"/>
  <c r="D50" i="5"/>
  <c r="D49" i="5"/>
  <c r="D48" i="5"/>
  <c r="D47" i="5"/>
  <c r="D46" i="5"/>
  <c r="D45" i="5"/>
  <c r="F37" i="5"/>
  <c r="D75" i="6"/>
  <c r="D70" i="12" l="1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F29" i="13"/>
  <c r="F28" i="13"/>
  <c r="D15" i="9"/>
  <c r="D14" i="9"/>
  <c r="D13" i="9"/>
  <c r="D12" i="9"/>
  <c r="D11" i="9"/>
  <c r="F27" i="13"/>
  <c r="G14" i="5" l="1"/>
  <c r="G20" i="5"/>
  <c r="F19" i="5"/>
  <c r="G18" i="5"/>
  <c r="F17" i="5"/>
  <c r="G16" i="5"/>
  <c r="F15" i="5"/>
  <c r="D10" i="9"/>
  <c r="D9" i="9"/>
  <c r="G12" i="5"/>
  <c r="F11" i="5"/>
  <c r="G10" i="5"/>
  <c r="F9" i="5"/>
  <c r="G8" i="5"/>
  <c r="F7" i="5"/>
  <c r="F5" i="5"/>
  <c r="F6" i="13" l="1"/>
  <c r="A1" i="2" l="1"/>
  <c r="A1" i="9" s="1"/>
  <c r="A1" i="14"/>
  <c r="A1" i="3" l="1"/>
  <c r="A1" i="4"/>
  <c r="A1" i="10"/>
  <c r="A58" i="8"/>
  <c r="B59" i="8"/>
  <c r="B51" i="7"/>
  <c r="A50" i="7"/>
  <c r="A75" i="6"/>
  <c r="B84" i="4"/>
  <c r="D12" i="15"/>
  <c r="D35" i="15"/>
  <c r="D34" i="15"/>
  <c r="D33" i="15"/>
  <c r="F35" i="15"/>
  <c r="A1" i="6" l="1"/>
  <c r="A1" i="7"/>
  <c r="A1" i="8" s="1"/>
  <c r="A1" i="5"/>
  <c r="F34" i="15"/>
  <c r="F33" i="15"/>
  <c r="F32" i="15"/>
  <c r="F28" i="15"/>
  <c r="F27" i="15"/>
  <c r="F26" i="15"/>
  <c r="F22" i="15"/>
  <c r="F21" i="15"/>
  <c r="F20" i="15"/>
  <c r="F19" i="15"/>
  <c r="F18" i="15"/>
  <c r="F17" i="15"/>
  <c r="F16" i="15"/>
  <c r="F12" i="15"/>
  <c r="F11" i="15"/>
  <c r="F10" i="15"/>
  <c r="F9" i="15"/>
  <c r="F8" i="15"/>
  <c r="F7" i="15"/>
  <c r="F6" i="15"/>
  <c r="F5" i="15"/>
  <c r="A1" i="12" l="1"/>
  <c r="A1" i="15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6" i="13" l="1"/>
  <c r="D29" i="13"/>
  <c r="D28" i="13"/>
  <c r="D27" i="13"/>
  <c r="D26" i="13"/>
  <c r="D25" i="13"/>
  <c r="D24" i="13"/>
  <c r="D23" i="13"/>
  <c r="D22" i="13"/>
  <c r="D21" i="13"/>
  <c r="D20" i="13"/>
  <c r="D16" i="13"/>
  <c r="D19" i="13"/>
  <c r="D18" i="13"/>
  <c r="D17" i="13"/>
  <c r="D15" i="13"/>
  <c r="D14" i="13"/>
  <c r="D13" i="13"/>
  <c r="D12" i="13"/>
  <c r="D11" i="13"/>
  <c r="D10" i="13"/>
  <c r="D9" i="13"/>
  <c r="D8" i="13"/>
  <c r="D7" i="13"/>
  <c r="J23" i="8"/>
  <c r="J22" i="8"/>
  <c r="J21" i="8"/>
  <c r="I21" i="8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8" i="2"/>
  <c r="D7" i="2"/>
  <c r="D6" i="2"/>
  <c r="G35" i="15"/>
  <c r="H35" i="15" s="1"/>
  <c r="G34" i="15"/>
  <c r="G33" i="15"/>
  <c r="G32" i="15"/>
  <c r="G28" i="15"/>
  <c r="G27" i="15"/>
  <c r="G26" i="15"/>
  <c r="G22" i="15"/>
  <c r="G21" i="15"/>
  <c r="G20" i="15"/>
  <c r="G19" i="15"/>
  <c r="G18" i="15"/>
  <c r="G17" i="15"/>
  <c r="G16" i="15"/>
  <c r="G12" i="15"/>
  <c r="G11" i="15"/>
  <c r="G10" i="15"/>
  <c r="G9" i="15"/>
  <c r="G8" i="15"/>
  <c r="G7" i="15"/>
  <c r="G6" i="15"/>
  <c r="G5" i="15"/>
  <c r="D8" i="9"/>
  <c r="D12" i="12" l="1"/>
  <c r="D11" i="12"/>
  <c r="D10" i="12"/>
  <c r="D9" i="12"/>
  <c r="D8" i="12"/>
  <c r="D7" i="12"/>
  <c r="D6" i="12"/>
  <c r="D5" i="12"/>
  <c r="H6" i="9" l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A6" i="3" l="1"/>
  <c r="B6" i="3"/>
  <c r="C6" i="3"/>
  <c r="E6" i="3"/>
  <c r="F6" i="3"/>
  <c r="G6" i="3"/>
  <c r="A7" i="3"/>
  <c r="B7" i="3"/>
  <c r="C7" i="3"/>
  <c r="E7" i="3"/>
  <c r="F7" i="3"/>
  <c r="G7" i="3"/>
  <c r="A8" i="3"/>
  <c r="B8" i="3"/>
  <c r="C8" i="3"/>
  <c r="E8" i="3"/>
  <c r="F8" i="3"/>
  <c r="G8" i="3"/>
  <c r="A9" i="3"/>
  <c r="B9" i="3"/>
  <c r="C9" i="3"/>
  <c r="E9" i="3"/>
  <c r="F9" i="3"/>
  <c r="G9" i="3"/>
  <c r="A10" i="3"/>
  <c r="B10" i="3"/>
  <c r="C10" i="3"/>
  <c r="E10" i="3"/>
  <c r="F10" i="3"/>
  <c r="G10" i="3"/>
  <c r="A11" i="3"/>
  <c r="B11" i="3"/>
  <c r="C11" i="3"/>
  <c r="E11" i="3"/>
  <c r="F11" i="3"/>
  <c r="G11" i="3"/>
  <c r="A12" i="3"/>
  <c r="B12" i="3"/>
  <c r="C12" i="3"/>
  <c r="E12" i="3"/>
  <c r="F12" i="3"/>
  <c r="G12" i="3"/>
  <c r="A13" i="3"/>
  <c r="B13" i="3"/>
  <c r="C13" i="3"/>
  <c r="E13" i="3"/>
  <c r="F13" i="3"/>
  <c r="G13" i="3"/>
  <c r="A14" i="3"/>
  <c r="B14" i="3"/>
  <c r="C14" i="3"/>
  <c r="E14" i="3"/>
  <c r="F14" i="3"/>
  <c r="G14" i="3"/>
  <c r="A15" i="3"/>
  <c r="B15" i="3"/>
  <c r="C15" i="3"/>
  <c r="E15" i="3"/>
  <c r="F15" i="3"/>
  <c r="G15" i="3"/>
  <c r="A16" i="3"/>
  <c r="B16" i="3"/>
  <c r="C16" i="3"/>
  <c r="E16" i="3"/>
  <c r="F16" i="3"/>
  <c r="G16" i="3"/>
  <c r="A17" i="3"/>
  <c r="B17" i="3"/>
  <c r="C17" i="3"/>
  <c r="E17" i="3"/>
  <c r="F17" i="3"/>
  <c r="G17" i="3"/>
  <c r="A18" i="3"/>
  <c r="B18" i="3"/>
  <c r="C18" i="3"/>
  <c r="E18" i="3"/>
  <c r="F18" i="3"/>
  <c r="G18" i="3"/>
  <c r="A19" i="3"/>
  <c r="B19" i="3"/>
  <c r="C19" i="3"/>
  <c r="E19" i="3"/>
  <c r="F19" i="3"/>
  <c r="G19" i="3"/>
  <c r="A20" i="3"/>
  <c r="B20" i="3"/>
  <c r="C20" i="3"/>
  <c r="E20" i="3"/>
  <c r="F20" i="3"/>
  <c r="G20" i="3"/>
  <c r="A21" i="3"/>
  <c r="B21" i="3"/>
  <c r="C21" i="3"/>
  <c r="E21" i="3"/>
  <c r="F21" i="3"/>
  <c r="G21" i="3"/>
  <c r="A22" i="3"/>
  <c r="B22" i="3"/>
  <c r="C22" i="3"/>
  <c r="E22" i="3"/>
  <c r="F22" i="3"/>
  <c r="G22" i="3"/>
  <c r="A23" i="3"/>
  <c r="B23" i="3"/>
  <c r="C23" i="3"/>
  <c r="E23" i="3"/>
  <c r="F23" i="3"/>
  <c r="G23" i="3"/>
  <c r="A24" i="3"/>
  <c r="B24" i="3"/>
  <c r="C24" i="3"/>
  <c r="E24" i="3"/>
  <c r="F24" i="3"/>
  <c r="G24" i="3"/>
  <c r="A25" i="3"/>
  <c r="B25" i="3"/>
  <c r="C25" i="3"/>
  <c r="E25" i="3"/>
  <c r="F25" i="3"/>
  <c r="G25" i="3"/>
  <c r="A26" i="3"/>
  <c r="B26" i="3"/>
  <c r="C26" i="3"/>
  <c r="E26" i="3"/>
  <c r="F26" i="3"/>
  <c r="G26" i="3"/>
  <c r="A27" i="3"/>
  <c r="B27" i="3"/>
  <c r="C27" i="3"/>
  <c r="E27" i="3"/>
  <c r="F27" i="3"/>
  <c r="G27" i="3"/>
  <c r="A28" i="3"/>
  <c r="B28" i="3"/>
  <c r="C28" i="3"/>
  <c r="E28" i="3"/>
  <c r="F28" i="3"/>
  <c r="G28" i="3"/>
  <c r="A29" i="3"/>
  <c r="B29" i="3"/>
  <c r="C29" i="3"/>
  <c r="E29" i="3"/>
  <c r="F29" i="3"/>
  <c r="G29" i="3"/>
  <c r="A30" i="3"/>
  <c r="B30" i="3"/>
  <c r="C30" i="3"/>
  <c r="E30" i="3"/>
  <c r="F30" i="3"/>
  <c r="G30" i="3"/>
  <c r="A31" i="3"/>
  <c r="B31" i="3"/>
  <c r="C31" i="3"/>
  <c r="E31" i="3"/>
  <c r="F31" i="3"/>
  <c r="G31" i="3"/>
  <c r="A32" i="3"/>
  <c r="B32" i="3"/>
  <c r="C32" i="3"/>
  <c r="E32" i="3"/>
  <c r="F32" i="3"/>
  <c r="G32" i="3"/>
  <c r="A33" i="3"/>
  <c r="B33" i="3"/>
  <c r="C33" i="3"/>
  <c r="E33" i="3"/>
  <c r="F33" i="3"/>
  <c r="G33" i="3"/>
  <c r="A34" i="3"/>
  <c r="B34" i="3"/>
  <c r="C34" i="3"/>
  <c r="E34" i="3"/>
  <c r="F34" i="3"/>
  <c r="G34" i="3"/>
  <c r="A35" i="3"/>
  <c r="B35" i="3"/>
  <c r="C35" i="3"/>
  <c r="E35" i="3"/>
  <c r="F35" i="3"/>
  <c r="G35" i="3"/>
  <c r="A36" i="3"/>
  <c r="B36" i="3"/>
  <c r="C36" i="3"/>
  <c r="E36" i="3"/>
  <c r="F36" i="3"/>
  <c r="G36" i="3"/>
  <c r="A37" i="3"/>
  <c r="B37" i="3"/>
  <c r="C37" i="3"/>
  <c r="E37" i="3"/>
  <c r="F37" i="3"/>
  <c r="G37" i="3"/>
  <c r="A38" i="3"/>
  <c r="B38" i="3"/>
  <c r="C38" i="3"/>
  <c r="E38" i="3"/>
  <c r="F38" i="3"/>
  <c r="G38" i="3"/>
  <c r="A39" i="3"/>
  <c r="B39" i="3"/>
  <c r="C39" i="3"/>
  <c r="E39" i="3"/>
  <c r="F39" i="3"/>
  <c r="G39" i="3"/>
  <c r="A40" i="3"/>
  <c r="B40" i="3"/>
  <c r="C40" i="3"/>
  <c r="E40" i="3"/>
  <c r="F40" i="3"/>
  <c r="G40" i="3"/>
  <c r="A41" i="3"/>
  <c r="B41" i="3"/>
  <c r="C41" i="3"/>
  <c r="E41" i="3"/>
  <c r="F41" i="3"/>
  <c r="G41" i="3"/>
  <c r="A42" i="3"/>
  <c r="B42" i="3"/>
  <c r="C42" i="3"/>
  <c r="E42" i="3"/>
  <c r="F42" i="3"/>
  <c r="G42" i="3"/>
  <c r="A43" i="3"/>
  <c r="B43" i="3"/>
  <c r="C43" i="3"/>
  <c r="E43" i="3"/>
  <c r="F43" i="3"/>
  <c r="G43" i="3"/>
  <c r="A44" i="3"/>
  <c r="B44" i="3"/>
  <c r="C44" i="3"/>
  <c r="E44" i="3"/>
  <c r="F44" i="3"/>
  <c r="G44" i="3"/>
  <c r="A45" i="3"/>
  <c r="B45" i="3"/>
  <c r="C45" i="3"/>
  <c r="E45" i="3"/>
  <c r="F45" i="3"/>
  <c r="G45" i="3"/>
  <c r="A46" i="3"/>
  <c r="B46" i="3"/>
  <c r="C46" i="3"/>
  <c r="E46" i="3"/>
  <c r="F46" i="3"/>
  <c r="G46" i="3"/>
  <c r="A47" i="3"/>
  <c r="B47" i="3"/>
  <c r="C47" i="3"/>
  <c r="E47" i="3"/>
  <c r="F47" i="3"/>
  <c r="G47" i="3"/>
  <c r="A48" i="3"/>
  <c r="B48" i="3"/>
  <c r="C48" i="3"/>
  <c r="E48" i="3"/>
  <c r="F48" i="3"/>
  <c r="G48" i="3"/>
  <c r="A49" i="3"/>
  <c r="B49" i="3"/>
  <c r="C49" i="3"/>
  <c r="E49" i="3"/>
  <c r="F49" i="3"/>
  <c r="G49" i="3"/>
  <c r="A50" i="3"/>
  <c r="B50" i="3"/>
  <c r="C50" i="3"/>
  <c r="E50" i="3"/>
  <c r="F50" i="3"/>
  <c r="G50" i="3"/>
  <c r="A51" i="3"/>
  <c r="B51" i="3"/>
  <c r="C51" i="3"/>
  <c r="E51" i="3"/>
  <c r="F51" i="3"/>
  <c r="G51" i="3"/>
  <c r="A52" i="3"/>
  <c r="B52" i="3"/>
  <c r="C52" i="3"/>
  <c r="E52" i="3"/>
  <c r="F52" i="3"/>
  <c r="G52" i="3"/>
  <c r="A53" i="3"/>
  <c r="B53" i="3"/>
  <c r="C53" i="3"/>
  <c r="E53" i="3"/>
  <c r="F53" i="3"/>
  <c r="G53" i="3"/>
  <c r="A54" i="3"/>
  <c r="B54" i="3"/>
  <c r="C54" i="3"/>
  <c r="E54" i="3"/>
  <c r="F54" i="3"/>
  <c r="G54" i="3"/>
  <c r="A55" i="3"/>
  <c r="B55" i="3"/>
  <c r="C55" i="3"/>
  <c r="E55" i="3"/>
  <c r="F55" i="3"/>
  <c r="G55" i="3"/>
  <c r="A56" i="3"/>
  <c r="B56" i="3"/>
  <c r="C56" i="3"/>
  <c r="E56" i="3"/>
  <c r="F56" i="3"/>
  <c r="G56" i="3"/>
  <c r="A57" i="3"/>
  <c r="B57" i="3"/>
  <c r="C57" i="3"/>
  <c r="E57" i="3"/>
  <c r="F57" i="3"/>
  <c r="G57" i="3"/>
  <c r="A58" i="3"/>
  <c r="B58" i="3"/>
  <c r="C58" i="3"/>
  <c r="E58" i="3"/>
  <c r="F58" i="3"/>
  <c r="G58" i="3"/>
  <c r="A59" i="3"/>
  <c r="B59" i="3"/>
  <c r="C59" i="3"/>
  <c r="E59" i="3"/>
  <c r="F59" i="3"/>
  <c r="G59" i="3"/>
  <c r="A60" i="3"/>
  <c r="B60" i="3"/>
  <c r="C60" i="3"/>
  <c r="E60" i="3"/>
  <c r="F60" i="3"/>
  <c r="G60" i="3"/>
  <c r="A61" i="3"/>
  <c r="B61" i="3"/>
  <c r="C61" i="3"/>
  <c r="E61" i="3"/>
  <c r="F61" i="3"/>
  <c r="G61" i="3"/>
  <c r="A62" i="3"/>
  <c r="B62" i="3"/>
  <c r="C62" i="3"/>
  <c r="E62" i="3"/>
  <c r="F62" i="3"/>
  <c r="G62" i="3"/>
  <c r="A63" i="3"/>
  <c r="B63" i="3"/>
  <c r="C63" i="3"/>
  <c r="E63" i="3"/>
  <c r="F63" i="3"/>
  <c r="G63" i="3"/>
  <c r="A64" i="3"/>
  <c r="B64" i="3"/>
  <c r="C64" i="3"/>
  <c r="E64" i="3"/>
  <c r="F64" i="3"/>
  <c r="G64" i="3"/>
  <c r="A65" i="3"/>
  <c r="B65" i="3"/>
  <c r="C65" i="3"/>
  <c r="E65" i="3"/>
  <c r="F65" i="3"/>
  <c r="G65" i="3"/>
  <c r="A66" i="3"/>
  <c r="B66" i="3"/>
  <c r="C66" i="3"/>
  <c r="E66" i="3"/>
  <c r="F66" i="3"/>
  <c r="G66" i="3"/>
  <c r="A67" i="3"/>
  <c r="B67" i="3"/>
  <c r="C67" i="3"/>
  <c r="E67" i="3"/>
  <c r="F67" i="3"/>
  <c r="G67" i="3"/>
  <c r="A68" i="3"/>
  <c r="B68" i="3"/>
  <c r="C68" i="3"/>
  <c r="E68" i="3"/>
  <c r="F68" i="3"/>
  <c r="G68" i="3"/>
  <c r="A69" i="3"/>
  <c r="B69" i="3"/>
  <c r="C69" i="3"/>
  <c r="E69" i="3"/>
  <c r="F69" i="3"/>
  <c r="G69" i="3"/>
  <c r="A70" i="3"/>
  <c r="B70" i="3"/>
  <c r="C70" i="3"/>
  <c r="E70" i="3"/>
  <c r="F70" i="3"/>
  <c r="G70" i="3"/>
  <c r="A71" i="3"/>
  <c r="B71" i="3"/>
  <c r="C71" i="3"/>
  <c r="E71" i="3"/>
  <c r="F71" i="3"/>
  <c r="G71" i="3"/>
  <c r="A72" i="3"/>
  <c r="B72" i="3"/>
  <c r="C72" i="3"/>
  <c r="E72" i="3"/>
  <c r="F72" i="3"/>
  <c r="G72" i="3"/>
  <c r="A73" i="3"/>
  <c r="B73" i="3"/>
  <c r="C73" i="3"/>
  <c r="E73" i="3"/>
  <c r="F73" i="3"/>
  <c r="G73" i="3"/>
  <c r="A74" i="3"/>
  <c r="B74" i="3"/>
  <c r="C74" i="3"/>
  <c r="E74" i="3"/>
  <c r="F74" i="3"/>
  <c r="G74" i="3"/>
  <c r="A75" i="3"/>
  <c r="B75" i="3"/>
  <c r="C75" i="3"/>
  <c r="E75" i="3"/>
  <c r="F75" i="3"/>
  <c r="G75" i="3"/>
  <c r="A76" i="3"/>
  <c r="B76" i="3"/>
  <c r="C76" i="3"/>
  <c r="E76" i="3"/>
  <c r="F76" i="3"/>
  <c r="G76" i="3"/>
  <c r="A77" i="3"/>
  <c r="B77" i="3"/>
  <c r="C77" i="3"/>
  <c r="E77" i="3"/>
  <c r="F77" i="3"/>
  <c r="G77" i="3"/>
  <c r="A78" i="3"/>
  <c r="B78" i="3"/>
  <c r="C78" i="3"/>
  <c r="E78" i="3"/>
  <c r="F78" i="3"/>
  <c r="G78" i="3"/>
  <c r="A79" i="3"/>
  <c r="B79" i="3"/>
  <c r="C79" i="3"/>
  <c r="E79" i="3"/>
  <c r="F79" i="3"/>
  <c r="G79" i="3"/>
  <c r="A80" i="3"/>
  <c r="B80" i="3"/>
  <c r="C80" i="3"/>
  <c r="E80" i="3"/>
  <c r="F80" i="3"/>
  <c r="G80" i="3"/>
  <c r="A81" i="3"/>
  <c r="B81" i="3"/>
  <c r="C81" i="3"/>
  <c r="E81" i="3"/>
  <c r="F81" i="3"/>
  <c r="G81" i="3"/>
  <c r="A82" i="3"/>
  <c r="B82" i="3"/>
  <c r="C82" i="3"/>
  <c r="E82" i="3"/>
  <c r="F82" i="3"/>
  <c r="G82" i="3"/>
  <c r="A83" i="3"/>
  <c r="B83" i="3"/>
  <c r="C83" i="3"/>
  <c r="E83" i="3"/>
  <c r="F83" i="3"/>
  <c r="G83" i="3"/>
  <c r="A84" i="3"/>
  <c r="B84" i="3"/>
  <c r="C84" i="3"/>
  <c r="E84" i="3"/>
  <c r="F84" i="3"/>
  <c r="G84" i="3"/>
  <c r="A85" i="3"/>
  <c r="B85" i="3"/>
  <c r="C85" i="3"/>
  <c r="E85" i="3"/>
  <c r="F85" i="3"/>
  <c r="G85" i="3"/>
  <c r="A86" i="3"/>
  <c r="B86" i="3"/>
  <c r="C86" i="3"/>
  <c r="E86" i="3"/>
  <c r="F86" i="3"/>
  <c r="G86" i="3"/>
  <c r="A87" i="3"/>
  <c r="B87" i="3"/>
  <c r="C87" i="3"/>
  <c r="E87" i="3"/>
  <c r="F87" i="3"/>
  <c r="G87" i="3"/>
  <c r="A88" i="3"/>
  <c r="B88" i="3"/>
  <c r="C88" i="3"/>
  <c r="E88" i="3"/>
  <c r="F88" i="3"/>
  <c r="G88" i="3"/>
  <c r="A89" i="3"/>
  <c r="B89" i="3"/>
  <c r="C89" i="3"/>
  <c r="E89" i="3"/>
  <c r="F89" i="3"/>
  <c r="G89" i="3"/>
  <c r="A90" i="3"/>
  <c r="B90" i="3"/>
  <c r="C90" i="3"/>
  <c r="E90" i="3"/>
  <c r="F90" i="3"/>
  <c r="G90" i="3"/>
  <c r="A91" i="3"/>
  <c r="B91" i="3"/>
  <c r="C91" i="3"/>
  <c r="E91" i="3"/>
  <c r="F91" i="3"/>
  <c r="G91" i="3"/>
  <c r="A92" i="3"/>
  <c r="B92" i="3"/>
  <c r="C92" i="3"/>
  <c r="E92" i="3"/>
  <c r="F92" i="3"/>
  <c r="G92" i="3"/>
  <c r="A93" i="3"/>
  <c r="B93" i="3"/>
  <c r="C93" i="3"/>
  <c r="E93" i="3"/>
  <c r="F93" i="3"/>
  <c r="G93" i="3"/>
  <c r="A94" i="3"/>
  <c r="B94" i="3"/>
  <c r="C94" i="3"/>
  <c r="E94" i="3"/>
  <c r="F94" i="3"/>
  <c r="G94" i="3"/>
  <c r="A95" i="3"/>
  <c r="B95" i="3"/>
  <c r="C95" i="3"/>
  <c r="E95" i="3"/>
  <c r="F95" i="3"/>
  <c r="G95" i="3"/>
  <c r="A96" i="3"/>
  <c r="B96" i="3"/>
  <c r="C96" i="3"/>
  <c r="E96" i="3"/>
  <c r="F96" i="3"/>
  <c r="G96" i="3"/>
  <c r="A97" i="3"/>
  <c r="B97" i="3"/>
  <c r="C97" i="3"/>
  <c r="E97" i="3"/>
  <c r="F97" i="3"/>
  <c r="G97" i="3"/>
  <c r="A98" i="3"/>
  <c r="B98" i="3"/>
  <c r="C98" i="3"/>
  <c r="E98" i="3"/>
  <c r="F98" i="3"/>
  <c r="G98" i="3"/>
  <c r="A99" i="3"/>
  <c r="B99" i="3"/>
  <c r="C99" i="3"/>
  <c r="E99" i="3"/>
  <c r="F99" i="3"/>
  <c r="G99" i="3"/>
  <c r="A100" i="3"/>
  <c r="B100" i="3"/>
  <c r="C100" i="3"/>
  <c r="E100" i="3"/>
  <c r="F100" i="3"/>
  <c r="G100" i="3"/>
  <c r="A101" i="3"/>
  <c r="B101" i="3"/>
  <c r="C101" i="3"/>
  <c r="E101" i="3"/>
  <c r="F101" i="3"/>
  <c r="G101" i="3"/>
  <c r="A102" i="3"/>
  <c r="B102" i="3"/>
  <c r="C102" i="3"/>
  <c r="E102" i="3"/>
  <c r="F102" i="3"/>
  <c r="G102" i="3"/>
  <c r="A103" i="3"/>
  <c r="B103" i="3"/>
  <c r="C103" i="3"/>
  <c r="E103" i="3"/>
  <c r="F103" i="3"/>
  <c r="G103" i="3"/>
  <c r="A104" i="3"/>
  <c r="B104" i="3"/>
  <c r="C104" i="3"/>
  <c r="E104" i="3"/>
  <c r="F104" i="3"/>
  <c r="G104" i="3"/>
  <c r="A105" i="3"/>
  <c r="B105" i="3"/>
  <c r="C105" i="3"/>
  <c r="E105" i="3"/>
  <c r="F105" i="3"/>
  <c r="G105" i="3"/>
  <c r="A106" i="3"/>
  <c r="B106" i="3"/>
  <c r="C106" i="3"/>
  <c r="E106" i="3"/>
  <c r="F106" i="3"/>
  <c r="G106" i="3"/>
  <c r="A107" i="3"/>
  <c r="B107" i="3"/>
  <c r="C107" i="3"/>
  <c r="E107" i="3"/>
  <c r="F107" i="3"/>
  <c r="G107" i="3"/>
  <c r="A108" i="3"/>
  <c r="B108" i="3"/>
  <c r="C108" i="3"/>
  <c r="E108" i="3"/>
  <c r="F108" i="3"/>
  <c r="G108" i="3"/>
  <c r="A109" i="3"/>
  <c r="B109" i="3"/>
  <c r="C109" i="3"/>
  <c r="E109" i="3"/>
  <c r="F109" i="3"/>
  <c r="G109" i="3"/>
  <c r="A110" i="3"/>
  <c r="B110" i="3"/>
  <c r="C110" i="3"/>
  <c r="E110" i="3"/>
  <c r="F110" i="3"/>
  <c r="G110" i="3"/>
  <c r="A111" i="3"/>
  <c r="B111" i="3"/>
  <c r="C111" i="3"/>
  <c r="E111" i="3"/>
  <c r="F111" i="3"/>
  <c r="G111" i="3"/>
  <c r="A112" i="3"/>
  <c r="B112" i="3"/>
  <c r="C112" i="3"/>
  <c r="E112" i="3"/>
  <c r="F112" i="3"/>
  <c r="G112" i="3"/>
  <c r="A113" i="3"/>
  <c r="B113" i="3"/>
  <c r="C113" i="3"/>
  <c r="E113" i="3"/>
  <c r="F113" i="3"/>
  <c r="G113" i="3"/>
  <c r="A114" i="3"/>
  <c r="B114" i="3"/>
  <c r="C114" i="3"/>
  <c r="E114" i="3"/>
  <c r="F114" i="3"/>
  <c r="G114" i="3"/>
  <c r="A115" i="3"/>
  <c r="B115" i="3"/>
  <c r="C115" i="3"/>
  <c r="E115" i="3"/>
  <c r="F115" i="3"/>
  <c r="G115" i="3"/>
  <c r="A116" i="3"/>
  <c r="B116" i="3"/>
  <c r="C116" i="3"/>
  <c r="E116" i="3"/>
  <c r="F116" i="3"/>
  <c r="G116" i="3"/>
  <c r="A117" i="3"/>
  <c r="B117" i="3"/>
  <c r="C117" i="3"/>
  <c r="E117" i="3"/>
  <c r="F117" i="3"/>
  <c r="G117" i="3"/>
  <c r="A118" i="3"/>
  <c r="B118" i="3"/>
  <c r="C118" i="3"/>
  <c r="E118" i="3"/>
  <c r="F118" i="3"/>
  <c r="G118" i="3"/>
  <c r="A119" i="3"/>
  <c r="B119" i="3"/>
  <c r="C119" i="3"/>
  <c r="E119" i="3"/>
  <c r="F119" i="3"/>
  <c r="G119" i="3"/>
  <c r="A120" i="3"/>
  <c r="B120" i="3"/>
  <c r="C120" i="3"/>
  <c r="E120" i="3"/>
  <c r="F120" i="3"/>
  <c r="G120" i="3"/>
  <c r="A121" i="3"/>
  <c r="B121" i="3"/>
  <c r="C121" i="3"/>
  <c r="E121" i="3"/>
  <c r="F121" i="3"/>
  <c r="G121" i="3"/>
  <c r="A122" i="3"/>
  <c r="B122" i="3"/>
  <c r="C122" i="3"/>
  <c r="E122" i="3"/>
  <c r="F122" i="3"/>
  <c r="G122" i="3"/>
  <c r="A123" i="3"/>
  <c r="B123" i="3"/>
  <c r="C123" i="3"/>
  <c r="E123" i="3"/>
  <c r="F123" i="3"/>
  <c r="G123" i="3"/>
  <c r="A124" i="3"/>
  <c r="B124" i="3"/>
  <c r="C124" i="3"/>
  <c r="E124" i="3"/>
  <c r="F124" i="3"/>
  <c r="G124" i="3"/>
  <c r="A125" i="3"/>
  <c r="B125" i="3"/>
  <c r="C125" i="3"/>
  <c r="E125" i="3"/>
  <c r="F125" i="3"/>
  <c r="G125" i="3"/>
  <c r="A126" i="3"/>
  <c r="B126" i="3"/>
  <c r="C126" i="3"/>
  <c r="E126" i="3"/>
  <c r="F126" i="3"/>
  <c r="G126" i="3"/>
  <c r="A127" i="3"/>
  <c r="B127" i="3"/>
  <c r="C127" i="3"/>
  <c r="E127" i="3"/>
  <c r="F127" i="3"/>
  <c r="G127" i="3"/>
  <c r="A128" i="3"/>
  <c r="B128" i="3"/>
  <c r="C128" i="3"/>
  <c r="E128" i="3"/>
  <c r="F128" i="3"/>
  <c r="G128" i="3"/>
  <c r="A129" i="3"/>
  <c r="B129" i="3"/>
  <c r="C129" i="3"/>
  <c r="E129" i="3"/>
  <c r="F129" i="3"/>
  <c r="G129" i="3"/>
  <c r="A130" i="3"/>
  <c r="B130" i="3"/>
  <c r="C130" i="3"/>
  <c r="E130" i="3"/>
  <c r="F130" i="3"/>
  <c r="G130" i="3"/>
  <c r="A131" i="3"/>
  <c r="B131" i="3"/>
  <c r="C131" i="3"/>
  <c r="E131" i="3"/>
  <c r="F131" i="3"/>
  <c r="G131" i="3"/>
  <c r="A132" i="3"/>
  <c r="B132" i="3"/>
  <c r="C132" i="3"/>
  <c r="E132" i="3"/>
  <c r="F132" i="3"/>
  <c r="G132" i="3"/>
  <c r="A133" i="3"/>
  <c r="B133" i="3"/>
  <c r="C133" i="3"/>
  <c r="E133" i="3"/>
  <c r="F133" i="3"/>
  <c r="G133" i="3"/>
  <c r="A134" i="3"/>
  <c r="B134" i="3"/>
  <c r="C134" i="3"/>
  <c r="E134" i="3"/>
  <c r="F134" i="3"/>
  <c r="G134" i="3"/>
  <c r="A135" i="3"/>
  <c r="B135" i="3"/>
  <c r="C135" i="3"/>
  <c r="E135" i="3"/>
  <c r="F135" i="3"/>
  <c r="G135" i="3"/>
  <c r="A136" i="3"/>
  <c r="B136" i="3"/>
  <c r="C136" i="3"/>
  <c r="E136" i="3"/>
  <c r="F136" i="3"/>
  <c r="G136" i="3"/>
  <c r="A137" i="3"/>
  <c r="B137" i="3"/>
  <c r="C137" i="3"/>
  <c r="E137" i="3"/>
  <c r="F137" i="3"/>
  <c r="G137" i="3"/>
  <c r="A138" i="3"/>
  <c r="B138" i="3"/>
  <c r="C138" i="3"/>
  <c r="E138" i="3"/>
  <c r="F138" i="3"/>
  <c r="G138" i="3"/>
  <c r="A139" i="3"/>
  <c r="B139" i="3"/>
  <c r="C139" i="3"/>
  <c r="E139" i="3"/>
  <c r="F139" i="3"/>
  <c r="G139" i="3"/>
  <c r="A140" i="3"/>
  <c r="B140" i="3"/>
  <c r="C140" i="3"/>
  <c r="E140" i="3"/>
  <c r="F140" i="3"/>
  <c r="G140" i="3"/>
  <c r="A141" i="3"/>
  <c r="B141" i="3"/>
  <c r="C141" i="3"/>
  <c r="E141" i="3"/>
  <c r="F141" i="3"/>
  <c r="G141" i="3"/>
  <c r="A142" i="3"/>
  <c r="B142" i="3"/>
  <c r="C142" i="3"/>
  <c r="E142" i="3"/>
  <c r="F142" i="3"/>
  <c r="G142" i="3"/>
  <c r="A143" i="3"/>
  <c r="B143" i="3"/>
  <c r="C143" i="3"/>
  <c r="E143" i="3"/>
  <c r="F143" i="3"/>
  <c r="G143" i="3"/>
  <c r="A144" i="3"/>
  <c r="B144" i="3"/>
  <c r="C144" i="3"/>
  <c r="E144" i="3"/>
  <c r="F144" i="3"/>
  <c r="G144" i="3"/>
  <c r="A145" i="3"/>
  <c r="B145" i="3"/>
  <c r="C145" i="3"/>
  <c r="E145" i="3"/>
  <c r="F145" i="3"/>
  <c r="G145" i="3"/>
  <c r="A146" i="3"/>
  <c r="B146" i="3"/>
  <c r="C146" i="3"/>
  <c r="E146" i="3"/>
  <c r="F146" i="3"/>
  <c r="G146" i="3"/>
  <c r="A147" i="3"/>
  <c r="B147" i="3"/>
  <c r="C147" i="3"/>
  <c r="E147" i="3"/>
  <c r="F147" i="3"/>
  <c r="G147" i="3"/>
  <c r="A148" i="3"/>
  <c r="B148" i="3"/>
  <c r="C148" i="3"/>
  <c r="E148" i="3"/>
  <c r="F148" i="3"/>
  <c r="G148" i="3"/>
  <c r="A149" i="3"/>
  <c r="B149" i="3"/>
  <c r="C149" i="3"/>
  <c r="E149" i="3"/>
  <c r="F149" i="3"/>
  <c r="G149" i="3"/>
  <c r="A150" i="3"/>
  <c r="B150" i="3"/>
  <c r="C150" i="3"/>
  <c r="E150" i="3"/>
  <c r="F150" i="3"/>
  <c r="G150" i="3"/>
  <c r="A151" i="3"/>
  <c r="B151" i="3"/>
  <c r="C151" i="3"/>
  <c r="E151" i="3"/>
  <c r="F151" i="3"/>
  <c r="G151" i="3"/>
  <c r="A152" i="3"/>
  <c r="B152" i="3"/>
  <c r="C152" i="3"/>
  <c r="E152" i="3"/>
  <c r="F152" i="3"/>
  <c r="G152" i="3"/>
  <c r="A153" i="3"/>
  <c r="B153" i="3"/>
  <c r="C153" i="3"/>
  <c r="E153" i="3"/>
  <c r="F153" i="3"/>
  <c r="G153" i="3"/>
  <c r="A154" i="3"/>
  <c r="B154" i="3"/>
  <c r="C154" i="3"/>
  <c r="E154" i="3"/>
  <c r="F154" i="3"/>
  <c r="G154" i="3"/>
  <c r="A155" i="3"/>
  <c r="B155" i="3"/>
  <c r="C155" i="3"/>
  <c r="E155" i="3"/>
  <c r="F155" i="3"/>
  <c r="G155" i="3"/>
  <c r="A156" i="3"/>
  <c r="B156" i="3"/>
  <c r="C156" i="3"/>
  <c r="E156" i="3"/>
  <c r="F156" i="3"/>
  <c r="G156" i="3"/>
  <c r="A157" i="3"/>
  <c r="B157" i="3"/>
  <c r="C157" i="3"/>
  <c r="E157" i="3"/>
  <c r="F157" i="3"/>
  <c r="G157" i="3"/>
  <c r="A158" i="3"/>
  <c r="B158" i="3"/>
  <c r="C158" i="3"/>
  <c r="E158" i="3"/>
  <c r="F158" i="3"/>
  <c r="G158" i="3"/>
  <c r="A159" i="3"/>
  <c r="B159" i="3"/>
  <c r="C159" i="3"/>
  <c r="E159" i="3"/>
  <c r="F159" i="3"/>
  <c r="G159" i="3"/>
  <c r="A160" i="3"/>
  <c r="B160" i="3"/>
  <c r="C160" i="3"/>
  <c r="E160" i="3"/>
  <c r="F160" i="3"/>
  <c r="G160" i="3"/>
  <c r="A161" i="3"/>
  <c r="B161" i="3"/>
  <c r="C161" i="3"/>
  <c r="E161" i="3"/>
  <c r="F161" i="3"/>
  <c r="G161" i="3"/>
  <c r="A162" i="3"/>
  <c r="B162" i="3"/>
  <c r="C162" i="3"/>
  <c r="E162" i="3"/>
  <c r="F162" i="3"/>
  <c r="G162" i="3"/>
  <c r="A163" i="3"/>
  <c r="B163" i="3"/>
  <c r="C163" i="3"/>
  <c r="E163" i="3"/>
  <c r="F163" i="3"/>
  <c r="G163" i="3"/>
  <c r="A164" i="3"/>
  <c r="B164" i="3"/>
  <c r="C164" i="3"/>
  <c r="E164" i="3"/>
  <c r="F164" i="3"/>
  <c r="G164" i="3"/>
  <c r="A165" i="3"/>
  <c r="B165" i="3"/>
  <c r="C165" i="3"/>
  <c r="E165" i="3"/>
  <c r="F165" i="3"/>
  <c r="G165" i="3"/>
  <c r="A166" i="3"/>
  <c r="B166" i="3"/>
  <c r="C166" i="3"/>
  <c r="E166" i="3"/>
  <c r="F166" i="3"/>
  <c r="G166" i="3"/>
  <c r="A167" i="3"/>
  <c r="B167" i="3"/>
  <c r="C167" i="3"/>
  <c r="E167" i="3"/>
  <c r="F167" i="3"/>
  <c r="G167" i="3"/>
  <c r="A168" i="3"/>
  <c r="B168" i="3"/>
  <c r="C168" i="3"/>
  <c r="E168" i="3"/>
  <c r="F168" i="3"/>
  <c r="G168" i="3"/>
  <c r="A169" i="3"/>
  <c r="B169" i="3"/>
  <c r="C169" i="3"/>
  <c r="E169" i="3"/>
  <c r="F169" i="3"/>
  <c r="G169" i="3"/>
  <c r="A170" i="3"/>
  <c r="B170" i="3"/>
  <c r="C170" i="3"/>
  <c r="E170" i="3"/>
  <c r="F170" i="3"/>
  <c r="G170" i="3"/>
  <c r="A171" i="3"/>
  <c r="B171" i="3"/>
  <c r="C171" i="3"/>
  <c r="E171" i="3"/>
  <c r="F171" i="3"/>
  <c r="G171" i="3"/>
  <c r="A172" i="3"/>
  <c r="B172" i="3"/>
  <c r="C172" i="3"/>
  <c r="E172" i="3"/>
  <c r="F172" i="3"/>
  <c r="G172" i="3"/>
  <c r="A173" i="3"/>
  <c r="B173" i="3"/>
  <c r="C173" i="3"/>
  <c r="E173" i="3"/>
  <c r="F173" i="3"/>
  <c r="G173" i="3"/>
  <c r="A174" i="3"/>
  <c r="B174" i="3"/>
  <c r="C174" i="3"/>
  <c r="E174" i="3"/>
  <c r="F174" i="3"/>
  <c r="G174" i="3"/>
  <c r="A175" i="3"/>
  <c r="B175" i="3"/>
  <c r="C175" i="3"/>
  <c r="E175" i="3"/>
  <c r="F175" i="3"/>
  <c r="G175" i="3"/>
  <c r="A176" i="3"/>
  <c r="B176" i="3"/>
  <c r="C176" i="3"/>
  <c r="E176" i="3"/>
  <c r="F176" i="3"/>
  <c r="G176" i="3"/>
  <c r="A177" i="3"/>
  <c r="B177" i="3"/>
  <c r="C177" i="3"/>
  <c r="E177" i="3"/>
  <c r="F177" i="3"/>
  <c r="G177" i="3"/>
  <c r="A178" i="3"/>
  <c r="B178" i="3"/>
  <c r="C178" i="3"/>
  <c r="E178" i="3"/>
  <c r="F178" i="3"/>
  <c r="G178" i="3"/>
  <c r="A179" i="3"/>
  <c r="B179" i="3"/>
  <c r="C179" i="3"/>
  <c r="E179" i="3"/>
  <c r="F179" i="3"/>
  <c r="G179" i="3"/>
  <c r="A180" i="3"/>
  <c r="B180" i="3"/>
  <c r="C180" i="3"/>
  <c r="E180" i="3"/>
  <c r="F180" i="3"/>
  <c r="G180" i="3"/>
  <c r="A181" i="3"/>
  <c r="B181" i="3"/>
  <c r="C181" i="3"/>
  <c r="E181" i="3"/>
  <c r="F181" i="3"/>
  <c r="G181" i="3"/>
  <c r="A182" i="3"/>
  <c r="B182" i="3"/>
  <c r="C182" i="3"/>
  <c r="E182" i="3"/>
  <c r="F182" i="3"/>
  <c r="G182" i="3"/>
  <c r="A183" i="3"/>
  <c r="B183" i="3"/>
  <c r="C183" i="3"/>
  <c r="E183" i="3"/>
  <c r="F183" i="3"/>
  <c r="G183" i="3"/>
  <c r="A184" i="3"/>
  <c r="B184" i="3"/>
  <c r="C184" i="3"/>
  <c r="E184" i="3"/>
  <c r="F184" i="3"/>
  <c r="G184" i="3"/>
  <c r="A185" i="3"/>
  <c r="B185" i="3"/>
  <c r="C185" i="3"/>
  <c r="E185" i="3"/>
  <c r="F185" i="3"/>
  <c r="G185" i="3"/>
  <c r="A186" i="3"/>
  <c r="B186" i="3"/>
  <c r="C186" i="3"/>
  <c r="E186" i="3"/>
  <c r="F186" i="3"/>
  <c r="G186" i="3"/>
  <c r="A187" i="3"/>
  <c r="B187" i="3"/>
  <c r="C187" i="3"/>
  <c r="E187" i="3"/>
  <c r="F187" i="3"/>
  <c r="G187" i="3"/>
  <c r="A188" i="3"/>
  <c r="B188" i="3"/>
  <c r="C188" i="3"/>
  <c r="E188" i="3"/>
  <c r="F188" i="3"/>
  <c r="G188" i="3"/>
  <c r="A189" i="3"/>
  <c r="B189" i="3"/>
  <c r="C189" i="3"/>
  <c r="E189" i="3"/>
  <c r="F189" i="3"/>
  <c r="G189" i="3"/>
  <c r="A190" i="3"/>
  <c r="B190" i="3"/>
  <c r="C190" i="3"/>
  <c r="E190" i="3"/>
  <c r="F190" i="3"/>
  <c r="G190" i="3"/>
  <c r="A191" i="3"/>
  <c r="B191" i="3"/>
  <c r="C191" i="3"/>
  <c r="E191" i="3"/>
  <c r="F191" i="3"/>
  <c r="G191" i="3"/>
  <c r="A192" i="3"/>
  <c r="B192" i="3"/>
  <c r="C192" i="3"/>
  <c r="E192" i="3"/>
  <c r="F192" i="3"/>
  <c r="G192" i="3"/>
  <c r="A193" i="3"/>
  <c r="B193" i="3"/>
  <c r="C193" i="3"/>
  <c r="E193" i="3"/>
  <c r="F193" i="3"/>
  <c r="G193" i="3"/>
  <c r="A194" i="3"/>
  <c r="B194" i="3"/>
  <c r="C194" i="3"/>
  <c r="E194" i="3"/>
  <c r="F194" i="3"/>
  <c r="G194" i="3"/>
  <c r="A195" i="3"/>
  <c r="B195" i="3"/>
  <c r="C195" i="3"/>
  <c r="E195" i="3"/>
  <c r="F195" i="3"/>
  <c r="G195" i="3"/>
  <c r="A196" i="3"/>
  <c r="B196" i="3"/>
  <c r="C196" i="3"/>
  <c r="E196" i="3"/>
  <c r="F196" i="3"/>
  <c r="G196" i="3"/>
  <c r="A197" i="3"/>
  <c r="B197" i="3"/>
  <c r="C197" i="3"/>
  <c r="E197" i="3"/>
  <c r="F197" i="3"/>
  <c r="G197" i="3"/>
  <c r="A198" i="3"/>
  <c r="B198" i="3"/>
  <c r="C198" i="3"/>
  <c r="E198" i="3"/>
  <c r="F198" i="3"/>
  <c r="G198" i="3"/>
  <c r="A199" i="3"/>
  <c r="B199" i="3"/>
  <c r="C199" i="3"/>
  <c r="E199" i="3"/>
  <c r="F199" i="3"/>
  <c r="G199" i="3"/>
  <c r="A200" i="3"/>
  <c r="B200" i="3"/>
  <c r="C200" i="3"/>
  <c r="E200" i="3"/>
  <c r="F200" i="3"/>
  <c r="G200" i="3"/>
  <c r="A201" i="3"/>
  <c r="B201" i="3"/>
  <c r="C201" i="3"/>
  <c r="E201" i="3"/>
  <c r="F201" i="3"/>
  <c r="G201" i="3"/>
  <c r="A202" i="3"/>
  <c r="B202" i="3"/>
  <c r="C202" i="3"/>
  <c r="E202" i="3"/>
  <c r="F202" i="3"/>
  <c r="G202" i="3"/>
  <c r="A203" i="3"/>
  <c r="B203" i="3"/>
  <c r="C203" i="3"/>
  <c r="E203" i="3"/>
  <c r="F203" i="3"/>
  <c r="G203" i="3"/>
  <c r="A204" i="3"/>
  <c r="B204" i="3"/>
  <c r="C204" i="3"/>
  <c r="E204" i="3"/>
  <c r="F204" i="3"/>
  <c r="G204" i="3"/>
  <c r="A205" i="3"/>
  <c r="B205" i="3"/>
  <c r="C205" i="3"/>
  <c r="E205" i="3"/>
  <c r="F205" i="3"/>
  <c r="G205" i="3"/>
  <c r="A206" i="3"/>
  <c r="B206" i="3"/>
  <c r="C206" i="3"/>
  <c r="E206" i="3"/>
  <c r="F206" i="3"/>
  <c r="G206" i="3"/>
  <c r="A207" i="3"/>
  <c r="B207" i="3"/>
  <c r="C207" i="3"/>
  <c r="E207" i="3"/>
  <c r="F207" i="3"/>
  <c r="G207" i="3"/>
  <c r="A208" i="3"/>
  <c r="B208" i="3"/>
  <c r="C208" i="3"/>
  <c r="E208" i="3"/>
  <c r="F208" i="3"/>
  <c r="G208" i="3"/>
  <c r="A209" i="3"/>
  <c r="B209" i="3"/>
  <c r="C209" i="3"/>
  <c r="E209" i="3"/>
  <c r="F209" i="3"/>
  <c r="G209" i="3"/>
  <c r="A210" i="3"/>
  <c r="B210" i="3"/>
  <c r="C210" i="3"/>
  <c r="E210" i="3"/>
  <c r="F210" i="3"/>
  <c r="G210" i="3"/>
  <c r="A211" i="3"/>
  <c r="B211" i="3"/>
  <c r="C211" i="3"/>
  <c r="E211" i="3"/>
  <c r="F211" i="3"/>
  <c r="G211" i="3"/>
  <c r="A212" i="3"/>
  <c r="B212" i="3"/>
  <c r="C212" i="3"/>
  <c r="E212" i="3"/>
  <c r="F212" i="3"/>
  <c r="G212" i="3"/>
  <c r="A213" i="3"/>
  <c r="B213" i="3"/>
  <c r="C213" i="3"/>
  <c r="E213" i="3"/>
  <c r="F213" i="3"/>
  <c r="G213" i="3"/>
  <c r="A214" i="3"/>
  <c r="B214" i="3"/>
  <c r="C214" i="3"/>
  <c r="E214" i="3"/>
  <c r="F214" i="3"/>
  <c r="G214" i="3"/>
  <c r="A215" i="3"/>
  <c r="B215" i="3"/>
  <c r="C215" i="3"/>
  <c r="E215" i="3"/>
  <c r="F215" i="3"/>
  <c r="G215" i="3"/>
  <c r="A216" i="3"/>
  <c r="B216" i="3"/>
  <c r="C216" i="3"/>
  <c r="E216" i="3"/>
  <c r="F216" i="3"/>
  <c r="G216" i="3"/>
  <c r="A217" i="3"/>
  <c r="B217" i="3"/>
  <c r="C217" i="3"/>
  <c r="E217" i="3"/>
  <c r="F217" i="3"/>
  <c r="G217" i="3"/>
  <c r="A218" i="3"/>
  <c r="B218" i="3"/>
  <c r="C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G5" i="3"/>
  <c r="E5" i="3"/>
  <c r="C5" i="3"/>
  <c r="B5" i="3"/>
  <c r="A5" i="3"/>
  <c r="D5" i="4" l="1"/>
  <c r="D6" i="4"/>
  <c r="D6" i="9"/>
  <c r="D7" i="9"/>
  <c r="D7" i="3"/>
  <c r="D6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48" i="3"/>
  <c r="D9" i="3"/>
  <c r="D11" i="3"/>
  <c r="D10" i="3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219" i="2"/>
  <c r="D218" i="3" s="1"/>
  <c r="D218" i="2"/>
  <c r="D217" i="3" s="1"/>
  <c r="D217" i="2"/>
  <c r="D216" i="3" s="1"/>
  <c r="D216" i="2"/>
  <c r="D215" i="3" s="1"/>
  <c r="D215" i="2"/>
  <c r="D214" i="3" s="1"/>
  <c r="D214" i="2"/>
  <c r="D213" i="3" s="1"/>
  <c r="D213" i="2"/>
  <c r="D212" i="3" s="1"/>
  <c r="D212" i="2"/>
  <c r="D211" i="3" s="1"/>
  <c r="D211" i="2"/>
  <c r="D210" i="3" s="1"/>
  <c r="D210" i="2"/>
  <c r="D209" i="3" s="1"/>
  <c r="D209" i="2"/>
  <c r="D208" i="3" s="1"/>
  <c r="D208" i="2"/>
  <c r="D207" i="3" s="1"/>
  <c r="D207" i="2"/>
  <c r="D206" i="3" s="1"/>
  <c r="D206" i="2"/>
  <c r="D205" i="3" s="1"/>
  <c r="D205" i="2"/>
  <c r="D204" i="3" s="1"/>
  <c r="D204" i="2"/>
  <c r="D203" i="3" s="1"/>
  <c r="D203" i="2"/>
  <c r="D202" i="3" s="1"/>
  <c r="D202" i="2"/>
  <c r="D201" i="3" s="1"/>
  <c r="D201" i="2"/>
  <c r="D200" i="3" s="1"/>
  <c r="D200" i="2"/>
  <c r="D199" i="3" s="1"/>
  <c r="D199" i="2"/>
  <c r="D198" i="3" s="1"/>
  <c r="D198" i="2"/>
  <c r="D197" i="3" s="1"/>
  <c r="D197" i="2"/>
  <c r="D196" i="3" s="1"/>
  <c r="D196" i="2"/>
  <c r="D195" i="3" s="1"/>
  <c r="D195" i="2"/>
  <c r="D194" i="3" s="1"/>
  <c r="D194" i="2"/>
  <c r="D193" i="3" s="1"/>
  <c r="D193" i="2"/>
  <c r="D192" i="3" s="1"/>
  <c r="D192" i="2"/>
  <c r="D191" i="3" s="1"/>
  <c r="D191" i="2"/>
  <c r="D190" i="3" s="1"/>
  <c r="D190" i="2"/>
  <c r="D189" i="3" s="1"/>
  <c r="D189" i="2"/>
  <c r="D188" i="3" s="1"/>
  <c r="D188" i="2"/>
  <c r="D187" i="3" s="1"/>
  <c r="D187" i="2"/>
  <c r="D186" i="3" s="1"/>
  <c r="D186" i="2"/>
  <c r="D185" i="3" s="1"/>
  <c r="D185" i="2"/>
  <c r="D184" i="3" s="1"/>
  <c r="D184" i="2"/>
  <c r="D183" i="3" s="1"/>
  <c r="D183" i="2"/>
  <c r="D182" i="3" s="1"/>
  <c r="D182" i="2"/>
  <c r="D181" i="3" s="1"/>
  <c r="D181" i="2"/>
  <c r="D180" i="3" s="1"/>
  <c r="D180" i="2"/>
  <c r="D179" i="3" s="1"/>
  <c r="D179" i="2"/>
  <c r="D178" i="3" s="1"/>
  <c r="D178" i="2"/>
  <c r="D177" i="3" s="1"/>
  <c r="D177" i="2"/>
  <c r="D176" i="3" s="1"/>
  <c r="D176" i="2"/>
  <c r="D175" i="3" s="1"/>
  <c r="D175" i="2"/>
  <c r="D174" i="3" s="1"/>
  <c r="D174" i="2"/>
  <c r="D173" i="3" s="1"/>
  <c r="D173" i="2"/>
  <c r="D172" i="3" s="1"/>
  <c r="D172" i="2"/>
  <c r="D171" i="3" s="1"/>
  <c r="D171" i="2"/>
  <c r="D170" i="3" s="1"/>
  <c r="D170" i="2"/>
  <c r="D169" i="3" s="1"/>
  <c r="D169" i="2"/>
  <c r="D168" i="3" s="1"/>
  <c r="D168" i="2"/>
  <c r="D167" i="3" s="1"/>
  <c r="D167" i="2"/>
  <c r="D166" i="3" s="1"/>
  <c r="D166" i="2"/>
  <c r="D165" i="3" s="1"/>
  <c r="D165" i="2"/>
  <c r="D164" i="3" s="1"/>
  <c r="D164" i="2"/>
  <c r="D163" i="3" s="1"/>
  <c r="D163" i="2"/>
  <c r="D162" i="3" s="1"/>
  <c r="D162" i="2"/>
  <c r="D161" i="3" s="1"/>
  <c r="D161" i="2"/>
  <c r="D160" i="3" s="1"/>
  <c r="D160" i="2"/>
  <c r="D159" i="3" s="1"/>
  <c r="D159" i="2"/>
  <c r="D158" i="3" s="1"/>
  <c r="D158" i="2"/>
  <c r="D157" i="3" s="1"/>
  <c r="D157" i="2"/>
  <c r="D156" i="3" s="1"/>
  <c r="D156" i="2"/>
  <c r="D155" i="3" s="1"/>
  <c r="D155" i="2"/>
  <c r="D154" i="3" s="1"/>
  <c r="D154" i="2"/>
  <c r="D153" i="3" s="1"/>
  <c r="D153" i="2"/>
  <c r="D152" i="3" s="1"/>
  <c r="D152" i="2"/>
  <c r="D151" i="3" s="1"/>
  <c r="D151" i="2"/>
  <c r="D150" i="3" s="1"/>
  <c r="D150" i="2"/>
  <c r="D149" i="3" s="1"/>
  <c r="D149" i="2"/>
  <c r="D148" i="3" s="1"/>
  <c r="D148" i="2"/>
  <c r="D147" i="3" s="1"/>
  <c r="D147" i="2"/>
  <c r="D146" i="3" s="1"/>
  <c r="D146" i="2"/>
  <c r="D145" i="3" s="1"/>
  <c r="D145" i="2"/>
  <c r="D144" i="3" s="1"/>
  <c r="D144" i="2"/>
  <c r="D143" i="3" s="1"/>
  <c r="D143" i="2"/>
  <c r="D142" i="3" s="1"/>
  <c r="D142" i="2"/>
  <c r="D141" i="3" s="1"/>
  <c r="D141" i="2"/>
  <c r="D140" i="3" s="1"/>
  <c r="D140" i="2"/>
  <c r="D139" i="3" s="1"/>
  <c r="D139" i="2"/>
  <c r="D138" i="3" s="1"/>
  <c r="D138" i="2"/>
  <c r="D137" i="3" s="1"/>
  <c r="D137" i="2"/>
  <c r="D136" i="3" s="1"/>
  <c r="D136" i="2"/>
  <c r="D135" i="3" s="1"/>
  <c r="D135" i="2"/>
  <c r="D134" i="3" s="1"/>
  <c r="D134" i="2"/>
  <c r="D133" i="3" s="1"/>
  <c r="D133" i="2"/>
  <c r="D132" i="3" s="1"/>
  <c r="D132" i="2"/>
  <c r="D131" i="3" s="1"/>
  <c r="D131" i="2"/>
  <c r="D130" i="3" s="1"/>
  <c r="D130" i="2"/>
  <c r="D129" i="3" s="1"/>
  <c r="D129" i="2"/>
  <c r="D128" i="3" s="1"/>
  <c r="D128" i="2"/>
  <c r="D127" i="3" s="1"/>
  <c r="D127" i="2"/>
  <c r="D126" i="3" s="1"/>
  <c r="D126" i="2"/>
  <c r="D125" i="3" s="1"/>
  <c r="D125" i="2"/>
  <c r="D124" i="3" s="1"/>
  <c r="D124" i="2"/>
  <c r="D123" i="3" s="1"/>
  <c r="D123" i="2"/>
  <c r="D122" i="3" s="1"/>
  <c r="D122" i="2"/>
  <c r="D121" i="3" s="1"/>
  <c r="D121" i="2"/>
  <c r="D120" i="3" s="1"/>
  <c r="D120" i="2"/>
  <c r="D119" i="3" s="1"/>
  <c r="D119" i="2"/>
  <c r="D118" i="3" s="1"/>
  <c r="D118" i="2"/>
  <c r="D117" i="3" s="1"/>
  <c r="D117" i="2"/>
  <c r="D116" i="3" s="1"/>
  <c r="D116" i="2"/>
  <c r="D115" i="3" s="1"/>
  <c r="D115" i="2"/>
  <c r="D114" i="3" s="1"/>
  <c r="D114" i="2"/>
  <c r="D113" i="3" s="1"/>
  <c r="D113" i="2"/>
  <c r="D112" i="3" s="1"/>
  <c r="D112" i="2"/>
  <c r="D111" i="3" s="1"/>
  <c r="D111" i="2"/>
  <c r="D110" i="3" s="1"/>
  <c r="D110" i="2"/>
  <c r="D109" i="3" s="1"/>
  <c r="D109" i="2"/>
  <c r="D108" i="3" s="1"/>
  <c r="D108" i="2"/>
  <c r="D107" i="3" s="1"/>
  <c r="D107" i="2"/>
  <c r="D106" i="3" s="1"/>
  <c r="D106" i="2"/>
  <c r="D105" i="3" s="1"/>
  <c r="D105" i="2"/>
  <c r="D104" i="3" s="1"/>
  <c r="D104" i="2"/>
  <c r="D103" i="3" s="1"/>
  <c r="D103" i="2"/>
  <c r="D102" i="3" s="1"/>
  <c r="D102" i="2"/>
  <c r="D101" i="3" s="1"/>
  <c r="D101" i="2"/>
  <c r="D100" i="3" s="1"/>
  <c r="D100" i="2"/>
  <c r="D99" i="3" s="1"/>
  <c r="D99" i="2"/>
  <c r="D98" i="3" s="1"/>
  <c r="D98" i="2"/>
  <c r="D97" i="3" s="1"/>
  <c r="D97" i="2"/>
  <c r="D96" i="3" s="1"/>
  <c r="D96" i="2"/>
  <c r="D95" i="3" s="1"/>
  <c r="D95" i="2"/>
  <c r="D94" i="3" s="1"/>
  <c r="D94" i="2"/>
  <c r="D93" i="3" s="1"/>
  <c r="D93" i="2"/>
  <c r="D92" i="3" s="1"/>
  <c r="D92" i="2"/>
  <c r="D91" i="3" s="1"/>
  <c r="D91" i="2"/>
  <c r="D90" i="3" s="1"/>
  <c r="D90" i="2"/>
  <c r="D89" i="3" s="1"/>
  <c r="D89" i="2"/>
  <c r="D88" i="3" s="1"/>
  <c r="D88" i="2"/>
  <c r="D87" i="3" s="1"/>
  <c r="D87" i="2"/>
  <c r="D86" i="3" s="1"/>
  <c r="D86" i="2"/>
  <c r="D85" i="3" s="1"/>
  <c r="D85" i="2"/>
  <c r="D84" i="3" s="1"/>
  <c r="D84" i="2"/>
  <c r="D83" i="3" s="1"/>
  <c r="D83" i="2"/>
  <c r="D82" i="3" s="1"/>
  <c r="D82" i="2"/>
  <c r="D81" i="3" s="1"/>
  <c r="D81" i="2"/>
  <c r="D80" i="3" s="1"/>
  <c r="D80" i="2"/>
  <c r="D79" i="3" s="1"/>
  <c r="D79" i="2"/>
  <c r="D78" i="3" s="1"/>
  <c r="D78" i="2"/>
  <c r="D77" i="3" s="1"/>
  <c r="D77" i="2"/>
  <c r="D76" i="3" s="1"/>
  <c r="D76" i="2"/>
  <c r="D75" i="3" s="1"/>
  <c r="D75" i="2"/>
  <c r="D74" i="3" s="1"/>
  <c r="D74" i="2"/>
  <c r="D73" i="3" s="1"/>
  <c r="D73" i="2"/>
  <c r="D72" i="3" s="1"/>
  <c r="D72" i="2"/>
  <c r="D71" i="3" s="1"/>
  <c r="D71" i="2"/>
  <c r="D70" i="3" s="1"/>
  <c r="D70" i="2"/>
  <c r="D69" i="3" s="1"/>
  <c r="D69" i="2"/>
  <c r="D68" i="3" s="1"/>
  <c r="D68" i="2"/>
  <c r="D67" i="3" s="1"/>
  <c r="D67" i="2"/>
  <c r="D66" i="3" s="1"/>
  <c r="D66" i="2"/>
  <c r="D65" i="3" s="1"/>
  <c r="D65" i="2"/>
  <c r="D64" i="3" s="1"/>
  <c r="D64" i="2"/>
  <c r="D63" i="3" s="1"/>
  <c r="D63" i="2"/>
  <c r="D62" i="3" s="1"/>
  <c r="D62" i="2"/>
  <c r="D61" i="3" s="1"/>
  <c r="D61" i="2"/>
  <c r="D60" i="3" s="1"/>
  <c r="D60" i="2"/>
  <c r="D59" i="3" s="1"/>
  <c r="D59" i="2"/>
  <c r="D58" i="3" s="1"/>
  <c r="D58" i="2"/>
  <c r="D57" i="3" s="1"/>
  <c r="D57" i="2"/>
  <c r="D56" i="3" s="1"/>
  <c r="D55" i="3"/>
  <c r="D54" i="3"/>
  <c r="D53" i="3"/>
  <c r="D52" i="3"/>
  <c r="D51" i="3"/>
  <c r="D50" i="3"/>
  <c r="D49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8" i="3"/>
  <c r="D5" i="3"/>
  <c r="D22" i="5"/>
  <c r="D21" i="5"/>
  <c r="D20" i="5"/>
  <c r="D19" i="5"/>
  <c r="D18" i="5"/>
  <c r="D17" i="5"/>
  <c r="D16" i="5"/>
  <c r="G3" i="9"/>
  <c r="G3" i="2"/>
  <c r="F3" i="14"/>
  <c r="D36" i="5"/>
  <c r="D35" i="5"/>
  <c r="A7" i="14"/>
  <c r="B7" i="14"/>
  <c r="C7" i="14"/>
  <c r="E7" i="14"/>
  <c r="F7" i="14"/>
  <c r="G7" i="14"/>
  <c r="A8" i="14"/>
  <c r="B8" i="14"/>
  <c r="C8" i="14"/>
  <c r="E8" i="14"/>
  <c r="F8" i="14"/>
  <c r="G8" i="14"/>
  <c r="A9" i="14"/>
  <c r="B9" i="14"/>
  <c r="C9" i="14"/>
  <c r="E9" i="14"/>
  <c r="F9" i="14"/>
  <c r="G9" i="14"/>
  <c r="A10" i="14"/>
  <c r="B10" i="14"/>
  <c r="C10" i="14"/>
  <c r="E10" i="14"/>
  <c r="F10" i="14"/>
  <c r="G10" i="14"/>
  <c r="A11" i="14"/>
  <c r="B11" i="14"/>
  <c r="C11" i="14"/>
  <c r="E11" i="14"/>
  <c r="F11" i="14"/>
  <c r="G11" i="14"/>
  <c r="A12" i="14"/>
  <c r="B12" i="14"/>
  <c r="C12" i="14"/>
  <c r="E12" i="14"/>
  <c r="F12" i="14"/>
  <c r="G12" i="14"/>
  <c r="A13" i="14"/>
  <c r="B13" i="14"/>
  <c r="C13" i="14"/>
  <c r="E13" i="14"/>
  <c r="F13" i="14"/>
  <c r="G13" i="14"/>
  <c r="A14" i="14"/>
  <c r="B14" i="14"/>
  <c r="C14" i="14"/>
  <c r="E14" i="14"/>
  <c r="F14" i="14"/>
  <c r="G14" i="14"/>
  <c r="A15" i="14"/>
  <c r="B15" i="14"/>
  <c r="C15" i="14"/>
  <c r="E15" i="14"/>
  <c r="F15" i="14"/>
  <c r="G15" i="14"/>
  <c r="A16" i="14"/>
  <c r="B16" i="14"/>
  <c r="C16" i="14"/>
  <c r="E16" i="14"/>
  <c r="F16" i="14"/>
  <c r="G16" i="14"/>
  <c r="A17" i="14"/>
  <c r="B17" i="14"/>
  <c r="C17" i="14"/>
  <c r="E17" i="14"/>
  <c r="F17" i="14"/>
  <c r="G17" i="14"/>
  <c r="A18" i="14"/>
  <c r="B18" i="14"/>
  <c r="C18" i="14"/>
  <c r="E18" i="14"/>
  <c r="F18" i="14"/>
  <c r="G18" i="14"/>
  <c r="A19" i="14"/>
  <c r="B19" i="14"/>
  <c r="C19" i="14"/>
  <c r="E19" i="14"/>
  <c r="F19" i="14"/>
  <c r="G19" i="14"/>
  <c r="A20" i="14"/>
  <c r="B20" i="14"/>
  <c r="C20" i="14"/>
  <c r="E20" i="14"/>
  <c r="F20" i="14"/>
  <c r="G20" i="14"/>
  <c r="A21" i="14"/>
  <c r="B21" i="14"/>
  <c r="C21" i="14"/>
  <c r="E21" i="14"/>
  <c r="F21" i="14"/>
  <c r="G21" i="14"/>
  <c r="A22" i="14"/>
  <c r="B22" i="14"/>
  <c r="C22" i="14"/>
  <c r="E22" i="14"/>
  <c r="F22" i="14"/>
  <c r="G22" i="14"/>
  <c r="A23" i="14"/>
  <c r="B23" i="14"/>
  <c r="C23" i="14"/>
  <c r="E23" i="14"/>
  <c r="F23" i="14"/>
  <c r="G23" i="14"/>
  <c r="A24" i="14"/>
  <c r="B24" i="14"/>
  <c r="C24" i="14"/>
  <c r="E24" i="14"/>
  <c r="F24" i="14"/>
  <c r="G24" i="14"/>
  <c r="A25" i="14"/>
  <c r="B25" i="14"/>
  <c r="C25" i="14"/>
  <c r="E25" i="14"/>
  <c r="F25" i="14"/>
  <c r="G25" i="14"/>
  <c r="A26" i="14"/>
  <c r="B26" i="14"/>
  <c r="C26" i="14"/>
  <c r="E26" i="14"/>
  <c r="F26" i="14"/>
  <c r="G26" i="14"/>
  <c r="A27" i="14"/>
  <c r="B27" i="14"/>
  <c r="C27" i="14"/>
  <c r="E27" i="14"/>
  <c r="F27" i="14"/>
  <c r="G27" i="14"/>
  <c r="A28" i="14"/>
  <c r="B28" i="14"/>
  <c r="C28" i="14"/>
  <c r="E28" i="14"/>
  <c r="F28" i="14"/>
  <c r="G28" i="14"/>
  <c r="A29" i="14"/>
  <c r="B29" i="14"/>
  <c r="C29" i="14"/>
  <c r="E29" i="14"/>
  <c r="F29" i="14"/>
  <c r="G29" i="14"/>
  <c r="A30" i="14"/>
  <c r="B30" i="14"/>
  <c r="C30" i="14"/>
  <c r="E30" i="14"/>
  <c r="F30" i="14"/>
  <c r="G30" i="14"/>
  <c r="A31" i="14"/>
  <c r="B31" i="14"/>
  <c r="C31" i="14"/>
  <c r="E31" i="14"/>
  <c r="F31" i="14"/>
  <c r="G31" i="14"/>
  <c r="A32" i="14"/>
  <c r="B32" i="14"/>
  <c r="C32" i="14"/>
  <c r="E32" i="14"/>
  <c r="F32" i="14"/>
  <c r="G32" i="14"/>
  <c r="A33" i="14"/>
  <c r="B33" i="14"/>
  <c r="C33" i="14"/>
  <c r="E33" i="14"/>
  <c r="F33" i="14"/>
  <c r="G33" i="14"/>
  <c r="A34" i="14"/>
  <c r="B34" i="14"/>
  <c r="C34" i="14"/>
  <c r="E34" i="14"/>
  <c r="F34" i="14"/>
  <c r="G34" i="14"/>
  <c r="A35" i="14"/>
  <c r="B35" i="14"/>
  <c r="C35" i="14"/>
  <c r="E35" i="14"/>
  <c r="F35" i="14"/>
  <c r="G35" i="14"/>
  <c r="A36" i="14"/>
  <c r="B36" i="14"/>
  <c r="C36" i="14"/>
  <c r="E36" i="14"/>
  <c r="F36" i="14"/>
  <c r="G36" i="14"/>
  <c r="A37" i="14"/>
  <c r="B37" i="14"/>
  <c r="C37" i="14"/>
  <c r="E37" i="14"/>
  <c r="F37" i="14"/>
  <c r="G37" i="14"/>
  <c r="A38" i="14"/>
  <c r="B38" i="14"/>
  <c r="C38" i="14"/>
  <c r="E38" i="14"/>
  <c r="F38" i="14"/>
  <c r="G38" i="14"/>
  <c r="A39" i="14"/>
  <c r="B39" i="14"/>
  <c r="C39" i="14"/>
  <c r="E39" i="14"/>
  <c r="F39" i="14"/>
  <c r="G39" i="14"/>
  <c r="A40" i="14"/>
  <c r="B40" i="14"/>
  <c r="C40" i="14"/>
  <c r="E40" i="14"/>
  <c r="F40" i="14"/>
  <c r="G40" i="14"/>
  <c r="A41" i="14"/>
  <c r="B41" i="14"/>
  <c r="C41" i="14"/>
  <c r="E41" i="14"/>
  <c r="F41" i="14"/>
  <c r="G41" i="14"/>
  <c r="A42" i="14"/>
  <c r="B42" i="14"/>
  <c r="C42" i="14"/>
  <c r="E42" i="14"/>
  <c r="F42" i="14"/>
  <c r="G42" i="14"/>
  <c r="A43" i="14"/>
  <c r="B43" i="14"/>
  <c r="C43" i="14"/>
  <c r="E43" i="14"/>
  <c r="F43" i="14"/>
  <c r="G43" i="14"/>
  <c r="A44" i="14"/>
  <c r="B44" i="14"/>
  <c r="C44" i="14"/>
  <c r="E44" i="14"/>
  <c r="F44" i="14"/>
  <c r="G44" i="14"/>
  <c r="A45" i="14"/>
  <c r="B45" i="14"/>
  <c r="C45" i="14"/>
  <c r="E45" i="14"/>
  <c r="F45" i="14"/>
  <c r="G45" i="14"/>
  <c r="A46" i="14"/>
  <c r="B46" i="14"/>
  <c r="C46" i="14"/>
  <c r="E46" i="14"/>
  <c r="F46" i="14"/>
  <c r="G46" i="14"/>
  <c r="A47" i="14"/>
  <c r="B47" i="14"/>
  <c r="C47" i="14"/>
  <c r="E47" i="14"/>
  <c r="F47" i="14"/>
  <c r="G47" i="14"/>
  <c r="A48" i="14"/>
  <c r="B48" i="14"/>
  <c r="C48" i="14"/>
  <c r="E48" i="14"/>
  <c r="F48" i="14"/>
  <c r="G48" i="14"/>
  <c r="A49" i="14"/>
  <c r="B49" i="14"/>
  <c r="C49" i="14"/>
  <c r="E49" i="14"/>
  <c r="F49" i="14"/>
  <c r="G49" i="14"/>
  <c r="A50" i="14"/>
  <c r="B50" i="14"/>
  <c r="C50" i="14"/>
  <c r="E50" i="14"/>
  <c r="F50" i="14"/>
  <c r="G50" i="14"/>
  <c r="A51" i="14"/>
  <c r="B51" i="14"/>
  <c r="C51" i="14"/>
  <c r="E51" i="14"/>
  <c r="F51" i="14"/>
  <c r="G51" i="14"/>
  <c r="A52" i="14"/>
  <c r="B52" i="14"/>
  <c r="C52" i="14"/>
  <c r="E52" i="14"/>
  <c r="F52" i="14"/>
  <c r="G52" i="14"/>
  <c r="A53" i="14"/>
  <c r="B53" i="14"/>
  <c r="C53" i="14"/>
  <c r="E53" i="14"/>
  <c r="F53" i="14"/>
  <c r="G53" i="14"/>
  <c r="A54" i="14"/>
  <c r="B54" i="14"/>
  <c r="C54" i="14"/>
  <c r="E54" i="14"/>
  <c r="F54" i="14"/>
  <c r="G54" i="14"/>
  <c r="A55" i="14"/>
  <c r="B55" i="14"/>
  <c r="C55" i="14"/>
  <c r="E55" i="14"/>
  <c r="F55" i="14"/>
  <c r="G55" i="14"/>
  <c r="A56" i="14"/>
  <c r="B56" i="14"/>
  <c r="C56" i="14"/>
  <c r="E56" i="14"/>
  <c r="F56" i="14"/>
  <c r="G56" i="14"/>
  <c r="A57" i="14"/>
  <c r="B57" i="14"/>
  <c r="C57" i="14"/>
  <c r="E57" i="14"/>
  <c r="F57" i="14"/>
  <c r="G57" i="14"/>
  <c r="A58" i="14"/>
  <c r="B58" i="14"/>
  <c r="C58" i="14"/>
  <c r="E58" i="14"/>
  <c r="F58" i="14"/>
  <c r="G58" i="14"/>
  <c r="A59" i="14"/>
  <c r="B59" i="14"/>
  <c r="C59" i="14"/>
  <c r="E59" i="14"/>
  <c r="F59" i="14"/>
  <c r="G59" i="14"/>
  <c r="A60" i="14"/>
  <c r="B60" i="14"/>
  <c r="C60" i="14"/>
  <c r="E60" i="14"/>
  <c r="F60" i="14"/>
  <c r="G60" i="14"/>
  <c r="A61" i="14"/>
  <c r="B61" i="14"/>
  <c r="C61" i="14"/>
  <c r="E61" i="14"/>
  <c r="F61" i="14"/>
  <c r="G61" i="14"/>
  <c r="A62" i="14"/>
  <c r="B62" i="14"/>
  <c r="C62" i="14"/>
  <c r="E62" i="14"/>
  <c r="F62" i="14"/>
  <c r="G62" i="14"/>
  <c r="A63" i="14"/>
  <c r="B63" i="14"/>
  <c r="C63" i="14"/>
  <c r="E63" i="14"/>
  <c r="F63" i="14"/>
  <c r="G63" i="14"/>
  <c r="A64" i="14"/>
  <c r="B64" i="14"/>
  <c r="C64" i="14"/>
  <c r="E64" i="14"/>
  <c r="F64" i="14"/>
  <c r="G64" i="14"/>
  <c r="A65" i="14"/>
  <c r="B65" i="14"/>
  <c r="C65" i="14"/>
  <c r="E65" i="14"/>
  <c r="F65" i="14"/>
  <c r="G65" i="14"/>
  <c r="A66" i="14"/>
  <c r="B66" i="14"/>
  <c r="C66" i="14"/>
  <c r="E66" i="14"/>
  <c r="F66" i="14"/>
  <c r="G66" i="14"/>
  <c r="A67" i="14"/>
  <c r="B67" i="14"/>
  <c r="C67" i="14"/>
  <c r="E67" i="14"/>
  <c r="F67" i="14"/>
  <c r="G67" i="14"/>
  <c r="A68" i="14"/>
  <c r="B68" i="14"/>
  <c r="C68" i="14"/>
  <c r="E68" i="14"/>
  <c r="F68" i="14"/>
  <c r="G68" i="14"/>
  <c r="A69" i="14"/>
  <c r="B69" i="14"/>
  <c r="C69" i="14"/>
  <c r="E69" i="14"/>
  <c r="F69" i="14"/>
  <c r="G69" i="14"/>
  <c r="A70" i="14"/>
  <c r="B70" i="14"/>
  <c r="C70" i="14"/>
  <c r="E70" i="14"/>
  <c r="F70" i="14"/>
  <c r="G70" i="14"/>
  <c r="A71" i="14"/>
  <c r="B71" i="14"/>
  <c r="C71" i="14"/>
  <c r="E71" i="14"/>
  <c r="F71" i="14"/>
  <c r="G71" i="14"/>
  <c r="A72" i="14"/>
  <c r="B72" i="14"/>
  <c r="C72" i="14"/>
  <c r="E72" i="14"/>
  <c r="F72" i="14"/>
  <c r="G72" i="14"/>
  <c r="A73" i="14"/>
  <c r="B73" i="14"/>
  <c r="C73" i="14"/>
  <c r="E73" i="14"/>
  <c r="F73" i="14"/>
  <c r="G73" i="14"/>
  <c r="A74" i="14"/>
  <c r="B74" i="14"/>
  <c r="C74" i="14"/>
  <c r="E74" i="14"/>
  <c r="F74" i="14"/>
  <c r="G74" i="14"/>
  <c r="A75" i="14"/>
  <c r="B75" i="14"/>
  <c r="C75" i="14"/>
  <c r="E75" i="14"/>
  <c r="F75" i="14"/>
  <c r="G75" i="14"/>
  <c r="A76" i="14"/>
  <c r="B76" i="14"/>
  <c r="C76" i="14"/>
  <c r="E76" i="14"/>
  <c r="F76" i="14"/>
  <c r="G76" i="14"/>
  <c r="A77" i="14"/>
  <c r="B77" i="14"/>
  <c r="C77" i="14"/>
  <c r="E77" i="14"/>
  <c r="F77" i="14"/>
  <c r="G77" i="14"/>
  <c r="A78" i="14"/>
  <c r="B78" i="14"/>
  <c r="C78" i="14"/>
  <c r="E78" i="14"/>
  <c r="F78" i="14"/>
  <c r="G78" i="14"/>
  <c r="A79" i="14"/>
  <c r="B79" i="14"/>
  <c r="C79" i="14"/>
  <c r="E79" i="14"/>
  <c r="F79" i="14"/>
  <c r="G79" i="14"/>
  <c r="A80" i="14"/>
  <c r="B80" i="14"/>
  <c r="C80" i="14"/>
  <c r="E80" i="14"/>
  <c r="F80" i="14"/>
  <c r="G80" i="14"/>
  <c r="A81" i="14"/>
  <c r="B81" i="14"/>
  <c r="C81" i="14"/>
  <c r="E81" i="14"/>
  <c r="F81" i="14"/>
  <c r="G81" i="14"/>
  <c r="A82" i="14"/>
  <c r="B82" i="14"/>
  <c r="C82" i="14"/>
  <c r="E82" i="14"/>
  <c r="F82" i="14"/>
  <c r="G82" i="14"/>
  <c r="A83" i="14"/>
  <c r="B83" i="14"/>
  <c r="C83" i="14"/>
  <c r="E83" i="14"/>
  <c r="F83" i="14"/>
  <c r="G83" i="14"/>
  <c r="A84" i="14"/>
  <c r="B84" i="14"/>
  <c r="C84" i="14"/>
  <c r="E84" i="14"/>
  <c r="F84" i="14"/>
  <c r="G84" i="14"/>
  <c r="A85" i="14"/>
  <c r="B85" i="14"/>
  <c r="C85" i="14"/>
  <c r="E85" i="14"/>
  <c r="F85" i="14"/>
  <c r="G85" i="14"/>
  <c r="A86" i="14"/>
  <c r="B86" i="14"/>
  <c r="C86" i="14"/>
  <c r="E86" i="14"/>
  <c r="F86" i="14"/>
  <c r="G86" i="14"/>
  <c r="A87" i="14"/>
  <c r="B87" i="14"/>
  <c r="C87" i="14"/>
  <c r="E87" i="14"/>
  <c r="F87" i="14"/>
  <c r="G87" i="14"/>
  <c r="A88" i="14"/>
  <c r="B88" i="14"/>
  <c r="C88" i="14"/>
  <c r="E88" i="14"/>
  <c r="F88" i="14"/>
  <c r="G88" i="14"/>
  <c r="A89" i="14"/>
  <c r="B89" i="14"/>
  <c r="C89" i="14"/>
  <c r="E89" i="14"/>
  <c r="F89" i="14"/>
  <c r="G89" i="14"/>
  <c r="A90" i="14"/>
  <c r="B90" i="14"/>
  <c r="C90" i="14"/>
  <c r="E90" i="14"/>
  <c r="F90" i="14"/>
  <c r="G90" i="14"/>
  <c r="A91" i="14"/>
  <c r="B91" i="14"/>
  <c r="C91" i="14"/>
  <c r="E91" i="14"/>
  <c r="F91" i="14"/>
  <c r="G91" i="14"/>
  <c r="A92" i="14"/>
  <c r="B92" i="14"/>
  <c r="C92" i="14"/>
  <c r="E92" i="14"/>
  <c r="F92" i="14"/>
  <c r="G92" i="14"/>
  <c r="A93" i="14"/>
  <c r="B93" i="14"/>
  <c r="C93" i="14"/>
  <c r="E93" i="14"/>
  <c r="F93" i="14"/>
  <c r="G93" i="14"/>
  <c r="A94" i="14"/>
  <c r="B94" i="14"/>
  <c r="C94" i="14"/>
  <c r="E94" i="14"/>
  <c r="F94" i="14"/>
  <c r="G94" i="14"/>
  <c r="A95" i="14"/>
  <c r="B95" i="14"/>
  <c r="C95" i="14"/>
  <c r="E95" i="14"/>
  <c r="F95" i="14"/>
  <c r="G95" i="14"/>
  <c r="A96" i="14"/>
  <c r="B96" i="14"/>
  <c r="C96" i="14"/>
  <c r="E96" i="14"/>
  <c r="F96" i="14"/>
  <c r="G96" i="14"/>
  <c r="A97" i="14"/>
  <c r="B97" i="14"/>
  <c r="C97" i="14"/>
  <c r="E97" i="14"/>
  <c r="F97" i="14"/>
  <c r="G97" i="14"/>
  <c r="A98" i="14"/>
  <c r="B98" i="14"/>
  <c r="C98" i="14"/>
  <c r="E98" i="14"/>
  <c r="F98" i="14"/>
  <c r="G98" i="14"/>
  <c r="A99" i="14"/>
  <c r="B99" i="14"/>
  <c r="C99" i="14"/>
  <c r="E99" i="14"/>
  <c r="F99" i="14"/>
  <c r="G99" i="14"/>
  <c r="A100" i="14"/>
  <c r="B100" i="14"/>
  <c r="C100" i="14"/>
  <c r="E100" i="14"/>
  <c r="F100" i="14"/>
  <c r="G100" i="14"/>
  <c r="A101" i="14"/>
  <c r="B101" i="14"/>
  <c r="C101" i="14"/>
  <c r="E101" i="14"/>
  <c r="F101" i="14"/>
  <c r="G101" i="14"/>
  <c r="A102" i="14"/>
  <c r="B102" i="14"/>
  <c r="C102" i="14"/>
  <c r="E102" i="14"/>
  <c r="F102" i="14"/>
  <c r="G102" i="14"/>
  <c r="A103" i="14"/>
  <c r="B103" i="14"/>
  <c r="C103" i="14"/>
  <c r="E103" i="14"/>
  <c r="F103" i="14"/>
  <c r="G103" i="14"/>
  <c r="A104" i="14"/>
  <c r="B104" i="14"/>
  <c r="C104" i="14"/>
  <c r="E104" i="14"/>
  <c r="F104" i="14"/>
  <c r="G104" i="14"/>
  <c r="A105" i="14"/>
  <c r="B105" i="14"/>
  <c r="C105" i="14"/>
  <c r="E105" i="14"/>
  <c r="F105" i="14"/>
  <c r="G105" i="14"/>
  <c r="A106" i="14"/>
  <c r="B106" i="14"/>
  <c r="C106" i="14"/>
  <c r="D106" i="14"/>
  <c r="E106" i="14"/>
  <c r="F106" i="14"/>
  <c r="G106" i="14"/>
  <c r="A107" i="14"/>
  <c r="B107" i="14"/>
  <c r="C107" i="14"/>
  <c r="D107" i="14"/>
  <c r="E107" i="14"/>
  <c r="F107" i="14"/>
  <c r="G107" i="14"/>
  <c r="A108" i="14"/>
  <c r="B108" i="14"/>
  <c r="C108" i="14"/>
  <c r="D108" i="14"/>
  <c r="E108" i="14"/>
  <c r="F108" i="14"/>
  <c r="G108" i="14"/>
  <c r="A109" i="14"/>
  <c r="B109" i="14"/>
  <c r="C109" i="14"/>
  <c r="D109" i="14"/>
  <c r="E109" i="14"/>
  <c r="F109" i="14"/>
  <c r="G109" i="14"/>
  <c r="A110" i="14"/>
  <c r="B110" i="14"/>
  <c r="C110" i="14"/>
  <c r="E110" i="14"/>
  <c r="F110" i="14"/>
  <c r="G110" i="14"/>
  <c r="A111" i="14"/>
  <c r="B111" i="14"/>
  <c r="C111" i="14"/>
  <c r="E111" i="14"/>
  <c r="F111" i="14"/>
  <c r="G111" i="14"/>
  <c r="A112" i="14"/>
  <c r="B112" i="14"/>
  <c r="C112" i="14"/>
  <c r="E112" i="14"/>
  <c r="F112" i="14"/>
  <c r="G112" i="14"/>
  <c r="A113" i="14"/>
  <c r="B113" i="14"/>
  <c r="C113" i="14"/>
  <c r="E113" i="14"/>
  <c r="F113" i="14"/>
  <c r="G113" i="14"/>
  <c r="A6" i="14"/>
  <c r="B6" i="14"/>
  <c r="C6" i="14"/>
  <c r="E6" i="14"/>
  <c r="F6" i="14"/>
  <c r="G6" i="14"/>
  <c r="D38" i="12"/>
  <c r="D37" i="12"/>
  <c r="D113" i="14"/>
  <c r="D112" i="14"/>
  <c r="D111" i="14"/>
  <c r="D36" i="12"/>
  <c r="D35" i="12"/>
  <c r="D34" i="12"/>
  <c r="D33" i="12"/>
  <c r="N53" i="8"/>
  <c r="D34" i="5"/>
  <c r="D33" i="5"/>
  <c r="D32" i="5"/>
  <c r="D31" i="5"/>
  <c r="D30" i="5"/>
  <c r="D29" i="5"/>
  <c r="D28" i="5"/>
  <c r="D27" i="5"/>
  <c r="D26" i="5"/>
  <c r="D25" i="5"/>
  <c r="D24" i="5"/>
  <c r="D23" i="5"/>
  <c r="D110" i="14"/>
  <c r="J40" i="8"/>
  <c r="D44" i="12"/>
  <c r="D39" i="12"/>
  <c r="D18" i="12"/>
  <c r="D17" i="12"/>
  <c r="D16" i="12"/>
  <c r="D15" i="12"/>
  <c r="D14" i="12"/>
  <c r="D1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L16" i="12"/>
  <c r="K16" i="12"/>
  <c r="D44" i="5"/>
  <c r="L16" i="5"/>
  <c r="K16" i="5"/>
  <c r="A7" i="10"/>
  <c r="B7" i="10"/>
  <c r="C7" i="10"/>
  <c r="E7" i="10"/>
  <c r="F7" i="10"/>
  <c r="G7" i="10"/>
  <c r="A8" i="10"/>
  <c r="B8" i="10"/>
  <c r="C8" i="10"/>
  <c r="E8" i="10"/>
  <c r="F8" i="10"/>
  <c r="G8" i="10"/>
  <c r="A9" i="10"/>
  <c r="B9" i="10"/>
  <c r="C9" i="10"/>
  <c r="E9" i="10"/>
  <c r="F9" i="10"/>
  <c r="G9" i="10"/>
  <c r="A10" i="10"/>
  <c r="B10" i="10"/>
  <c r="C10" i="10"/>
  <c r="E10" i="10"/>
  <c r="F10" i="10"/>
  <c r="G10" i="10"/>
  <c r="A11" i="10"/>
  <c r="B11" i="10"/>
  <c r="C11" i="10"/>
  <c r="E11" i="10"/>
  <c r="F11" i="10"/>
  <c r="G11" i="10"/>
  <c r="A12" i="10"/>
  <c r="B12" i="10"/>
  <c r="C12" i="10"/>
  <c r="E12" i="10"/>
  <c r="F12" i="10"/>
  <c r="G12" i="10"/>
  <c r="A13" i="10"/>
  <c r="B13" i="10"/>
  <c r="C13" i="10"/>
  <c r="E13" i="10"/>
  <c r="F13" i="10"/>
  <c r="G13" i="10"/>
  <c r="A14" i="10"/>
  <c r="B14" i="10"/>
  <c r="C14" i="10"/>
  <c r="E14" i="10"/>
  <c r="F14" i="10"/>
  <c r="G14" i="10"/>
  <c r="A15" i="10"/>
  <c r="B15" i="10"/>
  <c r="C15" i="10"/>
  <c r="D15" i="10"/>
  <c r="E15" i="10"/>
  <c r="F15" i="10"/>
  <c r="G15" i="10"/>
  <c r="A16" i="10"/>
  <c r="B16" i="10"/>
  <c r="C16" i="10"/>
  <c r="D16" i="10"/>
  <c r="E16" i="10"/>
  <c r="F16" i="10"/>
  <c r="G16" i="10"/>
  <c r="A17" i="10"/>
  <c r="B17" i="10"/>
  <c r="C17" i="10"/>
  <c r="D17" i="10"/>
  <c r="E17" i="10"/>
  <c r="F17" i="10"/>
  <c r="G17" i="10"/>
  <c r="A18" i="10"/>
  <c r="B18" i="10"/>
  <c r="C18" i="10"/>
  <c r="D18" i="10"/>
  <c r="E18" i="10"/>
  <c r="F18" i="10"/>
  <c r="G18" i="10"/>
  <c r="A19" i="10"/>
  <c r="B19" i="10"/>
  <c r="C19" i="10"/>
  <c r="D19" i="10"/>
  <c r="E19" i="10"/>
  <c r="F19" i="10"/>
  <c r="G19" i="10"/>
  <c r="A20" i="10"/>
  <c r="B20" i="10"/>
  <c r="C20" i="10"/>
  <c r="D20" i="10"/>
  <c r="E20" i="10"/>
  <c r="F20" i="10"/>
  <c r="G20" i="10"/>
  <c r="A21" i="10"/>
  <c r="B21" i="10"/>
  <c r="C21" i="10"/>
  <c r="D21" i="10"/>
  <c r="E21" i="10"/>
  <c r="F21" i="10"/>
  <c r="G21" i="10"/>
  <c r="A22" i="10"/>
  <c r="B22" i="10"/>
  <c r="C22" i="10"/>
  <c r="D22" i="10"/>
  <c r="E22" i="10"/>
  <c r="F22" i="10"/>
  <c r="G22" i="10"/>
  <c r="A23" i="10"/>
  <c r="B23" i="10"/>
  <c r="C23" i="10"/>
  <c r="D23" i="10"/>
  <c r="E23" i="10"/>
  <c r="F23" i="10"/>
  <c r="G23" i="10"/>
  <c r="A24" i="10"/>
  <c r="B24" i="10"/>
  <c r="C24" i="10"/>
  <c r="D24" i="10"/>
  <c r="E24" i="10"/>
  <c r="F24" i="10"/>
  <c r="G24" i="10"/>
  <c r="A25" i="10"/>
  <c r="B25" i="10"/>
  <c r="C25" i="10"/>
  <c r="D25" i="10"/>
  <c r="E25" i="10"/>
  <c r="F25" i="10"/>
  <c r="G25" i="10"/>
  <c r="A26" i="10"/>
  <c r="B26" i="10"/>
  <c r="C26" i="10"/>
  <c r="D26" i="10"/>
  <c r="E26" i="10"/>
  <c r="F26" i="10"/>
  <c r="G26" i="10"/>
  <c r="A27" i="10"/>
  <c r="B27" i="10"/>
  <c r="C27" i="10"/>
  <c r="D27" i="10"/>
  <c r="E27" i="10"/>
  <c r="F27" i="10"/>
  <c r="G27" i="10"/>
  <c r="A28" i="10"/>
  <c r="B28" i="10"/>
  <c r="C28" i="10"/>
  <c r="D28" i="10"/>
  <c r="E28" i="10"/>
  <c r="F28" i="10"/>
  <c r="G28" i="10"/>
  <c r="A29" i="10"/>
  <c r="B29" i="10"/>
  <c r="C29" i="10"/>
  <c r="D29" i="10"/>
  <c r="E29" i="10"/>
  <c r="F29" i="10"/>
  <c r="G29" i="10"/>
  <c r="A30" i="10"/>
  <c r="B30" i="10"/>
  <c r="C30" i="10"/>
  <c r="D30" i="10"/>
  <c r="E30" i="10"/>
  <c r="F30" i="10"/>
  <c r="G30" i="10"/>
  <c r="A31" i="10"/>
  <c r="B31" i="10"/>
  <c r="C31" i="10"/>
  <c r="D31" i="10"/>
  <c r="E31" i="10"/>
  <c r="F31" i="10"/>
  <c r="G31" i="10"/>
  <c r="A32" i="10"/>
  <c r="B32" i="10"/>
  <c r="C32" i="10"/>
  <c r="D32" i="10"/>
  <c r="E32" i="10"/>
  <c r="F32" i="10"/>
  <c r="G32" i="10"/>
  <c r="A33" i="10"/>
  <c r="B33" i="10"/>
  <c r="C33" i="10"/>
  <c r="E33" i="10"/>
  <c r="F33" i="10"/>
  <c r="G33" i="10"/>
  <c r="A34" i="10"/>
  <c r="B34" i="10"/>
  <c r="C34" i="10"/>
  <c r="E34" i="10"/>
  <c r="F34" i="10"/>
  <c r="G34" i="10"/>
  <c r="A35" i="10"/>
  <c r="B35" i="10"/>
  <c r="C35" i="10"/>
  <c r="E35" i="10"/>
  <c r="F35" i="10"/>
  <c r="G35" i="10"/>
  <c r="A36" i="10"/>
  <c r="B36" i="10"/>
  <c r="C36" i="10"/>
  <c r="E36" i="10"/>
  <c r="F36" i="10"/>
  <c r="G36" i="10"/>
  <c r="A37" i="10"/>
  <c r="B37" i="10"/>
  <c r="C37" i="10"/>
  <c r="E37" i="10"/>
  <c r="F37" i="10"/>
  <c r="G37" i="10"/>
  <c r="A38" i="10"/>
  <c r="B38" i="10"/>
  <c r="C38" i="10"/>
  <c r="E38" i="10"/>
  <c r="F38" i="10"/>
  <c r="G38" i="10"/>
  <c r="A39" i="10"/>
  <c r="B39" i="10"/>
  <c r="C39" i="10"/>
  <c r="E39" i="10"/>
  <c r="F39" i="10"/>
  <c r="G39" i="10"/>
  <c r="A40" i="10"/>
  <c r="B40" i="10"/>
  <c r="C40" i="10"/>
  <c r="E40" i="10"/>
  <c r="F40" i="10"/>
  <c r="G40" i="10"/>
  <c r="A41" i="10"/>
  <c r="B41" i="10"/>
  <c r="C41" i="10"/>
  <c r="E41" i="10"/>
  <c r="F41" i="10"/>
  <c r="G41" i="10"/>
  <c r="A42" i="10"/>
  <c r="B42" i="10"/>
  <c r="C42" i="10"/>
  <c r="E42" i="10"/>
  <c r="F42" i="10"/>
  <c r="G42" i="10"/>
  <c r="A43" i="10"/>
  <c r="B43" i="10"/>
  <c r="C43" i="10"/>
  <c r="E43" i="10"/>
  <c r="F43" i="10"/>
  <c r="G43" i="10"/>
  <c r="A44" i="10"/>
  <c r="B44" i="10"/>
  <c r="C44" i="10"/>
  <c r="E44" i="10"/>
  <c r="F44" i="10"/>
  <c r="G44" i="10"/>
  <c r="A45" i="10"/>
  <c r="B45" i="10"/>
  <c r="C45" i="10"/>
  <c r="E45" i="10"/>
  <c r="F45" i="10"/>
  <c r="G45" i="10"/>
  <c r="A46" i="10"/>
  <c r="B46" i="10"/>
  <c r="C46" i="10"/>
  <c r="E46" i="10"/>
  <c r="F46" i="10"/>
  <c r="G46" i="10"/>
  <c r="A47" i="10"/>
  <c r="B47" i="10"/>
  <c r="C47" i="10"/>
  <c r="E47" i="10"/>
  <c r="F47" i="10"/>
  <c r="G47" i="10"/>
  <c r="A48" i="10"/>
  <c r="B48" i="10"/>
  <c r="C48" i="10"/>
  <c r="E48" i="10"/>
  <c r="F48" i="10"/>
  <c r="G48" i="10"/>
  <c r="A49" i="10"/>
  <c r="B49" i="10"/>
  <c r="C49" i="10"/>
  <c r="E49" i="10"/>
  <c r="F49" i="10"/>
  <c r="G49" i="10"/>
  <c r="A50" i="10"/>
  <c r="B50" i="10"/>
  <c r="C50" i="10"/>
  <c r="E50" i="10"/>
  <c r="F50" i="10"/>
  <c r="G50" i="10"/>
  <c r="A51" i="10"/>
  <c r="B51" i="10"/>
  <c r="C51" i="10"/>
  <c r="E51" i="10"/>
  <c r="F51" i="10"/>
  <c r="G51" i="10"/>
  <c r="A52" i="10"/>
  <c r="B52" i="10"/>
  <c r="C52" i="10"/>
  <c r="E52" i="10"/>
  <c r="F52" i="10"/>
  <c r="G52" i="10"/>
  <c r="A53" i="10"/>
  <c r="B53" i="10"/>
  <c r="C53" i="10"/>
  <c r="E53" i="10"/>
  <c r="F53" i="10"/>
  <c r="G53" i="10"/>
  <c r="A54" i="10"/>
  <c r="B54" i="10"/>
  <c r="C54" i="10"/>
  <c r="E54" i="10"/>
  <c r="F54" i="10"/>
  <c r="G54" i="10"/>
  <c r="A55" i="10"/>
  <c r="B55" i="10"/>
  <c r="C55" i="10"/>
  <c r="E55" i="10"/>
  <c r="F55" i="10"/>
  <c r="G55" i="10"/>
  <c r="A56" i="10"/>
  <c r="B56" i="10"/>
  <c r="C56" i="10"/>
  <c r="E56" i="10"/>
  <c r="F56" i="10"/>
  <c r="G56" i="10"/>
  <c r="A57" i="10"/>
  <c r="B57" i="10"/>
  <c r="C57" i="10"/>
  <c r="E57" i="10"/>
  <c r="F57" i="10"/>
  <c r="G57" i="10"/>
  <c r="A58" i="10"/>
  <c r="B58" i="10"/>
  <c r="C58" i="10"/>
  <c r="E58" i="10"/>
  <c r="F58" i="10"/>
  <c r="G58" i="10"/>
  <c r="A59" i="10"/>
  <c r="B59" i="10"/>
  <c r="C59" i="10"/>
  <c r="E59" i="10"/>
  <c r="F59" i="10"/>
  <c r="G59" i="10"/>
  <c r="A60" i="10"/>
  <c r="B60" i="10"/>
  <c r="C60" i="10"/>
  <c r="E60" i="10"/>
  <c r="F60" i="10"/>
  <c r="G60" i="10"/>
  <c r="A61" i="10"/>
  <c r="B61" i="10"/>
  <c r="C61" i="10"/>
  <c r="E61" i="10"/>
  <c r="F61" i="10"/>
  <c r="G61" i="10"/>
  <c r="A62" i="10"/>
  <c r="B62" i="10"/>
  <c r="C62" i="10"/>
  <c r="E62" i="10"/>
  <c r="F62" i="10"/>
  <c r="G62" i="10"/>
  <c r="A63" i="10"/>
  <c r="B63" i="10"/>
  <c r="C63" i="10"/>
  <c r="E63" i="10"/>
  <c r="F63" i="10"/>
  <c r="G63" i="10"/>
  <c r="A64" i="10"/>
  <c r="B64" i="10"/>
  <c r="C64" i="10"/>
  <c r="E64" i="10"/>
  <c r="F64" i="10"/>
  <c r="G64" i="10"/>
  <c r="A65" i="10"/>
  <c r="B65" i="10"/>
  <c r="C65" i="10"/>
  <c r="E65" i="10"/>
  <c r="F65" i="10"/>
  <c r="G65" i="10"/>
  <c r="A66" i="10"/>
  <c r="B66" i="10"/>
  <c r="C66" i="10"/>
  <c r="E66" i="10"/>
  <c r="F66" i="10"/>
  <c r="G66" i="10"/>
  <c r="A67" i="10"/>
  <c r="B67" i="10"/>
  <c r="C67" i="10"/>
  <c r="E67" i="10"/>
  <c r="F67" i="10"/>
  <c r="G67" i="10"/>
  <c r="A68" i="10"/>
  <c r="B68" i="10"/>
  <c r="C68" i="10"/>
  <c r="E68" i="10"/>
  <c r="F68" i="10"/>
  <c r="G68" i="10"/>
  <c r="A69" i="10"/>
  <c r="B69" i="10"/>
  <c r="C69" i="10"/>
  <c r="E69" i="10"/>
  <c r="F69" i="10"/>
  <c r="G69" i="10"/>
  <c r="A70" i="10"/>
  <c r="B70" i="10"/>
  <c r="C70" i="10"/>
  <c r="E70" i="10"/>
  <c r="F70" i="10"/>
  <c r="G70" i="10"/>
  <c r="A71" i="10"/>
  <c r="B71" i="10"/>
  <c r="C71" i="10"/>
  <c r="E71" i="10"/>
  <c r="F71" i="10"/>
  <c r="G71" i="10"/>
  <c r="M16" i="9"/>
  <c r="E15" i="4" s="1"/>
  <c r="L16" i="9"/>
  <c r="F15" i="4" s="1"/>
  <c r="M18" i="2"/>
  <c r="L18" i="2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M16" i="13"/>
  <c r="L16" i="13"/>
  <c r="J51" i="7"/>
  <c r="J50" i="7"/>
  <c r="D15" i="4" l="1"/>
  <c r="H15" i="4" s="1"/>
  <c r="C15" i="4"/>
  <c r="C15" i="6" s="1"/>
  <c r="F15" i="6"/>
  <c r="E15" i="6"/>
  <c r="N9" i="6"/>
  <c r="D12" i="14"/>
  <c r="G15" i="4" l="1"/>
  <c r="I15" i="4" s="1"/>
  <c r="G15" i="6"/>
  <c r="D51" i="8"/>
  <c r="D15" i="6"/>
  <c r="H15" i="6" s="1"/>
  <c r="D6" i="14"/>
  <c r="D7" i="14"/>
  <c r="D8" i="14"/>
  <c r="D9" i="14"/>
  <c r="D10" i="14"/>
  <c r="D11" i="14"/>
  <c r="D13" i="14"/>
  <c r="D14" i="14"/>
  <c r="D15" i="14"/>
  <c r="D43" i="12"/>
  <c r="L31" i="12"/>
  <c r="K31" i="12"/>
  <c r="D43" i="5"/>
  <c r="L31" i="5"/>
  <c r="K31" i="5"/>
  <c r="M31" i="9"/>
  <c r="E30" i="4" s="1"/>
  <c r="L31" i="9"/>
  <c r="F30" i="4" s="1"/>
  <c r="M33" i="2"/>
  <c r="L33" i="2"/>
  <c r="M31" i="13"/>
  <c r="L31" i="13"/>
  <c r="L24" i="12"/>
  <c r="L25" i="12"/>
  <c r="D30" i="4" l="1"/>
  <c r="D30" i="6" s="1"/>
  <c r="C30" i="4"/>
  <c r="C30" i="6" s="1"/>
  <c r="B51" i="8"/>
  <c r="F51" i="8" s="1"/>
  <c r="H51" i="8" s="1"/>
  <c r="I15" i="6"/>
  <c r="F30" i="6"/>
  <c r="E30" i="6"/>
  <c r="H34" i="15"/>
  <c r="H33" i="15"/>
  <c r="F36" i="15"/>
  <c r="D36" i="15"/>
  <c r="C36" i="15"/>
  <c r="H28" i="15"/>
  <c r="H26" i="15"/>
  <c r="F29" i="15"/>
  <c r="D29" i="15"/>
  <c r="C29" i="15"/>
  <c r="H22" i="15"/>
  <c r="H21" i="15"/>
  <c r="H20" i="15"/>
  <c r="H19" i="15"/>
  <c r="H18" i="15"/>
  <c r="H17" i="15"/>
  <c r="H16" i="15"/>
  <c r="F23" i="15"/>
  <c r="C23" i="15"/>
  <c r="H30" i="4" l="1"/>
  <c r="H30" i="6"/>
  <c r="G36" i="15"/>
  <c r="H32" i="15"/>
  <c r="H36" i="15" s="1"/>
  <c r="H23" i="15"/>
  <c r="G23" i="15"/>
  <c r="G30" i="4"/>
  <c r="E21" i="8"/>
  <c r="G30" i="6"/>
  <c r="G29" i="15"/>
  <c r="H27" i="15"/>
  <c r="H29" i="15" s="1"/>
  <c r="D23" i="15"/>
  <c r="H7" i="15"/>
  <c r="H8" i="15"/>
  <c r="H9" i="15"/>
  <c r="H10" i="15"/>
  <c r="H11" i="15"/>
  <c r="H12" i="15"/>
  <c r="H5" i="15"/>
  <c r="F13" i="15"/>
  <c r="F37" i="15" s="1"/>
  <c r="D13" i="15"/>
  <c r="C13" i="15"/>
  <c r="C37" i="15" s="1"/>
  <c r="D42" i="12"/>
  <c r="H6" i="6"/>
  <c r="L74" i="12"/>
  <c r="K74" i="12"/>
  <c r="L37" i="12"/>
  <c r="K37" i="12"/>
  <c r="L8" i="12"/>
  <c r="K8" i="12"/>
  <c r="L7" i="12"/>
  <c r="K7" i="12"/>
  <c r="G145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F5" i="3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D6" i="10"/>
  <c r="D8" i="10"/>
  <c r="D9" i="10"/>
  <c r="D10" i="10"/>
  <c r="D11" i="10"/>
  <c r="D12" i="10"/>
  <c r="D13" i="10"/>
  <c r="D14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" i="10"/>
  <c r="D42" i="5"/>
  <c r="D37" i="5"/>
  <c r="D7" i="5"/>
  <c r="D8" i="5"/>
  <c r="L74" i="5"/>
  <c r="K74" i="5"/>
  <c r="L37" i="5"/>
  <c r="K37" i="5"/>
  <c r="L8" i="5"/>
  <c r="K8" i="5"/>
  <c r="L7" i="5"/>
  <c r="K7" i="5"/>
  <c r="M74" i="9"/>
  <c r="E73" i="4" s="1"/>
  <c r="L74" i="9"/>
  <c r="F73" i="4" s="1"/>
  <c r="M73" i="9"/>
  <c r="E72" i="4" s="1"/>
  <c r="L73" i="9"/>
  <c r="F72" i="4" s="1"/>
  <c r="G75" i="9"/>
  <c r="F75" i="9"/>
  <c r="H6" i="4"/>
  <c r="G143" i="13"/>
  <c r="F143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A6" i="10"/>
  <c r="B6" i="10"/>
  <c r="C6" i="10"/>
  <c r="E6" i="10"/>
  <c r="F6" i="10"/>
  <c r="G6" i="10"/>
  <c r="M37" i="9"/>
  <c r="E36" i="4" s="1"/>
  <c r="L37" i="9"/>
  <c r="F36" i="4" s="1"/>
  <c r="M8" i="9"/>
  <c r="E7" i="4" s="1"/>
  <c r="L8" i="9"/>
  <c r="F7" i="4" s="1"/>
  <c r="M7" i="9"/>
  <c r="L7" i="9"/>
  <c r="M76" i="2"/>
  <c r="L76" i="2"/>
  <c r="M39" i="2"/>
  <c r="L39" i="2"/>
  <c r="M10" i="2"/>
  <c r="L10" i="2"/>
  <c r="M9" i="2"/>
  <c r="L9" i="2"/>
  <c r="G11" i="8"/>
  <c r="G12" i="8"/>
  <c r="H5" i="6"/>
  <c r="F36" i="6" l="1"/>
  <c r="I30" i="4"/>
  <c r="D73" i="4"/>
  <c r="H73" i="4" s="1"/>
  <c r="D36" i="4"/>
  <c r="H36" i="4" s="1"/>
  <c r="C73" i="4"/>
  <c r="C73" i="6" s="1"/>
  <c r="D37" i="15"/>
  <c r="G13" i="15"/>
  <c r="G37" i="15" s="1"/>
  <c r="H38" i="15" s="1"/>
  <c r="H6" i="15"/>
  <c r="H13" i="15" s="1"/>
  <c r="H37" i="15" s="1"/>
  <c r="C36" i="4"/>
  <c r="C36" i="6" s="1"/>
  <c r="F145" i="14"/>
  <c r="I30" i="6"/>
  <c r="C7" i="4"/>
  <c r="C7" i="6" s="1"/>
  <c r="H143" i="13"/>
  <c r="F7" i="6"/>
  <c r="C21" i="8"/>
  <c r="G21" i="8" s="1"/>
  <c r="H21" i="8" s="1"/>
  <c r="E7" i="6"/>
  <c r="E36" i="6"/>
  <c r="E73" i="6"/>
  <c r="H144" i="13"/>
  <c r="F73" i="6"/>
  <c r="D7" i="4"/>
  <c r="D7" i="6" s="1"/>
  <c r="L73" i="12"/>
  <c r="F72" i="6" s="1"/>
  <c r="K73" i="12"/>
  <c r="E72" i="6" s="1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D41" i="12"/>
  <c r="L40" i="12"/>
  <c r="K40" i="12"/>
  <c r="D40" i="12"/>
  <c r="L39" i="12"/>
  <c r="K39" i="12"/>
  <c r="L38" i="12"/>
  <c r="K38" i="12"/>
  <c r="L36" i="12"/>
  <c r="K36" i="12"/>
  <c r="L35" i="12"/>
  <c r="K35" i="12"/>
  <c r="L34" i="12"/>
  <c r="K34" i="12"/>
  <c r="L33" i="12"/>
  <c r="K33" i="12"/>
  <c r="L32" i="12"/>
  <c r="K32" i="12"/>
  <c r="L30" i="12"/>
  <c r="K30" i="12"/>
  <c r="L29" i="12"/>
  <c r="K29" i="12"/>
  <c r="L28" i="12"/>
  <c r="K28" i="12"/>
  <c r="L27" i="12"/>
  <c r="K27" i="12"/>
  <c r="L26" i="12"/>
  <c r="K26" i="12"/>
  <c r="K25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6" i="12"/>
  <c r="K6" i="12"/>
  <c r="D41" i="5"/>
  <c r="L36" i="5"/>
  <c r="K36" i="5"/>
  <c r="M36" i="9"/>
  <c r="L36" i="9"/>
  <c r="F35" i="4" s="1"/>
  <c r="M38" i="2"/>
  <c r="C35" i="4" s="1"/>
  <c r="L38" i="2"/>
  <c r="D35" i="4" s="1"/>
  <c r="F5" i="4"/>
  <c r="G5" i="10"/>
  <c r="F5" i="10"/>
  <c r="E5" i="10"/>
  <c r="C5" i="10"/>
  <c r="B5" i="10"/>
  <c r="A5" i="10"/>
  <c r="F3" i="10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F57" i="4" s="1"/>
  <c r="M57" i="9"/>
  <c r="L57" i="9"/>
  <c r="M56" i="9"/>
  <c r="E55" i="4" s="1"/>
  <c r="L56" i="9"/>
  <c r="F55" i="4" s="1"/>
  <c r="M55" i="9"/>
  <c r="L55" i="9"/>
  <c r="F54" i="4" s="1"/>
  <c r="M54" i="9"/>
  <c r="E53" i="4" s="1"/>
  <c r="L54" i="9"/>
  <c r="F53" i="4" s="1"/>
  <c r="M53" i="9"/>
  <c r="L53" i="9"/>
  <c r="F52" i="4" s="1"/>
  <c r="M52" i="9"/>
  <c r="E51" i="4" s="1"/>
  <c r="L52" i="9"/>
  <c r="F51" i="4" s="1"/>
  <c r="M51" i="9"/>
  <c r="L51" i="9"/>
  <c r="F50" i="4" s="1"/>
  <c r="M50" i="9"/>
  <c r="E49" i="4" s="1"/>
  <c r="L50" i="9"/>
  <c r="F49" i="4" s="1"/>
  <c r="M49" i="9"/>
  <c r="L49" i="9"/>
  <c r="F48" i="4" s="1"/>
  <c r="M48" i="9"/>
  <c r="E47" i="4" s="1"/>
  <c r="L48" i="9"/>
  <c r="F47" i="4" s="1"/>
  <c r="M47" i="9"/>
  <c r="L47" i="9"/>
  <c r="F46" i="4" s="1"/>
  <c r="M46" i="9"/>
  <c r="E45" i="4" s="1"/>
  <c r="L46" i="9"/>
  <c r="F45" i="4" s="1"/>
  <c r="M45" i="9"/>
  <c r="L45" i="9"/>
  <c r="F44" i="4" s="1"/>
  <c r="M44" i="9"/>
  <c r="E43" i="4" s="1"/>
  <c r="L44" i="9"/>
  <c r="F43" i="4" s="1"/>
  <c r="M43" i="9"/>
  <c r="L43" i="9"/>
  <c r="F42" i="4" s="1"/>
  <c r="M42" i="9"/>
  <c r="E41" i="4" s="1"/>
  <c r="L42" i="9"/>
  <c r="F41" i="4" s="1"/>
  <c r="M41" i="9"/>
  <c r="L41" i="9"/>
  <c r="F40" i="4" s="1"/>
  <c r="M40" i="9"/>
  <c r="L40" i="9"/>
  <c r="M39" i="9"/>
  <c r="L39" i="9"/>
  <c r="F38" i="4" s="1"/>
  <c r="M38" i="9"/>
  <c r="L38" i="9"/>
  <c r="M35" i="9"/>
  <c r="L35" i="9"/>
  <c r="M34" i="9"/>
  <c r="L34" i="9"/>
  <c r="F33" i="4" s="1"/>
  <c r="M33" i="9"/>
  <c r="L33" i="9"/>
  <c r="M32" i="9"/>
  <c r="L32" i="9"/>
  <c r="F31" i="4" s="1"/>
  <c r="M30" i="9"/>
  <c r="L30" i="9"/>
  <c r="M29" i="9"/>
  <c r="L29" i="9"/>
  <c r="F28" i="4" s="1"/>
  <c r="M28" i="9"/>
  <c r="L28" i="9"/>
  <c r="M27" i="9"/>
  <c r="L27" i="9"/>
  <c r="F26" i="4" s="1"/>
  <c r="M26" i="9"/>
  <c r="L26" i="9"/>
  <c r="M25" i="9"/>
  <c r="L25" i="9"/>
  <c r="F24" i="4" s="1"/>
  <c r="F24" i="6" s="1"/>
  <c r="M24" i="9"/>
  <c r="L24" i="9"/>
  <c r="F23" i="4" s="1"/>
  <c r="F23" i="6" s="1"/>
  <c r="M23" i="9"/>
  <c r="L23" i="9"/>
  <c r="F22" i="4" s="1"/>
  <c r="M22" i="9"/>
  <c r="L22" i="9"/>
  <c r="M21" i="9"/>
  <c r="L21" i="9"/>
  <c r="F20" i="4" s="1"/>
  <c r="M20" i="9"/>
  <c r="L20" i="9"/>
  <c r="M19" i="9"/>
  <c r="L19" i="9"/>
  <c r="F18" i="4" s="1"/>
  <c r="M18" i="9"/>
  <c r="L18" i="9"/>
  <c r="F17" i="4" s="1"/>
  <c r="M17" i="9"/>
  <c r="L17" i="9"/>
  <c r="F16" i="4" s="1"/>
  <c r="M15" i="9"/>
  <c r="L15" i="9"/>
  <c r="F14" i="4" s="1"/>
  <c r="M14" i="9"/>
  <c r="L14" i="9"/>
  <c r="F13" i="4" s="1"/>
  <c r="M13" i="9"/>
  <c r="L13" i="9"/>
  <c r="F12" i="4" s="1"/>
  <c r="M12" i="9"/>
  <c r="L12" i="9"/>
  <c r="F11" i="4" s="1"/>
  <c r="M11" i="9"/>
  <c r="L11" i="9"/>
  <c r="F10" i="4" s="1"/>
  <c r="M10" i="9"/>
  <c r="L10" i="9"/>
  <c r="F9" i="4" s="1"/>
  <c r="M9" i="9"/>
  <c r="L9" i="9"/>
  <c r="F8" i="4" s="1"/>
  <c r="M6" i="9"/>
  <c r="L6" i="9"/>
  <c r="D5" i="10"/>
  <c r="L73" i="5"/>
  <c r="K73" i="5"/>
  <c r="M75" i="2"/>
  <c r="C72" i="4" s="1"/>
  <c r="L75" i="2"/>
  <c r="D72" i="4" s="1"/>
  <c r="L26" i="5"/>
  <c r="K26" i="5"/>
  <c r="L22" i="5"/>
  <c r="K22" i="5"/>
  <c r="M28" i="2"/>
  <c r="C25" i="4" s="1"/>
  <c r="L28" i="2"/>
  <c r="D25" i="4" s="1"/>
  <c r="M24" i="2"/>
  <c r="C21" i="4" s="1"/>
  <c r="L24" i="2"/>
  <c r="D21" i="4" s="1"/>
  <c r="D35" i="6" l="1"/>
  <c r="F22" i="6"/>
  <c r="F31" i="6"/>
  <c r="F26" i="6"/>
  <c r="F28" i="6"/>
  <c r="F35" i="6"/>
  <c r="C44" i="7"/>
  <c r="C6" i="4"/>
  <c r="C6" i="6" s="1"/>
  <c r="G7" i="4"/>
  <c r="D43" i="8"/>
  <c r="E10" i="8"/>
  <c r="G73" i="6"/>
  <c r="G36" i="6"/>
  <c r="G73" i="4"/>
  <c r="I73" i="4" s="1"/>
  <c r="D73" i="6"/>
  <c r="B44" i="7" s="1"/>
  <c r="G36" i="4"/>
  <c r="I36" i="4" s="1"/>
  <c r="D36" i="6"/>
  <c r="H36" i="6" s="1"/>
  <c r="F19" i="4"/>
  <c r="F19" i="6" s="1"/>
  <c r="E33" i="4"/>
  <c r="E33" i="6" s="1"/>
  <c r="F34" i="4"/>
  <c r="F34" i="6" s="1"/>
  <c r="E37" i="4"/>
  <c r="E37" i="6" s="1"/>
  <c r="E39" i="4"/>
  <c r="E39" i="6" s="1"/>
  <c r="F56" i="4"/>
  <c r="F56" i="6" s="1"/>
  <c r="E57" i="4"/>
  <c r="E57" i="6" s="1"/>
  <c r="F58" i="4"/>
  <c r="F58" i="6" s="1"/>
  <c r="E59" i="4"/>
  <c r="E59" i="6" s="1"/>
  <c r="F60" i="4"/>
  <c r="F60" i="6" s="1"/>
  <c r="E61" i="4"/>
  <c r="E61" i="6" s="1"/>
  <c r="F62" i="4"/>
  <c r="F62" i="6" s="1"/>
  <c r="E63" i="4"/>
  <c r="E63" i="6" s="1"/>
  <c r="F64" i="4"/>
  <c r="F64" i="6" s="1"/>
  <c r="E65" i="4"/>
  <c r="E65" i="6" s="1"/>
  <c r="F66" i="4"/>
  <c r="F66" i="6" s="1"/>
  <c r="E67" i="4"/>
  <c r="E67" i="6" s="1"/>
  <c r="F68" i="4"/>
  <c r="F68" i="6" s="1"/>
  <c r="E69" i="4"/>
  <c r="E69" i="6" s="1"/>
  <c r="F70" i="4"/>
  <c r="F70" i="6" s="1"/>
  <c r="E71" i="4"/>
  <c r="E71" i="6" s="1"/>
  <c r="E35" i="4"/>
  <c r="E35" i="6" s="1"/>
  <c r="F21" i="4"/>
  <c r="F21" i="6" s="1"/>
  <c r="F25" i="4"/>
  <c r="F25" i="6" s="1"/>
  <c r="F27" i="4"/>
  <c r="F27" i="6" s="1"/>
  <c r="E28" i="4"/>
  <c r="E28" i="6" s="1"/>
  <c r="F29" i="4"/>
  <c r="F29" i="6" s="1"/>
  <c r="E31" i="4"/>
  <c r="E31" i="6" s="1"/>
  <c r="F32" i="4"/>
  <c r="F32" i="6" s="1"/>
  <c r="E8" i="4"/>
  <c r="E8" i="6" s="1"/>
  <c r="E9" i="4"/>
  <c r="E9" i="6" s="1"/>
  <c r="E10" i="4"/>
  <c r="E10" i="6" s="1"/>
  <c r="E11" i="4"/>
  <c r="E11" i="6" s="1"/>
  <c r="E12" i="4"/>
  <c r="E12" i="6" s="1"/>
  <c r="E13" i="4"/>
  <c r="E13" i="6" s="1"/>
  <c r="E14" i="4"/>
  <c r="E14" i="6" s="1"/>
  <c r="E16" i="4"/>
  <c r="E16" i="6" s="1"/>
  <c r="E17" i="4"/>
  <c r="E17" i="6" s="1"/>
  <c r="E18" i="4"/>
  <c r="E18" i="6" s="1"/>
  <c r="E19" i="4"/>
  <c r="E19" i="6" s="1"/>
  <c r="E20" i="4"/>
  <c r="E20" i="6" s="1"/>
  <c r="E21" i="4"/>
  <c r="E21" i="6" s="1"/>
  <c r="E22" i="4"/>
  <c r="E22" i="6" s="1"/>
  <c r="E23" i="4"/>
  <c r="E23" i="6" s="1"/>
  <c r="D31" i="8" s="1"/>
  <c r="E24" i="4"/>
  <c r="E24" i="6" s="1"/>
  <c r="D34" i="8" s="1"/>
  <c r="E25" i="4"/>
  <c r="E25" i="6" s="1"/>
  <c r="E26" i="4"/>
  <c r="E26" i="6" s="1"/>
  <c r="E27" i="4"/>
  <c r="E27" i="6" s="1"/>
  <c r="E29" i="4"/>
  <c r="E29" i="6" s="1"/>
  <c r="E32" i="4"/>
  <c r="E32" i="6" s="1"/>
  <c r="E34" i="4"/>
  <c r="E34" i="6" s="1"/>
  <c r="F37" i="4"/>
  <c r="F37" i="6" s="1"/>
  <c r="C5" i="7" s="1"/>
  <c r="C7" i="7" s="1"/>
  <c r="E38" i="4"/>
  <c r="E38" i="6" s="1"/>
  <c r="F39" i="4"/>
  <c r="F39" i="6" s="1"/>
  <c r="E40" i="4"/>
  <c r="E40" i="6" s="1"/>
  <c r="E42" i="4"/>
  <c r="E42" i="6" s="1"/>
  <c r="E44" i="4"/>
  <c r="E44" i="6" s="1"/>
  <c r="E46" i="4"/>
  <c r="E46" i="6" s="1"/>
  <c r="E48" i="4"/>
  <c r="E48" i="6" s="1"/>
  <c r="E50" i="4"/>
  <c r="E50" i="6" s="1"/>
  <c r="E52" i="4"/>
  <c r="E52" i="6" s="1"/>
  <c r="E54" i="4"/>
  <c r="E54" i="6" s="1"/>
  <c r="E56" i="4"/>
  <c r="E56" i="6" s="1"/>
  <c r="E58" i="4"/>
  <c r="E58" i="6" s="1"/>
  <c r="F59" i="4"/>
  <c r="F59" i="6" s="1"/>
  <c r="E60" i="4"/>
  <c r="E60" i="6" s="1"/>
  <c r="F61" i="4"/>
  <c r="F61" i="6" s="1"/>
  <c r="E62" i="4"/>
  <c r="E62" i="6" s="1"/>
  <c r="F63" i="4"/>
  <c r="F63" i="6" s="1"/>
  <c r="E64" i="4"/>
  <c r="E64" i="6" s="1"/>
  <c r="F65" i="4"/>
  <c r="F65" i="6" s="1"/>
  <c r="E66" i="4"/>
  <c r="E66" i="6" s="1"/>
  <c r="F67" i="4"/>
  <c r="F67" i="6" s="1"/>
  <c r="E68" i="4"/>
  <c r="E68" i="6" s="1"/>
  <c r="F69" i="4"/>
  <c r="F69" i="6" s="1"/>
  <c r="E70" i="4"/>
  <c r="E70" i="6" s="1"/>
  <c r="F71" i="4"/>
  <c r="F71" i="6" s="1"/>
  <c r="H7" i="4"/>
  <c r="E41" i="6"/>
  <c r="E43" i="6"/>
  <c r="E45" i="6"/>
  <c r="E47" i="6"/>
  <c r="E49" i="6"/>
  <c r="E51" i="6"/>
  <c r="E53" i="6"/>
  <c r="E55" i="6"/>
  <c r="H7" i="6"/>
  <c r="G7" i="6"/>
  <c r="B43" i="8"/>
  <c r="F57" i="6"/>
  <c r="F55" i="6"/>
  <c r="H5" i="4"/>
  <c r="F9" i="6"/>
  <c r="F11" i="6"/>
  <c r="F13" i="6"/>
  <c r="F16" i="6"/>
  <c r="F18" i="6"/>
  <c r="F20" i="6"/>
  <c r="F33" i="6"/>
  <c r="F41" i="6"/>
  <c r="F43" i="6"/>
  <c r="F45" i="6"/>
  <c r="F47" i="6"/>
  <c r="F49" i="6"/>
  <c r="F51" i="6"/>
  <c r="F53" i="6"/>
  <c r="F38" i="6"/>
  <c r="F40" i="6"/>
  <c r="F42" i="6"/>
  <c r="F44" i="6"/>
  <c r="F46" i="6"/>
  <c r="F48" i="6"/>
  <c r="F50" i="6"/>
  <c r="F52" i="6"/>
  <c r="F54" i="6"/>
  <c r="F8" i="6"/>
  <c r="F10" i="6"/>
  <c r="F12" i="6"/>
  <c r="F14" i="6"/>
  <c r="F17" i="6"/>
  <c r="H76" i="9"/>
  <c r="G72" i="4"/>
  <c r="H72" i="4"/>
  <c r="H35" i="4"/>
  <c r="C21" i="6"/>
  <c r="C43" i="7"/>
  <c r="C35" i="6"/>
  <c r="C25" i="6"/>
  <c r="D72" i="6"/>
  <c r="H72" i="6" s="1"/>
  <c r="D21" i="6"/>
  <c r="D25" i="6"/>
  <c r="C72" i="6"/>
  <c r="G72" i="10"/>
  <c r="F72" i="10"/>
  <c r="F325" i="2"/>
  <c r="D40" i="5"/>
  <c r="D39" i="5"/>
  <c r="D38" i="5"/>
  <c r="D15" i="5"/>
  <c r="D14" i="5"/>
  <c r="D13" i="5"/>
  <c r="D12" i="5"/>
  <c r="D11" i="5"/>
  <c r="D10" i="5"/>
  <c r="D9" i="5"/>
  <c r="D6" i="5"/>
  <c r="D5" i="5"/>
  <c r="F3" i="3"/>
  <c r="L72" i="5"/>
  <c r="K72" i="5"/>
  <c r="M74" i="2"/>
  <c r="C71" i="4" s="1"/>
  <c r="L74" i="2"/>
  <c r="D71" i="4" s="1"/>
  <c r="G325" i="2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5" i="5"/>
  <c r="L34" i="5"/>
  <c r="L33" i="5"/>
  <c r="L32" i="5"/>
  <c r="L30" i="5"/>
  <c r="L29" i="5"/>
  <c r="L28" i="5"/>
  <c r="L27" i="5"/>
  <c r="L25" i="5"/>
  <c r="L24" i="5"/>
  <c r="L23" i="5"/>
  <c r="L21" i="5"/>
  <c r="L20" i="5"/>
  <c r="L19" i="5"/>
  <c r="L18" i="5"/>
  <c r="L17" i="5"/>
  <c r="L15" i="5"/>
  <c r="L14" i="5"/>
  <c r="L13" i="5"/>
  <c r="L12" i="5"/>
  <c r="L11" i="5"/>
  <c r="L10" i="5"/>
  <c r="L9" i="5"/>
  <c r="L6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5" i="5"/>
  <c r="K34" i="5"/>
  <c r="K33" i="5"/>
  <c r="K32" i="5"/>
  <c r="K30" i="5"/>
  <c r="K29" i="5"/>
  <c r="K28" i="5"/>
  <c r="K27" i="5"/>
  <c r="K25" i="5"/>
  <c r="K24" i="5"/>
  <c r="K23" i="5"/>
  <c r="K21" i="5"/>
  <c r="K20" i="5"/>
  <c r="K19" i="5"/>
  <c r="K18" i="5"/>
  <c r="K17" i="5"/>
  <c r="K15" i="5"/>
  <c r="K14" i="5"/>
  <c r="K13" i="5"/>
  <c r="K12" i="5"/>
  <c r="K11" i="5"/>
  <c r="K10" i="5"/>
  <c r="K9" i="5"/>
  <c r="K6" i="5"/>
  <c r="H21" i="4" l="1"/>
  <c r="H325" i="2"/>
  <c r="C5" i="4" s="1"/>
  <c r="C5" i="6" s="1"/>
  <c r="D44" i="7"/>
  <c r="E44" i="7" s="1"/>
  <c r="G6" i="4"/>
  <c r="I6" i="4" s="1"/>
  <c r="I72" i="4"/>
  <c r="F43" i="8"/>
  <c r="H43" i="8" s="1"/>
  <c r="I7" i="4"/>
  <c r="I7" i="6"/>
  <c r="G72" i="6"/>
  <c r="I72" i="6" s="1"/>
  <c r="I36" i="6"/>
  <c r="H75" i="9"/>
  <c r="G21" i="4"/>
  <c r="F75" i="4"/>
  <c r="G35" i="4"/>
  <c r="I35" i="4" s="1"/>
  <c r="G25" i="4"/>
  <c r="H25" i="4"/>
  <c r="C24" i="7"/>
  <c r="C20" i="7"/>
  <c r="C16" i="7"/>
  <c r="C12" i="7"/>
  <c r="D44" i="8"/>
  <c r="D36" i="8"/>
  <c r="H73" i="6"/>
  <c r="I73" i="6" s="1"/>
  <c r="C10" i="8"/>
  <c r="G10" i="8" s="1"/>
  <c r="H10" i="8" s="1"/>
  <c r="C40" i="7"/>
  <c r="C36" i="7"/>
  <c r="C32" i="7"/>
  <c r="C25" i="7"/>
  <c r="C39" i="7"/>
  <c r="C35" i="7"/>
  <c r="C31" i="7"/>
  <c r="C27" i="7"/>
  <c r="E7" i="8"/>
  <c r="E18" i="8"/>
  <c r="C10" i="7"/>
  <c r="D37" i="8"/>
  <c r="D28" i="8"/>
  <c r="E19" i="8"/>
  <c r="D52" i="8"/>
  <c r="D47" i="8"/>
  <c r="C41" i="7"/>
  <c r="C37" i="7"/>
  <c r="C33" i="7"/>
  <c r="C29" i="7"/>
  <c r="H25" i="6"/>
  <c r="G35" i="6"/>
  <c r="E9" i="8"/>
  <c r="D50" i="8"/>
  <c r="D46" i="8"/>
  <c r="C21" i="7"/>
  <c r="C17" i="7"/>
  <c r="C9" i="7"/>
  <c r="C22" i="7"/>
  <c r="D30" i="8"/>
  <c r="E32" i="8" s="1"/>
  <c r="E8" i="8"/>
  <c r="C14" i="7"/>
  <c r="C13" i="7"/>
  <c r="D33" i="8"/>
  <c r="E35" i="8" s="1"/>
  <c r="E20" i="8"/>
  <c r="C42" i="7"/>
  <c r="C38" i="7"/>
  <c r="C34" i="7"/>
  <c r="C30" i="7"/>
  <c r="D12" i="8"/>
  <c r="H21" i="6"/>
  <c r="G25" i="6"/>
  <c r="G21" i="6"/>
  <c r="D53" i="8"/>
  <c r="D48" i="8"/>
  <c r="C23" i="7"/>
  <c r="C19" i="7"/>
  <c r="C15" i="7"/>
  <c r="C11" i="7"/>
  <c r="E6" i="8"/>
  <c r="E17" i="8"/>
  <c r="D27" i="8"/>
  <c r="D49" i="8"/>
  <c r="D45" i="8"/>
  <c r="C28" i="7"/>
  <c r="G71" i="4"/>
  <c r="H71" i="4"/>
  <c r="C18" i="7"/>
  <c r="C26" i="7"/>
  <c r="B42" i="8"/>
  <c r="H35" i="6"/>
  <c r="F74" i="6"/>
  <c r="F3" i="5"/>
  <c r="F3" i="12"/>
  <c r="B37" i="8"/>
  <c r="C9" i="8"/>
  <c r="B36" i="8"/>
  <c r="G321" i="3"/>
  <c r="F321" i="3"/>
  <c r="E5" i="4" l="1"/>
  <c r="G5" i="4" s="1"/>
  <c r="E6" i="6"/>
  <c r="I21" i="4"/>
  <c r="I71" i="4"/>
  <c r="I25" i="4"/>
  <c r="I21" i="6"/>
  <c r="I25" i="6"/>
  <c r="I35" i="6"/>
  <c r="F37" i="8"/>
  <c r="E38" i="8"/>
  <c r="F36" i="8"/>
  <c r="H36" i="8" s="1"/>
  <c r="D71" i="6"/>
  <c r="H71" i="6" s="1"/>
  <c r="G9" i="8"/>
  <c r="H9" i="8" s="1"/>
  <c r="E29" i="8"/>
  <c r="C71" i="6"/>
  <c r="E22" i="8"/>
  <c r="C46" i="7"/>
  <c r="C48" i="7" s="1"/>
  <c r="D11" i="8" s="1"/>
  <c r="E13" i="8" s="1"/>
  <c r="E14" i="8" s="1"/>
  <c r="C38" i="8"/>
  <c r="B43" i="7"/>
  <c r="L22" i="2"/>
  <c r="D19" i="4" s="1"/>
  <c r="M73" i="2"/>
  <c r="C70" i="4" s="1"/>
  <c r="L73" i="2"/>
  <c r="D70" i="4" s="1"/>
  <c r="M72" i="2"/>
  <c r="C69" i="4" s="1"/>
  <c r="L72" i="2"/>
  <c r="D69" i="4" s="1"/>
  <c r="M71" i="2"/>
  <c r="C68" i="4" s="1"/>
  <c r="L71" i="2"/>
  <c r="D68" i="4" s="1"/>
  <c r="M70" i="2"/>
  <c r="C67" i="4" s="1"/>
  <c r="L70" i="2"/>
  <c r="D67" i="4" s="1"/>
  <c r="M69" i="2"/>
  <c r="C66" i="4" s="1"/>
  <c r="L69" i="2"/>
  <c r="D66" i="4" s="1"/>
  <c r="M68" i="2"/>
  <c r="C65" i="4" s="1"/>
  <c r="L68" i="2"/>
  <c r="D65" i="4" s="1"/>
  <c r="M67" i="2"/>
  <c r="C64" i="4" s="1"/>
  <c r="L67" i="2"/>
  <c r="D64" i="4" s="1"/>
  <c r="M66" i="2"/>
  <c r="C63" i="4" s="1"/>
  <c r="L66" i="2"/>
  <c r="D63" i="4" s="1"/>
  <c r="M65" i="2"/>
  <c r="C62" i="4" s="1"/>
  <c r="L65" i="2"/>
  <c r="D62" i="4" s="1"/>
  <c r="M64" i="2"/>
  <c r="C61" i="4" s="1"/>
  <c r="L64" i="2"/>
  <c r="D61" i="4" s="1"/>
  <c r="M63" i="2"/>
  <c r="C60" i="4" s="1"/>
  <c r="L63" i="2"/>
  <c r="D60" i="4" s="1"/>
  <c r="M62" i="2"/>
  <c r="C59" i="4" s="1"/>
  <c r="L62" i="2"/>
  <c r="D59" i="4" s="1"/>
  <c r="M61" i="2"/>
  <c r="C58" i="4" s="1"/>
  <c r="L61" i="2"/>
  <c r="D58" i="4" s="1"/>
  <c r="M60" i="2"/>
  <c r="C57" i="4" s="1"/>
  <c r="L60" i="2"/>
  <c r="D57" i="4" s="1"/>
  <c r="M59" i="2"/>
  <c r="C56" i="4" s="1"/>
  <c r="L59" i="2"/>
  <c r="D56" i="4" s="1"/>
  <c r="M58" i="2"/>
  <c r="C55" i="4" s="1"/>
  <c r="L58" i="2"/>
  <c r="D55" i="4" s="1"/>
  <c r="M57" i="2"/>
  <c r="C54" i="4" s="1"/>
  <c r="L57" i="2"/>
  <c r="D54" i="4" s="1"/>
  <c r="M56" i="2"/>
  <c r="C53" i="4" s="1"/>
  <c r="L56" i="2"/>
  <c r="D53" i="4" s="1"/>
  <c r="M55" i="2"/>
  <c r="C52" i="4" s="1"/>
  <c r="L55" i="2"/>
  <c r="D52" i="4" s="1"/>
  <c r="M54" i="2"/>
  <c r="C51" i="4" s="1"/>
  <c r="L54" i="2"/>
  <c r="D51" i="4" s="1"/>
  <c r="M53" i="2"/>
  <c r="C50" i="4" s="1"/>
  <c r="L53" i="2"/>
  <c r="D50" i="4" s="1"/>
  <c r="M52" i="2"/>
  <c r="C49" i="4" s="1"/>
  <c r="L52" i="2"/>
  <c r="D49" i="4" s="1"/>
  <c r="M51" i="2"/>
  <c r="C48" i="4" s="1"/>
  <c r="L51" i="2"/>
  <c r="D48" i="4" s="1"/>
  <c r="M50" i="2"/>
  <c r="C47" i="4" s="1"/>
  <c r="L50" i="2"/>
  <c r="D47" i="4" s="1"/>
  <c r="M49" i="2"/>
  <c r="C46" i="4" s="1"/>
  <c r="L49" i="2"/>
  <c r="D46" i="4" s="1"/>
  <c r="M48" i="2"/>
  <c r="C45" i="4" s="1"/>
  <c r="L48" i="2"/>
  <c r="D45" i="4" s="1"/>
  <c r="M47" i="2"/>
  <c r="C44" i="4" s="1"/>
  <c r="L47" i="2"/>
  <c r="D44" i="4" s="1"/>
  <c r="M46" i="2"/>
  <c r="C43" i="4" s="1"/>
  <c r="L46" i="2"/>
  <c r="D43" i="4" s="1"/>
  <c r="M45" i="2"/>
  <c r="C42" i="4" s="1"/>
  <c r="L45" i="2"/>
  <c r="D42" i="4" s="1"/>
  <c r="M44" i="2"/>
  <c r="C41" i="4" s="1"/>
  <c r="L44" i="2"/>
  <c r="D41" i="4" s="1"/>
  <c r="M43" i="2"/>
  <c r="C40" i="4" s="1"/>
  <c r="L43" i="2"/>
  <c r="D40" i="4" s="1"/>
  <c r="M42" i="2"/>
  <c r="C39" i="4" s="1"/>
  <c r="L42" i="2"/>
  <c r="D39" i="4" s="1"/>
  <c r="M41" i="2"/>
  <c r="C38" i="4" s="1"/>
  <c r="L41" i="2"/>
  <c r="D38" i="4" s="1"/>
  <c r="M40" i="2"/>
  <c r="C37" i="4" s="1"/>
  <c r="L40" i="2"/>
  <c r="D37" i="4" s="1"/>
  <c r="M37" i="2"/>
  <c r="L37" i="2"/>
  <c r="D34" i="4" s="1"/>
  <c r="M36" i="2"/>
  <c r="C33" i="4" s="1"/>
  <c r="L36" i="2"/>
  <c r="D33" i="4" s="1"/>
  <c r="M35" i="2"/>
  <c r="C32" i="4" s="1"/>
  <c r="L35" i="2"/>
  <c r="D32" i="4" s="1"/>
  <c r="M34" i="2"/>
  <c r="C31" i="4" s="1"/>
  <c r="L34" i="2"/>
  <c r="D31" i="4" s="1"/>
  <c r="M32" i="2"/>
  <c r="C29" i="4" s="1"/>
  <c r="L32" i="2"/>
  <c r="D29" i="4" s="1"/>
  <c r="M31" i="2"/>
  <c r="C28" i="4" s="1"/>
  <c r="L31" i="2"/>
  <c r="D28" i="4" s="1"/>
  <c r="M30" i="2"/>
  <c r="C27" i="4" s="1"/>
  <c r="C27" i="6" s="1"/>
  <c r="L30" i="2"/>
  <c r="M29" i="2"/>
  <c r="C26" i="4" s="1"/>
  <c r="L29" i="2"/>
  <c r="D26" i="4" s="1"/>
  <c r="M27" i="2"/>
  <c r="C24" i="4" s="1"/>
  <c r="L27" i="2"/>
  <c r="D24" i="4" s="1"/>
  <c r="M26" i="2"/>
  <c r="C23" i="4" s="1"/>
  <c r="L26" i="2"/>
  <c r="D23" i="4" s="1"/>
  <c r="M25" i="2"/>
  <c r="C22" i="4" s="1"/>
  <c r="L25" i="2"/>
  <c r="D22" i="4" s="1"/>
  <c r="M23" i="2"/>
  <c r="C20" i="4" s="1"/>
  <c r="L23" i="2"/>
  <c r="D20" i="4" s="1"/>
  <c r="M22" i="2"/>
  <c r="C19" i="4" s="1"/>
  <c r="M21" i="2"/>
  <c r="C18" i="4" s="1"/>
  <c r="L21" i="2"/>
  <c r="D18" i="4" s="1"/>
  <c r="M20" i="2"/>
  <c r="L20" i="2"/>
  <c r="D17" i="4" s="1"/>
  <c r="M19" i="2"/>
  <c r="C16" i="4" s="1"/>
  <c r="L19" i="2"/>
  <c r="D16" i="4" s="1"/>
  <c r="M17" i="2"/>
  <c r="C14" i="4" s="1"/>
  <c r="L17" i="2"/>
  <c r="D14" i="4" s="1"/>
  <c r="M16" i="2"/>
  <c r="L16" i="2"/>
  <c r="D13" i="4" s="1"/>
  <c r="M15" i="2"/>
  <c r="C12" i="4" s="1"/>
  <c r="L15" i="2"/>
  <c r="D12" i="4" s="1"/>
  <c r="M14" i="2"/>
  <c r="C11" i="4" s="1"/>
  <c r="L14" i="2"/>
  <c r="D11" i="4" s="1"/>
  <c r="M13" i="2"/>
  <c r="C10" i="4" s="1"/>
  <c r="L13" i="2"/>
  <c r="D10" i="4" s="1"/>
  <c r="M12" i="2"/>
  <c r="C9" i="4" s="1"/>
  <c r="L12" i="2"/>
  <c r="D9" i="4" s="1"/>
  <c r="M11" i="2"/>
  <c r="L11" i="2"/>
  <c r="D8" i="4" s="1"/>
  <c r="M8" i="2"/>
  <c r="L8" i="2"/>
  <c r="E75" i="4" l="1"/>
  <c r="F78" i="4" s="1"/>
  <c r="D42" i="8"/>
  <c r="F42" i="8" s="1"/>
  <c r="H42" i="8" s="1"/>
  <c r="G6" i="6"/>
  <c r="I6" i="6" s="1"/>
  <c r="D27" i="4"/>
  <c r="D27" i="6" s="1"/>
  <c r="H27" i="6" s="1"/>
  <c r="C34" i="4"/>
  <c r="C34" i="6" s="1"/>
  <c r="C13" i="4"/>
  <c r="C13" i="6" s="1"/>
  <c r="C8" i="4"/>
  <c r="C17" i="4"/>
  <c r="C17" i="6" s="1"/>
  <c r="D43" i="7"/>
  <c r="E43" i="7" s="1"/>
  <c r="G71" i="6"/>
  <c r="I71" i="6" s="1"/>
  <c r="E39" i="8"/>
  <c r="E23" i="8"/>
  <c r="B42" i="7"/>
  <c r="H9" i="4"/>
  <c r="H11" i="4"/>
  <c r="H13" i="4"/>
  <c r="H18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H8" i="4"/>
  <c r="H10" i="4"/>
  <c r="H12" i="4"/>
  <c r="H14" i="4"/>
  <c r="H16" i="4"/>
  <c r="H17" i="4"/>
  <c r="G22" i="4"/>
  <c r="G23" i="4"/>
  <c r="G24" i="4"/>
  <c r="G26" i="4"/>
  <c r="G28" i="4"/>
  <c r="G29" i="4"/>
  <c r="G31" i="4"/>
  <c r="G32" i="4"/>
  <c r="G33" i="4"/>
  <c r="G37" i="4"/>
  <c r="G38" i="4"/>
  <c r="G39" i="4"/>
  <c r="G40" i="4"/>
  <c r="G16" i="4"/>
  <c r="H20" i="4"/>
  <c r="H32" i="4"/>
  <c r="H33" i="4"/>
  <c r="H34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19" i="4"/>
  <c r="G5" i="6"/>
  <c r="I5" i="6" s="1"/>
  <c r="C9" i="6"/>
  <c r="G9" i="4"/>
  <c r="C10" i="6"/>
  <c r="G10" i="4"/>
  <c r="C11" i="6"/>
  <c r="G11" i="4"/>
  <c r="C12" i="6"/>
  <c r="G12" i="4"/>
  <c r="C14" i="6"/>
  <c r="G14" i="4"/>
  <c r="C18" i="6"/>
  <c r="G18" i="4"/>
  <c r="D22" i="6"/>
  <c r="H22" i="6" s="1"/>
  <c r="H22" i="4"/>
  <c r="D23" i="6"/>
  <c r="H23" i="6" s="1"/>
  <c r="H23" i="4"/>
  <c r="D24" i="6"/>
  <c r="H24" i="6" s="1"/>
  <c r="H24" i="4"/>
  <c r="D26" i="6"/>
  <c r="H26" i="6" s="1"/>
  <c r="H26" i="4"/>
  <c r="H27" i="4"/>
  <c r="D28" i="6"/>
  <c r="H28" i="6" s="1"/>
  <c r="H28" i="4"/>
  <c r="D29" i="6"/>
  <c r="H29" i="6" s="1"/>
  <c r="H29" i="4"/>
  <c r="D31" i="6"/>
  <c r="H31" i="6" s="1"/>
  <c r="H31" i="4"/>
  <c r="C19" i="6"/>
  <c r="G19" i="4"/>
  <c r="C20" i="6"/>
  <c r="G20" i="4"/>
  <c r="G38" i="8"/>
  <c r="H38" i="8" s="1"/>
  <c r="E74" i="6"/>
  <c r="F76" i="6" s="1"/>
  <c r="H326" i="2"/>
  <c r="G8" i="4" l="1"/>
  <c r="I8" i="4" s="1"/>
  <c r="C8" i="6"/>
  <c r="G8" i="6" s="1"/>
  <c r="E54" i="8"/>
  <c r="E55" i="8" s="1"/>
  <c r="E56" i="8" s="1"/>
  <c r="E57" i="8" s="1"/>
  <c r="G34" i="4"/>
  <c r="I34" i="4" s="1"/>
  <c r="G34" i="6"/>
  <c r="G13" i="4"/>
  <c r="I13" i="4" s="1"/>
  <c r="G17" i="4"/>
  <c r="I17" i="4" s="1"/>
  <c r="I16" i="4"/>
  <c r="I9" i="4"/>
  <c r="G27" i="4"/>
  <c r="I27" i="4" s="1"/>
  <c r="D42" i="7"/>
  <c r="E42" i="7" s="1"/>
  <c r="I11" i="4"/>
  <c r="I39" i="4"/>
  <c r="I40" i="4"/>
  <c r="I28" i="4"/>
  <c r="I23" i="4"/>
  <c r="I31" i="4"/>
  <c r="I26" i="4"/>
  <c r="I68" i="4"/>
  <c r="I64" i="4"/>
  <c r="I60" i="4"/>
  <c r="I56" i="4"/>
  <c r="I52" i="4"/>
  <c r="I48" i="4"/>
  <c r="I44" i="4"/>
  <c r="I38" i="4"/>
  <c r="I20" i="4"/>
  <c r="I32" i="4"/>
  <c r="I22" i="4"/>
  <c r="I69" i="4"/>
  <c r="I65" i="4"/>
  <c r="I61" i="4"/>
  <c r="I57" i="4"/>
  <c r="I53" i="4"/>
  <c r="I49" i="4"/>
  <c r="I45" i="4"/>
  <c r="I41" i="4"/>
  <c r="I33" i="4"/>
  <c r="I70" i="4"/>
  <c r="I66" i="4"/>
  <c r="I62" i="4"/>
  <c r="I58" i="4"/>
  <c r="I54" i="4"/>
  <c r="I50" i="4"/>
  <c r="I46" i="4"/>
  <c r="I42" i="4"/>
  <c r="I19" i="4"/>
  <c r="I18" i="4"/>
  <c r="I14" i="4"/>
  <c r="I12" i="4"/>
  <c r="I10" i="4"/>
  <c r="I37" i="4"/>
  <c r="I29" i="4"/>
  <c r="I24" i="4"/>
  <c r="I67" i="4"/>
  <c r="I63" i="4"/>
  <c r="I59" i="4"/>
  <c r="I55" i="4"/>
  <c r="I51" i="4"/>
  <c r="I47" i="4"/>
  <c r="I43" i="4"/>
  <c r="G11" i="6"/>
  <c r="G19" i="6"/>
  <c r="G18" i="6"/>
  <c r="G14" i="6"/>
  <c r="G12" i="6"/>
  <c r="G10" i="6"/>
  <c r="G20" i="6"/>
  <c r="G13" i="6"/>
  <c r="G9" i="6"/>
  <c r="C60" i="6"/>
  <c r="D41" i="6"/>
  <c r="H41" i="6" s="1"/>
  <c r="D10" i="6"/>
  <c r="H10" i="6" s="1"/>
  <c r="C16" i="6"/>
  <c r="D9" i="6"/>
  <c r="H9" i="6" s="1"/>
  <c r="C23" i="6"/>
  <c r="C44" i="6"/>
  <c r="C68" i="6"/>
  <c r="C52" i="6"/>
  <c r="C33" i="6"/>
  <c r="D57" i="6"/>
  <c r="H57" i="6" s="1"/>
  <c r="D65" i="6"/>
  <c r="H65" i="6" s="1"/>
  <c r="D49" i="6"/>
  <c r="H49" i="6" s="1"/>
  <c r="D20" i="6"/>
  <c r="H20" i="6" s="1"/>
  <c r="D18" i="6"/>
  <c r="H18" i="6" s="1"/>
  <c r="G17" i="6"/>
  <c r="C64" i="6"/>
  <c r="C56" i="6"/>
  <c r="C48" i="6"/>
  <c r="C40" i="6"/>
  <c r="C28" i="6"/>
  <c r="D69" i="6"/>
  <c r="H69" i="6" s="1"/>
  <c r="D61" i="6"/>
  <c r="H61" i="6" s="1"/>
  <c r="D53" i="6"/>
  <c r="H53" i="6" s="1"/>
  <c r="D45" i="6"/>
  <c r="H45" i="6" s="1"/>
  <c r="D37" i="6"/>
  <c r="H37" i="6" s="1"/>
  <c r="D14" i="6"/>
  <c r="H14" i="6" s="1"/>
  <c r="C70" i="6"/>
  <c r="C66" i="6"/>
  <c r="C62" i="6"/>
  <c r="C58" i="6"/>
  <c r="C54" i="6"/>
  <c r="C50" i="6"/>
  <c r="C46" i="6"/>
  <c r="C42" i="6"/>
  <c r="C38" i="6"/>
  <c r="C31" i="6"/>
  <c r="C26" i="6"/>
  <c r="D19" i="6"/>
  <c r="H19" i="6" s="1"/>
  <c r="D67" i="6"/>
  <c r="H67" i="6" s="1"/>
  <c r="D63" i="6"/>
  <c r="H63" i="6" s="1"/>
  <c r="D59" i="6"/>
  <c r="H59" i="6" s="1"/>
  <c r="D55" i="6"/>
  <c r="H55" i="6" s="1"/>
  <c r="D51" i="6"/>
  <c r="H51" i="6" s="1"/>
  <c r="D47" i="6"/>
  <c r="H47" i="6" s="1"/>
  <c r="D43" i="6"/>
  <c r="H43" i="6" s="1"/>
  <c r="D39" i="6"/>
  <c r="H39" i="6" s="1"/>
  <c r="D33" i="6"/>
  <c r="H33" i="6" s="1"/>
  <c r="D17" i="6"/>
  <c r="H17" i="6" s="1"/>
  <c r="D11" i="6"/>
  <c r="H11" i="6" s="1"/>
  <c r="D8" i="6"/>
  <c r="H8" i="6" s="1"/>
  <c r="D16" i="6"/>
  <c r="H16" i="6" s="1"/>
  <c r="D13" i="6"/>
  <c r="H13" i="6" s="1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C32" i="6"/>
  <c r="C29" i="6"/>
  <c r="C24" i="6"/>
  <c r="C22" i="6"/>
  <c r="D75" i="4"/>
  <c r="D70" i="6"/>
  <c r="H70" i="6" s="1"/>
  <c r="D68" i="6"/>
  <c r="H68" i="6" s="1"/>
  <c r="D66" i="6"/>
  <c r="H66" i="6" s="1"/>
  <c r="D64" i="6"/>
  <c r="H64" i="6" s="1"/>
  <c r="D62" i="6"/>
  <c r="H62" i="6" s="1"/>
  <c r="D60" i="6"/>
  <c r="H60" i="6" s="1"/>
  <c r="D58" i="6"/>
  <c r="H58" i="6" s="1"/>
  <c r="D56" i="6"/>
  <c r="H56" i="6" s="1"/>
  <c r="D54" i="6"/>
  <c r="H54" i="6" s="1"/>
  <c r="D52" i="6"/>
  <c r="H52" i="6" s="1"/>
  <c r="D50" i="6"/>
  <c r="H50" i="6" s="1"/>
  <c r="D48" i="6"/>
  <c r="H48" i="6" s="1"/>
  <c r="D46" i="6"/>
  <c r="H46" i="6" s="1"/>
  <c r="D44" i="6"/>
  <c r="H44" i="6" s="1"/>
  <c r="D42" i="6"/>
  <c r="H42" i="6" s="1"/>
  <c r="D40" i="6"/>
  <c r="H40" i="6" s="1"/>
  <c r="D38" i="6"/>
  <c r="H38" i="6" s="1"/>
  <c r="D34" i="6"/>
  <c r="H34" i="6" s="1"/>
  <c r="D32" i="6"/>
  <c r="H32" i="6" s="1"/>
  <c r="D12" i="6"/>
  <c r="H12" i="6" s="1"/>
  <c r="H75" i="4"/>
  <c r="I8" i="6" l="1"/>
  <c r="I12" i="6"/>
  <c r="I18" i="6"/>
  <c r="G39" i="6"/>
  <c r="I39" i="6" s="1"/>
  <c r="G55" i="6"/>
  <c r="I55" i="6" s="1"/>
  <c r="G31" i="6"/>
  <c r="I31" i="6" s="1"/>
  <c r="G33" i="6"/>
  <c r="I33" i="6" s="1"/>
  <c r="G24" i="6"/>
  <c r="I24" i="6" s="1"/>
  <c r="G45" i="6"/>
  <c r="I45" i="6" s="1"/>
  <c r="G61" i="6"/>
  <c r="I61" i="6" s="1"/>
  <c r="G69" i="6"/>
  <c r="I69" i="6" s="1"/>
  <c r="G26" i="6"/>
  <c r="I26" i="6" s="1"/>
  <c r="G62" i="6"/>
  <c r="I62" i="6" s="1"/>
  <c r="G16" i="6"/>
  <c r="I16" i="6" s="1"/>
  <c r="G32" i="6"/>
  <c r="I32" i="6" s="1"/>
  <c r="G51" i="6"/>
  <c r="I51" i="6" s="1"/>
  <c r="G59" i="6"/>
  <c r="I59" i="6" s="1"/>
  <c r="G67" i="6"/>
  <c r="I67" i="6" s="1"/>
  <c r="G42" i="6"/>
  <c r="I42" i="6" s="1"/>
  <c r="G58" i="6"/>
  <c r="I58" i="6" s="1"/>
  <c r="G48" i="6"/>
  <c r="I48" i="6" s="1"/>
  <c r="G68" i="6"/>
  <c r="I68" i="6" s="1"/>
  <c r="G60" i="6"/>
  <c r="I60" i="6" s="1"/>
  <c r="I13" i="6"/>
  <c r="I11" i="6"/>
  <c r="G27" i="6"/>
  <c r="G47" i="6"/>
  <c r="I47" i="6" s="1"/>
  <c r="G63" i="6"/>
  <c r="I63" i="6" s="1"/>
  <c r="G50" i="6"/>
  <c r="I50" i="6" s="1"/>
  <c r="G66" i="6"/>
  <c r="I66" i="6" s="1"/>
  <c r="G28" i="6"/>
  <c r="I28" i="6" s="1"/>
  <c r="G64" i="6"/>
  <c r="I64" i="6" s="1"/>
  <c r="G23" i="6"/>
  <c r="I23" i="6" s="1"/>
  <c r="G37" i="6"/>
  <c r="I37" i="6" s="1"/>
  <c r="G53" i="6"/>
  <c r="I53" i="6" s="1"/>
  <c r="G46" i="6"/>
  <c r="I46" i="6" s="1"/>
  <c r="G56" i="6"/>
  <c r="I56" i="6" s="1"/>
  <c r="G44" i="6"/>
  <c r="I44" i="6" s="1"/>
  <c r="G22" i="6"/>
  <c r="I22" i="6" s="1"/>
  <c r="G43" i="6"/>
  <c r="I43" i="6" s="1"/>
  <c r="G29" i="6"/>
  <c r="I29" i="6" s="1"/>
  <c r="G41" i="6"/>
  <c r="I41" i="6" s="1"/>
  <c r="G49" i="6"/>
  <c r="I49" i="6" s="1"/>
  <c r="G57" i="6"/>
  <c r="I57" i="6" s="1"/>
  <c r="G65" i="6"/>
  <c r="I65" i="6" s="1"/>
  <c r="G38" i="6"/>
  <c r="I38" i="6" s="1"/>
  <c r="G54" i="6"/>
  <c r="I54" i="6" s="1"/>
  <c r="G70" i="6"/>
  <c r="I70" i="6" s="1"/>
  <c r="G40" i="6"/>
  <c r="I40" i="6" s="1"/>
  <c r="G52" i="6"/>
  <c r="I52" i="6" s="1"/>
  <c r="I34" i="6"/>
  <c r="I17" i="6"/>
  <c r="I9" i="6"/>
  <c r="I20" i="6"/>
  <c r="I10" i="6"/>
  <c r="I14" i="6"/>
  <c r="I19" i="6"/>
  <c r="B46" i="8"/>
  <c r="F46" i="8" s="1"/>
  <c r="B45" i="8"/>
  <c r="F45" i="8" s="1"/>
  <c r="B31" i="8"/>
  <c r="F31" i="8" s="1"/>
  <c r="B48" i="8"/>
  <c r="F48" i="8" s="1"/>
  <c r="C8" i="8"/>
  <c r="G8" i="8" s="1"/>
  <c r="B27" i="7"/>
  <c r="B5" i="7"/>
  <c r="D5" i="7" s="1"/>
  <c r="E5" i="7" s="1"/>
  <c r="B33" i="8"/>
  <c r="F33" i="8" s="1"/>
  <c r="B15" i="7"/>
  <c r="B36" i="7"/>
  <c r="C19" i="8"/>
  <c r="G19" i="8" s="1"/>
  <c r="B27" i="8"/>
  <c r="F27" i="8" s="1"/>
  <c r="B49" i="8"/>
  <c r="F49" i="8" s="1"/>
  <c r="C17" i="8"/>
  <c r="G17" i="8" s="1"/>
  <c r="B12" i="8"/>
  <c r="F12" i="8" s="1"/>
  <c r="B12" i="7"/>
  <c r="B23" i="7"/>
  <c r="B30" i="7"/>
  <c r="B53" i="8"/>
  <c r="F53" i="8" s="1"/>
  <c r="C6" i="8"/>
  <c r="G6" i="8" s="1"/>
  <c r="B50" i="8"/>
  <c r="F50" i="8" s="1"/>
  <c r="B19" i="7"/>
  <c r="B32" i="7"/>
  <c r="C20" i="8"/>
  <c r="G20" i="8" s="1"/>
  <c r="B40" i="7"/>
  <c r="B34" i="8"/>
  <c r="F34" i="8" s="1"/>
  <c r="B47" i="8"/>
  <c r="F47" i="8" s="1"/>
  <c r="B52" i="8"/>
  <c r="F52" i="8" s="1"/>
  <c r="B11" i="7"/>
  <c r="B14" i="7"/>
  <c r="B16" i="7"/>
  <c r="B20" i="7"/>
  <c r="B24" i="7"/>
  <c r="B28" i="7"/>
  <c r="B31" i="7"/>
  <c r="B35" i="7"/>
  <c r="B39" i="7"/>
  <c r="B6" i="7"/>
  <c r="D6" i="7" s="1"/>
  <c r="E6" i="7" s="1"/>
  <c r="B30" i="8"/>
  <c r="F30" i="8" s="1"/>
  <c r="B22" i="7"/>
  <c r="H74" i="6"/>
  <c r="C18" i="8"/>
  <c r="G18" i="8" s="1"/>
  <c r="C7" i="8"/>
  <c r="G7" i="8" s="1"/>
  <c r="B37" i="7"/>
  <c r="B44" i="8"/>
  <c r="F44" i="8" s="1"/>
  <c r="B10" i="7"/>
  <c r="B18" i="7"/>
  <c r="B26" i="7"/>
  <c r="B34" i="7"/>
  <c r="B28" i="8"/>
  <c r="F28" i="8" s="1"/>
  <c r="H28" i="8" s="1"/>
  <c r="B9" i="7"/>
  <c r="B13" i="7"/>
  <c r="B17" i="7"/>
  <c r="B21" i="7"/>
  <c r="B25" i="7"/>
  <c r="B29" i="7"/>
  <c r="B33" i="7"/>
  <c r="B38" i="7"/>
  <c r="B41" i="7"/>
  <c r="C74" i="6"/>
  <c r="D74" i="6"/>
  <c r="I27" i="6" l="1"/>
  <c r="L27" i="6"/>
  <c r="D13" i="7"/>
  <c r="E13" i="7" s="1"/>
  <c r="D26" i="7"/>
  <c r="E26" i="7" s="1"/>
  <c r="D35" i="7"/>
  <c r="E35" i="7" s="1"/>
  <c r="D20" i="7"/>
  <c r="E20" i="7" s="1"/>
  <c r="D12" i="7"/>
  <c r="E12" i="7" s="1"/>
  <c r="D33" i="7"/>
  <c r="E33" i="7" s="1"/>
  <c r="D17" i="7"/>
  <c r="E17" i="7" s="1"/>
  <c r="D34" i="7"/>
  <c r="E34" i="7" s="1"/>
  <c r="D39" i="7"/>
  <c r="E39" i="7" s="1"/>
  <c r="D24" i="7"/>
  <c r="E24" i="7" s="1"/>
  <c r="D11" i="7"/>
  <c r="E11" i="7" s="1"/>
  <c r="D40" i="7"/>
  <c r="E40" i="7" s="1"/>
  <c r="D23" i="7"/>
  <c r="E23" i="7" s="1"/>
  <c r="D15" i="7"/>
  <c r="E15" i="7" s="1"/>
  <c r="D29" i="7"/>
  <c r="E29" i="7" s="1"/>
  <c r="D37" i="7"/>
  <c r="E37" i="7" s="1"/>
  <c r="D38" i="7"/>
  <c r="E38" i="7" s="1"/>
  <c r="D21" i="7"/>
  <c r="E21" i="7" s="1"/>
  <c r="D10" i="7"/>
  <c r="E10" i="7" s="1"/>
  <c r="D28" i="7"/>
  <c r="E28" i="7" s="1"/>
  <c r="D14" i="7"/>
  <c r="E14" i="7" s="1"/>
  <c r="D19" i="7"/>
  <c r="E19" i="7" s="1"/>
  <c r="D30" i="7"/>
  <c r="E30" i="7" s="1"/>
  <c r="D36" i="7"/>
  <c r="E36" i="7" s="1"/>
  <c r="D27" i="7"/>
  <c r="E27" i="7" s="1"/>
  <c r="D22" i="7"/>
  <c r="E22" i="7" s="1"/>
  <c r="D41" i="7"/>
  <c r="E41" i="7" s="1"/>
  <c r="D25" i="7"/>
  <c r="E25" i="7" s="1"/>
  <c r="D9" i="7"/>
  <c r="E9" i="7" s="1"/>
  <c r="D18" i="7"/>
  <c r="E18" i="7" s="1"/>
  <c r="D31" i="7"/>
  <c r="E31" i="7" s="1"/>
  <c r="D16" i="7"/>
  <c r="E16" i="7" s="1"/>
  <c r="D32" i="7"/>
  <c r="E32" i="7" s="1"/>
  <c r="G74" i="6"/>
  <c r="H76" i="6" s="1"/>
  <c r="H46" i="8"/>
  <c r="H45" i="8"/>
  <c r="H31" i="8"/>
  <c r="H8" i="8"/>
  <c r="H12" i="8"/>
  <c r="H27" i="8"/>
  <c r="H33" i="8"/>
  <c r="H48" i="8"/>
  <c r="D7" i="7"/>
  <c r="H6" i="8"/>
  <c r="H19" i="8"/>
  <c r="H49" i="8"/>
  <c r="H20" i="8"/>
  <c r="H34" i="8"/>
  <c r="H18" i="8"/>
  <c r="H50" i="8"/>
  <c r="B7" i="7"/>
  <c r="G22" i="8"/>
  <c r="C22" i="8"/>
  <c r="C35" i="8"/>
  <c r="H30" i="8"/>
  <c r="H52" i="8"/>
  <c r="H47" i="8"/>
  <c r="C32" i="8"/>
  <c r="B46" i="7"/>
  <c r="H53" i="8"/>
  <c r="H44" i="8"/>
  <c r="H7" i="8"/>
  <c r="C29" i="8"/>
  <c r="D76" i="6"/>
  <c r="H17" i="8"/>
  <c r="G35" i="8"/>
  <c r="G32" i="8"/>
  <c r="G29" i="8"/>
  <c r="D46" i="7" l="1"/>
  <c r="D48" i="7" s="1"/>
  <c r="H35" i="8"/>
  <c r="H32" i="8"/>
  <c r="C39" i="8"/>
  <c r="B48" i="7"/>
  <c r="B11" i="8" s="1"/>
  <c r="F11" i="8" s="1"/>
  <c r="H22" i="8"/>
  <c r="G39" i="8"/>
  <c r="H29" i="8"/>
  <c r="C13" i="8" l="1"/>
  <c r="G13" i="8" s="1"/>
  <c r="H39" i="8"/>
  <c r="H11" i="8"/>
  <c r="G75" i="4"/>
  <c r="H78" i="4" s="1"/>
  <c r="C75" i="4"/>
  <c r="D78" i="4" s="1"/>
  <c r="G14" i="8" l="1"/>
  <c r="G23" i="8" s="1"/>
  <c r="H13" i="8"/>
  <c r="C14" i="8"/>
  <c r="C23" i="8" s="1"/>
  <c r="I5" i="4"/>
  <c r="B41" i="8"/>
  <c r="F41" i="8" s="1"/>
  <c r="H23" i="8" l="1"/>
  <c r="H41" i="8"/>
  <c r="C54" i="8"/>
  <c r="G54" i="8" l="1"/>
  <c r="G55" i="8" s="1"/>
  <c r="G56" i="8" s="1"/>
  <c r="G57" i="8" s="1"/>
  <c r="C55" i="8"/>
  <c r="C56" i="8" s="1"/>
  <c r="H55" i="8" l="1"/>
  <c r="H54" i="8"/>
  <c r="H56" i="8"/>
  <c r="C57" i="8"/>
</calcChain>
</file>

<file path=xl/sharedStrings.xml><?xml version="1.0" encoding="utf-8"?>
<sst xmlns="http://schemas.openxmlformats.org/spreadsheetml/2006/main" count="1776" uniqueCount="569">
  <si>
    <t>Assets</t>
  </si>
  <si>
    <t>Accounts Receivable</t>
  </si>
  <si>
    <t>Furniture and Fixtures</t>
  </si>
  <si>
    <t>Computer Equipment</t>
  </si>
  <si>
    <t>Accumulated Depreciation - Furniture and Fixtures</t>
  </si>
  <si>
    <t>Accumulated Depreciation - Computer Equipment</t>
  </si>
  <si>
    <t>Liabilities</t>
  </si>
  <si>
    <t>Equity</t>
  </si>
  <si>
    <t>Revenue</t>
  </si>
  <si>
    <t>Costs</t>
  </si>
  <si>
    <t>Communication Expenses</t>
  </si>
  <si>
    <t>Current Assets</t>
  </si>
  <si>
    <t>Non Current Assets</t>
  </si>
  <si>
    <t>Prepaid Rent ( Office Rental-Yangon )</t>
  </si>
  <si>
    <t>Prepaid Rental Deposit ( Mandalay )</t>
  </si>
  <si>
    <t>Prepaid Membership Fees ( UMFCCI )</t>
  </si>
  <si>
    <t>Office Equipment</t>
  </si>
  <si>
    <t>Accumulated Depreciation - Office Equipment</t>
  </si>
  <si>
    <t>Cash at Bank ( KBZ-US$ )</t>
  </si>
  <si>
    <t>Cash at Bank ( MICB-Euro )</t>
  </si>
  <si>
    <t>Current Liabilities</t>
  </si>
  <si>
    <t>Porvision for Commercial Tax</t>
  </si>
  <si>
    <t>Loan from Head Office</t>
  </si>
  <si>
    <t>Accrued Expenses ( Professional Fees )</t>
  </si>
  <si>
    <t>Accrued Expenses ( Accounting  Fees )</t>
  </si>
  <si>
    <t>Current Account with Head Office</t>
  </si>
  <si>
    <t>Drawing</t>
  </si>
  <si>
    <t>Retained Earning</t>
  </si>
  <si>
    <t>Income</t>
  </si>
  <si>
    <t>Commercial Tax</t>
  </si>
  <si>
    <t>Salary and Bonus</t>
  </si>
  <si>
    <t>Office Rental Charges</t>
  </si>
  <si>
    <t>Travelling Expenses</t>
  </si>
  <si>
    <t>General Expenses</t>
  </si>
  <si>
    <t>Advertising Expenses</t>
  </si>
  <si>
    <t>Tender Expenses</t>
  </si>
  <si>
    <t>Transportation Charges</t>
  </si>
  <si>
    <t>Accountancy Fees</t>
  </si>
  <si>
    <t>Auditing Fees</t>
  </si>
  <si>
    <t>Office Supply Consumable</t>
  </si>
  <si>
    <t>Member and Subscription Fees</t>
  </si>
  <si>
    <t>Entertainment</t>
  </si>
  <si>
    <t>Hotel Fees</t>
  </si>
  <si>
    <t>Printing and Stationery</t>
  </si>
  <si>
    <t>Electricity Charges</t>
  </si>
  <si>
    <t>Wages Expenses</t>
  </si>
  <si>
    <t>Car Rental Charges</t>
  </si>
  <si>
    <t>Consulting  Fees</t>
  </si>
  <si>
    <t>Courier Fees</t>
  </si>
  <si>
    <t>Bank Charges</t>
  </si>
  <si>
    <t>Repaire and Maintenance Charges</t>
  </si>
  <si>
    <t>Medical Expenses</t>
  </si>
  <si>
    <t>Motor-vehicle Expenses</t>
  </si>
  <si>
    <t>Office Renovation Charges</t>
  </si>
  <si>
    <t>Overtime Charges</t>
  </si>
  <si>
    <t>SSB Contribution</t>
  </si>
  <si>
    <t>YCDC Tax Expenses</t>
  </si>
  <si>
    <t>Newspaper and Journal fees</t>
  </si>
  <si>
    <t>Depreciation-Furniture and Fixtures</t>
  </si>
  <si>
    <t>Depreciation-Office Equipment</t>
  </si>
  <si>
    <t>Depreciation-Computer  Equipment</t>
  </si>
  <si>
    <t>Date</t>
  </si>
  <si>
    <t>Voucher No</t>
  </si>
  <si>
    <t>Account Code</t>
  </si>
  <si>
    <t>Account Head Name</t>
  </si>
  <si>
    <t>Description</t>
  </si>
  <si>
    <t>Debit</t>
  </si>
  <si>
    <t xml:space="preserve">Credit </t>
  </si>
  <si>
    <t>Balance</t>
  </si>
  <si>
    <t>Formula Area</t>
  </si>
  <si>
    <t>Credit</t>
  </si>
  <si>
    <t>Dr</t>
  </si>
  <si>
    <t>Cr</t>
  </si>
  <si>
    <t>Total</t>
  </si>
  <si>
    <t>Particular</t>
  </si>
  <si>
    <t>Kyats</t>
  </si>
  <si>
    <t>Grand Total</t>
  </si>
  <si>
    <t>JV No.,</t>
  </si>
  <si>
    <t>MMK</t>
  </si>
  <si>
    <t>Converted to US$</t>
  </si>
  <si>
    <t>Total Income</t>
  </si>
  <si>
    <t>Expenses</t>
  </si>
  <si>
    <t>Total Expenses</t>
  </si>
  <si>
    <t>Profit / (Loss) for the month</t>
  </si>
  <si>
    <t xml:space="preserve">
(MMK)</t>
  </si>
  <si>
    <t>Equity &amp; Liabilities</t>
  </si>
  <si>
    <t>Total Retained</t>
  </si>
  <si>
    <t>Total Liabilities</t>
  </si>
  <si>
    <t>Total Equity &amp; Liabilities</t>
  </si>
  <si>
    <t>Non-Current Assets</t>
  </si>
  <si>
    <t>Total Current Assets</t>
  </si>
  <si>
    <t>Total Assets</t>
  </si>
  <si>
    <t xml:space="preserve">LEDGER  A/C - MMK </t>
  </si>
  <si>
    <t xml:space="preserve">(Less)  Provision for Commercial Tax </t>
  </si>
  <si>
    <t>Director's and CEO Expenses</t>
  </si>
  <si>
    <t>Accumulated Depreciation - Telephone</t>
  </si>
  <si>
    <t>Depreciation-Telephone</t>
  </si>
  <si>
    <t>Exchange Rate for the month of March' 2015 is 1,027 mmk / Per USD</t>
  </si>
  <si>
    <t>Debit ( USD )</t>
  </si>
  <si>
    <t>Credit ( USD )</t>
  </si>
  <si>
    <t>Dr-(USD)</t>
  </si>
  <si>
    <t>Cr-(USD)</t>
  </si>
  <si>
    <t>USD</t>
  </si>
  <si>
    <t>Converted to USD</t>
  </si>
  <si>
    <t>LEDGER  A/C - USD</t>
  </si>
  <si>
    <t>Balance ( USD )</t>
  </si>
  <si>
    <t>Exchange A/C</t>
  </si>
  <si>
    <t>Exchacnge A/C</t>
  </si>
  <si>
    <t>Debit ( MMK )</t>
  </si>
  <si>
    <t>Credit ( MMK )</t>
  </si>
  <si>
    <t>Accumulated Dep-Furniture and Fixtures</t>
  </si>
  <si>
    <t>Accumulated Dep-Office Equipment</t>
  </si>
  <si>
    <t>Accumulated Dep-Computer  Equipment</t>
  </si>
  <si>
    <t xml:space="preserve">Petty Cash on Hand </t>
  </si>
  <si>
    <t xml:space="preserve">Petty Cash on hand </t>
  </si>
  <si>
    <t>Petty Cash Ledger</t>
  </si>
  <si>
    <t>Previous Retained Adjustment A/C</t>
  </si>
  <si>
    <t>Cash On Hand</t>
  </si>
  <si>
    <t>Transfer Account ( Cash &amp; Bank )</t>
  </si>
  <si>
    <t xml:space="preserve">Exchange Gain / ( Loss ) </t>
  </si>
  <si>
    <t>Exchange Gain / ( Loss )</t>
  </si>
  <si>
    <t>Cash Oh Hand</t>
  </si>
  <si>
    <t xml:space="preserve">Petty Cash On Hand </t>
  </si>
  <si>
    <t>Dep %</t>
  </si>
  <si>
    <t>Net Book Value</t>
  </si>
  <si>
    <t>Assets Items</t>
  </si>
  <si>
    <t xml:space="preserve">     Telephone</t>
  </si>
  <si>
    <t>Telephone OPB</t>
  </si>
  <si>
    <t>Sim Card ( 85000 ks / 961 ks )</t>
  </si>
  <si>
    <t>Sim Card ( 140000 ks / 961 ks )</t>
  </si>
  <si>
    <t>Sim Card ( 150000 ks / 961 ks )</t>
  </si>
  <si>
    <t>GSM Card ( 130000 ks / 961 ks )</t>
  </si>
  <si>
    <t>Sim Card ( 1210000 ks / 961 ks )</t>
  </si>
  <si>
    <t>GSM Sim-Card ( 230000 ks / 961 ks )</t>
  </si>
  <si>
    <t xml:space="preserve">    Computer &amp; Printer</t>
  </si>
  <si>
    <t>Computer &amp; Printer-Opb</t>
  </si>
  <si>
    <t>BAGAN  CAPITAL  LIMITED</t>
  </si>
  <si>
    <t>STATEMENT OF PROFIT AND LOSS FOR THE MONTH OF  1-APRIL-14 TO 31-MARCH-15</t>
  </si>
  <si>
    <t>JOURNAL VOUCHER ( USD )</t>
  </si>
  <si>
    <t>JOURNAL  VOUCHER ( MMK )</t>
  </si>
  <si>
    <t xml:space="preserve">CASH  BOOK ( USD ) </t>
  </si>
  <si>
    <t xml:space="preserve">PETTY  CASH  BOOK ( MMK ) </t>
  </si>
  <si>
    <t xml:space="preserve"> CASH  BOOK ( MMK ) </t>
  </si>
  <si>
    <t>Lap top Computer 3 pc ( 374000 ks  / 961 ks )</t>
  </si>
  <si>
    <t xml:space="preserve">      Original Cost            ( USD )</t>
  </si>
  <si>
    <t>Lap top Computer 2 pc ( 290000 ks  / 961 ks )</t>
  </si>
  <si>
    <t>Epson Printer ( 255000 ks / 961 ks )</t>
  </si>
  <si>
    <t>Lap top and Printer ( 3493000 ks / 961 ks )</t>
  </si>
  <si>
    <t>Lap top and Printer ( 1158000 ks / 961 ks )</t>
  </si>
  <si>
    <t>Canon Printer ( 800000 ks / 961 ks )</t>
  </si>
  <si>
    <t xml:space="preserve">    Furniture &amp; Fixture</t>
  </si>
  <si>
    <t>Chair-2 nos , Matress-2 nos ( 538000 ks / 961 ks )</t>
  </si>
  <si>
    <t>Drawer  ( 112000 ks / 961 ks )</t>
  </si>
  <si>
    <t>Double Bed , Table ( 187500 ks / 961 ks )</t>
  </si>
  <si>
    <t xml:space="preserve">    Office Equipment</t>
  </si>
  <si>
    <t>Counting Machine ( 120000 ks / 961 ks )</t>
  </si>
  <si>
    <t>Fax Machine ( 120000 ks / 961 ks )</t>
  </si>
  <si>
    <t>Coffee Maker ( 344250 ks / 961 ks )</t>
  </si>
  <si>
    <t>TV 32" ( 257000 ks / 961 ks )</t>
  </si>
  <si>
    <t>Account Payable</t>
  </si>
  <si>
    <t>ok</t>
  </si>
  <si>
    <t>Prepaid Rental Deposit ( Yangon )</t>
  </si>
  <si>
    <t>Profit / (Loss) for the Year</t>
  </si>
  <si>
    <t>Opening Balance</t>
  </si>
  <si>
    <t>NON CURRENT ASSETS  SCHEDULE ( USD ) FOR FY-16-17</t>
  </si>
  <si>
    <t>Acc code</t>
  </si>
  <si>
    <t>Control Sheet</t>
  </si>
  <si>
    <t>Cash Book'!A1</t>
  </si>
  <si>
    <t>Main Ledger'!A1</t>
  </si>
  <si>
    <t>Petty-Cash Book'!A1</t>
  </si>
  <si>
    <t>Ledger!A1</t>
  </si>
  <si>
    <t>Cash Book-USD'!A1</t>
  </si>
  <si>
    <t>Ledger-USD'!A1</t>
  </si>
  <si>
    <t>Cash Trial'!A1</t>
  </si>
  <si>
    <t>JV-MMK'!A1</t>
  </si>
  <si>
    <t>JV-USD'!A1</t>
  </si>
  <si>
    <t>Trial balance'!A1</t>
  </si>
  <si>
    <t>Income Statement'!A1</t>
  </si>
  <si>
    <t>B-S'!A1</t>
  </si>
  <si>
    <t>FA-Sch'!A1</t>
  </si>
  <si>
    <t>Accumulated Dep at 01-04-2016</t>
  </si>
  <si>
    <t xml:space="preserve">      Depreciation          For the 1st Qtr</t>
  </si>
  <si>
    <t>Accumulated Dep at 30-06-2016</t>
  </si>
  <si>
    <t>Exchange Rate for April-29 = 1,175</t>
  </si>
  <si>
    <t>Exchange Rate for May-31 = 1,182</t>
  </si>
  <si>
    <t>Exchange Rate for June-30 = 1,181</t>
  </si>
  <si>
    <t>For 1-06-2015 to 31-05-2016</t>
  </si>
  <si>
    <t xml:space="preserve"> CASH TRIAL BALANCE FOR THE 01-06-2015 TO 31-05-2016 </t>
  </si>
  <si>
    <t>TRIAL BALANCE FOR THE 01-06-2015 TO 31-05-2016</t>
  </si>
  <si>
    <t>LEAD GENERATION CO.,LTD</t>
  </si>
  <si>
    <t>STATEMENT OF PROFIT AND LOSS FOR THE 01-06-2015 TO 31-05-2016</t>
  </si>
  <si>
    <t>STATEMENT OF FINANCIAL POSITION AS AT 31 MAY 2016</t>
  </si>
  <si>
    <t>Cash at Bank ( CB-US$ )</t>
  </si>
  <si>
    <t>Software Installation</t>
  </si>
  <si>
    <t>Accumulated Dep-Software Installation</t>
  </si>
  <si>
    <t>BK02001</t>
  </si>
  <si>
    <t>For ERP Software 1st Payment to Pencil Co.,</t>
  </si>
  <si>
    <t>03-02-2016</t>
  </si>
  <si>
    <t>08-02-2016</t>
  </si>
  <si>
    <t>Withdraw From CB Bank for Cash in Hand</t>
  </si>
  <si>
    <t>RO2001</t>
  </si>
  <si>
    <t>Sales USD 1,100 x 1,225 ks</t>
  </si>
  <si>
    <t>09-02-2016</t>
  </si>
  <si>
    <t>BKUSD02003</t>
  </si>
  <si>
    <t xml:space="preserve">Bonus for IT Manager-Nay Myo Win </t>
  </si>
  <si>
    <t>Cash at Bank ( CB-Kyats )</t>
  </si>
  <si>
    <t>17-02-2016</t>
  </si>
  <si>
    <t>USDBK02004</t>
  </si>
  <si>
    <t>Transfer from bank USD to Ks</t>
  </si>
  <si>
    <t>BKUSD02005</t>
  </si>
  <si>
    <t>For I Banking Services 3 users</t>
  </si>
  <si>
    <t>25-02-2016</t>
  </si>
  <si>
    <t>USDBK02009</t>
  </si>
  <si>
    <t>19-02-2016</t>
  </si>
  <si>
    <t>24-02-2016</t>
  </si>
  <si>
    <t>BKUSD02008</t>
  </si>
  <si>
    <t>USDBK02006</t>
  </si>
  <si>
    <t>26-02-2016</t>
  </si>
  <si>
    <t>BKUSD02010</t>
  </si>
  <si>
    <t>14-12-2015</t>
  </si>
  <si>
    <t>BKUSD12001</t>
  </si>
  <si>
    <t>Deposits for Bank Account Opening</t>
  </si>
  <si>
    <t>BK01001</t>
  </si>
  <si>
    <t>Paid Up Capital</t>
  </si>
  <si>
    <t>Capital Contribution</t>
  </si>
  <si>
    <t>04-02-2016</t>
  </si>
  <si>
    <t>BKUSD02001</t>
  </si>
  <si>
    <t>12-01-2016</t>
  </si>
  <si>
    <t>BKMMK02001</t>
  </si>
  <si>
    <t>BK02002</t>
  </si>
  <si>
    <t>BK02003</t>
  </si>
  <si>
    <t>BK02004</t>
  </si>
  <si>
    <t>USDBK02002</t>
  </si>
  <si>
    <t>BK02005</t>
  </si>
  <si>
    <t>USDRO2002</t>
  </si>
  <si>
    <t>USDRO2001</t>
  </si>
  <si>
    <t>USDPO2001</t>
  </si>
  <si>
    <t>For NPT Meeting Expenses</t>
  </si>
  <si>
    <t>10-02-2016</t>
  </si>
  <si>
    <t>RO2-002</t>
  </si>
  <si>
    <t>Refund money from NPT Meeting</t>
  </si>
  <si>
    <t>RO2003</t>
  </si>
  <si>
    <t>Transfer from Bank A/C</t>
  </si>
  <si>
    <t>23-02-2016</t>
  </si>
  <si>
    <t>RO2004</t>
  </si>
  <si>
    <t>Sales USD 100 x 1,240 ks</t>
  </si>
  <si>
    <t>RO2005</t>
  </si>
  <si>
    <t>Airticket Charges to NPT</t>
  </si>
  <si>
    <t>Prepaid ( Office Staff )</t>
  </si>
  <si>
    <t>PO2002</t>
  </si>
  <si>
    <t>Adv for FRD Meeting in NPT by Mr Rinat</t>
  </si>
  <si>
    <t>PO2003</t>
  </si>
  <si>
    <t>Adv for FRD Meeting in NPT by Mr Grave</t>
  </si>
  <si>
    <t>PO2004</t>
  </si>
  <si>
    <t>Expenses for Meeting</t>
  </si>
  <si>
    <t>PO2005</t>
  </si>
  <si>
    <t>Taxi Fees ( 17-02-2016 to 19-02-2016 )</t>
  </si>
  <si>
    <t>PO2006</t>
  </si>
  <si>
    <t>Taxi Fees ( Bar Street to Ahlone Home ST )</t>
  </si>
  <si>
    <t>Stamp Duty Tax</t>
  </si>
  <si>
    <t>PO02007</t>
  </si>
  <si>
    <t>Stamp Duty Charges for Rent Contract</t>
  </si>
  <si>
    <t>PO2008</t>
  </si>
  <si>
    <t>Notary Translaction Expenses</t>
  </si>
  <si>
    <t>PO2009</t>
  </si>
  <si>
    <t>PO2010</t>
  </si>
  <si>
    <t>Taxi Fees ( For Office Rent )</t>
  </si>
  <si>
    <t>PO2011</t>
  </si>
  <si>
    <t>Taxi Fees ( For Office Rent location checking )</t>
  </si>
  <si>
    <t>PO2012</t>
  </si>
  <si>
    <t>Taxi Fees ( Going to CB Bank )</t>
  </si>
  <si>
    <t>PO2013</t>
  </si>
  <si>
    <t>Taxi Fees ( Going to Junction Square )</t>
  </si>
  <si>
    <t>29-02-2016</t>
  </si>
  <si>
    <t>PO2014</t>
  </si>
  <si>
    <t>Taxi Fees ( Paid for Nominee )</t>
  </si>
  <si>
    <t>PO216</t>
  </si>
  <si>
    <t>Taxi Fees ( Going to IRD and SSB Office )</t>
  </si>
  <si>
    <t>BKMMKP02001</t>
  </si>
  <si>
    <t>Dell Laptop ( 2 Pcs x 482,000 MMK )</t>
  </si>
  <si>
    <t xml:space="preserve">Other Fees and Charges </t>
  </si>
  <si>
    <t>Other Fees and Charges</t>
  </si>
  <si>
    <t>Services Fees for Business License Apply</t>
  </si>
  <si>
    <t>Dell Monitor ( 23" , 3 pc x 215,000 ) &amp; Cable</t>
  </si>
  <si>
    <t xml:space="preserve">Adversising Charges for Recruitment </t>
  </si>
  <si>
    <t>BK02006</t>
  </si>
  <si>
    <t>Office Rental for ( 3 month &amp; 2 Weeks )</t>
  </si>
  <si>
    <t>BK02007</t>
  </si>
  <si>
    <t xml:space="preserve">Stamp Duty for Office Rental </t>
  </si>
  <si>
    <t>BK02008</t>
  </si>
  <si>
    <t>Salary for February-16</t>
  </si>
  <si>
    <t>BK02009</t>
  </si>
  <si>
    <t>Canon Image Class Printer ( 1 PC )</t>
  </si>
  <si>
    <t>03-03-2016</t>
  </si>
  <si>
    <t>USDBK03</t>
  </si>
  <si>
    <t>Transfer from bank USD to Ks ( $850 x1225 ks )</t>
  </si>
  <si>
    <t>Transfer from Bank A/C to computer purchased ( $850 x 1225 ks )</t>
  </si>
  <si>
    <t>BK03</t>
  </si>
  <si>
    <t xml:space="preserve">Withdraw for Petty Cash </t>
  </si>
  <si>
    <t>Transfer from bank USD to Cash Book USD</t>
  </si>
  <si>
    <t>11-03-2016</t>
  </si>
  <si>
    <t>Advance to Ko Deno for Furniture Purchase</t>
  </si>
  <si>
    <t>16-03-2016</t>
  </si>
  <si>
    <t>Transfer to Cash Books ( $3160 x 1,215 ks )</t>
  </si>
  <si>
    <t>Transfer from Bank A/C to keier Payment ( $3160 x 1215 ks )</t>
  </si>
  <si>
    <t>17-03-2016</t>
  </si>
  <si>
    <t>For Pawn Shop Activities</t>
  </si>
  <si>
    <t>24-03-2016</t>
  </si>
  <si>
    <t>Transfer to Cash Books ( $ 1,450 x 1,214 ks )</t>
  </si>
  <si>
    <t>Transfer to Cash Books ( $ 1450 x 1,214 ks )</t>
  </si>
  <si>
    <t>Transfer from Bank A/C to Computer Purchased ( $ 1,450 x 1214 ks )</t>
  </si>
  <si>
    <t>25-03-2016</t>
  </si>
  <si>
    <t>Transfer to Cash Books ( $ 1,000 x 1,214 ks )</t>
  </si>
  <si>
    <t>30-03-2016</t>
  </si>
  <si>
    <t>Transfer to Cash Books ( $ 300 x 1,212 ks )</t>
  </si>
  <si>
    <t>Transfer from Bank A/C ( $ 300 x 1212 ks )</t>
  </si>
  <si>
    <t>31-03-2016</t>
  </si>
  <si>
    <t>Transfer to Cash Books ( $ 13,390 x 1,206 ks )</t>
  </si>
  <si>
    <t>BKRO3</t>
  </si>
  <si>
    <t>Transfer from Bank A/C ( $ 13,390 x 1206 ks )</t>
  </si>
  <si>
    <t>USDPO3001</t>
  </si>
  <si>
    <t>For Office Equipment Purchased</t>
  </si>
  <si>
    <t>14-03-2016</t>
  </si>
  <si>
    <t>USDPO3002</t>
  </si>
  <si>
    <t>To MMK KS C/B ( $ 100 x 1,205 )</t>
  </si>
  <si>
    <t>RO3003</t>
  </si>
  <si>
    <t>Transfer from USD A/C ( $ 100 X 1,205 KS )</t>
  </si>
  <si>
    <t>21-03-2016</t>
  </si>
  <si>
    <t>USDPO3003</t>
  </si>
  <si>
    <t>RO3008</t>
  </si>
  <si>
    <t>22-03-2016</t>
  </si>
  <si>
    <t>USDPO304</t>
  </si>
  <si>
    <t>To MMK KS C/B ( $ 25 x 1,195 )</t>
  </si>
  <si>
    <t>RO3010</t>
  </si>
  <si>
    <t>Transfer from USD A/C ( $ 25 X 1,195 KS )</t>
  </si>
  <si>
    <t>PO3001</t>
  </si>
  <si>
    <t>04-03-2016</t>
  </si>
  <si>
    <t>PO3002</t>
  </si>
  <si>
    <t>PO3003</t>
  </si>
  <si>
    <t>Adv to Paing Htet Aung ( for DHL Charges )</t>
  </si>
  <si>
    <t>08-03-2016</t>
  </si>
  <si>
    <t>PO3004</t>
  </si>
  <si>
    <t>CD Installation Charges</t>
  </si>
  <si>
    <t>09-03-2016</t>
  </si>
  <si>
    <t>PO3005</t>
  </si>
  <si>
    <t>Meeting Expenses with Hay Man Capital</t>
  </si>
  <si>
    <t>PO3006</t>
  </si>
  <si>
    <t>Taxi Fees to MICT Park Office</t>
  </si>
  <si>
    <t>10-03-2016</t>
  </si>
  <si>
    <t>PO3007</t>
  </si>
  <si>
    <t>Taxi Fees for Office Location Checking</t>
  </si>
  <si>
    <t>PO3008</t>
  </si>
  <si>
    <t>Taxi Fees for Pawn Shop Nominee-Okkalapa</t>
  </si>
  <si>
    <t>PO3009</t>
  </si>
  <si>
    <t>Taxi Fees for BK Pencil Software Meeting</t>
  </si>
  <si>
    <t>PO3010</t>
  </si>
  <si>
    <t>Installation Charges for Contract Agreement</t>
  </si>
  <si>
    <t>PO3011</t>
  </si>
  <si>
    <t>Adv for Stationery Pur ( Mr Elizabeth C-Win )</t>
  </si>
  <si>
    <t>PO3012</t>
  </si>
  <si>
    <t>Taxi Fees for Nominee</t>
  </si>
  <si>
    <t>PO3017</t>
  </si>
  <si>
    <t>Sim Card 3 Qty ( 1500 ks x 3 Pc )</t>
  </si>
  <si>
    <t>PO3014</t>
  </si>
  <si>
    <t>DHL Service Charges</t>
  </si>
  <si>
    <t>PO3015</t>
  </si>
  <si>
    <t>RO3006</t>
  </si>
  <si>
    <t>Adv for Phone Hand Set and Accessories-IT Executive</t>
  </si>
  <si>
    <t>Adv Claimed ( IT Executive )</t>
  </si>
  <si>
    <t>Hand Phone ( Huawei 189,000 ks x 3 pcs )</t>
  </si>
  <si>
    <t>Advance Claimed IT Executive</t>
  </si>
  <si>
    <t xml:space="preserve">Top Up Card ( 2 pcs x 20000 , 10000 x 1 pc ) </t>
  </si>
  <si>
    <t>Hand Phone ( 1 pc x 16000 )</t>
  </si>
  <si>
    <t>18-03-2016</t>
  </si>
  <si>
    <t>PO3016</t>
  </si>
  <si>
    <t>Adv for Pawn Shop ( Ko Deno )</t>
  </si>
  <si>
    <t>Legal and Audit fees for Share Transfer</t>
  </si>
  <si>
    <t>PO3018</t>
  </si>
  <si>
    <t>Taxi Fees for Stationery Purchased</t>
  </si>
  <si>
    <t>Double Clip , Sauccer , A-4 Paper</t>
  </si>
  <si>
    <t>PO3019</t>
  </si>
  <si>
    <t>Taxi Charges for Stationery Purchased</t>
  </si>
  <si>
    <t>PO3020</t>
  </si>
  <si>
    <t>Taxi Charges for going to Airport</t>
  </si>
  <si>
    <t>PO3021</t>
  </si>
  <si>
    <t>Mouse Delux Expenses</t>
  </si>
  <si>
    <t>PO3022</t>
  </si>
  <si>
    <t>Taxi Fees for Euzabeth to MICT Park</t>
  </si>
  <si>
    <t>PO3024</t>
  </si>
  <si>
    <t>Stamp ( 6 digit ) 2 pcs x 1400 ks )</t>
  </si>
  <si>
    <t>PO3023</t>
  </si>
  <si>
    <t xml:space="preserve">Running Machine 1 pc x 2000 , Ink 1 pc x 1500 </t>
  </si>
  <si>
    <t>PO3025</t>
  </si>
  <si>
    <t>For GPS Software fees to Tracking</t>
  </si>
  <si>
    <t>PO3026</t>
  </si>
  <si>
    <t>Adv for Sim Card Purchased ( Nay Myo Win-IT Manager )</t>
  </si>
  <si>
    <t>PO3027</t>
  </si>
  <si>
    <t>Taxi Charges to go data entry and office Key</t>
  </si>
  <si>
    <t>PO3028</t>
  </si>
  <si>
    <t xml:space="preserve">Transportation fees </t>
  </si>
  <si>
    <t>PO3029</t>
  </si>
  <si>
    <t>PO3030</t>
  </si>
  <si>
    <t>For Cannon Catridge pur ( Evic Zaw )</t>
  </si>
  <si>
    <t>PO3031</t>
  </si>
  <si>
    <t>Taxi Charges to buy Canon Cartidges</t>
  </si>
  <si>
    <t>PO3032</t>
  </si>
  <si>
    <t>Taxi Charges CB Bank to Office</t>
  </si>
  <si>
    <t>PO3033</t>
  </si>
  <si>
    <t>Taxi Fees ( Office to Insein )</t>
  </si>
  <si>
    <t>PO3034</t>
  </si>
  <si>
    <t>PO3035</t>
  </si>
  <si>
    <t>Transportation fees for Sales Promoter Myo Min</t>
  </si>
  <si>
    <t>PO3036</t>
  </si>
  <si>
    <t>Daily Wages for Sales Promoter and Incentive</t>
  </si>
  <si>
    <t>PO3037</t>
  </si>
  <si>
    <t>A4 Paper 1 Packing</t>
  </si>
  <si>
    <t>PO3038</t>
  </si>
  <si>
    <t>Taxi Fees for Sales</t>
  </si>
  <si>
    <t>PO3039</t>
  </si>
  <si>
    <t>PO3040</t>
  </si>
  <si>
    <t>Transportation for Sales</t>
  </si>
  <si>
    <t>PO3041</t>
  </si>
  <si>
    <t>Interpreter Fees ( 62500 x 5 days )</t>
  </si>
  <si>
    <t>PO3042</t>
  </si>
  <si>
    <t>Part Time Promoter Fees ( Daw Law Eh )</t>
  </si>
  <si>
    <t>PO3043</t>
  </si>
  <si>
    <t>Part Time Promoter Fees ( Myo Min )</t>
  </si>
  <si>
    <t>PO3044</t>
  </si>
  <si>
    <t>Taxi Fees for Data Entry</t>
  </si>
  <si>
    <t>PO3045</t>
  </si>
  <si>
    <t>Printing &amp; Copying Charges</t>
  </si>
  <si>
    <t>Taxi Charges</t>
  </si>
  <si>
    <t>Prepaid Deposit ( Others )</t>
  </si>
  <si>
    <t>26-03-2016</t>
  </si>
  <si>
    <t>PO3046</t>
  </si>
  <si>
    <t>Deposit for Licence Fees by Fine 9</t>
  </si>
  <si>
    <t>29-03-2016</t>
  </si>
  <si>
    <t>PO3047</t>
  </si>
  <si>
    <t>Rules and Regulation Book for Pawn Shop</t>
  </si>
  <si>
    <t>PO3048</t>
  </si>
  <si>
    <t>PO3049</t>
  </si>
  <si>
    <t>Taxi Fees CB Bank to Pencil</t>
  </si>
  <si>
    <t>PO3050</t>
  </si>
  <si>
    <t>Double A4 Paper 1 Pk</t>
  </si>
  <si>
    <t>PO3051</t>
  </si>
  <si>
    <t>Pamphlet Fees</t>
  </si>
  <si>
    <t>PO3052</t>
  </si>
  <si>
    <t>PO3053</t>
  </si>
  <si>
    <t>Part Time Data Entry ( Soe Pa Pa San )</t>
  </si>
  <si>
    <t>PO3054</t>
  </si>
  <si>
    <t>Visiting Card Charges  700 pc x 60 ks , 100 pc x 60 ks</t>
  </si>
  <si>
    <t>Lenovo Lap Top ( 1 pc x 976000 ),43,500 ks x 1 pc</t>
  </si>
  <si>
    <t xml:space="preserve">Transportation Allowance to HR Director </t>
  </si>
  <si>
    <t>Payment to keier Meeting Room , Copier Chg</t>
  </si>
  <si>
    <t>Phone Accessories and Service Fees</t>
  </si>
  <si>
    <t>Canon Cartidge and Design Fees</t>
  </si>
  <si>
    <t>Design Fees for Pamphlets</t>
  </si>
  <si>
    <t>Call Centre Cerver (Dell inspiron 3847 )</t>
  </si>
  <si>
    <t>Transfer to Bank Ks ( $ 1,000 x 1,214 ks )</t>
  </si>
  <si>
    <t>Contractual Services fees for Sales Promoter</t>
  </si>
  <si>
    <t>For Pawn Shop Licence Deposit</t>
  </si>
  <si>
    <t>For March 2016 Salary</t>
  </si>
  <si>
    <t>08-04-2016</t>
  </si>
  <si>
    <t>PO4011</t>
  </si>
  <si>
    <t>Taxi Fees for Office office Rent Checking</t>
  </si>
  <si>
    <t>PO4010</t>
  </si>
  <si>
    <t>Taxi Fees for YCDC Slip</t>
  </si>
  <si>
    <t>PO4009</t>
  </si>
  <si>
    <t>Taxi Fees CB Bank to Office</t>
  </si>
  <si>
    <t>PO4008</t>
  </si>
  <si>
    <t>Taxi Fees</t>
  </si>
  <si>
    <t>07-04-2016</t>
  </si>
  <si>
    <t>PO4007</t>
  </si>
  <si>
    <t>Wages for Part time worker</t>
  </si>
  <si>
    <t>06-04-2016</t>
  </si>
  <si>
    <t>PO4006</t>
  </si>
  <si>
    <t>Dismissal Wages for Amara</t>
  </si>
  <si>
    <t>PO4005</t>
  </si>
  <si>
    <t>CEO March 2016 part time salary</t>
  </si>
  <si>
    <t>05-04-2016</t>
  </si>
  <si>
    <t>04001</t>
  </si>
  <si>
    <t>4001</t>
  </si>
  <si>
    <t>Changed from CB USD ( 2,620 x 1,180 ks )</t>
  </si>
  <si>
    <t>PO003</t>
  </si>
  <si>
    <t>Transfer to Cash Books USD</t>
  </si>
  <si>
    <t>RO4001</t>
  </si>
  <si>
    <t>Transfer from CB Bank A/C</t>
  </si>
  <si>
    <t>29-04-2016</t>
  </si>
  <si>
    <t>PO4002</t>
  </si>
  <si>
    <t>For April 2016 Salary</t>
  </si>
  <si>
    <t>RO4002</t>
  </si>
  <si>
    <t>Refund money from Deposit 700000 ks to YCDC</t>
  </si>
  <si>
    <t>Fees to YCDC for Pawn Licences</t>
  </si>
  <si>
    <t>Fees to YCDC for Pawn Licences-Adv Claim</t>
  </si>
  <si>
    <t>04002</t>
  </si>
  <si>
    <t>Transfer to Cash Books (  1,180 ks x 2,620 usd )</t>
  </si>
  <si>
    <t>Transfer to Cash Books ( $ 3,115 x 1,180 ks )</t>
  </si>
  <si>
    <t>4002</t>
  </si>
  <si>
    <t>26-04-2016</t>
  </si>
  <si>
    <t>PO4003</t>
  </si>
  <si>
    <t xml:space="preserve">Pmt for dismissinal </t>
  </si>
  <si>
    <t>Cash Deposit to CB Bank USD A/C</t>
  </si>
  <si>
    <t>RO4003</t>
  </si>
  <si>
    <t>Adv Return from Pawn Shop Activity</t>
  </si>
  <si>
    <t>PO4001</t>
  </si>
  <si>
    <t>Paid to Keier for Office Rental</t>
  </si>
  <si>
    <t>Refund from Office Rental</t>
  </si>
  <si>
    <t>PO4004</t>
  </si>
  <si>
    <t>Dismissal Wages for Yee Mon Thin</t>
  </si>
  <si>
    <t>01-04-2014</t>
  </si>
  <si>
    <t>Taxi Fees for Pawn shop</t>
  </si>
  <si>
    <t>01-04-2016</t>
  </si>
  <si>
    <t>Interpreter Fees ( $25 x 1,206 ks )</t>
  </si>
  <si>
    <t>Changed from CB USD ( 3,115 x 1,170 ks )</t>
  </si>
  <si>
    <t>Bank Charges for Cash Deposit</t>
  </si>
  <si>
    <t>Transfer to CB Ks A/C For Salary</t>
  </si>
  <si>
    <t>06-05-2016</t>
  </si>
  <si>
    <t>PO04001</t>
  </si>
  <si>
    <t>For Cheque Book</t>
  </si>
  <si>
    <t>Profit/(Loss) For the Period</t>
  </si>
  <si>
    <t>31-05-2016</t>
  </si>
  <si>
    <t>RO5001</t>
  </si>
  <si>
    <t>Capital Contribution to Bank KS A/C</t>
  </si>
  <si>
    <t>RO5002</t>
  </si>
  <si>
    <t>PO5001</t>
  </si>
  <si>
    <t>Paid to Blue Ocean for Internet Service Fees</t>
  </si>
  <si>
    <t>For May 2016 Salary</t>
  </si>
  <si>
    <t>PO5003</t>
  </si>
  <si>
    <t>PO5004</t>
  </si>
  <si>
    <t>Bank Charges for Payroll May-16</t>
  </si>
  <si>
    <t>PO5002</t>
  </si>
  <si>
    <t xml:space="preserve">For PAWN Shop </t>
  </si>
  <si>
    <t>02-05-2016</t>
  </si>
  <si>
    <t>Bank Charges for Capital Contribution</t>
  </si>
  <si>
    <t>Stamp Duty for Office Rent</t>
  </si>
  <si>
    <t>10-05-2016</t>
  </si>
  <si>
    <t>For Meeting and room rental Charges</t>
  </si>
  <si>
    <t>23-05-2016</t>
  </si>
  <si>
    <t>PO5006</t>
  </si>
  <si>
    <t>Deposit for Pawn Shop</t>
  </si>
  <si>
    <t>PO5008</t>
  </si>
  <si>
    <t>Changed to MMK Cash Book for Salary</t>
  </si>
  <si>
    <t>Changed from bank usd for salary 1195 ks mmk</t>
  </si>
  <si>
    <t>RO5004</t>
  </si>
  <si>
    <t>From AYA Bank 15600 usd x 1185 ks</t>
  </si>
  <si>
    <t>Adv for Pown Shop Nominee</t>
  </si>
  <si>
    <t>Taxi Fees going to Pawn Shop</t>
  </si>
  <si>
    <t>04-05-2016</t>
  </si>
  <si>
    <t>Taxi Fees Office to Bank</t>
  </si>
  <si>
    <t>05-05-2016</t>
  </si>
  <si>
    <t>PO5005</t>
  </si>
  <si>
    <t>Taxi Charges for Mobile Money Test</t>
  </si>
  <si>
    <t>Taxi Fees for Mobile Money</t>
  </si>
  <si>
    <t>PO5007</t>
  </si>
  <si>
    <t>Pawn Shop Office Deposit</t>
  </si>
  <si>
    <t>PO5009</t>
  </si>
  <si>
    <t>Taxi Fees for Office to YCDC Office</t>
  </si>
  <si>
    <t>30-05-2016</t>
  </si>
  <si>
    <t>PO5010</t>
  </si>
  <si>
    <t>Deposit for Pawn Shop Bank A/C</t>
  </si>
  <si>
    <t>PO5011</t>
  </si>
  <si>
    <t>Taxi Fees for Office to CB Bank</t>
  </si>
  <si>
    <t>PO5012</t>
  </si>
  <si>
    <t>Pawn Shop Office Rental Fees</t>
  </si>
  <si>
    <t>PO5013</t>
  </si>
  <si>
    <t>Deposit to Bank Ks A/C</t>
  </si>
  <si>
    <t>Adj</t>
  </si>
  <si>
    <t xml:space="preserve">Transfer to CB Ks A/C </t>
  </si>
  <si>
    <t>Exchange Rate for 1-06-2015 to 31-05-2016 is 1,226 mmk/Per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</si>
</sst>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&quot;-&quot;??_);_(@_)"/>
    <numFmt numFmtId="165" formatCode="_-* #,##0.00_-;\-* #,##0.00_-;_-* &quot;-&quot;??_-;_-@_-"/>
    <numFmt numFmtId="166" formatCode="dd/mm/yy;@"/>
    <numFmt numFmtId="167" formatCode="[$-409]d\-mmm\-yy;@"/>
    <numFmt numFmtId="168" formatCode="_(* #,##0_);_(* \(#,##0\);_(* &quot;-&quot;??_);_(@_)"/>
    <numFmt numFmtId="169" formatCode="_-* #,##0_-;\-* #,##0_-;_-* &quot;-&quot;??_-;_-@_-"/>
    <numFmt numFmtId="170" formatCode="dd/mm/yyyy;@"/>
    <numFmt numFmtId="171" formatCode="#,##0.00_ ;[Red]\-#,##0.00\ "/>
    <numFmt numFmtId="172" formatCode="[$-42B]dd\-mmm\-yyyy;@"/>
  </numFmts>
  <fonts count="6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i/>
      <u/>
      <sz val="13"/>
      <color rgb="FFFF000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b/>
      <u/>
      <sz val="10"/>
      <color theme="1"/>
      <name val="Tahoma"/>
      <family val="2"/>
    </font>
    <font>
      <b/>
      <u/>
      <sz val="11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u/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000099"/>
      <name val="Tahoma"/>
      <family val="2"/>
    </font>
    <font>
      <b/>
      <sz val="10"/>
      <color rgb="FFFF0000"/>
      <name val="Tahoma"/>
      <family val="2"/>
    </font>
    <font>
      <sz val="11"/>
      <color rgb="FF0000CC"/>
      <name val="Tahoma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CC"/>
      <name val="Arial"/>
      <family val="2"/>
    </font>
    <font>
      <b/>
      <sz val="10"/>
      <color rgb="FF996600"/>
      <name val="Arial"/>
      <family val="2"/>
    </font>
    <font>
      <b/>
      <sz val="11"/>
      <color rgb="FF996600"/>
      <name val="Calibri"/>
      <family val="2"/>
      <scheme val="minor"/>
    </font>
    <font>
      <b/>
      <sz val="12"/>
      <color rgb="FF996600"/>
      <name val="Times New Roman"/>
      <family val="1"/>
    </font>
    <font>
      <b/>
      <sz val="12"/>
      <color rgb="FF0000CC"/>
      <name val="Times New Roman"/>
      <family val="1"/>
    </font>
    <font>
      <sz val="10"/>
      <color rgb="FF0000CC"/>
      <name val="Arial"/>
      <family val="2"/>
    </font>
    <font>
      <sz val="10"/>
      <color rgb="FF996600"/>
      <name val="Arial"/>
      <family val="2"/>
    </font>
    <font>
      <sz val="10"/>
      <color rgb="FF0000CC"/>
      <name val="Times New Roman"/>
      <family val="1"/>
    </font>
    <font>
      <sz val="10"/>
      <color rgb="FF996600"/>
      <name val="Times New Roman"/>
      <family val="1"/>
    </font>
    <font>
      <b/>
      <sz val="11"/>
      <color rgb="FF0000CC"/>
      <name val="Tahoma"/>
      <family val="2"/>
    </font>
    <font>
      <sz val="11"/>
      <color rgb="FF0000CC"/>
      <name val="Calibri"/>
      <family val="2"/>
      <scheme val="minor"/>
    </font>
    <font>
      <sz val="11"/>
      <color rgb="FF996600"/>
      <name val="Calibri"/>
      <family val="2"/>
      <scheme val="minor"/>
    </font>
    <font>
      <sz val="11"/>
      <color rgb="FF996600"/>
      <name val="Tahoma"/>
      <family val="2"/>
    </font>
    <font>
      <b/>
      <sz val="11"/>
      <color rgb="FF996600"/>
      <name val="Tahoma"/>
      <family val="2"/>
    </font>
    <font>
      <sz val="11"/>
      <color rgb="FF3366CC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666699"/>
      <name val="Tahoma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Dashed">
        <color auto="1"/>
      </bottom>
      <diagonal/>
    </border>
    <border>
      <left style="thin">
        <color indexed="64"/>
      </left>
      <right/>
      <top style="mediumDashed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66" fillId="0" borderId="0" applyNumberFormat="0" applyFill="0" applyBorder="0" applyAlignment="0" applyProtection="0">
      <alignment vertical="top"/>
      <protection locked="0"/>
    </xf>
  </cellStyleXfs>
  <cellXfs count="490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0" fillId="0" borderId="15" xfId="0" applyBorder="1"/>
    <xf numFmtId="0" fontId="1" fillId="0" borderId="0" xfId="4"/>
    <xf numFmtId="168" fontId="1" fillId="0" borderId="0" xfId="4" applyNumberFormat="1"/>
    <xf numFmtId="0" fontId="1" fillId="0" borderId="15" xfId="4" applyBorder="1"/>
    <xf numFmtId="0" fontId="22" fillId="0" borderId="0" xfId="4" applyFont="1" applyBorder="1"/>
    <xf numFmtId="0" fontId="21" fillId="0" borderId="0" xfId="4" applyFont="1" applyBorder="1"/>
    <xf numFmtId="39" fontId="23" fillId="0" borderId="0" xfId="4" applyNumberFormat="1" applyFont="1" applyBorder="1"/>
    <xf numFmtId="164" fontId="21" fillId="0" borderId="0" xfId="4" applyNumberFormat="1" applyFont="1" applyBorder="1"/>
    <xf numFmtId="0" fontId="22" fillId="0" borderId="0" xfId="4" applyFont="1"/>
    <xf numFmtId="0" fontId="21" fillId="0" borderId="0" xfId="4" applyFont="1"/>
    <xf numFmtId="0" fontId="24" fillId="0" borderId="0" xfId="4" applyFont="1" applyBorder="1"/>
    <xf numFmtId="0" fontId="25" fillId="0" borderId="0" xfId="4" applyFont="1" applyBorder="1"/>
    <xf numFmtId="39" fontId="25" fillId="0" borderId="0" xfId="4" applyNumberFormat="1" applyFont="1" applyBorder="1"/>
    <xf numFmtId="169" fontId="0" fillId="0" borderId="0" xfId="5" applyNumberFormat="1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9" fontId="2" fillId="0" borderId="11" xfId="5" applyNumberFormat="1" applyFont="1" applyBorder="1" applyAlignment="1">
      <alignment horizontal="center" vertical="center"/>
    </xf>
    <xf numFmtId="169" fontId="7" fillId="0" borderId="12" xfId="5" applyNumberFormat="1" applyFont="1" applyBorder="1" applyAlignment="1">
      <alignment horizontal="center" vertical="center"/>
    </xf>
    <xf numFmtId="170" fontId="0" fillId="0" borderId="13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169" fontId="0" fillId="0" borderId="5" xfId="5" applyNumberFormat="1" applyFont="1" applyBorder="1" applyAlignment="1">
      <alignment horizontal="center" vertical="center"/>
    </xf>
    <xf numFmtId="169" fontId="0" fillId="0" borderId="14" xfId="5" applyNumberFormat="1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170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169" fontId="0" fillId="0" borderId="23" xfId="5" applyNumberFormat="1" applyFont="1" applyBorder="1" applyAlignment="1">
      <alignment horizontal="center" vertical="center"/>
    </xf>
    <xf numFmtId="169" fontId="0" fillId="0" borderId="24" xfId="5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169" fontId="0" fillId="0" borderId="27" xfId="5" applyNumberFormat="1" applyFont="1" applyBorder="1" applyAlignment="1">
      <alignment horizontal="center" vertical="center"/>
    </xf>
    <xf numFmtId="169" fontId="0" fillId="0" borderId="28" xfId="5" applyNumberFormat="1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69" fontId="0" fillId="0" borderId="0" xfId="5" applyNumberFormat="1" applyFon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0" fontId="0" fillId="0" borderId="29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9" fontId="0" fillId="0" borderId="0" xfId="5" applyNumberFormat="1" applyFont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0" fillId="0" borderId="33" xfId="0" applyFont="1" applyBorder="1" applyAlignment="1">
      <alignment horizontal="left" vertical="center"/>
    </xf>
    <xf numFmtId="0" fontId="30" fillId="0" borderId="32" xfId="0" applyFont="1" applyBorder="1" applyAlignment="1">
      <alignment horizontal="right" vertical="center"/>
    </xf>
    <xf numFmtId="0" fontId="30" fillId="0" borderId="30" xfId="0" applyFont="1" applyBorder="1" applyAlignment="1">
      <alignment horizontal="right" vertical="center" wrapText="1"/>
    </xf>
    <xf numFmtId="0" fontId="32" fillId="0" borderId="0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0" fillId="0" borderId="31" xfId="0" applyFont="1" applyBorder="1"/>
    <xf numFmtId="0" fontId="0" fillId="0" borderId="0" xfId="0" applyFont="1"/>
    <xf numFmtId="0" fontId="0" fillId="4" borderId="5" xfId="0" applyFont="1" applyFill="1" applyBorder="1"/>
    <xf numFmtId="0" fontId="0" fillId="0" borderId="33" xfId="0" applyFont="1" applyBorder="1" applyAlignment="1">
      <alignment horizontal="left" vertical="center"/>
    </xf>
    <xf numFmtId="0" fontId="6" fillId="0" borderId="34" xfId="0" applyFont="1" applyFill="1" applyBorder="1" applyAlignment="1">
      <alignment horizontal="left" vertical="center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Border="1"/>
    <xf numFmtId="0" fontId="3" fillId="0" borderId="36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9" fillId="0" borderId="0" xfId="0" applyFont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0" fillId="5" borderId="32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0" fillId="0" borderId="5" xfId="0" applyFont="1" applyFill="1" applyBorder="1" applyAlignment="1">
      <alignment horizontal="left" vertical="center"/>
    </xf>
    <xf numFmtId="169" fontId="34" fillId="0" borderId="5" xfId="5" applyNumberFormat="1" applyFont="1" applyFill="1" applyBorder="1" applyAlignment="1">
      <alignment horizontal="center" vertical="center"/>
    </xf>
    <xf numFmtId="169" fontId="34" fillId="0" borderId="31" xfId="5" applyNumberFormat="1" applyFont="1" applyFill="1" applyBorder="1" applyAlignment="1">
      <alignment horizontal="center" vertical="center"/>
    </xf>
    <xf numFmtId="169" fontId="34" fillId="0" borderId="34" xfId="5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left" vertical="center"/>
    </xf>
    <xf numFmtId="169" fontId="34" fillId="0" borderId="5" xfId="5" applyNumberFormat="1" applyFont="1" applyBorder="1" applyAlignment="1">
      <alignment horizontal="center" vertical="center"/>
    </xf>
    <xf numFmtId="169" fontId="34" fillId="0" borderId="31" xfId="5" applyNumberFormat="1" applyFont="1" applyBorder="1" applyAlignment="1">
      <alignment horizontal="center" vertical="center"/>
    </xf>
    <xf numFmtId="169" fontId="34" fillId="0" borderId="34" xfId="5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left" vertical="center"/>
    </xf>
    <xf numFmtId="169" fontId="33" fillId="0" borderId="0" xfId="0" applyNumberFormat="1" applyFont="1" applyAlignment="1">
      <alignment horizontal="center" vertical="center"/>
    </xf>
    <xf numFmtId="169" fontId="34" fillId="4" borderId="5" xfId="5" applyNumberFormat="1" applyFont="1" applyFill="1" applyBorder="1" applyAlignment="1">
      <alignment horizontal="center" vertical="center"/>
    </xf>
    <xf numFmtId="0" fontId="34" fillId="0" borderId="20" xfId="0" applyFont="1" applyBorder="1" applyAlignment="1">
      <alignment horizontal="left" vertical="center"/>
    </xf>
    <xf numFmtId="0" fontId="30" fillId="5" borderId="8" xfId="0" applyFont="1" applyFill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169" fontId="34" fillId="0" borderId="0" xfId="5" applyNumberFormat="1" applyFont="1" applyAlignment="1">
      <alignment horizontal="center" vertical="center"/>
    </xf>
    <xf numFmtId="2" fontId="36" fillId="0" borderId="0" xfId="5" applyNumberFormat="1" applyFont="1" applyAlignment="1">
      <alignment horizontal="right" vertical="center"/>
    </xf>
    <xf numFmtId="2" fontId="33" fillId="0" borderId="0" xfId="0" applyNumberFormat="1" applyFont="1" applyAlignment="1">
      <alignment horizontal="center" vertical="center"/>
    </xf>
    <xf numFmtId="169" fontId="33" fillId="0" borderId="0" xfId="5" applyNumberFormat="1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39" fontId="1" fillId="0" borderId="0" xfId="4" applyNumberFormat="1"/>
    <xf numFmtId="0" fontId="0" fillId="0" borderId="34" xfId="0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166" fontId="0" fillId="0" borderId="4" xfId="0" applyNumberFormat="1" applyBorder="1" applyAlignment="1">
      <alignment horizontal="center" vertical="center"/>
    </xf>
    <xf numFmtId="0" fontId="19" fillId="0" borderId="40" xfId="4" applyFont="1" applyBorder="1" applyAlignment="1">
      <alignment horizontal="center" vertical="center"/>
    </xf>
    <xf numFmtId="0" fontId="0" fillId="0" borderId="27" xfId="0" applyBorder="1"/>
    <xf numFmtId="0" fontId="0" fillId="0" borderId="34" xfId="0" applyFill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65" fontId="39" fillId="0" borderId="5" xfId="5" applyNumberFormat="1" applyFont="1" applyBorder="1" applyAlignment="1">
      <alignment horizontal="center" vertical="center"/>
    </xf>
    <xf numFmtId="0" fontId="20" fillId="0" borderId="32" xfId="4" applyFont="1" applyBorder="1" applyAlignment="1">
      <alignment horizontal="left" vertical="center" wrapText="1"/>
    </xf>
    <xf numFmtId="0" fontId="19" fillId="0" borderId="26" xfId="4" applyFont="1" applyBorder="1" applyAlignment="1">
      <alignment horizontal="center" vertical="center"/>
    </xf>
    <xf numFmtId="0" fontId="20" fillId="0" borderId="27" xfId="4" applyFont="1" applyBorder="1" applyAlignment="1">
      <alignment horizontal="left" vertical="center" wrapText="1"/>
    </xf>
    <xf numFmtId="0" fontId="18" fillId="0" borderId="8" xfId="4" applyFont="1" applyBorder="1" applyAlignment="1">
      <alignment horizontal="center" vertical="center"/>
    </xf>
    <xf numFmtId="0" fontId="28" fillId="0" borderId="0" xfId="4" applyFont="1"/>
    <xf numFmtId="39" fontId="23" fillId="2" borderId="0" xfId="4" applyNumberFormat="1" applyFont="1" applyFill="1" applyBorder="1"/>
    <xf numFmtId="164" fontId="18" fillId="0" borderId="30" xfId="1" applyFont="1" applyBorder="1" applyAlignment="1">
      <alignment horizontal="center" vertical="center"/>
    </xf>
    <xf numFmtId="168" fontId="21" fillId="0" borderId="30" xfId="1" applyNumberFormat="1" applyFont="1" applyBorder="1" applyAlignment="1">
      <alignment horizontal="center" vertical="center"/>
    </xf>
    <xf numFmtId="168" fontId="21" fillId="0" borderId="22" xfId="1" applyNumberFormat="1" applyFont="1" applyBorder="1" applyAlignment="1">
      <alignment horizontal="center" vertical="center"/>
    </xf>
    <xf numFmtId="168" fontId="22" fillId="0" borderId="25" xfId="1" applyNumberFormat="1" applyFont="1" applyFill="1" applyBorder="1" applyAlignment="1">
      <alignment horizontal="center" vertical="center"/>
    </xf>
    <xf numFmtId="164" fontId="18" fillId="0" borderId="44" xfId="1" applyFont="1" applyBorder="1" applyAlignment="1">
      <alignment horizontal="center" vertical="center"/>
    </xf>
    <xf numFmtId="168" fontId="21" fillId="0" borderId="44" xfId="1" applyNumberFormat="1" applyFont="1" applyBorder="1" applyAlignment="1">
      <alignment horizontal="center" vertical="center"/>
    </xf>
    <xf numFmtId="168" fontId="21" fillId="0" borderId="45" xfId="1" applyNumberFormat="1" applyFont="1" applyBorder="1" applyAlignment="1">
      <alignment horizontal="center" vertical="center"/>
    </xf>
    <xf numFmtId="168" fontId="22" fillId="0" borderId="46" xfId="1" applyNumberFormat="1" applyFont="1" applyFill="1" applyBorder="1" applyAlignment="1">
      <alignment horizontal="center" vertical="center"/>
    </xf>
    <xf numFmtId="0" fontId="1" fillId="0" borderId="0" xfId="4" applyAlignment="1">
      <alignment horizontal="center"/>
    </xf>
    <xf numFmtId="168" fontId="1" fillId="0" borderId="0" xfId="4" applyNumberFormat="1" applyAlignment="1">
      <alignment horizontal="center" vertical="center"/>
    </xf>
    <xf numFmtId="0" fontId="1" fillId="0" borderId="0" xfId="4" applyAlignment="1">
      <alignment horizontal="center" vertical="center"/>
    </xf>
    <xf numFmtId="164" fontId="45" fillId="0" borderId="44" xfId="1" applyFont="1" applyBorder="1" applyAlignment="1">
      <alignment horizontal="center" vertical="center"/>
    </xf>
    <xf numFmtId="164" fontId="45" fillId="0" borderId="47" xfId="1" applyFont="1" applyBorder="1" applyAlignment="1">
      <alignment horizontal="center" vertical="center"/>
    </xf>
    <xf numFmtId="164" fontId="46" fillId="0" borderId="44" xfId="1" applyFont="1" applyBorder="1" applyAlignment="1">
      <alignment horizontal="center" vertical="center"/>
    </xf>
    <xf numFmtId="164" fontId="46" fillId="0" borderId="30" xfId="1" applyFont="1" applyBorder="1" applyAlignment="1">
      <alignment horizontal="center" vertical="center"/>
    </xf>
    <xf numFmtId="168" fontId="47" fillId="0" borderId="44" xfId="4" applyNumberFormat="1" applyFont="1" applyBorder="1" applyAlignment="1">
      <alignment horizontal="center" vertical="center"/>
    </xf>
    <xf numFmtId="0" fontId="47" fillId="0" borderId="30" xfId="4" applyFont="1" applyBorder="1" applyAlignment="1">
      <alignment horizontal="center" vertical="center"/>
    </xf>
    <xf numFmtId="168" fontId="47" fillId="0" borderId="45" xfId="4" applyNumberFormat="1" applyFont="1" applyBorder="1"/>
    <xf numFmtId="0" fontId="47" fillId="0" borderId="22" xfId="4" applyFont="1" applyBorder="1"/>
    <xf numFmtId="165" fontId="48" fillId="0" borderId="44" xfId="4" applyNumberFormat="1" applyFont="1" applyBorder="1" applyAlignment="1">
      <alignment horizontal="center" vertical="center"/>
    </xf>
    <xf numFmtId="165" fontId="48" fillId="0" borderId="47" xfId="4" applyNumberFormat="1" applyFont="1" applyBorder="1" applyAlignment="1">
      <alignment horizontal="center" vertical="center"/>
    </xf>
    <xf numFmtId="0" fontId="48" fillId="0" borderId="45" xfId="4" applyFont="1" applyBorder="1"/>
    <xf numFmtId="0" fontId="48" fillId="0" borderId="48" xfId="4" applyFont="1" applyBorder="1"/>
    <xf numFmtId="164" fontId="18" fillId="0" borderId="33" xfId="1" applyFont="1" applyBorder="1" applyAlignment="1">
      <alignment horizontal="center" vertical="center"/>
    </xf>
    <xf numFmtId="168" fontId="21" fillId="0" borderId="33" xfId="1" applyNumberFormat="1" applyFont="1" applyBorder="1" applyAlignment="1">
      <alignment horizontal="center" vertical="center"/>
    </xf>
    <xf numFmtId="164" fontId="18" fillId="0" borderId="49" xfId="1" applyFont="1" applyBorder="1" applyAlignment="1">
      <alignment horizontal="center" vertical="center"/>
    </xf>
    <xf numFmtId="168" fontId="21" fillId="0" borderId="49" xfId="1" applyNumberFormat="1" applyFont="1" applyBorder="1" applyAlignment="1">
      <alignment horizontal="center" vertical="center"/>
    </xf>
    <xf numFmtId="164" fontId="46" fillId="0" borderId="32" xfId="1" applyFont="1" applyBorder="1" applyAlignment="1">
      <alignment horizontal="center" vertical="center"/>
    </xf>
    <xf numFmtId="164" fontId="45" fillId="0" borderId="32" xfId="1" applyFont="1" applyBorder="1" applyAlignment="1">
      <alignment horizontal="center" vertical="center"/>
    </xf>
    <xf numFmtId="164" fontId="45" fillId="0" borderId="41" xfId="1" applyFont="1" applyBorder="1" applyAlignment="1">
      <alignment horizontal="center" vertical="center"/>
    </xf>
    <xf numFmtId="168" fontId="22" fillId="0" borderId="50" xfId="1" applyNumberFormat="1" applyFont="1" applyFill="1" applyBorder="1" applyAlignment="1">
      <alignment horizontal="center" vertical="center"/>
    </xf>
    <xf numFmtId="168" fontId="22" fillId="0" borderId="51" xfId="1" applyNumberFormat="1" applyFont="1" applyFill="1" applyBorder="1" applyAlignment="1">
      <alignment horizontal="center" vertical="center"/>
    </xf>
    <xf numFmtId="164" fontId="50" fillId="0" borderId="32" xfId="1" applyNumberFormat="1" applyFont="1" applyBorder="1" applyAlignment="1">
      <alignment horizontal="center" vertical="center"/>
    </xf>
    <xf numFmtId="164" fontId="50" fillId="0" borderId="41" xfId="1" applyNumberFormat="1" applyFont="1" applyBorder="1" applyAlignment="1">
      <alignment horizontal="center" vertical="center"/>
    </xf>
    <xf numFmtId="164" fontId="49" fillId="0" borderId="32" xfId="1" applyNumberFormat="1" applyFont="1" applyBorder="1" applyAlignment="1">
      <alignment horizontal="center" vertical="center"/>
    </xf>
    <xf numFmtId="0" fontId="51" fillId="0" borderId="30" xfId="0" applyFont="1" applyBorder="1" applyAlignment="1">
      <alignment horizontal="right" vertical="center"/>
    </xf>
    <xf numFmtId="0" fontId="52" fillId="4" borderId="31" xfId="0" applyFont="1" applyFill="1" applyBorder="1"/>
    <xf numFmtId="169" fontId="34" fillId="0" borderId="0" xfId="5" applyNumberFormat="1" applyFont="1" applyFill="1" applyBorder="1" applyAlignment="1">
      <alignment horizontal="center" vertical="center"/>
    </xf>
    <xf numFmtId="169" fontId="34" fillId="0" borderId="0" xfId="5" applyNumberFormat="1" applyFont="1" applyBorder="1" applyAlignment="1">
      <alignment horizontal="center" vertical="center"/>
    </xf>
    <xf numFmtId="169" fontId="34" fillId="0" borderId="27" xfId="5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69" fontId="39" fillId="0" borderId="0" xfId="5" applyNumberFormat="1" applyFont="1" applyBorder="1" applyAlignment="1">
      <alignment horizontal="center" vertical="center"/>
    </xf>
    <xf numFmtId="165" fontId="54" fillId="0" borderId="5" xfId="5" applyNumberFormat="1" applyFont="1" applyBorder="1" applyAlignment="1">
      <alignment horizontal="center" vertical="center"/>
    </xf>
    <xf numFmtId="169" fontId="39" fillId="0" borderId="5" xfId="5" applyNumberFormat="1" applyFont="1" applyBorder="1" applyAlignment="1">
      <alignment horizontal="center" vertical="center"/>
    </xf>
    <xf numFmtId="164" fontId="54" fillId="4" borderId="5" xfId="5" applyNumberFormat="1" applyFont="1" applyFill="1" applyBorder="1" applyAlignment="1">
      <alignment horizontal="right" vertical="center"/>
    </xf>
    <xf numFmtId="165" fontId="39" fillId="0" borderId="0" xfId="5" applyNumberFormat="1" applyFont="1" applyBorder="1" applyAlignment="1">
      <alignment horizontal="center" vertical="center"/>
    </xf>
    <xf numFmtId="0" fontId="56" fillId="0" borderId="8" xfId="0" applyFont="1" applyBorder="1" applyAlignment="1">
      <alignment horizontal="center" vertical="center"/>
    </xf>
    <xf numFmtId="168" fontId="21" fillId="0" borderId="0" xfId="4" applyNumberFormat="1" applyFont="1"/>
    <xf numFmtId="0" fontId="0" fillId="4" borderId="0" xfId="0" applyFill="1"/>
    <xf numFmtId="0" fontId="2" fillId="4" borderId="0" xfId="0" applyFont="1" applyFill="1"/>
    <xf numFmtId="166" fontId="0" fillId="0" borderId="0" xfId="0" applyNumberFormat="1" applyFont="1" applyBorder="1" applyAlignment="1">
      <alignment horizontal="center" vertical="center"/>
    </xf>
    <xf numFmtId="168" fontId="47" fillId="0" borderId="45" xfId="4" applyNumberFormat="1" applyFont="1" applyBorder="1" applyAlignment="1">
      <alignment horizontal="center" vertical="center"/>
    </xf>
    <xf numFmtId="0" fontId="47" fillId="0" borderId="22" xfId="4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 applyAlignment="1">
      <alignment horizontal="left" vertical="center"/>
    </xf>
    <xf numFmtId="168" fontId="21" fillId="0" borderId="52" xfId="1" applyNumberFormat="1" applyFont="1" applyBorder="1" applyAlignment="1">
      <alignment horizontal="center" vertical="center"/>
    </xf>
    <xf numFmtId="168" fontId="21" fillId="0" borderId="3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0" fillId="0" borderId="5" xfId="4" applyFont="1" applyBorder="1" applyAlignment="1">
      <alignment horizontal="left" vertical="center" wrapText="1"/>
    </xf>
    <xf numFmtId="0" fontId="19" fillId="0" borderId="13" xfId="4" applyFont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166" fontId="0" fillId="0" borderId="4" xfId="0" applyNumberFormat="1" applyBorder="1" applyAlignment="1">
      <alignment horizontal="center" vertical="center"/>
    </xf>
    <xf numFmtId="2" fontId="57" fillId="0" borderId="0" xfId="4" applyNumberFormat="1" applyFont="1"/>
    <xf numFmtId="2" fontId="49" fillId="0" borderId="0" xfId="4" applyNumberFormat="1" applyFont="1"/>
    <xf numFmtId="2" fontId="50" fillId="0" borderId="0" xfId="4" applyNumberFormat="1" applyFont="1"/>
    <xf numFmtId="2" fontId="57" fillId="0" borderId="0" xfId="4" applyNumberFormat="1" applyFont="1" applyBorder="1"/>
    <xf numFmtId="2" fontId="49" fillId="0" borderId="0" xfId="4" applyNumberFormat="1" applyFont="1" applyBorder="1"/>
    <xf numFmtId="2" fontId="50" fillId="0" borderId="0" xfId="4" applyNumberFormat="1" applyFont="1" applyBorder="1"/>
    <xf numFmtId="2" fontId="39" fillId="0" borderId="0" xfId="5" applyNumberFormat="1" applyFont="1" applyAlignment="1">
      <alignment horizontal="right" vertical="center"/>
    </xf>
    <xf numFmtId="2" fontId="54" fillId="0" borderId="0" xfId="5" applyNumberFormat="1" applyFont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0" fontId="0" fillId="0" borderId="28" xfId="0" applyBorder="1"/>
    <xf numFmtId="0" fontId="3" fillId="0" borderId="4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14" fontId="0" fillId="0" borderId="54" xfId="0" applyNumberFormat="1" applyBorder="1" applyAlignment="1">
      <alignment horizontal="center" vertical="center"/>
    </xf>
    <xf numFmtId="0" fontId="0" fillId="0" borderId="55" xfId="0" applyBorder="1" applyAlignment="1">
      <alignment horizontal="left" vertical="center"/>
    </xf>
    <xf numFmtId="2" fontId="0" fillId="0" borderId="56" xfId="0" applyNumberFormat="1" applyBorder="1" applyAlignment="1">
      <alignment horizontal="center" vertical="center"/>
    </xf>
    <xf numFmtId="14" fontId="0" fillId="0" borderId="60" xfId="0" applyNumberFormat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2" fontId="0" fillId="0" borderId="62" xfId="0" applyNumberFormat="1" applyBorder="1" applyAlignment="1">
      <alignment horizontal="center" vertical="center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3" fillId="0" borderId="67" xfId="0" applyFont="1" applyBorder="1" applyAlignment="1">
      <alignment horizontal="center" vertical="center"/>
    </xf>
    <xf numFmtId="9" fontId="0" fillId="0" borderId="56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0" fontId="0" fillId="2" borderId="71" xfId="0" applyFill="1" applyBorder="1"/>
    <xf numFmtId="2" fontId="0" fillId="2" borderId="71" xfId="0" applyNumberFormat="1" applyFill="1" applyBorder="1" applyAlignment="1">
      <alignment horizontal="center" vertical="center"/>
    </xf>
    <xf numFmtId="0" fontId="0" fillId="0" borderId="74" xfId="0" applyBorder="1"/>
    <xf numFmtId="2" fontId="0" fillId="0" borderId="74" xfId="0" applyNumberFormat="1" applyBorder="1" applyAlignment="1">
      <alignment horizontal="center" vertical="center"/>
    </xf>
    <xf numFmtId="0" fontId="0" fillId="0" borderId="75" xfId="0" applyBorder="1"/>
    <xf numFmtId="9" fontId="0" fillId="2" borderId="71" xfId="0" applyNumberFormat="1" applyFill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0" fontId="0" fillId="2" borderId="76" xfId="0" applyFill="1" applyBorder="1"/>
    <xf numFmtId="9" fontId="0" fillId="2" borderId="76" xfId="0" applyNumberFormat="1" applyFill="1" applyBorder="1" applyAlignment="1">
      <alignment horizontal="center" vertical="center"/>
    </xf>
    <xf numFmtId="2" fontId="0" fillId="2" borderId="76" xfId="0" applyNumberFormat="1" applyFill="1" applyBorder="1" applyAlignment="1">
      <alignment horizontal="center" vertical="center"/>
    </xf>
    <xf numFmtId="0" fontId="0" fillId="2" borderId="15" xfId="0" applyFill="1" applyBorder="1"/>
    <xf numFmtId="0" fontId="3" fillId="2" borderId="8" xfId="0" applyFont="1" applyFill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2" borderId="0" xfId="0" applyFill="1"/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2" fontId="0" fillId="0" borderId="0" xfId="0" applyNumberFormat="1"/>
    <xf numFmtId="169" fontId="0" fillId="4" borderId="5" xfId="5" applyNumberFormat="1" applyFont="1" applyFill="1" applyBorder="1" applyAlignment="1">
      <alignment horizontal="center" vertical="center"/>
    </xf>
    <xf numFmtId="169" fontId="0" fillId="4" borderId="14" xfId="5" applyNumberFormat="1" applyFont="1" applyFill="1" applyBorder="1" applyAlignment="1">
      <alignment horizontal="center" vertical="center"/>
    </xf>
    <xf numFmtId="169" fontId="0" fillId="4" borderId="23" xfId="5" applyNumberFormat="1" applyFont="1" applyFill="1" applyBorder="1" applyAlignment="1">
      <alignment horizontal="center" vertical="center"/>
    </xf>
    <xf numFmtId="169" fontId="0" fillId="4" borderId="24" xfId="5" applyNumberFormat="1" applyFont="1" applyFill="1" applyBorder="1" applyAlignment="1">
      <alignment horizontal="center" vertical="center"/>
    </xf>
    <xf numFmtId="169" fontId="0" fillId="4" borderId="27" xfId="5" applyNumberFormat="1" applyFont="1" applyFill="1" applyBorder="1" applyAlignment="1">
      <alignment horizontal="center" vertical="center"/>
    </xf>
    <xf numFmtId="169" fontId="0" fillId="4" borderId="28" xfId="5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169" fontId="0" fillId="4" borderId="0" xfId="5" applyNumberFormat="1" applyFont="1" applyFill="1" applyBorder="1" applyAlignment="1">
      <alignment horizontal="center" vertical="center"/>
    </xf>
    <xf numFmtId="169" fontId="0" fillId="4" borderId="27" xfId="5" applyNumberFormat="1" applyFont="1" applyFill="1" applyBorder="1"/>
    <xf numFmtId="169" fontId="0" fillId="4" borderId="6" xfId="5" applyNumberFormat="1" applyFont="1" applyFill="1" applyBorder="1" applyAlignment="1">
      <alignment horizontal="center" vertical="center"/>
    </xf>
    <xf numFmtId="169" fontId="58" fillId="4" borderId="5" xfId="5" applyNumberFormat="1" applyFont="1" applyFill="1" applyBorder="1" applyAlignment="1">
      <alignment horizontal="center" vertical="center"/>
    </xf>
    <xf numFmtId="169" fontId="3" fillId="0" borderId="8" xfId="5" applyNumberFormat="1" applyFont="1" applyBorder="1" applyAlignment="1">
      <alignment horizontal="center" vertical="center"/>
    </xf>
    <xf numFmtId="169" fontId="3" fillId="0" borderId="9" xfId="5" applyNumberFormat="1" applyFont="1" applyBorder="1" applyAlignment="1">
      <alignment horizontal="center" vertical="center"/>
    </xf>
    <xf numFmtId="169" fontId="9" fillId="0" borderId="0" xfId="5" applyNumberFormat="1" applyFont="1" applyAlignment="1">
      <alignment horizontal="center" vertical="center"/>
    </xf>
    <xf numFmtId="169" fontId="15" fillId="0" borderId="5" xfId="5" applyNumberFormat="1" applyFont="1" applyBorder="1" applyAlignment="1">
      <alignment horizontal="center" vertical="center"/>
    </xf>
    <xf numFmtId="169" fontId="15" fillId="0" borderId="14" xfId="5" applyNumberFormat="1" applyFont="1" applyBorder="1" applyAlignment="1">
      <alignment horizontal="center" vertical="center"/>
    </xf>
    <xf numFmtId="169" fontId="3" fillId="0" borderId="16" xfId="5" applyNumberFormat="1" applyFont="1" applyBorder="1" applyAlignment="1">
      <alignment horizontal="center" vertical="center"/>
    </xf>
    <xf numFmtId="169" fontId="13" fillId="0" borderId="8" xfId="5" applyNumberFormat="1" applyFont="1" applyBorder="1" applyAlignment="1">
      <alignment horizontal="center" vertical="center"/>
    </xf>
    <xf numFmtId="169" fontId="13" fillId="0" borderId="16" xfId="5" applyNumberFormat="1" applyFont="1" applyBorder="1" applyAlignment="1">
      <alignment horizontal="center" vertical="center"/>
    </xf>
    <xf numFmtId="169" fontId="0" fillId="0" borderId="27" xfId="5" applyNumberFormat="1" applyFont="1" applyBorder="1"/>
    <xf numFmtId="169" fontId="0" fillId="0" borderId="6" xfId="5" applyNumberFormat="1" applyFont="1" applyBorder="1" applyAlignment="1">
      <alignment horizontal="center" vertical="center"/>
    </xf>
    <xf numFmtId="168" fontId="42" fillId="0" borderId="46" xfId="4" applyNumberFormat="1" applyFont="1" applyBorder="1" applyAlignment="1">
      <alignment horizontal="center" vertical="center"/>
    </xf>
    <xf numFmtId="168" fontId="42" fillId="0" borderId="25" xfId="4" applyNumberFormat="1" applyFont="1" applyBorder="1" applyAlignment="1">
      <alignment horizontal="center" vertical="center"/>
    </xf>
    <xf numFmtId="169" fontId="43" fillId="0" borderId="46" xfId="4" applyNumberFormat="1" applyFont="1" applyBorder="1" applyAlignment="1">
      <alignment horizontal="center" vertical="center"/>
    </xf>
    <xf numFmtId="169" fontId="43" fillId="0" borderId="9" xfId="4" applyNumberFormat="1" applyFont="1" applyBorder="1" applyAlignment="1">
      <alignment horizontal="center" vertical="center"/>
    </xf>
    <xf numFmtId="169" fontId="48" fillId="0" borderId="44" xfId="4" applyNumberFormat="1" applyFont="1" applyBorder="1" applyAlignment="1">
      <alignment horizontal="center" vertical="center"/>
    </xf>
    <xf numFmtId="169" fontId="48" fillId="0" borderId="47" xfId="4" applyNumberFormat="1" applyFont="1" applyBorder="1" applyAlignment="1">
      <alignment horizontal="center" vertical="center"/>
    </xf>
    <xf numFmtId="168" fontId="54" fillId="4" borderId="5" xfId="5" applyNumberFormat="1" applyFont="1" applyFill="1" applyBorder="1" applyAlignment="1">
      <alignment horizontal="right" vertical="center"/>
    </xf>
    <xf numFmtId="169" fontId="54" fillId="0" borderId="5" xfId="5" applyNumberFormat="1" applyFont="1" applyBorder="1" applyAlignment="1">
      <alignment horizontal="center" vertical="center"/>
    </xf>
    <xf numFmtId="169" fontId="39" fillId="0" borderId="31" xfId="5" applyNumberFormat="1" applyFont="1" applyBorder="1" applyAlignment="1">
      <alignment horizontal="center" vertical="center"/>
    </xf>
    <xf numFmtId="0" fontId="1" fillId="0" borderId="0" xfId="3"/>
    <xf numFmtId="0" fontId="28" fillId="0" borderId="0" xfId="3" applyFont="1"/>
    <xf numFmtId="0" fontId="1" fillId="0" borderId="32" xfId="3" applyBorder="1"/>
    <xf numFmtId="0" fontId="1" fillId="0" borderId="27" xfId="3" applyBorder="1"/>
    <xf numFmtId="0" fontId="1" fillId="0" borderId="23" xfId="3" applyBorder="1"/>
    <xf numFmtId="0" fontId="1" fillId="0" borderId="5" xfId="3" applyBorder="1"/>
    <xf numFmtId="0" fontId="28" fillId="0" borderId="32" xfId="3" applyFont="1" applyBorder="1" applyAlignment="1">
      <alignment horizontal="right" vertical="center"/>
    </xf>
    <xf numFmtId="0" fontId="62" fillId="0" borderId="5" xfId="3" applyFont="1" applyBorder="1"/>
    <xf numFmtId="0" fontId="1" fillId="0" borderId="32" xfId="3" applyBorder="1" applyAlignment="1">
      <alignment horizontal="left" vertical="center"/>
    </xf>
    <xf numFmtId="0" fontId="1" fillId="0" borderId="23" xfId="3" applyBorder="1" applyAlignment="1">
      <alignment horizontal="left" vertical="center"/>
    </xf>
    <xf numFmtId="0" fontId="1" fillId="0" borderId="5" xfId="3" applyBorder="1" applyAlignment="1">
      <alignment horizontal="left" vertical="center"/>
    </xf>
    <xf numFmtId="0" fontId="1" fillId="0" borderId="5" xfId="3" applyBorder="1" applyAlignment="1">
      <alignment horizontal="right" vertical="center"/>
    </xf>
    <xf numFmtId="1" fontId="1" fillId="0" borderId="5" xfId="3" applyNumberFormat="1" applyBorder="1" applyAlignment="1">
      <alignment horizontal="right" vertical="center"/>
    </xf>
    <xf numFmtId="169" fontId="1" fillId="0" borderId="5" xfId="5" applyNumberFormat="1" applyFont="1" applyBorder="1" applyAlignment="1">
      <alignment horizontal="right" vertical="center"/>
    </xf>
    <xf numFmtId="169" fontId="1" fillId="0" borderId="32" xfId="5" applyNumberFormat="1" applyFont="1" applyBorder="1" applyAlignment="1">
      <alignment horizontal="right" vertical="center"/>
    </xf>
    <xf numFmtId="169" fontId="1" fillId="0" borderId="5" xfId="5" applyNumberFormat="1" applyFont="1" applyBorder="1" applyAlignment="1">
      <alignment horizontal="left" vertical="center"/>
    </xf>
    <xf numFmtId="0" fontId="62" fillId="0" borderId="27" xfId="3" applyFont="1" applyBorder="1" applyAlignment="1">
      <alignment horizontal="left" vertical="center"/>
    </xf>
    <xf numFmtId="0" fontId="28" fillId="0" borderId="0" xfId="3" applyFont="1" applyAlignment="1">
      <alignment horizontal="left" vertical="center"/>
    </xf>
    <xf numFmtId="0" fontId="28" fillId="0" borderId="32" xfId="3" applyFont="1" applyBorder="1" applyAlignment="1">
      <alignment horizontal="left" vertical="center"/>
    </xf>
    <xf numFmtId="169" fontId="47" fillId="0" borderId="32" xfId="5" applyNumberFormat="1" applyFont="1" applyBorder="1" applyAlignment="1">
      <alignment horizontal="left" vertical="center"/>
    </xf>
    <xf numFmtId="171" fontId="53" fillId="0" borderId="31" xfId="5" applyNumberFormat="1" applyFont="1" applyBorder="1" applyAlignment="1">
      <alignment horizontal="right"/>
    </xf>
    <xf numFmtId="169" fontId="0" fillId="0" borderId="0" xfId="0" applyNumberFormat="1" applyFont="1"/>
    <xf numFmtId="38" fontId="63" fillId="0" borderId="32" xfId="5" applyNumberFormat="1" applyFont="1" applyBorder="1" applyAlignment="1">
      <alignment horizontal="right" vertical="center"/>
    </xf>
    <xf numFmtId="0" fontId="52" fillId="0" borderId="0" xfId="0" applyFont="1"/>
    <xf numFmtId="14" fontId="0" fillId="4" borderId="4" xfId="0" applyNumberFormat="1" applyFill="1" applyBorder="1" applyAlignment="1">
      <alignment horizontal="center" vertical="center"/>
    </xf>
    <xf numFmtId="165" fontId="0" fillId="4" borderId="5" xfId="5" applyNumberFormat="1" applyFont="1" applyFill="1" applyBorder="1" applyAlignment="1">
      <alignment horizontal="right" vertical="center"/>
    </xf>
    <xf numFmtId="165" fontId="0" fillId="4" borderId="5" xfId="0" applyNumberFormat="1" applyFont="1" applyFill="1" applyBorder="1" applyAlignment="1">
      <alignment horizontal="right" vertical="center"/>
    </xf>
    <xf numFmtId="165" fontId="0" fillId="4" borderId="32" xfId="0" applyNumberFormat="1" applyFont="1" applyFill="1" applyBorder="1"/>
    <xf numFmtId="165" fontId="0" fillId="0" borderId="31" xfId="0" applyNumberFormat="1" applyFont="1" applyBorder="1"/>
    <xf numFmtId="165" fontId="52" fillId="4" borderId="31" xfId="5" applyNumberFormat="1" applyFont="1" applyFill="1" applyBorder="1"/>
    <xf numFmtId="165" fontId="53" fillId="0" borderId="31" xfId="5" applyNumberFormat="1" applyFont="1" applyBorder="1" applyAlignment="1">
      <alignment horizontal="center" vertical="center"/>
    </xf>
    <xf numFmtId="165" fontId="52" fillId="4" borderId="30" xfId="5" applyNumberFormat="1" applyFont="1" applyFill="1" applyBorder="1" applyAlignment="1">
      <alignment horizontal="center" vertical="center"/>
    </xf>
    <xf numFmtId="165" fontId="53" fillId="0" borderId="30" xfId="5" applyNumberFormat="1" applyFont="1" applyBorder="1" applyAlignment="1">
      <alignment horizontal="center" vertical="center"/>
    </xf>
    <xf numFmtId="165" fontId="0" fillId="4" borderId="31" xfId="5" applyNumberFormat="1" applyFont="1" applyFill="1" applyBorder="1"/>
    <xf numFmtId="165" fontId="0" fillId="0" borderId="31" xfId="5" applyNumberFormat="1" applyFont="1" applyBorder="1"/>
    <xf numFmtId="165" fontId="52" fillId="4" borderId="31" xfId="5" applyNumberFormat="1" applyFont="1" applyFill="1" applyBorder="1" applyAlignment="1">
      <alignment horizontal="right" vertical="center"/>
    </xf>
    <xf numFmtId="165" fontId="52" fillId="4" borderId="31" xfId="5" applyNumberFormat="1" applyFont="1" applyFill="1" applyBorder="1" applyAlignment="1">
      <alignment vertical="center"/>
    </xf>
    <xf numFmtId="165" fontId="52" fillId="4" borderId="31" xfId="0" applyNumberFormat="1" applyFont="1" applyFill="1" applyBorder="1" applyAlignment="1">
      <alignment horizontal="right" vertical="center"/>
    </xf>
    <xf numFmtId="165" fontId="0" fillId="4" borderId="30" xfId="5" applyNumberFormat="1" applyFont="1" applyFill="1" applyBorder="1"/>
    <xf numFmtId="165" fontId="53" fillId="0" borderId="30" xfId="5" applyNumberFormat="1" applyFont="1" applyBorder="1" applyAlignment="1">
      <alignment horizontal="center"/>
    </xf>
    <xf numFmtId="165" fontId="52" fillId="0" borderId="32" xfId="5" applyNumberFormat="1" applyFont="1" applyBorder="1" applyAlignment="1">
      <alignment horizontal="right" vertical="center"/>
    </xf>
    <xf numFmtId="165" fontId="0" fillId="0" borderId="0" xfId="5" applyNumberFormat="1" applyFont="1" applyBorder="1"/>
    <xf numFmtId="165" fontId="0" fillId="0" borderId="0" xfId="5" applyNumberFormat="1" applyFont="1"/>
    <xf numFmtId="165" fontId="34" fillId="0" borderId="5" xfId="5" applyNumberFormat="1" applyFont="1" applyBorder="1" applyAlignment="1">
      <alignment horizontal="center" vertical="center"/>
    </xf>
    <xf numFmtId="165" fontId="34" fillId="0" borderId="31" xfId="5" applyNumberFormat="1" applyFont="1" applyBorder="1" applyAlignment="1">
      <alignment horizontal="center" vertical="center"/>
    </xf>
    <xf numFmtId="165" fontId="34" fillId="0" borderId="34" xfId="5" applyNumberFormat="1" applyFont="1" applyBorder="1" applyAlignment="1">
      <alignment horizontal="center" vertical="center"/>
    </xf>
    <xf numFmtId="165" fontId="54" fillId="4" borderId="5" xfId="5" applyNumberFormat="1" applyFont="1" applyFill="1" applyBorder="1" applyAlignment="1">
      <alignment horizontal="right" vertical="center"/>
    </xf>
    <xf numFmtId="165" fontId="36" fillId="4" borderId="5" xfId="5" applyNumberFormat="1" applyFont="1" applyFill="1" applyBorder="1" applyAlignment="1">
      <alignment horizontal="right" vertical="center"/>
    </xf>
    <xf numFmtId="165" fontId="34" fillId="0" borderId="0" xfId="5" applyNumberFormat="1" applyFont="1" applyBorder="1" applyAlignment="1">
      <alignment horizontal="center" vertical="center"/>
    </xf>
    <xf numFmtId="165" fontId="34" fillId="0" borderId="27" xfId="5" applyNumberFormat="1" applyFont="1" applyBorder="1" applyAlignment="1">
      <alignment horizontal="center" vertical="center"/>
    </xf>
    <xf numFmtId="165" fontId="39" fillId="0" borderId="31" xfId="5" applyNumberFormat="1" applyFont="1" applyBorder="1" applyAlignment="1">
      <alignment horizontal="center" vertical="center"/>
    </xf>
    <xf numFmtId="165" fontId="34" fillId="4" borderId="5" xfId="5" applyNumberFormat="1" applyFont="1" applyFill="1" applyBorder="1" applyAlignment="1">
      <alignment horizontal="center" vertical="center"/>
    </xf>
    <xf numFmtId="165" fontId="34" fillId="0" borderId="20" xfId="5" applyNumberFormat="1" applyFont="1" applyBorder="1" applyAlignment="1">
      <alignment horizontal="center" vertical="center"/>
    </xf>
    <xf numFmtId="165" fontId="39" fillId="0" borderId="22" xfId="5" applyNumberFormat="1" applyFont="1" applyBorder="1" applyAlignment="1">
      <alignment horizontal="center" vertical="center"/>
    </xf>
    <xf numFmtId="165" fontId="54" fillId="0" borderId="20" xfId="5" applyNumberFormat="1" applyFont="1" applyBorder="1" applyAlignment="1">
      <alignment horizontal="center" vertical="center"/>
    </xf>
    <xf numFmtId="165" fontId="34" fillId="5" borderId="8" xfId="5" applyNumberFormat="1" applyFont="1" applyFill="1" applyBorder="1" applyAlignment="1">
      <alignment horizontal="center" vertical="center"/>
    </xf>
    <xf numFmtId="165" fontId="30" fillId="5" borderId="8" xfId="5" applyNumberFormat="1" applyFont="1" applyFill="1" applyBorder="1" applyAlignment="1">
      <alignment horizontal="center" vertical="center"/>
    </xf>
    <xf numFmtId="165" fontId="51" fillId="5" borderId="25" xfId="5" applyNumberFormat="1" applyFont="1" applyFill="1" applyBorder="1" applyAlignment="1">
      <alignment horizontal="center" vertical="center"/>
    </xf>
    <xf numFmtId="165" fontId="55" fillId="5" borderId="8" xfId="5" applyNumberFormat="1" applyFont="1" applyFill="1" applyBorder="1" applyAlignment="1">
      <alignment horizontal="center" vertical="center"/>
    </xf>
    <xf numFmtId="165" fontId="36" fillId="4" borderId="23" xfId="5" applyNumberFormat="1" applyFont="1" applyFill="1" applyBorder="1" applyAlignment="1">
      <alignment horizontal="right" vertical="center"/>
    </xf>
    <xf numFmtId="165" fontId="37" fillId="0" borderId="31" xfId="5" applyNumberFormat="1" applyFont="1" applyBorder="1" applyAlignment="1">
      <alignment horizontal="center" vertical="center"/>
    </xf>
    <xf numFmtId="165" fontId="37" fillId="0" borderId="5" xfId="5" applyNumberFormat="1" applyFont="1" applyBorder="1" applyAlignment="1">
      <alignment horizontal="center" vertical="center"/>
    </xf>
    <xf numFmtId="165" fontId="37" fillId="0" borderId="23" xfId="5" applyNumberFormat="1" applyFont="1" applyBorder="1" applyAlignment="1">
      <alignment horizontal="center" vertical="center"/>
    </xf>
    <xf numFmtId="165" fontId="34" fillId="0" borderId="32" xfId="5" applyNumberFormat="1" applyFont="1" applyBorder="1" applyAlignment="1">
      <alignment horizontal="center" vertical="center"/>
    </xf>
    <xf numFmtId="165" fontId="39" fillId="0" borderId="32" xfId="5" applyNumberFormat="1" applyFont="1" applyBorder="1" applyAlignment="1">
      <alignment horizontal="center" vertical="center"/>
    </xf>
    <xf numFmtId="165" fontId="54" fillId="0" borderId="32" xfId="5" applyNumberFormat="1" applyFont="1" applyBorder="1" applyAlignment="1">
      <alignment horizontal="center" vertical="center"/>
    </xf>
    <xf numFmtId="165" fontId="39" fillId="0" borderId="23" xfId="5" applyNumberFormat="1" applyFont="1" applyBorder="1" applyAlignment="1">
      <alignment horizontal="center" vertical="center"/>
    </xf>
    <xf numFmtId="165" fontId="54" fillId="0" borderId="23" xfId="5" applyNumberFormat="1" applyFont="1" applyBorder="1" applyAlignment="1">
      <alignment horizontal="center" vertical="center"/>
    </xf>
    <xf numFmtId="165" fontId="54" fillId="0" borderId="27" xfId="5" applyNumberFormat="1" applyFont="1" applyBorder="1" applyAlignment="1">
      <alignment horizontal="center" vertical="center"/>
    </xf>
    <xf numFmtId="165" fontId="30" fillId="5" borderId="25" xfId="5" applyNumberFormat="1" applyFont="1" applyFill="1" applyBorder="1" applyAlignment="1">
      <alignment horizontal="center" vertical="center"/>
    </xf>
    <xf numFmtId="40" fontId="39" fillId="4" borderId="23" xfId="5" applyNumberFormat="1" applyFont="1" applyFill="1" applyBorder="1" applyAlignment="1">
      <alignment horizontal="right" vertical="center"/>
    </xf>
    <xf numFmtId="40" fontId="36" fillId="4" borderId="5" xfId="5" applyNumberFormat="1" applyFont="1" applyFill="1" applyBorder="1" applyAlignment="1">
      <alignment horizontal="right" vertical="center"/>
    </xf>
    <xf numFmtId="40" fontId="39" fillId="4" borderId="5" xfId="5" applyNumberFormat="1" applyFont="1" applyFill="1" applyBorder="1" applyAlignment="1">
      <alignment horizontal="right" vertical="center"/>
    </xf>
    <xf numFmtId="40" fontId="39" fillId="4" borderId="32" xfId="5" applyNumberFormat="1" applyFont="1" applyFill="1" applyBorder="1" applyAlignment="1">
      <alignment horizontal="right" vertical="center"/>
    </xf>
    <xf numFmtId="0" fontId="34" fillId="4" borderId="32" xfId="0" applyFont="1" applyFill="1" applyBorder="1" applyAlignment="1">
      <alignment horizontal="left" vertical="center"/>
    </xf>
    <xf numFmtId="165" fontId="34" fillId="4" borderId="32" xfId="5" applyNumberFormat="1" applyFont="1" applyFill="1" applyBorder="1" applyAlignment="1">
      <alignment horizontal="center" vertical="center"/>
    </xf>
    <xf numFmtId="165" fontId="36" fillId="4" borderId="32" xfId="5" applyNumberFormat="1" applyFont="1" applyFill="1" applyBorder="1" applyAlignment="1">
      <alignment horizontal="right" vertical="center"/>
    </xf>
    <xf numFmtId="165" fontId="34" fillId="4" borderId="33" xfId="5" applyNumberFormat="1" applyFont="1" applyFill="1" applyBorder="1" applyAlignment="1">
      <alignment horizontal="center" vertical="center"/>
    </xf>
    <xf numFmtId="2" fontId="52" fillId="0" borderId="0" xfId="0" applyNumberFormat="1" applyFont="1" applyAlignment="1">
      <alignment horizontal="center"/>
    </xf>
    <xf numFmtId="165" fontId="39" fillId="4" borderId="5" xfId="5" applyNumberFormat="1" applyFont="1" applyFill="1" applyBorder="1" applyAlignment="1">
      <alignment horizontal="center" vertical="center"/>
    </xf>
    <xf numFmtId="171" fontId="53" fillId="0" borderId="31" xfId="5" applyNumberFormat="1" applyFont="1" applyBorder="1" applyAlignment="1">
      <alignment horizontal="right" vertical="center"/>
    </xf>
    <xf numFmtId="0" fontId="52" fillId="4" borderId="31" xfId="0" applyFont="1" applyFill="1" applyBorder="1" applyAlignment="1">
      <alignment horizontal="right" vertical="center"/>
    </xf>
    <xf numFmtId="0" fontId="0" fillId="4" borderId="5" xfId="0" applyFont="1" applyFill="1" applyBorder="1" applyAlignment="1">
      <alignment horizontal="right" vertical="center"/>
    </xf>
    <xf numFmtId="164" fontId="22" fillId="0" borderId="8" xfId="1" applyNumberFormat="1" applyFont="1" applyFill="1" applyBorder="1" applyAlignment="1">
      <alignment horizontal="center" vertical="center"/>
    </xf>
    <xf numFmtId="164" fontId="22" fillId="0" borderId="16" xfId="1" applyNumberFormat="1" applyFont="1" applyFill="1" applyBorder="1" applyAlignment="1">
      <alignment horizontal="center" vertical="center"/>
    </xf>
    <xf numFmtId="164" fontId="49" fillId="0" borderId="5" xfId="1" applyNumberFormat="1" applyFont="1" applyBorder="1" applyAlignment="1">
      <alignment horizontal="center" vertical="center"/>
    </xf>
    <xf numFmtId="0" fontId="65" fillId="0" borderId="5" xfId="0" applyFont="1" applyBorder="1" applyAlignment="1">
      <alignment horizontal="left" vertical="center"/>
    </xf>
    <xf numFmtId="2" fontId="3" fillId="0" borderId="69" xfId="0" applyNumberFormat="1" applyFont="1" applyBorder="1" applyAlignment="1">
      <alignment horizontal="center" vertical="center"/>
    </xf>
    <xf numFmtId="2" fontId="3" fillId="0" borderId="68" xfId="0" applyNumberFormat="1" applyFont="1" applyBorder="1" applyAlignment="1">
      <alignment horizontal="center" vertical="center"/>
    </xf>
    <xf numFmtId="0" fontId="3" fillId="0" borderId="68" xfId="0" applyFont="1" applyBorder="1"/>
    <xf numFmtId="165" fontId="0" fillId="0" borderId="27" xfId="5" applyNumberFormat="1" applyFont="1" applyBorder="1" applyAlignment="1">
      <alignment horizontal="center" vertical="center"/>
    </xf>
    <xf numFmtId="165" fontId="0" fillId="0" borderId="24" xfId="5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9" fontId="0" fillId="0" borderId="5" xfId="0" applyNumberFormat="1" applyFont="1" applyBorder="1"/>
    <xf numFmtId="169" fontId="0" fillId="4" borderId="5" xfId="5" applyNumberFormat="1" applyFont="1" applyFill="1" applyBorder="1" applyAlignment="1">
      <alignment horizontal="right" vertical="center"/>
    </xf>
    <xf numFmtId="169" fontId="0" fillId="4" borderId="32" xfId="5" applyNumberFormat="1" applyFont="1" applyFill="1" applyBorder="1" applyAlignment="1">
      <alignment horizontal="center" vertical="center"/>
    </xf>
    <xf numFmtId="169" fontId="0" fillId="4" borderId="5" xfId="5" applyNumberFormat="1" applyFont="1" applyFill="1" applyBorder="1"/>
    <xf numFmtId="169" fontId="0" fillId="4" borderId="5" xfId="0" applyNumberFormat="1" applyFont="1" applyFill="1" applyBorder="1"/>
    <xf numFmtId="169" fontId="0" fillId="4" borderId="5" xfId="0" applyNumberFormat="1" applyFont="1" applyFill="1" applyBorder="1" applyAlignment="1">
      <alignment horizontal="right" vertical="center"/>
    </xf>
    <xf numFmtId="169" fontId="0" fillId="0" borderId="32" xfId="0" applyNumberFormat="1" applyFont="1" applyBorder="1" applyAlignment="1">
      <alignment horizontal="right" vertical="center"/>
    </xf>
    <xf numFmtId="38" fontId="64" fillId="0" borderId="37" xfId="5" applyNumberFormat="1" applyFont="1" applyBorder="1" applyAlignment="1">
      <alignment horizontal="right" vertical="center"/>
    </xf>
    <xf numFmtId="40" fontId="42" fillId="0" borderId="37" xfId="5" applyNumberFormat="1" applyFont="1" applyBorder="1" applyAlignment="1">
      <alignment horizontal="right" vertical="center"/>
    </xf>
    <xf numFmtId="38" fontId="36" fillId="4" borderId="5" xfId="5" applyNumberFormat="1" applyFont="1" applyFill="1" applyBorder="1" applyAlignment="1">
      <alignment horizontal="right" vertical="center"/>
    </xf>
    <xf numFmtId="38" fontId="61" fillId="4" borderId="5" xfId="5" applyNumberFormat="1" applyFont="1" applyFill="1" applyBorder="1" applyAlignment="1">
      <alignment horizontal="right" vertical="center"/>
    </xf>
    <xf numFmtId="38" fontId="61" fillId="4" borderId="20" xfId="5" applyNumberFormat="1" applyFont="1" applyFill="1" applyBorder="1" applyAlignment="1">
      <alignment horizontal="right" vertical="center"/>
    </xf>
    <xf numFmtId="40" fontId="39" fillId="0" borderId="31" xfId="5" applyNumberFormat="1" applyFont="1" applyBorder="1" applyAlignment="1">
      <alignment horizontal="right" vertical="center"/>
    </xf>
    <xf numFmtId="165" fontId="0" fillId="4" borderId="5" xfId="5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4" borderId="0" xfId="0" applyFont="1" applyFill="1" applyAlignment="1">
      <alignment horizontal="center"/>
    </xf>
    <xf numFmtId="165" fontId="38" fillId="2" borderId="0" xfId="5" applyNumberFormat="1" applyFont="1" applyFill="1" applyAlignment="1">
      <alignment horizontal="center" vertical="center"/>
    </xf>
    <xf numFmtId="164" fontId="1" fillId="0" borderId="0" xfId="4" applyNumberFormat="1"/>
    <xf numFmtId="169" fontId="36" fillId="4" borderId="32" xfId="5" applyNumberFormat="1" applyFont="1" applyFill="1" applyBorder="1" applyAlignment="1">
      <alignment horizontal="right" vertical="center"/>
    </xf>
    <xf numFmtId="169" fontId="34" fillId="0" borderId="27" xfId="5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6" fillId="0" borderId="0" xfId="10" applyAlignment="1" applyProtection="1">
      <alignment horizontal="center" vertical="center"/>
    </xf>
    <xf numFmtId="0" fontId="66" fillId="0" borderId="0" xfId="10" quotePrefix="1" applyAlignment="1" applyProtection="1">
      <alignment horizontal="center" vertical="center"/>
    </xf>
    <xf numFmtId="2" fontId="9" fillId="2" borderId="8" xfId="0" applyNumberFormat="1" applyFont="1" applyFill="1" applyBorder="1" applyAlignment="1">
      <alignment horizontal="center" vertical="center"/>
    </xf>
    <xf numFmtId="0" fontId="58" fillId="2" borderId="8" xfId="0" applyFont="1" applyFill="1" applyBorder="1"/>
    <xf numFmtId="2" fontId="9" fillId="2" borderId="16" xfId="0" applyNumberFormat="1" applyFont="1" applyFill="1" applyBorder="1" applyAlignment="1">
      <alignment horizontal="center" vertical="center"/>
    </xf>
    <xf numFmtId="2" fontId="1" fillId="2" borderId="0" xfId="4" applyNumberFormat="1" applyFill="1" applyAlignment="1">
      <alignment horizontal="center"/>
    </xf>
    <xf numFmtId="39" fontId="9" fillId="2" borderId="0" xfId="0" applyNumberFormat="1" applyFont="1" applyFill="1" applyAlignment="1">
      <alignment horizontal="center"/>
    </xf>
    <xf numFmtId="0" fontId="30" fillId="0" borderId="0" xfId="0" quotePrefix="1" applyFont="1" applyBorder="1" applyAlignment="1">
      <alignment horizontal="left" vertical="center"/>
    </xf>
    <xf numFmtId="0" fontId="30" fillId="0" borderId="38" xfId="0" quotePrefix="1" applyFont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0" fillId="0" borderId="32" xfId="4" quotePrefix="1" applyFont="1" applyBorder="1" applyAlignment="1">
      <alignment horizontal="left" vertical="center" wrapText="1"/>
    </xf>
    <xf numFmtId="0" fontId="34" fillId="0" borderId="5" xfId="0" quotePrefix="1" applyFont="1" applyBorder="1" applyAlignment="1">
      <alignment horizontal="left" vertical="center"/>
    </xf>
    <xf numFmtId="172" fontId="0" fillId="0" borderId="13" xfId="0" quotePrefix="1" applyNumberFormat="1" applyBorder="1" applyAlignment="1">
      <alignment horizontal="left" vertical="center"/>
    </xf>
    <xf numFmtId="170" fontId="0" fillId="0" borderId="21" xfId="0" quotePrefix="1" applyNumberFormat="1" applyBorder="1" applyAlignment="1">
      <alignment horizontal="left" vertical="center"/>
    </xf>
    <xf numFmtId="14" fontId="0" fillId="0" borderId="4" xfId="0" quotePrefix="1" applyNumberFormat="1" applyBorder="1" applyAlignment="1">
      <alignment horizontal="left" vertical="center"/>
    </xf>
    <xf numFmtId="14" fontId="0" fillId="0" borderId="4" xfId="0" quotePrefix="1" applyNumberFormat="1" applyBorder="1" applyAlignment="1">
      <alignment horizontal="center" vertical="center"/>
    </xf>
    <xf numFmtId="0" fontId="65" fillId="0" borderId="5" xfId="0" quotePrefix="1" applyFont="1" applyBorder="1" applyAlignment="1">
      <alignment horizontal="left" vertical="center"/>
    </xf>
    <xf numFmtId="170" fontId="0" fillId="0" borderId="13" xfId="0" quotePrefix="1" applyNumberFormat="1" applyBorder="1" applyAlignment="1">
      <alignment horizontal="left" vertical="center"/>
    </xf>
    <xf numFmtId="169" fontId="52" fillId="4" borderId="31" xfId="5" applyNumberFormat="1" applyFont="1" applyFill="1" applyBorder="1" applyAlignment="1">
      <alignment horizontal="right" vertical="center"/>
    </xf>
    <xf numFmtId="0" fontId="58" fillId="0" borderId="0" xfId="0" applyFont="1" applyAlignment="1">
      <alignment horizontal="left"/>
    </xf>
    <xf numFmtId="0" fontId="58" fillId="0" borderId="0" xfId="0" quotePrefix="1" applyFont="1" applyAlignment="1">
      <alignment horizontal="left"/>
    </xf>
    <xf numFmtId="0" fontId="58" fillId="0" borderId="0" xfId="0" applyFont="1"/>
    <xf numFmtId="170" fontId="0" fillId="0" borderId="26" xfId="0" quotePrefix="1" applyNumberFormat="1" applyBorder="1" applyAlignment="1">
      <alignment horizontal="left" vertical="center"/>
    </xf>
    <xf numFmtId="0" fontId="0" fillId="0" borderId="23" xfId="0" quotePrefix="1" applyBorder="1" applyAlignment="1">
      <alignment horizontal="center" vertical="center"/>
    </xf>
    <xf numFmtId="169" fontId="58" fillId="0" borderId="5" xfId="5" applyNumberFormat="1" applyFont="1" applyBorder="1" applyAlignment="1">
      <alignment horizontal="center" vertical="center"/>
    </xf>
    <xf numFmtId="169" fontId="58" fillId="0" borderId="24" xfId="5" applyNumberFormat="1" applyFont="1" applyBorder="1" applyAlignment="1">
      <alignment horizontal="center" vertical="center"/>
    </xf>
    <xf numFmtId="169" fontId="58" fillId="0" borderId="27" xfId="5" applyNumberFormat="1" applyFont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14" fontId="0" fillId="0" borderId="4" xfId="0" applyNumberFormat="1" applyBorder="1" applyAlignment="1">
      <alignment horizontal="left" vertical="center"/>
    </xf>
    <xf numFmtId="0" fontId="0" fillId="0" borderId="5" xfId="0" quotePrefix="1" applyBorder="1" applyAlignment="1">
      <alignment horizontal="left" vertical="center" wrapText="1"/>
    </xf>
    <xf numFmtId="0" fontId="0" fillId="4" borderId="5" xfId="0" quotePrefix="1" applyFill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23" xfId="0" quotePrefix="1" applyBorder="1" applyAlignment="1">
      <alignment horizontal="right" vertical="center" wrapText="1"/>
    </xf>
    <xf numFmtId="0" fontId="0" fillId="0" borderId="27" xfId="0" quotePrefix="1" applyBorder="1" applyAlignment="1">
      <alignment horizontal="left" vertical="center" wrapText="1"/>
    </xf>
    <xf numFmtId="0" fontId="0" fillId="0" borderId="17" xfId="0" applyBorder="1"/>
    <xf numFmtId="166" fontId="0" fillId="0" borderId="4" xfId="0" quotePrefix="1" applyNumberFormat="1" applyBorder="1" applyAlignment="1">
      <alignment horizontal="left" vertical="center"/>
    </xf>
    <xf numFmtId="0" fontId="28" fillId="0" borderId="0" xfId="4" quotePrefix="1" applyFont="1" applyAlignment="1">
      <alignment horizontal="left"/>
    </xf>
    <xf numFmtId="0" fontId="0" fillId="0" borderId="23" xfId="0" applyFont="1" applyBorder="1" applyAlignment="1">
      <alignment horizontal="right" vertical="center" wrapText="1"/>
    </xf>
    <xf numFmtId="0" fontId="0" fillId="0" borderId="27" xfId="0" quotePrefix="1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5" xfId="0" quotePrefix="1" applyBorder="1" applyAlignment="1">
      <alignment horizontal="right" vertical="center"/>
    </xf>
    <xf numFmtId="0" fontId="0" fillId="0" borderId="5" xfId="0" quotePrefix="1" applyBorder="1" applyAlignment="1">
      <alignment horizontal="right" vertical="center" wrapText="1"/>
    </xf>
    <xf numFmtId="0" fontId="0" fillId="0" borderId="23" xfId="0" quotePrefix="1" applyBorder="1" applyAlignment="1">
      <alignment horizontal="right" vertical="center"/>
    </xf>
    <xf numFmtId="0" fontId="0" fillId="0" borderId="23" xfId="0" quotePrefix="1" applyBorder="1" applyAlignment="1">
      <alignment horizontal="left" vertical="center" wrapText="1"/>
    </xf>
    <xf numFmtId="169" fontId="65" fillId="0" borderId="5" xfId="5" applyNumberFormat="1" applyFont="1" applyBorder="1" applyAlignment="1">
      <alignment horizontal="center" vertical="center"/>
    </xf>
    <xf numFmtId="169" fontId="65" fillId="0" borderId="14" xfId="5" applyNumberFormat="1" applyFont="1" applyBorder="1" applyAlignment="1">
      <alignment horizontal="center" vertical="center"/>
    </xf>
    <xf numFmtId="169" fontId="65" fillId="0" borderId="23" xfId="5" applyNumberFormat="1" applyFont="1" applyBorder="1" applyAlignment="1">
      <alignment horizontal="center" vertical="center"/>
    </xf>
    <xf numFmtId="169" fontId="65" fillId="0" borderId="24" xfId="5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2" borderId="17" xfId="0" applyFont="1" applyFill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13" fillId="2" borderId="17" xfId="0" applyNumberFormat="1" applyFont="1" applyFill="1" applyBorder="1" applyAlignment="1">
      <alignment horizontal="right"/>
    </xf>
    <xf numFmtId="167" fontId="3" fillId="2" borderId="17" xfId="0" applyNumberFormat="1" applyFont="1" applyFill="1" applyBorder="1" applyAlignment="1">
      <alignment horizontal="right"/>
    </xf>
    <xf numFmtId="0" fontId="42" fillId="0" borderId="43" xfId="4" applyFont="1" applyBorder="1" applyAlignment="1">
      <alignment horizontal="center" vertical="center" wrapText="1"/>
    </xf>
    <xf numFmtId="0" fontId="42" fillId="0" borderId="19" xfId="4" applyFont="1" applyBorder="1" applyAlignment="1">
      <alignment horizontal="center" vertical="center" wrapText="1"/>
    </xf>
    <xf numFmtId="0" fontId="43" fillId="0" borderId="43" xfId="4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17" fillId="0" borderId="17" xfId="4" quotePrefix="1" applyFont="1" applyBorder="1" applyAlignment="1">
      <alignment horizontal="center" vertical="center"/>
    </xf>
    <xf numFmtId="0" fontId="17" fillId="0" borderId="17" xfId="4" applyFont="1" applyBorder="1" applyAlignment="1">
      <alignment horizontal="center" vertical="center"/>
    </xf>
    <xf numFmtId="0" fontId="16" fillId="0" borderId="0" xfId="4" applyFont="1" applyAlignment="1">
      <alignment horizontal="center"/>
    </xf>
    <xf numFmtId="0" fontId="40" fillId="0" borderId="18" xfId="4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18" fillId="0" borderId="2" xfId="4" applyFont="1" applyBorder="1" applyAlignment="1">
      <alignment horizontal="center" vertical="center"/>
    </xf>
    <xf numFmtId="0" fontId="18" fillId="0" borderId="32" xfId="4" applyFont="1" applyBorder="1" applyAlignment="1">
      <alignment horizontal="center" vertical="center"/>
    </xf>
    <xf numFmtId="164" fontId="18" fillId="0" borderId="2" xfId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169" fontId="0" fillId="2" borderId="17" xfId="5" applyNumberFormat="1" applyFont="1" applyFill="1" applyBorder="1" applyAlignment="1">
      <alignment horizontal="right"/>
    </xf>
    <xf numFmtId="0" fontId="26" fillId="0" borderId="0" xfId="0" applyFont="1" applyBorder="1" applyAlignment="1">
      <alignment horizontal="center"/>
    </xf>
    <xf numFmtId="164" fontId="46" fillId="0" borderId="43" xfId="1" applyFont="1" applyBorder="1" applyAlignment="1">
      <alignment horizontal="center" vertical="center"/>
    </xf>
    <xf numFmtId="164" fontId="46" fillId="0" borderId="19" xfId="1" applyFont="1" applyBorder="1" applyAlignment="1">
      <alignment horizontal="center" vertical="center"/>
    </xf>
    <xf numFmtId="164" fontId="45" fillId="0" borderId="43" xfId="1" applyFont="1" applyBorder="1" applyAlignment="1">
      <alignment horizontal="center" vertical="center"/>
    </xf>
    <xf numFmtId="164" fontId="45" fillId="0" borderId="3" xfId="1" applyFont="1" applyBorder="1" applyAlignment="1">
      <alignment horizontal="center" vertical="center"/>
    </xf>
    <xf numFmtId="0" fontId="40" fillId="0" borderId="42" xfId="4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28" fillId="0" borderId="38" xfId="3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69" fontId="30" fillId="5" borderId="33" xfId="5" applyNumberFormat="1" applyFont="1" applyFill="1" applyBorder="1" applyAlignment="1">
      <alignment horizontal="center" vertical="center"/>
    </xf>
    <xf numFmtId="169" fontId="30" fillId="5" borderId="30" xfId="5" applyNumberFormat="1" applyFont="1" applyFill="1" applyBorder="1" applyAlignment="1">
      <alignment horizontal="center" vertical="center"/>
    </xf>
    <xf numFmtId="0" fontId="3" fillId="0" borderId="70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73" xfId="0" applyFont="1" applyBorder="1" applyAlignment="1">
      <alignment horizontal="left" vertical="center"/>
    </xf>
  </cellXfs>
  <cellStyles count="11">
    <cellStyle name="Comma 2" xfId="1"/>
    <cellStyle name="Comma 2 2" xfId="6"/>
    <cellStyle name="Comma 3" xfId="2"/>
    <cellStyle name="Comma 4" xfId="7"/>
    <cellStyle name="Comma 5" xfId="8"/>
    <cellStyle name="Normal 2" xfId="3"/>
    <cellStyle name="Normal 3" xfId="4"/>
    <cellStyle name="Normal 3 2" xfId="9"/>
    <cellStyle name="Гиперссылка" xfId="10" builtinId="8"/>
    <cellStyle name="Обычный" xfId="0" builtinId="0"/>
    <cellStyle name="Финансовый" xfId="5" builtinId="3"/>
  </cellStyles>
  <dxfs count="0"/>
  <tableStyles count="0" defaultTableStyle="TableStyleMedium9" defaultPivotStyle="PivotStyleLight16"/>
  <colors>
    <mruColors>
      <color rgb="FF6666FF"/>
      <color rgb="FF996600"/>
      <color rgb="FF666699"/>
      <color rgb="FF0000CC"/>
      <color rgb="FF336699"/>
      <color rgb="FF9900FF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238125</xdr:rowOff>
    </xdr:from>
    <xdr:to>
      <xdr:col>0</xdr:col>
      <xdr:colOff>781050</xdr:colOff>
      <xdr:row>3</xdr:row>
      <xdr:rowOff>239713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171450" y="1323975"/>
          <a:ext cx="6096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14</xdr:row>
      <xdr:rowOff>200025</xdr:rowOff>
    </xdr:from>
    <xdr:to>
      <xdr:col>1</xdr:col>
      <xdr:colOff>504825</xdr:colOff>
      <xdr:row>14</xdr:row>
      <xdr:rowOff>201613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133350" y="3971925"/>
          <a:ext cx="11715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24</xdr:row>
      <xdr:rowOff>200025</xdr:rowOff>
    </xdr:from>
    <xdr:to>
      <xdr:col>1</xdr:col>
      <xdr:colOff>504825</xdr:colOff>
      <xdr:row>24</xdr:row>
      <xdr:rowOff>201613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>
          <a:off x="133350" y="3971925"/>
          <a:ext cx="11715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30</xdr:row>
      <xdr:rowOff>200025</xdr:rowOff>
    </xdr:from>
    <xdr:to>
      <xdr:col>1</xdr:col>
      <xdr:colOff>447675</xdr:colOff>
      <xdr:row>30</xdr:row>
      <xdr:rowOff>201613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>
          <a:off x="76200" y="7724775"/>
          <a:ext cx="11715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FACCOUNTSVR\Dropbox\hmbi\Office%20Management\HMBI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FACCOUNTSVR\dwei\Office%20Management\DWE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B1 Operating Report"/>
      <sheetName val="Settings"/>
      <sheetName val="Form 1-Membership App"/>
      <sheetName val="Form 2-Group Formation"/>
      <sheetName val="Form 3-Membership List"/>
      <sheetName val="Form 4-Loan App"/>
      <sheetName val="Form 5-Loan Contracts"/>
      <sheetName val="Form 8-Repayment Record"/>
      <sheetName val="Form 9-Daily Cash Record"/>
      <sheetName val="Form 10 DrCr invoice"/>
      <sheetName val="Regular loan repayment schedule"/>
      <sheetName val="Loan transactions"/>
      <sheetName val="Form 7-Customer loans"/>
      <sheetName val="Saving transactions"/>
      <sheetName val="Saving interest calculator"/>
      <sheetName val="Form 7-Customer savings"/>
      <sheetName val="Account No.s"/>
      <sheetName val="Form 13-Cashbook (C)"/>
      <sheetName val="Form 6-Daily Loan"/>
      <sheetName val="Form 15-JE (C)"/>
      <sheetName val="Form 14-GL (C)"/>
      <sheetName val="Form 16-Trial (C)"/>
      <sheetName val="Form 15-JE (NC)"/>
      <sheetName val="Form 14-GL (NC)"/>
      <sheetName val="Form 12-FA Record"/>
      <sheetName val="Form 16-Trial (NC)"/>
      <sheetName val="Form 18-BS"/>
      <sheetName val="Form 17-Current P&amp;L"/>
      <sheetName val="RR_CB_13"/>
      <sheetName val="RR_TB_16"/>
      <sheetName val="RR_P&amp;L_17"/>
      <sheetName val="RR_BS_18"/>
      <sheetName val="RR P&amp;L 17-1"/>
      <sheetName val="RR BS 18-1"/>
      <sheetName val="Sheet1"/>
      <sheetName val="FSs Summary"/>
      <sheetName val="Form 16-Trial (C) running"/>
      <sheetName val="Form 16-Trial (NC) running"/>
      <sheetName val="Form 17-P&amp;L ru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B2" t="str">
            <v>11110X</v>
          </cell>
        </row>
      </sheetData>
      <sheetData sheetId="16">
        <row r="2">
          <cell r="B2" t="str">
            <v>11110X</v>
          </cell>
          <cell r="C2" t="str">
            <v>Cash on hand and in vault</v>
          </cell>
        </row>
        <row r="3">
          <cell r="B3" t="str">
            <v>11410X</v>
          </cell>
          <cell r="C3" t="str">
            <v>Due from Central Bank of Myanmar</v>
          </cell>
        </row>
        <row r="4">
          <cell r="B4" t="str">
            <v>11460X</v>
          </cell>
          <cell r="C4" t="str">
            <v>Term Deposit with Central Bank of Myanmar</v>
          </cell>
        </row>
        <row r="5">
          <cell r="B5" t="str">
            <v>11510X</v>
          </cell>
          <cell r="C5" t="str">
            <v>Current Accounts with Banks</v>
          </cell>
        </row>
        <row r="6">
          <cell r="B6" t="str">
            <v>11610X</v>
          </cell>
          <cell r="C6" t="str">
            <v>Saving Deposits with Banks</v>
          </cell>
        </row>
        <row r="7">
          <cell r="B7" t="str">
            <v>12110X</v>
          </cell>
          <cell r="C7" t="str">
            <v>Time Deposits with Banks</v>
          </cell>
        </row>
        <row r="8">
          <cell r="B8" t="str">
            <v>13110X</v>
          </cell>
          <cell r="C8" t="str">
            <v>Loans to Customers</v>
          </cell>
        </row>
        <row r="9">
          <cell r="B9" t="str">
            <v>14110X</v>
          </cell>
          <cell r="C9" t="str">
            <v>Past Due Loans</v>
          </cell>
        </row>
        <row r="10">
          <cell r="B10" t="str">
            <v>17110X</v>
          </cell>
          <cell r="C10" t="str">
            <v>(Less) Reserve for Specific Loan Losses</v>
          </cell>
        </row>
        <row r="11">
          <cell r="B11" t="str">
            <v>17120X</v>
          </cell>
          <cell r="C11" t="str">
            <v>(Less) Reserve for General Loan Losses</v>
          </cell>
        </row>
        <row r="12">
          <cell r="B12" t="str">
            <v>21100X</v>
          </cell>
          <cell r="C12" t="str">
            <v>Investment Debt Securities - Hold to Maturity</v>
          </cell>
        </row>
        <row r="13">
          <cell r="B13" t="str">
            <v>21160X</v>
          </cell>
          <cell r="C13" t="str">
            <v>Accumulated Premium (Discount) - Hold to Maturity</v>
          </cell>
        </row>
        <row r="14">
          <cell r="B14" t="str">
            <v>21200X</v>
          </cell>
          <cell r="C14" t="str">
            <v>Investment Debt Securities - Available for Sale</v>
          </cell>
        </row>
        <row r="15">
          <cell r="B15" t="str">
            <v>21260X</v>
          </cell>
          <cell r="C15" t="str">
            <v>Accumulated Premium (Discount) - Available for Sale</v>
          </cell>
        </row>
        <row r="16">
          <cell r="B16" t="str">
            <v>21380X</v>
          </cell>
          <cell r="C16" t="str">
            <v>Other Investment Securities</v>
          </cell>
        </row>
        <row r="17">
          <cell r="B17" t="str">
            <v>21490X</v>
          </cell>
          <cell r="C17" t="str">
            <v>Investment in Equity Capital</v>
          </cell>
        </row>
        <row r="18">
          <cell r="B18" t="str">
            <v>21560X</v>
          </cell>
          <cell r="C18" t="str">
            <v>Net Unrealized Holding Gain (Loss) - Available for Sale</v>
          </cell>
        </row>
        <row r="19">
          <cell r="B19" t="str">
            <v>22110X</v>
          </cell>
          <cell r="C19" t="str">
            <v>Prepaid Insurance</v>
          </cell>
        </row>
        <row r="20">
          <cell r="B20" t="str">
            <v>22120X</v>
          </cell>
          <cell r="C20" t="str">
            <v>Prepaid Deposit Insurance Assessment</v>
          </cell>
        </row>
        <row r="21">
          <cell r="B21" t="str">
            <v>22130X</v>
          </cell>
          <cell r="C21" t="str">
            <v>Prepaid Service / Maintenance Contracts</v>
          </cell>
        </row>
        <row r="22">
          <cell r="B22" t="str">
            <v>22140X</v>
          </cell>
          <cell r="C22" t="str">
            <v>Prepaid Professional Fees</v>
          </cell>
        </row>
        <row r="23">
          <cell r="B23" t="str">
            <v>22150X</v>
          </cell>
          <cell r="C23" t="str">
            <v>Prepaid Rent</v>
          </cell>
        </row>
        <row r="24">
          <cell r="B24" t="str">
            <v>22160X</v>
          </cell>
          <cell r="C24" t="str">
            <v>Prepaid Profit Tax</v>
          </cell>
        </row>
        <row r="25">
          <cell r="B25" t="str">
            <v>22170X</v>
          </cell>
          <cell r="C25" t="str">
            <v>Prepaid - Other</v>
          </cell>
        </row>
        <row r="26">
          <cell r="B26" t="str">
            <v>22230X</v>
          </cell>
          <cell r="C26" t="str">
            <v>Advance Payment or Deposits</v>
          </cell>
        </row>
        <row r="27">
          <cell r="B27" t="str">
            <v>22240X</v>
          </cell>
          <cell r="C27" t="str">
            <v>Purchased Interest Receivable</v>
          </cell>
        </row>
        <row r="28">
          <cell r="B28" t="str">
            <v>22250X</v>
          </cell>
          <cell r="C28" t="str">
            <v>Stationery Supply and Inventory</v>
          </cell>
        </row>
        <row r="29">
          <cell r="B29" t="str">
            <v>23110X</v>
          </cell>
          <cell r="C29" t="str">
            <v>Accrued Interest Receivable - Due from Central Bank of Myanmar</v>
          </cell>
        </row>
        <row r="30">
          <cell r="B30" t="str">
            <v>23160X</v>
          </cell>
          <cell r="C30" t="str">
            <v>Accrued Interest Receivable - Term Deposit with Central Bank of Myanmar</v>
          </cell>
        </row>
        <row r="31">
          <cell r="B31" t="str">
            <v>23210X</v>
          </cell>
          <cell r="C31" t="str">
            <v>Accrued Interest Receivable - Saving Deposits with Banks</v>
          </cell>
        </row>
        <row r="32">
          <cell r="B32" t="str">
            <v>23310X</v>
          </cell>
          <cell r="C32" t="str">
            <v>Accrued Interest Receivable - Time Deposits with Banks</v>
          </cell>
        </row>
        <row r="33">
          <cell r="B33" t="str">
            <v>24100X</v>
          </cell>
          <cell r="C33" t="str">
            <v>Accrued Interest Receivable - Investment Debt Securities - Hold to Maturity</v>
          </cell>
        </row>
        <row r="34">
          <cell r="B34" t="str">
            <v>24200X</v>
          </cell>
          <cell r="C34" t="str">
            <v>Accrued Interest Receivable - Investment Debt Securities - Available For Sale</v>
          </cell>
        </row>
        <row r="35">
          <cell r="B35" t="str">
            <v>24300X</v>
          </cell>
          <cell r="C35" t="str">
            <v>Accrued Interest Receivable - Other Investment</v>
          </cell>
        </row>
        <row r="36">
          <cell r="B36" t="str">
            <v>25110X</v>
          </cell>
          <cell r="C36" t="str">
            <v>Accrued Interest Receivable - Loans to Customers</v>
          </cell>
        </row>
        <row r="37">
          <cell r="B37" t="str">
            <v>26110X</v>
          </cell>
          <cell r="C37" t="str">
            <v>Accrued Interest Receivable - Past Due Loans</v>
          </cell>
        </row>
        <row r="38">
          <cell r="B38" t="str">
            <v>28970X</v>
          </cell>
          <cell r="C38" t="str">
            <v>Accounts Receivable</v>
          </cell>
        </row>
        <row r="39">
          <cell r="B39" t="str">
            <v>28980X</v>
          </cell>
          <cell r="C39" t="str">
            <v>Income Tax Receivable/Recoverable</v>
          </cell>
        </row>
        <row r="40">
          <cell r="B40" t="str">
            <v>28990X</v>
          </cell>
          <cell r="C40" t="str">
            <v>Dividends Receivable</v>
          </cell>
        </row>
        <row r="41">
          <cell r="B41" t="str">
            <v>29110X</v>
          </cell>
          <cell r="C41" t="str">
            <v>Land</v>
          </cell>
        </row>
        <row r="42">
          <cell r="B42" t="str">
            <v>29120X</v>
          </cell>
          <cell r="C42" t="str">
            <v>Land Improvement</v>
          </cell>
        </row>
        <row r="43">
          <cell r="B43" t="str">
            <v>29210X</v>
          </cell>
          <cell r="C43" t="str">
            <v>Building</v>
          </cell>
        </row>
        <row r="44">
          <cell r="B44" t="str">
            <v>29220X</v>
          </cell>
          <cell r="C44" t="str">
            <v>Leasehold Improvement</v>
          </cell>
        </row>
        <row r="45">
          <cell r="B45" t="str">
            <v>29230X</v>
          </cell>
          <cell r="C45" t="str">
            <v>Fixed Assets Under Construction/Development</v>
          </cell>
        </row>
        <row r="46">
          <cell r="B46" t="str">
            <v>29310X</v>
          </cell>
          <cell r="C46" t="str">
            <v>Furniture and Fixtures</v>
          </cell>
        </row>
        <row r="47">
          <cell r="B47" t="str">
            <v>29320X</v>
          </cell>
          <cell r="C47" t="str">
            <v>Equipment</v>
          </cell>
        </row>
        <row r="48">
          <cell r="B48" t="str">
            <v>29330X</v>
          </cell>
          <cell r="C48" t="str">
            <v>Computer Equipment</v>
          </cell>
        </row>
        <row r="49">
          <cell r="B49" t="str">
            <v>29340X</v>
          </cell>
          <cell r="C49" t="str">
            <v>Motor Vehicles</v>
          </cell>
        </row>
        <row r="50">
          <cell r="B50" t="str">
            <v>29350X</v>
          </cell>
          <cell r="C50" t="str">
            <v>Other Fixed Assets</v>
          </cell>
        </row>
        <row r="51">
          <cell r="B51" t="str">
            <v>29410X</v>
          </cell>
          <cell r="C51" t="str">
            <v>Accumulated Depreciation - Land Improvements</v>
          </cell>
        </row>
        <row r="52">
          <cell r="B52" t="str">
            <v>29420X</v>
          </cell>
          <cell r="C52" t="str">
            <v>Accumulated Depreciation - Buildings</v>
          </cell>
        </row>
        <row r="53">
          <cell r="B53" t="str">
            <v>29430X</v>
          </cell>
          <cell r="C53" t="str">
            <v>Accumulated Depreciation - Leasehold Improvements</v>
          </cell>
        </row>
        <row r="54">
          <cell r="B54" t="str">
            <v>29440X</v>
          </cell>
          <cell r="C54" t="str">
            <v>Accumulated Depreciation - Furniture and Fixtures</v>
          </cell>
        </row>
        <row r="55">
          <cell r="B55" t="str">
            <v>29450X</v>
          </cell>
          <cell r="C55" t="str">
            <v>Accumulated Depreciation - Equipment</v>
          </cell>
        </row>
        <row r="56">
          <cell r="B56" t="str">
            <v>29460X</v>
          </cell>
          <cell r="C56" t="str">
            <v>Accumulated Depreciation - Computer Equipment</v>
          </cell>
        </row>
        <row r="57">
          <cell r="B57" t="str">
            <v>29470X</v>
          </cell>
          <cell r="C57" t="str">
            <v>Accumulated Depreciation - Motor Vehicles</v>
          </cell>
        </row>
        <row r="58">
          <cell r="B58" t="str">
            <v>29480X</v>
          </cell>
          <cell r="C58" t="str">
            <v>Accumulated Depreciation - Other Fixed Assets</v>
          </cell>
        </row>
        <row r="59">
          <cell r="B59" t="str">
            <v>29491X</v>
          </cell>
          <cell r="C59" t="str">
            <v>Amortization - Intangible Assets</v>
          </cell>
        </row>
        <row r="60">
          <cell r="B60" t="str">
            <v>29492X</v>
          </cell>
          <cell r="C60" t="str">
            <v>Amortization - Formation Expenses</v>
          </cell>
        </row>
        <row r="61">
          <cell r="B61" t="str">
            <v>29510X</v>
          </cell>
          <cell r="C61" t="str">
            <v>Formation Expenses</v>
          </cell>
        </row>
        <row r="62">
          <cell r="B62" t="str">
            <v>29520X</v>
          </cell>
          <cell r="C62" t="str">
            <v>Intangible Assets</v>
          </cell>
        </row>
        <row r="63">
          <cell r="B63" t="str">
            <v>29650X</v>
          </cell>
          <cell r="C63" t="str">
            <v>Inter-Branch Accounts</v>
          </cell>
        </row>
        <row r="64">
          <cell r="B64" t="str">
            <v>29660X</v>
          </cell>
          <cell r="C64" t="str">
            <v>Equivalence Foreign Exchange Position Account</v>
          </cell>
        </row>
        <row r="65">
          <cell r="B65" t="str">
            <v>29670X</v>
          </cell>
          <cell r="C65" t="str">
            <v>Suspense Asset Account</v>
          </cell>
        </row>
        <row r="66">
          <cell r="B66" t="str">
            <v>29680X</v>
          </cell>
          <cell r="C66" t="str">
            <v>Other Sundry Assets</v>
          </cell>
        </row>
        <row r="67">
          <cell r="B67" t="str">
            <v>32110X</v>
          </cell>
          <cell r="C67" t="str">
            <v>Amounts owed to Central Bank of Myanmar</v>
          </cell>
        </row>
        <row r="68">
          <cell r="B68" t="str">
            <v>32210X</v>
          </cell>
          <cell r="C68" t="str">
            <v>Deposits from the general public - Demand</v>
          </cell>
        </row>
        <row r="69">
          <cell r="B69" t="str">
            <v>32220X</v>
          </cell>
          <cell r="C69" t="str">
            <v>Deposits from the general public - Savings</v>
          </cell>
        </row>
        <row r="70">
          <cell r="B70" t="str">
            <v>32230X</v>
          </cell>
          <cell r="C70" t="str">
            <v>Deposits from the general public - Term</v>
          </cell>
        </row>
        <row r="71">
          <cell r="B71" t="str">
            <v>32240X</v>
          </cell>
          <cell r="C71" t="str">
            <v>Deposits from the general public - Other</v>
          </cell>
        </row>
        <row r="72">
          <cell r="B72" t="str">
            <v>32290X</v>
          </cell>
          <cell r="C72" t="str">
            <v>Compulsory Deposits</v>
          </cell>
        </row>
        <row r="73">
          <cell r="B73" t="str">
            <v>33220X</v>
          </cell>
          <cell r="C73" t="str">
            <v>Subordinated Debt</v>
          </cell>
        </row>
        <row r="74">
          <cell r="B74" t="str">
            <v>33310X</v>
          </cell>
          <cell r="C74" t="str">
            <v>Borrowed Funds - Financial Institutions</v>
          </cell>
        </row>
        <row r="75">
          <cell r="B75" t="str">
            <v>33320X</v>
          </cell>
          <cell r="C75" t="str">
            <v>Borrowed Funds - Non-Financial Institutions</v>
          </cell>
        </row>
        <row r="76">
          <cell r="B76" t="str">
            <v>34110X</v>
          </cell>
          <cell r="C76" t="str">
            <v>Accrued Interest Payable - Amount owed to Central Bank of Myanmar</v>
          </cell>
        </row>
        <row r="77">
          <cell r="B77" t="str">
            <v>34210X</v>
          </cell>
          <cell r="C77" t="str">
            <v xml:space="preserve">Accrued Interest Payable - Deposits from the general public - Demand </v>
          </cell>
        </row>
        <row r="78">
          <cell r="B78" t="str">
            <v>34220X</v>
          </cell>
          <cell r="C78" t="str">
            <v>Accrued Interest Payable - Deposits from the general public - Savings</v>
          </cell>
        </row>
        <row r="79">
          <cell r="B79" t="str">
            <v>34230X</v>
          </cell>
          <cell r="C79" t="str">
            <v>Accrued Interest Payable - Deposits from the general public - Term</v>
          </cell>
        </row>
        <row r="80">
          <cell r="B80" t="str">
            <v>34240X</v>
          </cell>
          <cell r="C80" t="str">
            <v>Accrued Interest Payable - Deposits from the general public - Other</v>
          </cell>
        </row>
        <row r="81">
          <cell r="B81" t="str">
            <v>34290X</v>
          </cell>
          <cell r="C81" t="str">
            <v>Accrued Interest Payable - Compulsory Deposits</v>
          </cell>
        </row>
        <row r="82">
          <cell r="B82" t="str">
            <v>34330X</v>
          </cell>
          <cell r="C82" t="str">
            <v>Accrued Interest Payable - Subordinated Debt</v>
          </cell>
        </row>
        <row r="83">
          <cell r="B83" t="str">
            <v>34410X</v>
          </cell>
          <cell r="C83" t="str">
            <v>Accrued Interest Payable - Borrowed Funds - Financial Institutions</v>
          </cell>
        </row>
        <row r="84">
          <cell r="B84" t="str">
            <v>34420X</v>
          </cell>
          <cell r="C84" t="str">
            <v>Accrued Interest Payable - Borrowed Funds - Non-Financial Institutions</v>
          </cell>
        </row>
        <row r="85">
          <cell r="B85" t="str">
            <v>36110X</v>
          </cell>
          <cell r="C85" t="str">
            <v>Accrued Salary Payable</v>
          </cell>
        </row>
        <row r="86">
          <cell r="B86" t="str">
            <v>36120X</v>
          </cell>
          <cell r="C86" t="str">
            <v>Accrued Bonus/Incentive Compensation Payable</v>
          </cell>
        </row>
        <row r="87">
          <cell r="B87" t="str">
            <v>36130X</v>
          </cell>
          <cell r="C87" t="str">
            <v>Accrued and Withheld Payroll Taxes Payable</v>
          </cell>
        </row>
        <row r="88">
          <cell r="B88" t="str">
            <v>36140X</v>
          </cell>
          <cell r="C88" t="str">
            <v>Other Payroll Deductions Withheld Payable</v>
          </cell>
        </row>
        <row r="89">
          <cell r="B89" t="str">
            <v>36150X</v>
          </cell>
          <cell r="C89" t="str">
            <v>Accrued Employee Benefits Payable</v>
          </cell>
        </row>
        <row r="90">
          <cell r="B90" t="str">
            <v>36160X</v>
          </cell>
          <cell r="C90" t="str">
            <v>Accrued Vacation Pay Payable</v>
          </cell>
        </row>
        <row r="91">
          <cell r="B91" t="str">
            <v>36210X</v>
          </cell>
          <cell r="C91" t="str">
            <v>Accrued Expenses and Provisions</v>
          </cell>
        </row>
        <row r="92">
          <cell r="B92" t="str">
            <v>36310X</v>
          </cell>
          <cell r="C92" t="str">
            <v>Accrued Taxes Payable</v>
          </cell>
        </row>
        <row r="93">
          <cell r="B93" t="str">
            <v>37210X</v>
          </cell>
          <cell r="C93" t="str">
            <v>Unearned Income</v>
          </cell>
        </row>
        <row r="94">
          <cell r="B94" t="str">
            <v>37310X</v>
          </cell>
          <cell r="C94" t="str">
            <v>Deferred Income - Government and Public Grants</v>
          </cell>
        </row>
        <row r="95">
          <cell r="B95" t="str">
            <v>38110X</v>
          </cell>
          <cell r="C95" t="str">
            <v>Accounts Payable</v>
          </cell>
        </row>
        <row r="96">
          <cell r="B96" t="str">
            <v>38210X</v>
          </cell>
          <cell r="C96" t="str">
            <v>Dividend Payable</v>
          </cell>
        </row>
        <row r="97">
          <cell r="B97" t="str">
            <v>38310X</v>
          </cell>
          <cell r="C97" t="str">
            <v>Dividend Withholding Taxes</v>
          </cell>
        </row>
        <row r="98">
          <cell r="B98" t="str">
            <v>38410X</v>
          </cell>
          <cell r="C98" t="str">
            <v>Other Withholding Taxes</v>
          </cell>
        </row>
        <row r="99">
          <cell r="B99" t="str">
            <v>38510X</v>
          </cell>
          <cell r="C99" t="str">
            <v>Interest in Suspense</v>
          </cell>
        </row>
        <row r="100">
          <cell r="B100" t="str">
            <v>38610X</v>
          </cell>
          <cell r="C100" t="str">
            <v>Foreign Exchange Position Account</v>
          </cell>
        </row>
        <row r="101">
          <cell r="B101" t="str">
            <v>38920X</v>
          </cell>
          <cell r="C101" t="str">
            <v>Global and General Provision for Losses</v>
          </cell>
        </row>
        <row r="102">
          <cell r="B102" t="str">
            <v>38930X</v>
          </cell>
          <cell r="C102" t="str">
            <v>Deferred Taxation</v>
          </cell>
        </row>
        <row r="103">
          <cell r="B103" t="str">
            <v>38980X</v>
          </cell>
          <cell r="C103" t="str">
            <v>Suspense and Sundry Liability Account</v>
          </cell>
        </row>
        <row r="104">
          <cell r="B104" t="str">
            <v>40110X</v>
          </cell>
          <cell r="C104" t="str">
            <v>Paid Up Capital</v>
          </cell>
        </row>
        <row r="105">
          <cell r="B105" t="str">
            <v>40120X</v>
          </cell>
          <cell r="C105" t="str">
            <v>Premiums Related to Capital (Paid in Surplus)</v>
          </cell>
        </row>
        <row r="106">
          <cell r="B106" t="str">
            <v>40130X</v>
          </cell>
          <cell r="C106" t="str">
            <v>(Less) Unpaid Portion of Capital</v>
          </cell>
        </row>
        <row r="107">
          <cell r="B107" t="str">
            <v>40140X</v>
          </cell>
          <cell r="C107" t="str">
            <v>(Less) Treasury Stock</v>
          </cell>
        </row>
        <row r="108">
          <cell r="B108" t="str">
            <v>40210X</v>
          </cell>
          <cell r="C108" t="str">
            <v>Donated capital - Current year</v>
          </cell>
        </row>
        <row r="109">
          <cell r="B109" t="str">
            <v>40220X</v>
          </cell>
          <cell r="C109" t="str">
            <v>Donated capital - Previous years</v>
          </cell>
        </row>
        <row r="110">
          <cell r="B110" t="str">
            <v>40410X</v>
          </cell>
          <cell r="C110" t="str">
            <v>Hybrid Capital - Non-refundable public grants and subsidies</v>
          </cell>
        </row>
        <row r="111">
          <cell r="B111" t="str">
            <v>40420X</v>
          </cell>
          <cell r="C111" t="str">
            <v>Hybrid Capital - Public guarantee funds for credit risks</v>
          </cell>
        </row>
        <row r="112">
          <cell r="B112" t="str">
            <v>40430X</v>
          </cell>
          <cell r="C112" t="str">
            <v>Hybrid Capital - Perpetual subordinated debts</v>
          </cell>
        </row>
        <row r="113">
          <cell r="B113" t="str">
            <v>40440X</v>
          </cell>
          <cell r="C113" t="str">
            <v>Hybrid Capital - Others</v>
          </cell>
        </row>
        <row r="114">
          <cell r="B114" t="str">
            <v>40510X</v>
          </cell>
          <cell r="C114" t="str">
            <v>Revenue Reserves</v>
          </cell>
        </row>
        <row r="115">
          <cell r="B115" t="str">
            <v>40520X</v>
          </cell>
          <cell r="C115" t="str">
            <v>Capital Reserves</v>
          </cell>
        </row>
        <row r="116">
          <cell r="B116" t="str">
            <v>40530X</v>
          </cell>
          <cell r="C116" t="str">
            <v>Subordinated debt apporved as Equity</v>
          </cell>
        </row>
        <row r="117">
          <cell r="B117" t="str">
            <v>40540X</v>
          </cell>
          <cell r="C117" t="str">
            <v>Revaluation reserves as Equity</v>
          </cell>
        </row>
        <row r="118">
          <cell r="B118" t="str">
            <v>40550X</v>
          </cell>
          <cell r="C118" t="str">
            <v>Other Reserves</v>
          </cell>
        </row>
        <row r="119">
          <cell r="B119" t="str">
            <v>40710X</v>
          </cell>
          <cell r="C119" t="str">
            <v>Retained Earnings</v>
          </cell>
        </row>
        <row r="120">
          <cell r="B120" t="str">
            <v>40810X</v>
          </cell>
          <cell r="C120" t="str">
            <v>Profit Current Year</v>
          </cell>
        </row>
        <row r="121">
          <cell r="B121" t="str">
            <v>51410X</v>
          </cell>
          <cell r="C121" t="str">
            <v>Interest Income - Due from Central Bank of Myanmar</v>
          </cell>
        </row>
        <row r="122">
          <cell r="B122" t="str">
            <v>51460X</v>
          </cell>
          <cell r="C122" t="str">
            <v>Interest Income - Term Deposit with Central Bank of Myanmar</v>
          </cell>
        </row>
        <row r="123">
          <cell r="B123" t="str">
            <v>51510X</v>
          </cell>
          <cell r="C123" t="str">
            <v>Interest Income - Savings Deposits with Banks</v>
          </cell>
        </row>
        <row r="124">
          <cell r="B124" t="str">
            <v>51610X</v>
          </cell>
          <cell r="C124" t="str">
            <v>Interest Income - Time Deposits with Banks</v>
          </cell>
        </row>
        <row r="125">
          <cell r="B125" t="str">
            <v>52110X</v>
          </cell>
          <cell r="C125" t="str">
            <v>Interest Income - Loans to Customers</v>
          </cell>
        </row>
        <row r="126">
          <cell r="B126" t="str">
            <v>52310X</v>
          </cell>
          <cell r="C126" t="str">
            <v>Interest Income - Past Due Loans</v>
          </cell>
        </row>
        <row r="127">
          <cell r="B127" t="str">
            <v>53110X</v>
          </cell>
          <cell r="C127" t="str">
            <v>Interest Income - Investment Securities - Hold to Maturity</v>
          </cell>
        </row>
        <row r="128">
          <cell r="B128" t="str">
            <v>53210X</v>
          </cell>
          <cell r="C128" t="str">
            <v>Interest Income - Investment Securities - Available for Sale</v>
          </cell>
        </row>
        <row r="129">
          <cell r="B129" t="str">
            <v>53310X</v>
          </cell>
          <cell r="C129" t="str">
            <v>Interest Income - Other Investment</v>
          </cell>
        </row>
        <row r="130">
          <cell r="B130" t="str">
            <v>56410X</v>
          </cell>
          <cell r="C130" t="str">
            <v>Other Interest Income</v>
          </cell>
        </row>
        <row r="131">
          <cell r="B131" t="str">
            <v>57110X</v>
          </cell>
          <cell r="C131" t="str">
            <v>Fees and Commissions on loans</v>
          </cell>
        </row>
        <row r="132">
          <cell r="B132" t="str">
            <v>57120X</v>
          </cell>
          <cell r="C132" t="str">
            <v>Other Fees and Commissions</v>
          </cell>
        </row>
        <row r="133">
          <cell r="B133" t="str">
            <v>57210X</v>
          </cell>
          <cell r="C133" t="str">
            <v>Fee Income for Wire Transfer/Remittance</v>
          </cell>
        </row>
        <row r="134">
          <cell r="B134" t="str">
            <v>57310X</v>
          </cell>
          <cell r="C134" t="str">
            <v>Other Non-Interest Income</v>
          </cell>
        </row>
        <row r="135">
          <cell r="B135" t="str">
            <v>57410X</v>
          </cell>
          <cell r="C135" t="str">
            <v>Foreign Exchange Gains</v>
          </cell>
        </row>
        <row r="136">
          <cell r="B136" t="str">
            <v>57420X</v>
          </cell>
          <cell r="C136" t="str">
            <v>Gains ( Loss ) on Revaluation of Trading/Marketable Securities</v>
          </cell>
        </row>
        <row r="137">
          <cell r="B137" t="str">
            <v>57430X</v>
          </cell>
          <cell r="C137" t="str">
            <v>Security Gains on Investment</v>
          </cell>
        </row>
        <row r="138">
          <cell r="B138" t="str">
            <v>57440X</v>
          </cell>
          <cell r="C138" t="str">
            <v>Recovery on Loans Previously Charged -Off</v>
          </cell>
        </row>
        <row r="139">
          <cell r="B139" t="str">
            <v>57450X</v>
          </cell>
          <cell r="C139" t="str">
            <v>Gains on Sale/Disposal of Fixed Assets</v>
          </cell>
        </row>
        <row r="140">
          <cell r="B140" t="str">
            <v>58510X</v>
          </cell>
          <cell r="C140" t="str">
            <v>Insurance premiums on micro-insurance business</v>
          </cell>
        </row>
        <row r="141">
          <cell r="B141" t="str">
            <v>58520X</v>
          </cell>
          <cell r="C141" t="str">
            <v>Dividends Income</v>
          </cell>
        </row>
        <row r="142">
          <cell r="B142" t="str">
            <v>58530X</v>
          </cell>
          <cell r="C142" t="str">
            <v>Grants Income</v>
          </cell>
        </row>
        <row r="143">
          <cell r="B143" t="str">
            <v>61110X</v>
          </cell>
          <cell r="C143" t="str">
            <v>Interest Expense - Amounts owed to Central Bank of Myanmar</v>
          </cell>
        </row>
        <row r="144">
          <cell r="B144" t="str">
            <v>61210X</v>
          </cell>
          <cell r="C144" t="str">
            <v>Interest Expense - Deposits from the general public - Demand</v>
          </cell>
        </row>
        <row r="145">
          <cell r="B145" t="str">
            <v>61220X</v>
          </cell>
          <cell r="C145" t="str">
            <v>Interest Expense - Deposits from the general public - Savings</v>
          </cell>
        </row>
        <row r="146">
          <cell r="B146" t="str">
            <v>61230X</v>
          </cell>
          <cell r="C146" t="str">
            <v>Interest Expense - Deposits from the general public - Term</v>
          </cell>
        </row>
        <row r="147">
          <cell r="B147" t="str">
            <v>61240X</v>
          </cell>
          <cell r="C147" t="str">
            <v>Interest Expense - Deposits from the general public - Other</v>
          </cell>
        </row>
        <row r="148">
          <cell r="B148" t="str">
            <v>61290X</v>
          </cell>
          <cell r="C148" t="str">
            <v>Interest Expense - Compulsory Deposits</v>
          </cell>
        </row>
        <row r="149">
          <cell r="B149" t="str">
            <v>62230X</v>
          </cell>
          <cell r="C149" t="str">
            <v>Interest Expense - Subordinated Debt</v>
          </cell>
        </row>
        <row r="150">
          <cell r="B150" t="str">
            <v>62310X</v>
          </cell>
          <cell r="C150" t="str">
            <v>Interest Expense - Borrowed Funds - Financial Institutions</v>
          </cell>
        </row>
        <row r="151">
          <cell r="B151" t="str">
            <v>62320X</v>
          </cell>
          <cell r="C151" t="str">
            <v>Interest Expense - Borrowed Funds - Non-Financial Institutions</v>
          </cell>
        </row>
        <row r="152">
          <cell r="B152" t="str">
            <v>63110X</v>
          </cell>
          <cell r="C152" t="str">
            <v>Salaries and Bonuses Expense</v>
          </cell>
        </row>
        <row r="153">
          <cell r="B153" t="str">
            <v>63120X</v>
          </cell>
          <cell r="C153" t="str">
            <v>Employee Overtime Expense</v>
          </cell>
        </row>
        <row r="154">
          <cell r="B154" t="str">
            <v>63130X</v>
          </cell>
          <cell r="C154" t="str">
            <v>Employee Training - Work Related Expense</v>
          </cell>
        </row>
        <row r="155">
          <cell r="B155" t="str">
            <v>63140X</v>
          </cell>
          <cell r="C155" t="str">
            <v>Employee Medical Expense</v>
          </cell>
        </row>
        <row r="156">
          <cell r="B156" t="str">
            <v>63180X</v>
          </cell>
          <cell r="C156" t="str">
            <v>Employee Pension Expense</v>
          </cell>
        </row>
        <row r="157">
          <cell r="B157" t="str">
            <v>63190X</v>
          </cell>
          <cell r="C157" t="str">
            <v>Other Employee Expense</v>
          </cell>
        </row>
        <row r="158">
          <cell r="B158" t="str">
            <v>64210X</v>
          </cell>
          <cell r="C158" t="str">
            <v>Depreciation Expense - Land Improvements</v>
          </cell>
        </row>
        <row r="159">
          <cell r="B159" t="str">
            <v>64220X</v>
          </cell>
          <cell r="C159" t="str">
            <v>Depreciation Expense - Building</v>
          </cell>
        </row>
        <row r="160">
          <cell r="B160" t="str">
            <v>64230X</v>
          </cell>
          <cell r="C160" t="str">
            <v>Depreciation Expense - Leasehold Improvement</v>
          </cell>
        </row>
        <row r="161">
          <cell r="B161" t="str">
            <v>64235X</v>
          </cell>
          <cell r="C161" t="str">
            <v>Depreciation Expenses - Furniture and Fixtures</v>
          </cell>
        </row>
        <row r="162">
          <cell r="B162" t="str">
            <v>64240X</v>
          </cell>
          <cell r="C162" t="str">
            <v>Depreciation Expenses - Equipment</v>
          </cell>
        </row>
        <row r="163">
          <cell r="B163" t="str">
            <v>64250X</v>
          </cell>
          <cell r="C163" t="str">
            <v>Depreciation Expenses - Computer Equipment</v>
          </cell>
        </row>
        <row r="164">
          <cell r="B164" t="str">
            <v>64260X</v>
          </cell>
          <cell r="C164" t="str">
            <v>Depreciation Expenses - Motor Vehicles</v>
          </cell>
        </row>
        <row r="165">
          <cell r="B165" t="str">
            <v>64270X</v>
          </cell>
          <cell r="C165" t="str">
            <v>Deprecitaion Expenses - Other Fixed Assets</v>
          </cell>
        </row>
        <row r="166">
          <cell r="B166" t="str">
            <v>64310X</v>
          </cell>
          <cell r="C166" t="str">
            <v>Amortization Expenses - Intangible Assets</v>
          </cell>
        </row>
        <row r="167">
          <cell r="B167" t="str">
            <v>64320X</v>
          </cell>
          <cell r="C167" t="str">
            <v>Amortization Expenses - Formation Expenses</v>
          </cell>
        </row>
        <row r="168">
          <cell r="B168" t="str">
            <v>65310X</v>
          </cell>
          <cell r="C168" t="str">
            <v>Repair and Maintenance Expenses</v>
          </cell>
        </row>
        <row r="169">
          <cell r="B169" t="str">
            <v>65320X</v>
          </cell>
          <cell r="C169" t="str">
            <v>Rental Expenses</v>
          </cell>
        </row>
        <row r="170">
          <cell r="B170" t="str">
            <v>65330X</v>
          </cell>
          <cell r="C170" t="str">
            <v>Utility Expenses</v>
          </cell>
        </row>
        <row r="171">
          <cell r="B171" t="str">
            <v>65340X</v>
          </cell>
          <cell r="C171" t="str">
            <v>Small items of furniture, fixtures and equipment not capitalized</v>
          </cell>
        </row>
        <row r="172">
          <cell r="B172" t="str">
            <v>65410X</v>
          </cell>
          <cell r="C172" t="str">
            <v>Marketing and Advertising Expenses</v>
          </cell>
        </row>
        <row r="173">
          <cell r="B173" t="str">
            <v>65420X</v>
          </cell>
          <cell r="C173" t="str">
            <v>Professional Services Expense</v>
          </cell>
        </row>
        <row r="174">
          <cell r="B174" t="str">
            <v>65430X</v>
          </cell>
          <cell r="C174" t="str">
            <v>Audit and Tax Fees Expense</v>
          </cell>
        </row>
        <row r="175">
          <cell r="B175" t="str">
            <v>65440X</v>
          </cell>
          <cell r="C175" t="str">
            <v>License Fees Expense</v>
          </cell>
        </row>
        <row r="176">
          <cell r="B176" t="str">
            <v>65445X</v>
          </cell>
          <cell r="C176" t="str">
            <v>Fees and Charges Paid</v>
          </cell>
        </row>
        <row r="177">
          <cell r="B177" t="str">
            <v>65450X</v>
          </cell>
          <cell r="C177" t="str">
            <v>Legal Fees Expense</v>
          </cell>
        </row>
        <row r="178">
          <cell r="B178" t="str">
            <v>65510X</v>
          </cell>
          <cell r="C178" t="str">
            <v>Travel Expense</v>
          </cell>
        </row>
        <row r="179">
          <cell r="B179" t="str">
            <v>65520X</v>
          </cell>
          <cell r="C179" t="str">
            <v>Business Meal and Entertainment Expense</v>
          </cell>
        </row>
        <row r="180">
          <cell r="B180" t="str">
            <v>65530X</v>
          </cell>
          <cell r="C180" t="str">
            <v>Communication Expenses</v>
          </cell>
        </row>
        <row r="181">
          <cell r="B181" t="str">
            <v>65710X</v>
          </cell>
          <cell r="C181" t="str">
            <v>Stationery and Supplies Expenses</v>
          </cell>
        </row>
        <row r="182">
          <cell r="B182" t="str">
            <v>65720X</v>
          </cell>
          <cell r="C182" t="str">
            <v>Printing and Forms Expenses</v>
          </cell>
        </row>
        <row r="183">
          <cell r="B183" t="str">
            <v>65810X</v>
          </cell>
          <cell r="C183" t="str">
            <v>Fire and Hazard Insurance Expense</v>
          </cell>
        </row>
        <row r="184">
          <cell r="B184" t="str">
            <v>65890X</v>
          </cell>
          <cell r="C184" t="str">
            <v>Other Insurance Expense</v>
          </cell>
        </row>
        <row r="185">
          <cell r="B185" t="str">
            <v>66110X</v>
          </cell>
          <cell r="C185" t="str">
            <v>Security Expense</v>
          </cell>
        </row>
        <row r="186">
          <cell r="B186" t="str">
            <v>66210X</v>
          </cell>
          <cell r="C186" t="str">
            <v>Board of Directors' Fees</v>
          </cell>
        </row>
        <row r="187">
          <cell r="B187" t="str">
            <v>66220X</v>
          </cell>
          <cell r="C187" t="str">
            <v>Shareholders' Meeting Expense</v>
          </cell>
        </row>
        <row r="188">
          <cell r="B188" t="str">
            <v>66310X</v>
          </cell>
          <cell r="C188" t="str">
            <v>Charitable Donation Expense</v>
          </cell>
        </row>
        <row r="189">
          <cell r="B189" t="str">
            <v>66410X</v>
          </cell>
          <cell r="C189" t="str">
            <v>Dues and Memberships Expense</v>
          </cell>
        </row>
        <row r="190">
          <cell r="B190" t="str">
            <v>66610X</v>
          </cell>
          <cell r="C190" t="str">
            <v>Penalties and Fines Expense</v>
          </cell>
        </row>
        <row r="191">
          <cell r="B191" t="str">
            <v>66810X</v>
          </cell>
          <cell r="C191" t="str">
            <v>Motor Vehicle Operating Expense</v>
          </cell>
        </row>
        <row r="192">
          <cell r="B192" t="str">
            <v>66910X</v>
          </cell>
          <cell r="C192" t="str">
            <v>Income Tax Expense</v>
          </cell>
        </row>
        <row r="193">
          <cell r="B193" t="str">
            <v>66990X</v>
          </cell>
          <cell r="C193" t="str">
            <v>Miscellaneous Expense</v>
          </cell>
        </row>
        <row r="194">
          <cell r="B194" t="str">
            <v>67110X</v>
          </cell>
          <cell r="C194" t="str">
            <v>Bad and Doubtful Debts</v>
          </cell>
        </row>
        <row r="195">
          <cell r="B195" t="str">
            <v>67140X</v>
          </cell>
          <cell r="C195" t="str">
            <v>Doubtful and Loss of Securities</v>
          </cell>
        </row>
        <row r="196">
          <cell r="B196" t="str">
            <v>67150X</v>
          </cell>
          <cell r="C196" t="str">
            <v>Write off on uncollectable loans non covered by provisions</v>
          </cell>
        </row>
        <row r="197">
          <cell r="B197" t="str">
            <v>67160X</v>
          </cell>
          <cell r="C197" t="str">
            <v>Global and General Provision other than Loans</v>
          </cell>
        </row>
        <row r="198">
          <cell r="B198" t="str">
            <v>68110X</v>
          </cell>
          <cell r="C198" t="str">
            <v>Loss on Foreign Exchange</v>
          </cell>
        </row>
        <row r="199">
          <cell r="B199" t="str">
            <v>68140X</v>
          </cell>
          <cell r="C199" t="str">
            <v>Loss on Sale/Disposal of Security Investment Expense</v>
          </cell>
        </row>
        <row r="200">
          <cell r="B200" t="str">
            <v>68160X</v>
          </cell>
          <cell r="C200" t="str">
            <v>Loss on Sale/Disposal of Assets</v>
          </cell>
        </row>
        <row r="201">
          <cell r="B201" t="str">
            <v>69110X</v>
          </cell>
          <cell r="C201" t="str">
            <v>Rebates/Commissions to Borrowing Groups</v>
          </cell>
        </row>
        <row r="202">
          <cell r="B202" t="str">
            <v>69120X</v>
          </cell>
          <cell r="C202" t="str">
            <v>Village Bank/Association costs</v>
          </cell>
        </row>
        <row r="203">
          <cell r="B203" t="str">
            <v>69210X</v>
          </cell>
          <cell r="C203" t="str">
            <v>Correspondent Bank Charges</v>
          </cell>
        </row>
        <row r="204">
          <cell r="B204" t="str">
            <v>69220X</v>
          </cell>
          <cell r="C204" t="str">
            <v xml:space="preserve">Fee and Commission on Borrowing </v>
          </cell>
        </row>
      </sheetData>
      <sheetData sheetId="17">
        <row r="210">
          <cell r="L210">
            <v>2484348</v>
          </cell>
        </row>
      </sheetData>
      <sheetData sheetId="18">
        <row r="210">
          <cell r="L210">
            <v>1988932</v>
          </cell>
        </row>
      </sheetData>
      <sheetData sheetId="19"/>
      <sheetData sheetId="20"/>
      <sheetData sheetId="21">
        <row r="8">
          <cell r="G8" t="str">
            <v>11110X</v>
          </cell>
        </row>
      </sheetData>
      <sheetData sheetId="22">
        <row r="8">
          <cell r="G8">
            <v>41639</v>
          </cell>
        </row>
      </sheetData>
      <sheetData sheetId="23"/>
      <sheetData sheetId="24"/>
      <sheetData sheetId="25">
        <row r="8">
          <cell r="G8" t="str">
            <v>11110X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B1 Operating Report"/>
      <sheetName val="Settings"/>
      <sheetName val="Form 1-Membership App"/>
      <sheetName val="Form 2-Group Formation"/>
      <sheetName val="Form 3-Membership List"/>
      <sheetName val="Form 4-Loan App"/>
      <sheetName val="Form 5-Loan Contracts"/>
      <sheetName val="Form 8-Repayment Record"/>
      <sheetName val="Form 9-Daily Cash Record"/>
      <sheetName val="Form 10 DrCr invoice"/>
      <sheetName val="Regular loan repayment schedule"/>
      <sheetName val="Loan transactions"/>
      <sheetName val="Form 7-Customer loans"/>
      <sheetName val="Saving transactions"/>
      <sheetName val="Saving interest calculator"/>
      <sheetName val="Form 7-Customer savings"/>
      <sheetName val="Account No.s"/>
      <sheetName val="Form 13-Cashbook (C)"/>
      <sheetName val="Form 6-Daily Loan"/>
      <sheetName val="Form 15-JE (C)"/>
      <sheetName val="Form 14-GL (C)"/>
      <sheetName val="Form 15-JE (NC)"/>
      <sheetName val="Form 14-GL (NC)"/>
      <sheetName val="Form 12-FA Record"/>
      <sheetName val="Form 17-Current P&amp;L"/>
      <sheetName val="RR_CB_13"/>
      <sheetName val="Form 18-BS"/>
      <sheetName val="RR_TB_16"/>
      <sheetName val="RR_P&amp;L_17"/>
      <sheetName val="RR_BS_18"/>
      <sheetName val="RR P&amp;L 17-1"/>
      <sheetName val="RR BS 18-1"/>
      <sheetName val="Form 16-Trial (C)"/>
      <sheetName val="Form 16-Trial (NC)"/>
      <sheetName val="FSs Summary"/>
      <sheetName val="Form 16-Trial (C) running"/>
      <sheetName val="Form 16-Trial (NC) running"/>
      <sheetName val="Form 17-P&amp;L running"/>
      <sheetName val="Sheet1"/>
      <sheetName val="Sheet2"/>
    </sheetNames>
    <sheetDataSet>
      <sheetData sheetId="0"/>
      <sheetData sheetId="1">
        <row r="5">
          <cell r="C5">
            <v>41791</v>
          </cell>
        </row>
        <row r="6">
          <cell r="C6">
            <v>41820</v>
          </cell>
        </row>
        <row r="9">
          <cell r="C9">
            <v>1.4999999999999999E-2</v>
          </cell>
        </row>
        <row r="10">
          <cell r="C10">
            <v>1.4999999999999999E-2</v>
          </cell>
        </row>
        <row r="13">
          <cell r="B13">
            <v>2.5000000000000001E-2</v>
          </cell>
        </row>
        <row r="17">
          <cell r="B17">
            <v>100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V8">
            <v>0.4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>
            <v>41820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15"/>
  <sheetViews>
    <sheetView tabSelected="1" workbookViewId="0">
      <selection activeCell="A10" sqref="A10"/>
    </sheetView>
  </sheetViews>
  <sheetFormatPr defaultRowHeight="24.9" customHeight="1" x14ac:dyDescent="0.3"/>
  <cols>
    <col min="1" max="1" width="32.109375" customWidth="1"/>
  </cols>
  <sheetData>
    <row r="1" spans="1:1" ht="24.9" customHeight="1" x14ac:dyDescent="0.3">
      <c r="A1" s="399" t="s">
        <v>166</v>
      </c>
    </row>
    <row r="2" spans="1:1" ht="24.9" customHeight="1" x14ac:dyDescent="0.3">
      <c r="A2" s="400" t="s">
        <v>165</v>
      </c>
    </row>
    <row r="3" spans="1:1" ht="24.9" customHeight="1" x14ac:dyDescent="0.3">
      <c r="A3" s="401" t="s">
        <v>167</v>
      </c>
    </row>
    <row r="4" spans="1:1" ht="24.9" customHeight="1" x14ac:dyDescent="0.3">
      <c r="A4" s="401" t="s">
        <v>168</v>
      </c>
    </row>
    <row r="5" spans="1:1" ht="24.9" customHeight="1" x14ac:dyDescent="0.3">
      <c r="A5" s="401" t="s">
        <v>169</v>
      </c>
    </row>
    <row r="6" spans="1:1" ht="24.9" customHeight="1" x14ac:dyDescent="0.3">
      <c r="A6" s="401" t="s">
        <v>170</v>
      </c>
    </row>
    <row r="7" spans="1:1" ht="24.9" customHeight="1" x14ac:dyDescent="0.3">
      <c r="A7" s="401" t="s">
        <v>171</v>
      </c>
    </row>
    <row r="8" spans="1:1" ht="24.9" customHeight="1" x14ac:dyDescent="0.3">
      <c r="A8" s="401" t="s">
        <v>172</v>
      </c>
    </row>
    <row r="9" spans="1:1" ht="24.9" customHeight="1" x14ac:dyDescent="0.3">
      <c r="A9" s="401" t="s">
        <v>173</v>
      </c>
    </row>
    <row r="10" spans="1:1" ht="24.9" customHeight="1" x14ac:dyDescent="0.3">
      <c r="A10" s="401" t="s">
        <v>174</v>
      </c>
    </row>
    <row r="11" spans="1:1" ht="24.9" customHeight="1" x14ac:dyDescent="0.3">
      <c r="A11" s="401" t="s">
        <v>175</v>
      </c>
    </row>
    <row r="12" spans="1:1" ht="24.9" customHeight="1" x14ac:dyDescent="0.3">
      <c r="A12" s="401" t="s">
        <v>176</v>
      </c>
    </row>
    <row r="13" spans="1:1" ht="24.9" customHeight="1" x14ac:dyDescent="0.3">
      <c r="A13" s="401" t="s">
        <v>177</v>
      </c>
    </row>
    <row r="14" spans="1:1" ht="24.9" customHeight="1" x14ac:dyDescent="0.3">
      <c r="A14" s="401" t="s">
        <v>178</v>
      </c>
    </row>
    <row r="15" spans="1:1" ht="24.9" customHeight="1" x14ac:dyDescent="0.3">
      <c r="A15" s="401" t="s">
        <v>179</v>
      </c>
    </row>
  </sheetData>
  <hyperlinks>
    <hyperlink ref="A2" location="'Acc code'!A1" display="Acc code"/>
    <hyperlink ref="A3" location="'Cash Book'!A1" display="'Cash Book'!A1"/>
    <hyperlink ref="A4" location="'Main Ledger'!A1" display="'Main Ledger'!A1"/>
    <hyperlink ref="A5" location="'Petty-Cash Book'!A1" display="'Petty-Cash Book'!A1"/>
    <hyperlink ref="A6" location="Ledger!A1" display="Ledger!A1"/>
    <hyperlink ref="A7" location="'Cash Book-USD'!A1" display="'Cash Book-USD'!A1"/>
    <hyperlink ref="A8" location="'Ledger-USD'!A1" display="'Ledger-USD'!A1"/>
    <hyperlink ref="A9" location="'Cash Trial'!A1" display="'Cash Trial'!A1"/>
    <hyperlink ref="A10" location="'JV-MMK'!A1" display="'JV-MMK'!A1"/>
    <hyperlink ref="A11" location="'JV-USD'!A1" display="'JV-USD'!A1"/>
    <hyperlink ref="A12" location="'Trial balance'!A1" display="'Trial balance'!A1"/>
    <hyperlink ref="A13" location="'Income Statement'!A1" display="'Income Statement'!A1"/>
    <hyperlink ref="A14" location="'B-S'!A1" display="'B-S'!A1"/>
    <hyperlink ref="A15" location="'FA-Sch'!A1" display="'FA-Sch'!A1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M413"/>
  <sheetViews>
    <sheetView showGridLines="0" workbookViewId="0">
      <pane ySplit="4" topLeftCell="A5" activePane="bottomLeft" state="frozen"/>
      <selection pane="bottomLeft" activeCell="E12" sqref="E12"/>
    </sheetView>
  </sheetViews>
  <sheetFormatPr defaultRowHeight="14.4" x14ac:dyDescent="0.3"/>
  <cols>
    <col min="1" max="1" width="12.109375" customWidth="1"/>
    <col min="2" max="2" width="15.88671875" customWidth="1"/>
    <col min="3" max="3" width="13" customWidth="1"/>
    <col min="4" max="4" width="40.6640625" customWidth="1"/>
    <col min="5" max="5" width="42.109375" customWidth="1"/>
    <col min="6" max="7" width="17.6640625" style="45" customWidth="1"/>
    <col min="9" max="9" width="17.44140625" customWidth="1"/>
    <col min="10" max="10" width="55.33203125" customWidth="1"/>
    <col min="11" max="12" width="15.6640625" customWidth="1"/>
    <col min="16" max="16" width="12.44140625" customWidth="1"/>
  </cols>
  <sheetData>
    <row r="1" spans="1:13" ht="24.9" customHeight="1" x14ac:dyDescent="0.35">
      <c r="A1" s="449" t="str">
        <f>'Cash Trial'!A1:H1</f>
        <v>LEAD GENERATION CO.,LTD</v>
      </c>
      <c r="B1" s="449"/>
      <c r="C1" s="449"/>
      <c r="D1" s="449"/>
      <c r="E1" s="449"/>
      <c r="F1" s="449"/>
      <c r="G1" s="449"/>
    </row>
    <row r="2" spans="1:13" ht="24.9" customHeight="1" x14ac:dyDescent="0.35">
      <c r="A2" s="469" t="s">
        <v>139</v>
      </c>
      <c r="B2" s="469"/>
      <c r="C2" s="469"/>
      <c r="D2" s="469"/>
      <c r="E2" s="469"/>
      <c r="F2" s="469"/>
      <c r="G2" s="469"/>
    </row>
    <row r="3" spans="1:13" ht="15" thickBot="1" x14ac:dyDescent="0.35">
      <c r="F3" s="470" t="str">
        <f>Ledger!F3</f>
        <v>For 1-06-2015 to 31-05-2016</v>
      </c>
      <c r="G3" s="470"/>
    </row>
    <row r="4" spans="1:13" ht="33" customHeight="1" thickBot="1" x14ac:dyDescent="0.35">
      <c r="A4" s="46" t="s">
        <v>61</v>
      </c>
      <c r="B4" s="47" t="s">
        <v>77</v>
      </c>
      <c r="C4" s="48" t="s">
        <v>63</v>
      </c>
      <c r="D4" s="48" t="s">
        <v>64</v>
      </c>
      <c r="E4" s="48" t="s">
        <v>65</v>
      </c>
      <c r="F4" s="49" t="s">
        <v>108</v>
      </c>
      <c r="G4" s="50" t="s">
        <v>109</v>
      </c>
      <c r="I4" s="451" t="s">
        <v>69</v>
      </c>
      <c r="J4" s="451"/>
      <c r="K4" s="451"/>
      <c r="L4" s="451"/>
    </row>
    <row r="5" spans="1:13" ht="35.1" customHeight="1" x14ac:dyDescent="0.3">
      <c r="A5" s="417" t="s">
        <v>206</v>
      </c>
      <c r="B5" s="253" t="s">
        <v>207</v>
      </c>
      <c r="C5" s="253">
        <v>111201</v>
      </c>
      <c r="D5" s="15" t="str">
        <f>IFERROR(VLOOKUP(C5,'Acc code'!$B$2:$C$124,2,FALSE),0)</f>
        <v>Cash at Bank ( CB-Kyats )</v>
      </c>
      <c r="E5" s="254" t="s">
        <v>208</v>
      </c>
      <c r="F5" s="445">
        <f>1320*1255</f>
        <v>1656600</v>
      </c>
      <c r="G5" s="446"/>
      <c r="K5" s="11" t="s">
        <v>66</v>
      </c>
      <c r="L5" s="55" t="s">
        <v>70</v>
      </c>
    </row>
    <row r="6" spans="1:13" ht="35.1" customHeight="1" x14ac:dyDescent="0.3">
      <c r="A6" s="413" t="s">
        <v>206</v>
      </c>
      <c r="B6" s="57" t="s">
        <v>207</v>
      </c>
      <c r="C6" s="57">
        <v>401402</v>
      </c>
      <c r="D6" s="58" t="str">
        <f>IFERROR(VLOOKUP(C6,'Acc code'!$B$2:$C$124,2,FALSE),0)</f>
        <v>Exchange A/C</v>
      </c>
      <c r="E6" s="210" t="s">
        <v>208</v>
      </c>
      <c r="F6" s="447"/>
      <c r="G6" s="448">
        <v>1656600</v>
      </c>
      <c r="I6" s="16">
        <v>111101</v>
      </c>
      <c r="J6" s="17" t="s">
        <v>114</v>
      </c>
      <c r="K6" s="18">
        <f>SUMIF(C:C,"111101",F:F)</f>
        <v>0</v>
      </c>
      <c r="L6" s="18">
        <f>SUMIF(C:C,"111101",G:G)</f>
        <v>0</v>
      </c>
      <c r="M6" s="16">
        <v>1</v>
      </c>
    </row>
    <row r="7" spans="1:13" ht="35.1" customHeight="1" x14ac:dyDescent="0.3">
      <c r="A7" s="417" t="s">
        <v>211</v>
      </c>
      <c r="B7" s="431" t="s">
        <v>207</v>
      </c>
      <c r="C7" s="253">
        <v>111201</v>
      </c>
      <c r="D7" s="15" t="str">
        <f>IFERROR(VLOOKUP(C7,'Acc code'!$B$2:$C$124,2,FALSE),0)</f>
        <v>Cash at Bank ( CB-Kyats )</v>
      </c>
      <c r="E7" s="254" t="s">
        <v>208</v>
      </c>
      <c r="F7" s="445">
        <f>900*1242</f>
        <v>1117800</v>
      </c>
      <c r="G7" s="446"/>
      <c r="I7" s="16">
        <v>111102</v>
      </c>
      <c r="J7" s="17" t="s">
        <v>121</v>
      </c>
      <c r="K7" s="18">
        <f>SUMIF(C:C,"111102",F:F)</f>
        <v>0</v>
      </c>
      <c r="L7" s="18">
        <f>SUMIF(C:C,"111102",G:G)</f>
        <v>0</v>
      </c>
      <c r="M7" s="16">
        <v>2</v>
      </c>
    </row>
    <row r="8" spans="1:13" ht="35.1" customHeight="1" x14ac:dyDescent="0.3">
      <c r="A8" s="413" t="s">
        <v>211</v>
      </c>
      <c r="B8" s="423" t="s">
        <v>207</v>
      </c>
      <c r="C8" s="57">
        <v>401402</v>
      </c>
      <c r="D8" s="58" t="str">
        <f>IFERROR(VLOOKUP(C8,'Acc code'!$B$2:$C$124,2,FALSE),0)</f>
        <v>Exchange A/C</v>
      </c>
      <c r="E8" s="210" t="s">
        <v>208</v>
      </c>
      <c r="F8" s="447"/>
      <c r="G8" s="448">
        <f>900*1242</f>
        <v>1117800</v>
      </c>
      <c r="I8" s="16">
        <v>111103</v>
      </c>
      <c r="J8" s="17" t="s">
        <v>118</v>
      </c>
      <c r="K8" s="18">
        <f>SUMIF(C:C,"111103",F:F)</f>
        <v>0</v>
      </c>
      <c r="L8" s="18">
        <f>SUMIF(C:C,"111103",G:G)</f>
        <v>0</v>
      </c>
      <c r="M8" s="16">
        <v>3</v>
      </c>
    </row>
    <row r="9" spans="1:13" ht="35.1" customHeight="1" x14ac:dyDescent="0.3">
      <c r="A9" s="417" t="s">
        <v>214</v>
      </c>
      <c r="B9" s="62" t="s">
        <v>215</v>
      </c>
      <c r="C9" s="253">
        <v>111201</v>
      </c>
      <c r="D9" s="15" t="str">
        <f>IFERROR(VLOOKUP(C9,'Acc code'!$B$2:$C$124,2,FALSE),0)</f>
        <v>Cash at Bank ( CB-Kyats )</v>
      </c>
      <c r="E9" s="254" t="s">
        <v>208</v>
      </c>
      <c r="F9" s="53">
        <f>1245*5400</f>
        <v>6723000</v>
      </c>
      <c r="G9" s="54"/>
      <c r="I9" s="16">
        <v>111201</v>
      </c>
      <c r="J9" s="409" t="s">
        <v>205</v>
      </c>
      <c r="K9" s="18">
        <f>SUMIF(C:C,"111201",F:F)</f>
        <v>42012280</v>
      </c>
      <c r="L9" s="18">
        <f>SUMIF(C:C,"111201",G:G)</f>
        <v>70347384</v>
      </c>
      <c r="M9" s="16">
        <v>4</v>
      </c>
    </row>
    <row r="10" spans="1:13" ht="35.1" customHeight="1" x14ac:dyDescent="0.3">
      <c r="A10" s="413" t="s">
        <v>214</v>
      </c>
      <c r="B10" s="57" t="s">
        <v>215</v>
      </c>
      <c r="C10" s="57">
        <v>401402</v>
      </c>
      <c r="D10" s="58" t="str">
        <f>IFERROR(VLOOKUP(C10,'Acc code'!$B$2:$C$124,2,FALSE),0)</f>
        <v>Exchange A/C</v>
      </c>
      <c r="E10" s="210" t="s">
        <v>208</v>
      </c>
      <c r="F10" s="60"/>
      <c r="G10" s="61">
        <f>1245*5400</f>
        <v>6723000</v>
      </c>
      <c r="I10" s="16">
        <v>111202</v>
      </c>
      <c r="J10" s="409" t="s">
        <v>192</v>
      </c>
      <c r="K10" s="18">
        <f>SUMIF(C:C,"111202",F:F)</f>
        <v>0</v>
      </c>
      <c r="L10" s="18">
        <f>SUMIF(C:C,"111202",G:G)</f>
        <v>0</v>
      </c>
      <c r="M10" s="16">
        <v>5</v>
      </c>
    </row>
    <row r="11" spans="1:13" ht="35.1" customHeight="1" x14ac:dyDescent="0.3">
      <c r="A11" s="51" t="s">
        <v>213</v>
      </c>
      <c r="B11" s="248" t="s">
        <v>216</v>
      </c>
      <c r="C11" s="253">
        <v>111201</v>
      </c>
      <c r="D11" s="15" t="str">
        <f>IFERROR(VLOOKUP(C11,'Acc code'!$B$2:$C$124,2,FALSE),0)</f>
        <v>Cash at Bank ( CB-Kyats )</v>
      </c>
      <c r="E11" s="254" t="s">
        <v>208</v>
      </c>
      <c r="F11" s="53">
        <f>900*1420</f>
        <v>1278000</v>
      </c>
      <c r="G11" s="54"/>
      <c r="I11" s="16">
        <v>111203</v>
      </c>
      <c r="J11" s="17" t="s">
        <v>18</v>
      </c>
      <c r="K11" s="18">
        <f>SUMIF(C:C,"111203",F:F)</f>
        <v>0</v>
      </c>
      <c r="L11" s="18">
        <f>SUMIF(C:C,"111203",G:G)</f>
        <v>0</v>
      </c>
      <c r="M11" s="16">
        <v>6</v>
      </c>
    </row>
    <row r="12" spans="1:13" ht="35.1" customHeight="1" x14ac:dyDescent="0.3">
      <c r="A12" s="56" t="s">
        <v>213</v>
      </c>
      <c r="B12" s="57" t="s">
        <v>216</v>
      </c>
      <c r="C12" s="57">
        <v>401402</v>
      </c>
      <c r="D12" s="58" t="str">
        <f>IFERROR(VLOOKUP(C12,'Acc code'!$B$2:$C$124,2,FALSE),0)</f>
        <v>Exchange A/C</v>
      </c>
      <c r="E12" s="210" t="s">
        <v>208</v>
      </c>
      <c r="F12" s="60"/>
      <c r="G12" s="61">
        <f>900*1420</f>
        <v>1278000</v>
      </c>
      <c r="I12" s="16">
        <v>111204</v>
      </c>
      <c r="J12" s="17" t="s">
        <v>19</v>
      </c>
      <c r="K12" s="18">
        <f>SUMIF(C:C,"111204",F:F)</f>
        <v>0</v>
      </c>
      <c r="L12" s="18">
        <f>SUMIF(C:C,"111204",G:G)</f>
        <v>0</v>
      </c>
      <c r="M12" s="16">
        <v>7</v>
      </c>
    </row>
    <row r="13" spans="1:13" ht="35.1" customHeight="1" x14ac:dyDescent="0.3">
      <c r="A13" s="417" t="s">
        <v>217</v>
      </c>
      <c r="B13" s="427" t="s">
        <v>209</v>
      </c>
      <c r="C13" s="253">
        <v>111201</v>
      </c>
      <c r="D13" s="262" t="str">
        <f>IFERROR(VLOOKUP(C13,'Acc code'!$B$2:$C$124,2,FALSE),0)</f>
        <v>Cash at Bank ( CB-Kyats )</v>
      </c>
      <c r="E13" s="254" t="s">
        <v>208</v>
      </c>
      <c r="F13" s="53">
        <v>2906280</v>
      </c>
      <c r="G13" s="54"/>
      <c r="I13" s="16">
        <v>111301</v>
      </c>
      <c r="J13" s="17" t="s">
        <v>248</v>
      </c>
      <c r="K13" s="18">
        <f>SUMIF(C:C,"111301",F:F)</f>
        <v>0</v>
      </c>
      <c r="L13" s="18">
        <f>SUMIF(C:C,"111301",G:G)</f>
        <v>633000</v>
      </c>
      <c r="M13" s="16">
        <v>8</v>
      </c>
    </row>
    <row r="14" spans="1:13" ht="35.1" customHeight="1" x14ac:dyDescent="0.3">
      <c r="A14" s="413" t="s">
        <v>217</v>
      </c>
      <c r="B14" s="423" t="s">
        <v>209</v>
      </c>
      <c r="C14" s="57">
        <v>401402</v>
      </c>
      <c r="D14" s="58" t="str">
        <f>IFERROR(VLOOKUP(C14,'Acc code'!$B$2:$C$124,2,FALSE),0)</f>
        <v>Exchange A/C</v>
      </c>
      <c r="E14" s="210" t="s">
        <v>208</v>
      </c>
      <c r="F14" s="60"/>
      <c r="G14" s="61">
        <f>2906280</f>
        <v>2906280</v>
      </c>
      <c r="I14" s="16">
        <v>111302</v>
      </c>
      <c r="J14" s="409" t="s">
        <v>432</v>
      </c>
      <c r="K14" s="18">
        <f>SUMIF(C:C,"111302",F:F)</f>
        <v>700000</v>
      </c>
      <c r="L14" s="18">
        <f>SUMIF(C:C,"111302",G:G)</f>
        <v>670000</v>
      </c>
      <c r="M14" s="16">
        <v>9</v>
      </c>
    </row>
    <row r="15" spans="1:13" ht="35.1" customHeight="1" x14ac:dyDescent="0.3">
      <c r="A15" s="417" t="s">
        <v>206</v>
      </c>
      <c r="B15" s="253" t="s">
        <v>228</v>
      </c>
      <c r="C15" s="253">
        <v>111201</v>
      </c>
      <c r="D15" s="15" t="str">
        <f>IFERROR(VLOOKUP(C15,'Acc code'!$B$2:$C$124,2,FALSE),0)</f>
        <v>Cash at Bank ( CB-Kyats )</v>
      </c>
      <c r="E15" s="254" t="s">
        <v>208</v>
      </c>
      <c r="F15" s="53">
        <f>1320*1255</f>
        <v>1656600</v>
      </c>
      <c r="G15" s="54"/>
      <c r="I15" s="16">
        <v>111401</v>
      </c>
      <c r="J15" s="17" t="s">
        <v>14</v>
      </c>
      <c r="K15" s="18">
        <f>SUMIF(C:C,"111401",F:F)</f>
        <v>0</v>
      </c>
      <c r="L15" s="18">
        <f>SUMIF(C:C,"111401",G:G)</f>
        <v>0</v>
      </c>
      <c r="M15" s="16">
        <v>10</v>
      </c>
    </row>
    <row r="16" spans="1:13" s="247" customFormat="1" ht="35.1" customHeight="1" x14ac:dyDescent="0.3">
      <c r="A16" s="413" t="s">
        <v>206</v>
      </c>
      <c r="B16" s="57" t="s">
        <v>228</v>
      </c>
      <c r="C16" s="57">
        <v>401402</v>
      </c>
      <c r="D16" s="58" t="str">
        <f>IFERROR(VLOOKUP(C16,'Acc code'!$B$2:$C$124,2,FALSE),0)</f>
        <v>Exchange A/C</v>
      </c>
      <c r="E16" s="210" t="s">
        <v>208</v>
      </c>
      <c r="F16" s="60"/>
      <c r="G16" s="61">
        <f>1320*1255</f>
        <v>1656600</v>
      </c>
      <c r="I16" s="16">
        <v>111402</v>
      </c>
      <c r="J16" s="17" t="s">
        <v>161</v>
      </c>
      <c r="K16" s="18">
        <f>SUMIF(C:C,"111402",F:F)</f>
        <v>0</v>
      </c>
      <c r="L16" s="18">
        <f>SUMIF(C:C,"111402",G:G)</f>
        <v>0</v>
      </c>
      <c r="M16" s="16">
        <v>11</v>
      </c>
    </row>
    <row r="17" spans="1:13" ht="35.1" customHeight="1" x14ac:dyDescent="0.3">
      <c r="A17" s="422" t="s">
        <v>213</v>
      </c>
      <c r="B17" s="62" t="s">
        <v>229</v>
      </c>
      <c r="C17" s="253">
        <v>111201</v>
      </c>
      <c r="D17" s="254" t="str">
        <f>IFERROR(VLOOKUP(C17,'Acc code'!$B$2:$C$124,2,FALSE),0)</f>
        <v>Cash at Bank ( CB-Kyats )</v>
      </c>
      <c r="E17" s="254" t="s">
        <v>208</v>
      </c>
      <c r="F17" s="424">
        <f>1240*900</f>
        <v>1116000</v>
      </c>
      <c r="G17" s="54"/>
      <c r="I17" s="16">
        <v>111501</v>
      </c>
      <c r="J17" s="17" t="s">
        <v>15</v>
      </c>
      <c r="K17" s="18">
        <f>SUMIF(C:C,"111501",F:F)</f>
        <v>0</v>
      </c>
      <c r="L17" s="18">
        <f>SUMIF(C:C,"111501",G:G)</f>
        <v>0</v>
      </c>
      <c r="M17" s="16">
        <v>12</v>
      </c>
    </row>
    <row r="18" spans="1:13" ht="35.1" customHeight="1" x14ac:dyDescent="0.3">
      <c r="A18" s="413" t="s">
        <v>213</v>
      </c>
      <c r="B18" s="423" t="s">
        <v>229</v>
      </c>
      <c r="C18" s="57">
        <v>401402</v>
      </c>
      <c r="D18" s="58" t="str">
        <f>IFERROR(VLOOKUP(C18,'Acc code'!$B$2:$C$124,2,FALSE),0)</f>
        <v>Exchange A/C</v>
      </c>
      <c r="E18" s="210" t="s">
        <v>208</v>
      </c>
      <c r="F18" s="60"/>
      <c r="G18" s="425">
        <f>1240*900</f>
        <v>1116000</v>
      </c>
      <c r="I18" s="16">
        <v>111601</v>
      </c>
      <c r="J18" s="17" t="s">
        <v>1</v>
      </c>
      <c r="K18" s="18">
        <f>SUMIF(C:C,"111601",F:F)</f>
        <v>0</v>
      </c>
      <c r="L18" s="18">
        <f>SUMIF(C:C,"111601",G:G)</f>
        <v>0</v>
      </c>
      <c r="M18" s="16">
        <v>13</v>
      </c>
    </row>
    <row r="19" spans="1:13" ht="35.1" customHeight="1" x14ac:dyDescent="0.3">
      <c r="A19" s="417" t="s">
        <v>214</v>
      </c>
      <c r="B19" s="253" t="s">
        <v>230</v>
      </c>
      <c r="C19" s="253">
        <v>111201</v>
      </c>
      <c r="D19" s="254" t="str">
        <f>IFERROR(VLOOKUP(C19,'Acc code'!$B$2:$C$124,2,FALSE),0)</f>
        <v>Cash at Bank ( CB-Kyats )</v>
      </c>
      <c r="E19" s="254" t="s">
        <v>208</v>
      </c>
      <c r="F19" s="53">
        <f>5400*1245</f>
        <v>6723000</v>
      </c>
      <c r="G19" s="54"/>
      <c r="I19" s="16">
        <v>291101</v>
      </c>
      <c r="J19" s="17" t="s">
        <v>2</v>
      </c>
      <c r="K19" s="18">
        <f>SUMIF(C:C,"291101",F:F)</f>
        <v>0</v>
      </c>
      <c r="L19" s="18">
        <f>SUMIF(C:C,"291101",G:G)</f>
        <v>0</v>
      </c>
      <c r="M19" s="16">
        <v>14</v>
      </c>
    </row>
    <row r="20" spans="1:13" ht="35.1" customHeight="1" x14ac:dyDescent="0.3">
      <c r="A20" s="413" t="s">
        <v>214</v>
      </c>
      <c r="B20" s="57" t="s">
        <v>230</v>
      </c>
      <c r="C20" s="57">
        <v>401402</v>
      </c>
      <c r="D20" s="58" t="str">
        <f>IFERROR(VLOOKUP(C20,'Acc code'!$B$2:$C$124,2,FALSE),0)</f>
        <v>Exchange A/C</v>
      </c>
      <c r="E20" s="210" t="s">
        <v>208</v>
      </c>
      <c r="F20" s="60"/>
      <c r="G20" s="61">
        <f>5400*1245</f>
        <v>6723000</v>
      </c>
      <c r="I20" s="16">
        <v>291102</v>
      </c>
      <c r="J20" s="17" t="s">
        <v>16</v>
      </c>
      <c r="K20" s="18">
        <f>SUMIF(C:C,"291102",F:F)</f>
        <v>567000</v>
      </c>
      <c r="L20" s="18">
        <f>SUMIF(C:C,"291102",G:G)</f>
        <v>0</v>
      </c>
      <c r="M20" s="16">
        <v>15</v>
      </c>
    </row>
    <row r="21" spans="1:13" ht="35.1" customHeight="1" x14ac:dyDescent="0.3">
      <c r="A21" s="422" t="s">
        <v>206</v>
      </c>
      <c r="B21" s="427" t="s">
        <v>278</v>
      </c>
      <c r="C21" s="62">
        <v>291103</v>
      </c>
      <c r="D21" s="254" t="str">
        <f>IFERROR(VLOOKUP(C21,'Acc code'!$B$2:$C$124,2,FALSE),0)</f>
        <v>Computer Equipment</v>
      </c>
      <c r="E21" s="429" t="s">
        <v>279</v>
      </c>
      <c r="F21" s="260">
        <v>964000</v>
      </c>
      <c r="G21" s="261"/>
      <c r="I21" s="16">
        <v>291103</v>
      </c>
      <c r="J21" s="17" t="s">
        <v>3</v>
      </c>
      <c r="K21" s="18">
        <f>SUMIF(C:C,"291103",F:F)</f>
        <v>4545500</v>
      </c>
      <c r="L21" s="18">
        <f>SUMIF(C:C,"291103",G:G)</f>
        <v>0</v>
      </c>
      <c r="M21" s="16">
        <v>16</v>
      </c>
    </row>
    <row r="22" spans="1:13" ht="35.1" customHeight="1" x14ac:dyDescent="0.3">
      <c r="A22" s="413" t="s">
        <v>206</v>
      </c>
      <c r="B22" s="423" t="s">
        <v>278</v>
      </c>
      <c r="C22" s="57">
        <v>111201</v>
      </c>
      <c r="D22" s="58" t="str">
        <f>IFERROR(VLOOKUP(C22,'Acc code'!$B$2:$C$124,2,FALSE),0)</f>
        <v>Cash at Bank ( CB-Kyats )</v>
      </c>
      <c r="E22" s="432" t="s">
        <v>279</v>
      </c>
      <c r="F22" s="258"/>
      <c r="G22" s="259">
        <v>964000</v>
      </c>
      <c r="I22" s="16">
        <v>291104</v>
      </c>
      <c r="J22" s="17" t="s">
        <v>193</v>
      </c>
      <c r="K22" s="18">
        <f>SUMIF(C:C,"291104",F:F)</f>
        <v>0</v>
      </c>
      <c r="L22" s="18">
        <f>SUMIF(C:C,"291104",G:G)</f>
        <v>0</v>
      </c>
      <c r="M22" s="16">
        <v>17</v>
      </c>
    </row>
    <row r="23" spans="1:13" ht="35.1" customHeight="1" x14ac:dyDescent="0.3">
      <c r="A23" s="51" t="s">
        <v>213</v>
      </c>
      <c r="B23" s="253" t="s">
        <v>229</v>
      </c>
      <c r="C23" s="62">
        <v>612107</v>
      </c>
      <c r="D23" s="254" t="str">
        <f>IFERROR(VLOOKUP(C23,'Acc code'!$B$2:$C$124,2,FALSE),0)</f>
        <v xml:space="preserve">Other Fees and Charges </v>
      </c>
      <c r="E23" s="254" t="s">
        <v>282</v>
      </c>
      <c r="F23" s="256">
        <v>211480</v>
      </c>
      <c r="G23" s="257"/>
      <c r="I23" s="16">
        <v>294101</v>
      </c>
      <c r="J23" s="17" t="s">
        <v>4</v>
      </c>
      <c r="K23" s="18">
        <f>SUMIF(C:C,"294101",F:F)</f>
        <v>0</v>
      </c>
      <c r="L23" s="18">
        <f>SUMIF(C:C,"294101",G:G)</f>
        <v>0</v>
      </c>
      <c r="M23" s="16">
        <v>18</v>
      </c>
    </row>
    <row r="24" spans="1:13" ht="35.1" customHeight="1" x14ac:dyDescent="0.3">
      <c r="A24" s="56" t="s">
        <v>213</v>
      </c>
      <c r="B24" s="57" t="s">
        <v>229</v>
      </c>
      <c r="C24" s="57">
        <v>111201</v>
      </c>
      <c r="D24" s="58" t="str">
        <f>IFERROR(VLOOKUP(C24,'Acc code'!$B$2:$C$124,2,FALSE),0)</f>
        <v>Cash at Bank ( CB-Kyats )</v>
      </c>
      <c r="E24" s="210" t="s">
        <v>282</v>
      </c>
      <c r="F24" s="258"/>
      <c r="G24" s="259">
        <v>211480</v>
      </c>
      <c r="I24" s="16">
        <v>294102</v>
      </c>
      <c r="J24" s="17" t="s">
        <v>17</v>
      </c>
      <c r="K24" s="18">
        <f>SUMIF(C:C,"294102",F:F)</f>
        <v>0</v>
      </c>
      <c r="L24" s="18">
        <f>SUMIF(C:C,"294102",G:G)</f>
        <v>0</v>
      </c>
      <c r="M24" s="16">
        <v>19</v>
      </c>
    </row>
    <row r="25" spans="1:13" ht="35.1" customHeight="1" x14ac:dyDescent="0.3">
      <c r="A25" s="51" t="s">
        <v>213</v>
      </c>
      <c r="B25" s="62" t="s">
        <v>231</v>
      </c>
      <c r="C25" s="253">
        <v>291103</v>
      </c>
      <c r="D25" s="254" t="str">
        <f>IFERROR(VLOOKUP(C25,'Acc code'!$B$2:$C$124,2,FALSE),0)</f>
        <v>Computer Equipment</v>
      </c>
      <c r="E25" s="433" t="s">
        <v>283</v>
      </c>
      <c r="F25" s="53">
        <v>682500</v>
      </c>
      <c r="G25" s="54"/>
      <c r="I25" s="16">
        <v>294103</v>
      </c>
      <c r="J25" s="17" t="s">
        <v>5</v>
      </c>
      <c r="K25" s="18">
        <f>SUMIF(C:C,"294103",F:F)</f>
        <v>0</v>
      </c>
      <c r="L25" s="18">
        <f>SUMIF(C:C,"294103",G:G)</f>
        <v>0</v>
      </c>
      <c r="M25" s="16">
        <v>20</v>
      </c>
    </row>
    <row r="26" spans="1:13" ht="35.1" customHeight="1" x14ac:dyDescent="0.3">
      <c r="A26" s="56" t="s">
        <v>213</v>
      </c>
      <c r="B26" s="57" t="s">
        <v>231</v>
      </c>
      <c r="C26" s="57">
        <v>111201</v>
      </c>
      <c r="D26" s="58" t="str">
        <f>IFERROR(VLOOKUP(C26,'Acc code'!$B$2:$C$124,2,FALSE),0)</f>
        <v>Cash at Bank ( CB-Kyats )</v>
      </c>
      <c r="E26" s="432" t="s">
        <v>283</v>
      </c>
      <c r="F26" s="60"/>
      <c r="G26" s="61">
        <v>682500</v>
      </c>
      <c r="I26" s="16">
        <v>294104</v>
      </c>
      <c r="J26" s="17" t="s">
        <v>95</v>
      </c>
      <c r="K26" s="18">
        <f>SUMIF(C:C,"294104",F:F)</f>
        <v>0</v>
      </c>
      <c r="L26" s="18">
        <f>SUMIF(C:C,"294104",G:G)</f>
        <v>0</v>
      </c>
      <c r="M26" s="16">
        <v>21</v>
      </c>
    </row>
    <row r="27" spans="1:13" ht="35.1" customHeight="1" x14ac:dyDescent="0.3">
      <c r="A27" s="422" t="s">
        <v>213</v>
      </c>
      <c r="B27" s="427" t="s">
        <v>233</v>
      </c>
      <c r="C27" s="62">
        <v>612106</v>
      </c>
      <c r="D27" s="254" t="str">
        <f>IFERROR(VLOOKUP(C27,'Acc code'!$B$2:$C$124,2,FALSE),0)</f>
        <v>Advertising Expenses</v>
      </c>
      <c r="E27" s="429" t="s">
        <v>284</v>
      </c>
      <c r="F27" s="260">
        <v>640710</v>
      </c>
      <c r="G27" s="261"/>
      <c r="I27" s="16">
        <v>321101</v>
      </c>
      <c r="J27" s="17" t="s">
        <v>21</v>
      </c>
      <c r="K27" s="18">
        <f>SUMIF(C:C,"321101",F:F)</f>
        <v>0</v>
      </c>
      <c r="L27" s="18">
        <f>SUMIF(C:C,"321101",G:G)</f>
        <v>0</v>
      </c>
      <c r="M27" s="16">
        <v>22</v>
      </c>
    </row>
    <row r="28" spans="1:13" ht="35.1" customHeight="1" x14ac:dyDescent="0.3">
      <c r="A28" s="413" t="s">
        <v>213</v>
      </c>
      <c r="B28" s="423" t="s">
        <v>233</v>
      </c>
      <c r="C28" s="57">
        <v>111201</v>
      </c>
      <c r="D28" s="58" t="str">
        <f>IFERROR(VLOOKUP(C28,'Acc code'!$B$2:$C$124,2,FALSE),0)</f>
        <v>Cash at Bank ( CB-Kyats )</v>
      </c>
      <c r="E28" s="432" t="s">
        <v>284</v>
      </c>
      <c r="F28" s="258"/>
      <c r="G28" s="259">
        <v>640710</v>
      </c>
      <c r="I28" s="16">
        <v>321201</v>
      </c>
      <c r="J28" s="17" t="s">
        <v>22</v>
      </c>
      <c r="K28" s="18">
        <f>SUMIF(C:C,"321201",F:F)</f>
        <v>0</v>
      </c>
      <c r="L28" s="18">
        <f>SUMIF(C:C,"321201",G:G)</f>
        <v>0</v>
      </c>
      <c r="M28" s="16">
        <v>23</v>
      </c>
    </row>
    <row r="29" spans="1:13" ht="35.1" customHeight="1" x14ac:dyDescent="0.3">
      <c r="A29" s="417" t="s">
        <v>214</v>
      </c>
      <c r="B29" s="253" t="s">
        <v>285</v>
      </c>
      <c r="C29" s="253">
        <v>612103</v>
      </c>
      <c r="D29" s="254" t="str">
        <f>IFERROR(VLOOKUP(C29,'Acc code'!$B$2:$C$124,2,FALSE),0)</f>
        <v>Office Rental Charges</v>
      </c>
      <c r="E29" s="254" t="s">
        <v>286</v>
      </c>
      <c r="F29" s="53">
        <v>6474624</v>
      </c>
      <c r="G29" s="54"/>
      <c r="I29" s="16">
        <v>321301</v>
      </c>
      <c r="J29" s="17" t="s">
        <v>23</v>
      </c>
      <c r="K29" s="18">
        <f>SUMIF(C:C,"321301",F:F)</f>
        <v>0</v>
      </c>
      <c r="L29" s="18">
        <f>SUMIF(C:C,"321301",G:G)</f>
        <v>0</v>
      </c>
      <c r="M29" s="16">
        <v>24</v>
      </c>
    </row>
    <row r="30" spans="1:13" ht="35.1" customHeight="1" x14ac:dyDescent="0.3">
      <c r="A30" s="413" t="s">
        <v>214</v>
      </c>
      <c r="B30" s="57" t="s">
        <v>285</v>
      </c>
      <c r="C30" s="57">
        <v>111201</v>
      </c>
      <c r="D30" s="59" t="str">
        <f>IFERROR(VLOOKUP(C30,'Acc code'!$B$2:$C$124,2,FALSE),0)</f>
        <v>Cash at Bank ( CB-Kyats )</v>
      </c>
      <c r="E30" s="210" t="s">
        <v>286</v>
      </c>
      <c r="F30" s="60"/>
      <c r="G30" s="61">
        <v>6474624</v>
      </c>
      <c r="I30" s="16">
        <v>321302</v>
      </c>
      <c r="J30" s="17" t="s">
        <v>24</v>
      </c>
      <c r="K30" s="18">
        <f>SUMIF(C:C,"321302",F:F)</f>
        <v>0</v>
      </c>
      <c r="L30" s="18">
        <f>SUMIF(C:C,"321302",G:G)</f>
        <v>0</v>
      </c>
      <c r="M30" s="16">
        <v>25</v>
      </c>
    </row>
    <row r="31" spans="1:13" s="198" customFormat="1" ht="35.1" customHeight="1" x14ac:dyDescent="0.3">
      <c r="A31" s="417" t="s">
        <v>214</v>
      </c>
      <c r="B31" s="253" t="s">
        <v>287</v>
      </c>
      <c r="C31" s="253">
        <v>612128</v>
      </c>
      <c r="D31" s="254" t="str">
        <f>IFERROR(VLOOKUP(C31,'Acc code'!$B$2:$C$124,2,FALSE),0)</f>
        <v>Stamp Duty Tax</v>
      </c>
      <c r="E31" s="254" t="s">
        <v>288</v>
      </c>
      <c r="F31" s="53">
        <v>185400</v>
      </c>
      <c r="G31" s="54"/>
      <c r="I31" s="16">
        <v>321303</v>
      </c>
      <c r="J31" s="17" t="s">
        <v>159</v>
      </c>
      <c r="K31" s="18">
        <f>SUMIF(C:C,"321303",F:F)</f>
        <v>0</v>
      </c>
      <c r="L31" s="18">
        <f>SUMIF(C:C,"321303",G:G)</f>
        <v>0</v>
      </c>
      <c r="M31" s="16">
        <v>26</v>
      </c>
    </row>
    <row r="32" spans="1:13" ht="35.1" customHeight="1" x14ac:dyDescent="0.3">
      <c r="A32" s="413" t="s">
        <v>214</v>
      </c>
      <c r="B32" s="57" t="s">
        <v>287</v>
      </c>
      <c r="C32" s="57">
        <v>111201</v>
      </c>
      <c r="D32" s="58" t="str">
        <f>IFERROR(VLOOKUP(C32,'Acc code'!$B$2:$C$124,2,FALSE),0)</f>
        <v>Cash at Bank ( CB-Kyats )</v>
      </c>
      <c r="E32" s="210" t="s">
        <v>288</v>
      </c>
      <c r="F32" s="60"/>
      <c r="G32" s="61">
        <v>185400</v>
      </c>
      <c r="I32" s="16">
        <v>401101</v>
      </c>
      <c r="J32" s="17" t="s">
        <v>223</v>
      </c>
      <c r="K32" s="18">
        <f>SUMIF(C:C,"401101",F:F)</f>
        <v>0</v>
      </c>
      <c r="L32" s="18">
        <f>SUMIF(C:C,"401101",G:G)</f>
        <v>17621000</v>
      </c>
      <c r="M32" s="16">
        <v>27</v>
      </c>
    </row>
    <row r="33" spans="1:13" ht="35.1" customHeight="1" x14ac:dyDescent="0.3">
      <c r="A33" s="417" t="s">
        <v>217</v>
      </c>
      <c r="B33" s="253" t="s">
        <v>289</v>
      </c>
      <c r="C33" s="253">
        <v>612101</v>
      </c>
      <c r="D33" s="254" t="str">
        <f>IFERROR(VLOOKUP(C33,'Acc code'!$B$2:$C$124,2,FALSE),0)</f>
        <v>Salary and Bonus</v>
      </c>
      <c r="E33" s="254" t="s">
        <v>290</v>
      </c>
      <c r="F33" s="53">
        <v>2900000</v>
      </c>
      <c r="G33" s="54"/>
      <c r="I33" s="16">
        <v>401201</v>
      </c>
      <c r="J33" s="17" t="s">
        <v>25</v>
      </c>
      <c r="K33" s="18">
        <f>SUMIF(C:C,"401201",F:F)</f>
        <v>0</v>
      </c>
      <c r="L33" s="18">
        <f>SUMIF(C:C,"401201",G:G)</f>
        <v>0</v>
      </c>
      <c r="M33" s="16">
        <v>28</v>
      </c>
    </row>
    <row r="34" spans="1:13" ht="35.1" customHeight="1" x14ac:dyDescent="0.3">
      <c r="A34" s="413" t="s">
        <v>217</v>
      </c>
      <c r="B34" s="57" t="s">
        <v>289</v>
      </c>
      <c r="C34" s="57">
        <v>111201</v>
      </c>
      <c r="D34" s="58" t="str">
        <f>IFERROR(VLOOKUP(C34,'Acc code'!$B$2:$C$124,2,FALSE),0)</f>
        <v>Cash at Bank ( CB-Kyats )</v>
      </c>
      <c r="E34" s="210" t="s">
        <v>290</v>
      </c>
      <c r="F34" s="60"/>
      <c r="G34" s="61">
        <v>2900000</v>
      </c>
      <c r="I34" s="16">
        <v>401301</v>
      </c>
      <c r="J34" s="17" t="s">
        <v>26</v>
      </c>
      <c r="K34" s="18">
        <f>SUMIF(C:C,"401301",F:F)</f>
        <v>0</v>
      </c>
      <c r="L34" s="18">
        <f>SUMIF(C:C,"401301",G:G)</f>
        <v>0</v>
      </c>
      <c r="M34" s="16">
        <v>29</v>
      </c>
    </row>
    <row r="35" spans="1:13" ht="35.1" customHeight="1" x14ac:dyDescent="0.3">
      <c r="A35" s="417" t="s">
        <v>217</v>
      </c>
      <c r="B35" s="253" t="s">
        <v>291</v>
      </c>
      <c r="C35" s="253">
        <v>291103</v>
      </c>
      <c r="D35" s="254" t="str">
        <f>IFERROR(VLOOKUP(C35,'Acc code'!$B$2:$C$124,2,FALSE),0)</f>
        <v>Computer Equipment</v>
      </c>
      <c r="E35" s="254" t="s">
        <v>292</v>
      </c>
      <c r="F35" s="53">
        <v>1129500</v>
      </c>
      <c r="G35" s="54"/>
      <c r="I35" s="16">
        <v>401401</v>
      </c>
      <c r="J35" s="17" t="s">
        <v>27</v>
      </c>
      <c r="K35" s="18">
        <f>SUMIF(C:C,"401401",F:F)</f>
        <v>0</v>
      </c>
      <c r="L35" s="18">
        <f>SUMIF(C:C,"401401",G:G)</f>
        <v>0</v>
      </c>
      <c r="M35" s="16">
        <v>30</v>
      </c>
    </row>
    <row r="36" spans="1:13" ht="35.1" customHeight="1" x14ac:dyDescent="0.3">
      <c r="A36" s="413" t="s">
        <v>217</v>
      </c>
      <c r="B36" s="57" t="s">
        <v>291</v>
      </c>
      <c r="C36" s="57">
        <v>111201</v>
      </c>
      <c r="D36" s="58" t="str">
        <f>IFERROR(VLOOKUP(C36,'Acc code'!$B$2:$C$124,2,FALSE),0)</f>
        <v>Cash at Bank ( CB-Kyats )</v>
      </c>
      <c r="E36" s="210" t="s">
        <v>292</v>
      </c>
      <c r="F36" s="60"/>
      <c r="G36" s="61">
        <v>1129500</v>
      </c>
      <c r="I36" s="16">
        <v>401402</v>
      </c>
      <c r="J36" s="17" t="s">
        <v>106</v>
      </c>
      <c r="K36" s="18">
        <f>SUMIF(C:C,"401402",F:F)</f>
        <v>0</v>
      </c>
      <c r="L36" s="18">
        <f>SUMIF(C:C,"401402",G:G)</f>
        <v>24391280</v>
      </c>
      <c r="M36" s="16">
        <v>31</v>
      </c>
    </row>
    <row r="37" spans="1:13" ht="35.1" customHeight="1" x14ac:dyDescent="0.3">
      <c r="A37" s="417" t="s">
        <v>305</v>
      </c>
      <c r="B37" s="253" t="s">
        <v>366</v>
      </c>
      <c r="C37" s="253">
        <v>291102</v>
      </c>
      <c r="D37" s="254" t="str">
        <f>IFERROR(VLOOKUP(C37,'Acc code'!$B$2:$C$124,2,FALSE),0)</f>
        <v>Office Equipment</v>
      </c>
      <c r="E37" s="52" t="s">
        <v>369</v>
      </c>
      <c r="F37" s="53">
        <f>189000*3</f>
        <v>567000</v>
      </c>
      <c r="G37" s="54"/>
      <c r="I37" s="16">
        <v>401403</v>
      </c>
      <c r="J37" s="17" t="s">
        <v>116</v>
      </c>
      <c r="K37" s="18">
        <f>SUMIF(C:C,"401403",F:F)</f>
        <v>0</v>
      </c>
      <c r="L37" s="18">
        <f>SUMIF(C:C,"401403",G:G)</f>
        <v>0</v>
      </c>
      <c r="M37" s="16">
        <v>32</v>
      </c>
    </row>
    <row r="38" spans="1:13" ht="35.1" customHeight="1" x14ac:dyDescent="0.3">
      <c r="A38" s="413" t="s">
        <v>305</v>
      </c>
      <c r="B38" s="57" t="s">
        <v>366</v>
      </c>
      <c r="C38" s="57">
        <v>111301</v>
      </c>
      <c r="D38" s="58" t="str">
        <f>IFERROR(VLOOKUP(C38,'Acc code'!$B$2:$C$124,2,FALSE),0)</f>
        <v>Prepaid ( Office Staff )</v>
      </c>
      <c r="E38" s="437" t="s">
        <v>370</v>
      </c>
      <c r="F38" s="60"/>
      <c r="G38" s="61">
        <v>567000</v>
      </c>
      <c r="I38" s="16">
        <v>514101</v>
      </c>
      <c r="J38" s="17" t="s">
        <v>28</v>
      </c>
      <c r="K38" s="18">
        <f>SUMIF(C:C,"514101",F:F)</f>
        <v>0</v>
      </c>
      <c r="L38" s="18">
        <f>SUMIF(C:C,"514101",G:G)</f>
        <v>0</v>
      </c>
      <c r="M38" s="16">
        <v>33</v>
      </c>
    </row>
    <row r="39" spans="1:13" ht="35.1" customHeight="1" x14ac:dyDescent="0.3">
      <c r="A39" s="417" t="s">
        <v>305</v>
      </c>
      <c r="B39" s="253" t="s">
        <v>366</v>
      </c>
      <c r="C39" s="253">
        <v>612108</v>
      </c>
      <c r="D39" s="254" t="str">
        <f>IFERROR(VLOOKUP(C39,'Acc code'!$B$2:$C$124,2,FALSE),0)</f>
        <v>Communication Expenses</v>
      </c>
      <c r="E39" s="52" t="s">
        <v>371</v>
      </c>
      <c r="F39" s="53">
        <v>50000</v>
      </c>
      <c r="G39" s="54"/>
      <c r="I39" s="16">
        <v>611101</v>
      </c>
      <c r="J39" s="17" t="s">
        <v>29</v>
      </c>
      <c r="K39" s="18">
        <f>SUMIF(C:C,"611101",F:F)</f>
        <v>0</v>
      </c>
      <c r="L39" s="18">
        <f>SUMIF(C:C,"611101",G:G)</f>
        <v>0</v>
      </c>
      <c r="M39" s="16">
        <v>34</v>
      </c>
    </row>
    <row r="40" spans="1:13" ht="35.1" customHeight="1" x14ac:dyDescent="0.3">
      <c r="A40" s="413" t="s">
        <v>305</v>
      </c>
      <c r="B40" s="57" t="s">
        <v>366</v>
      </c>
      <c r="C40" s="57">
        <v>111301</v>
      </c>
      <c r="D40" s="58" t="str">
        <f>IFERROR(VLOOKUP(C40,'Acc code'!$B$2:$C$124,2,FALSE),0)</f>
        <v>Prepaid ( Office Staff )</v>
      </c>
      <c r="E40" s="437" t="s">
        <v>370</v>
      </c>
      <c r="F40" s="60"/>
      <c r="G40" s="61">
        <v>50000</v>
      </c>
      <c r="I40" s="16">
        <v>612101</v>
      </c>
      <c r="J40" s="17" t="s">
        <v>30</v>
      </c>
      <c r="K40" s="18">
        <f>SUMIF(C:C,"612101",F:F)</f>
        <v>50298160</v>
      </c>
      <c r="L40" s="18">
        <f>SUMIF(C:C,"612101",G:G)</f>
        <v>0</v>
      </c>
      <c r="M40" s="16">
        <v>35</v>
      </c>
    </row>
    <row r="41" spans="1:13" ht="35.1" customHeight="1" x14ac:dyDescent="0.3">
      <c r="A41" s="417" t="s">
        <v>305</v>
      </c>
      <c r="B41" s="253" t="s">
        <v>366</v>
      </c>
      <c r="C41" s="253">
        <v>612113</v>
      </c>
      <c r="D41" s="254" t="str">
        <f>IFERROR(VLOOKUP(C41,'Acc code'!$B$2:$C$124,2,FALSE),0)</f>
        <v>Office Supply Consumable</v>
      </c>
      <c r="E41" s="190" t="s">
        <v>372</v>
      </c>
      <c r="F41" s="53">
        <v>16000</v>
      </c>
      <c r="G41" s="54"/>
      <c r="I41" s="16">
        <v>612102</v>
      </c>
      <c r="J41" s="17" t="s">
        <v>54</v>
      </c>
      <c r="K41" s="18">
        <f>SUMIF(C:C,"612102",F:F)</f>
        <v>0</v>
      </c>
      <c r="L41" s="18">
        <f>SUMIF(C:C,"612102",G:G)</f>
        <v>0</v>
      </c>
      <c r="M41" s="16">
        <v>36</v>
      </c>
    </row>
    <row r="42" spans="1:13" ht="35.1" customHeight="1" x14ac:dyDescent="0.3">
      <c r="A42" s="413" t="s">
        <v>305</v>
      </c>
      <c r="B42" s="57" t="s">
        <v>366</v>
      </c>
      <c r="C42" s="57">
        <v>111301</v>
      </c>
      <c r="D42" s="58" t="str">
        <f>IFERROR(VLOOKUP(C42,'Acc code'!$B$2:$C$124,2,FALSE),0)</f>
        <v>Prepaid ( Office Staff )</v>
      </c>
      <c r="E42" s="437" t="s">
        <v>370</v>
      </c>
      <c r="F42" s="60"/>
      <c r="G42" s="61">
        <v>16000</v>
      </c>
      <c r="I42" s="16">
        <v>612103</v>
      </c>
      <c r="J42" s="17" t="s">
        <v>31</v>
      </c>
      <c r="K42" s="18">
        <f>SUMIF(C:C,"612103",F:F)</f>
        <v>9557734</v>
      </c>
      <c r="L42" s="18">
        <f>SUMIF(C:C,"612103",G:G)</f>
        <v>0</v>
      </c>
      <c r="M42" s="16">
        <v>37</v>
      </c>
    </row>
    <row r="43" spans="1:13" ht="35.1" customHeight="1" x14ac:dyDescent="0.3">
      <c r="A43" s="417" t="s">
        <v>336</v>
      </c>
      <c r="B43" s="253" t="s">
        <v>297</v>
      </c>
      <c r="C43" s="62">
        <v>291103</v>
      </c>
      <c r="D43" s="63" t="str">
        <f>IFERROR(VLOOKUP(C43,'Acc code'!$B$2:$C$124,2,FALSE),0)</f>
        <v>Computer Equipment</v>
      </c>
      <c r="E43" s="190" t="s">
        <v>451</v>
      </c>
      <c r="F43" s="64">
        <v>1019500</v>
      </c>
      <c r="G43" s="65"/>
      <c r="I43" s="16">
        <v>612104</v>
      </c>
      <c r="J43" s="17" t="s">
        <v>32</v>
      </c>
      <c r="K43" s="18">
        <f>SUMIF(C:C,"612104",F:F)</f>
        <v>113100</v>
      </c>
      <c r="L43" s="18">
        <f>SUMIF(C:C,"612104",G:G)</f>
        <v>0</v>
      </c>
      <c r="M43" s="16">
        <v>38</v>
      </c>
    </row>
    <row r="44" spans="1:13" ht="35.1" customHeight="1" x14ac:dyDescent="0.3">
      <c r="A44" s="413" t="s">
        <v>336</v>
      </c>
      <c r="B44" s="57" t="s">
        <v>297</v>
      </c>
      <c r="C44" s="57">
        <v>111201</v>
      </c>
      <c r="D44" s="254" t="str">
        <f>IFERROR(VLOOKUP(C44,'Acc code'!$B$2:$C$124,2,FALSE),0)</f>
        <v>Cash at Bank ( CB-Kyats )</v>
      </c>
      <c r="E44" s="437" t="s">
        <v>451</v>
      </c>
      <c r="F44" s="53"/>
      <c r="G44" s="54">
        <v>1019500</v>
      </c>
      <c r="I44" s="16">
        <v>612105</v>
      </c>
      <c r="J44" s="17" t="s">
        <v>33</v>
      </c>
      <c r="K44" s="18">
        <f>SUMIF(C:C,"612105",F:F)</f>
        <v>0</v>
      </c>
      <c r="L44" s="18">
        <f>SUMIF(C:C,"612105",G:G)</f>
        <v>0</v>
      </c>
      <c r="M44" s="16">
        <v>39</v>
      </c>
    </row>
    <row r="45" spans="1:13" ht="35.1" customHeight="1" x14ac:dyDescent="0.3">
      <c r="A45" s="417" t="s">
        <v>322</v>
      </c>
      <c r="B45" s="253" t="s">
        <v>297</v>
      </c>
      <c r="C45" s="62">
        <v>612104</v>
      </c>
      <c r="D45" s="63" t="str">
        <f>IFERROR(VLOOKUP(C45,'Acc code'!$B$2:$C$124,2,FALSE),0)</f>
        <v>Travelling Expenses</v>
      </c>
      <c r="E45" s="187" t="s">
        <v>452</v>
      </c>
      <c r="F45" s="64">
        <v>113100</v>
      </c>
      <c r="G45" s="65"/>
      <c r="I45" s="16">
        <v>612106</v>
      </c>
      <c r="J45" s="17" t="s">
        <v>34</v>
      </c>
      <c r="K45" s="18">
        <f>SUMIF(C:C,"612106",F:F)</f>
        <v>640710</v>
      </c>
      <c r="L45" s="18">
        <f>SUMIF(C:C,"612106",G:G)</f>
        <v>0</v>
      </c>
      <c r="M45" s="16">
        <v>40</v>
      </c>
    </row>
    <row r="46" spans="1:13" ht="35.1" customHeight="1" x14ac:dyDescent="0.3">
      <c r="A46" s="413" t="s">
        <v>322</v>
      </c>
      <c r="B46" s="57" t="s">
        <v>297</v>
      </c>
      <c r="C46" s="57">
        <v>111201</v>
      </c>
      <c r="D46" s="58" t="str">
        <f>IFERROR(VLOOKUP(C46,'Acc code'!$B$2:$C$124,2,FALSE),0)</f>
        <v>Cash at Bank ( CB-Kyats )</v>
      </c>
      <c r="E46" s="439" t="s">
        <v>452</v>
      </c>
      <c r="F46" s="60"/>
      <c r="G46" s="61">
        <v>113100</v>
      </c>
      <c r="I46" s="16">
        <v>612107</v>
      </c>
      <c r="J46" s="17" t="s">
        <v>281</v>
      </c>
      <c r="K46" s="18">
        <f>SUMIF(C:C,"612107",F:F)</f>
        <v>1318980</v>
      </c>
      <c r="L46" s="18">
        <f>SUMIF(C:C,"612107",G:G)</f>
        <v>0</v>
      </c>
      <c r="M46" s="16">
        <v>41</v>
      </c>
    </row>
    <row r="47" spans="1:13" ht="35.1" customHeight="1" x14ac:dyDescent="0.3">
      <c r="A47" s="417" t="s">
        <v>302</v>
      </c>
      <c r="B47" s="253" t="s">
        <v>297</v>
      </c>
      <c r="C47" s="62">
        <v>612103</v>
      </c>
      <c r="D47" s="63" t="str">
        <f>IFERROR(VLOOKUP(C47,'Acc code'!$B$2:$C$124,2,FALSE),0)</f>
        <v>Office Rental Charges</v>
      </c>
      <c r="E47" s="187" t="s">
        <v>453</v>
      </c>
      <c r="F47" s="64">
        <v>3083110</v>
      </c>
      <c r="G47" s="65"/>
      <c r="I47" s="16">
        <v>612108</v>
      </c>
      <c r="J47" s="17" t="s">
        <v>10</v>
      </c>
      <c r="K47" s="18">
        <f>SUMIF(C:C,"612108",F:F)</f>
        <v>2007000</v>
      </c>
      <c r="L47" s="18">
        <f>SUMIF(C:C,"612108",G:G)</f>
        <v>0</v>
      </c>
      <c r="M47" s="16">
        <v>42</v>
      </c>
    </row>
    <row r="48" spans="1:13" ht="35.1" customHeight="1" x14ac:dyDescent="0.3">
      <c r="A48" s="413" t="s">
        <v>302</v>
      </c>
      <c r="B48" s="57" t="s">
        <v>297</v>
      </c>
      <c r="C48" s="57">
        <v>111201</v>
      </c>
      <c r="D48" s="58" t="str">
        <f>IFERROR(VLOOKUP(C48,'Acc code'!$B$2:$C$124,2,FALSE),0)</f>
        <v>Cash at Bank ( CB-Kyats )</v>
      </c>
      <c r="E48" s="440" t="s">
        <v>453</v>
      </c>
      <c r="F48" s="60"/>
      <c r="G48" s="61">
        <v>3083110</v>
      </c>
      <c r="I48" s="16">
        <v>612109</v>
      </c>
      <c r="J48" s="17" t="s">
        <v>47</v>
      </c>
      <c r="K48" s="18">
        <f>SUMIF(C:C,"612109",F:F)</f>
        <v>0</v>
      </c>
      <c r="L48" s="18">
        <f>SUMIF(C:C,"612109",G:G)</f>
        <v>0</v>
      </c>
      <c r="M48" s="16">
        <v>43</v>
      </c>
    </row>
    <row r="49" spans="1:13" ht="35.1" customHeight="1" x14ac:dyDescent="0.3">
      <c r="A49" s="417" t="s">
        <v>305</v>
      </c>
      <c r="B49" s="253" t="s">
        <v>297</v>
      </c>
      <c r="C49" s="62">
        <v>612108</v>
      </c>
      <c r="D49" s="63" t="str">
        <f>IFERROR(VLOOKUP(C49,'Acc code'!$B$2:$C$124,2,FALSE),0)</f>
        <v>Communication Expenses</v>
      </c>
      <c r="E49" s="187" t="s">
        <v>454</v>
      </c>
      <c r="F49" s="64">
        <v>748000</v>
      </c>
      <c r="G49" s="65"/>
      <c r="I49" s="16">
        <v>612110</v>
      </c>
      <c r="J49" s="17" t="s">
        <v>36</v>
      </c>
      <c r="K49" s="18">
        <f>SUMIF(C:C,"612110",F:F)</f>
        <v>0</v>
      </c>
      <c r="L49" s="18">
        <f>SUMIF(C:C,"612110",G:G)</f>
        <v>0</v>
      </c>
      <c r="M49" s="16">
        <v>44</v>
      </c>
    </row>
    <row r="50" spans="1:13" ht="35.1" customHeight="1" x14ac:dyDescent="0.3">
      <c r="A50" s="413" t="s">
        <v>305</v>
      </c>
      <c r="B50" s="57" t="s">
        <v>297</v>
      </c>
      <c r="C50" s="57">
        <v>111201</v>
      </c>
      <c r="D50" s="58" t="str">
        <f>IFERROR(VLOOKUP(C50,'Acc code'!$B$2:$C$124,2,FALSE),0)</f>
        <v>Cash at Bank ( CB-Kyats )</v>
      </c>
      <c r="E50" s="440" t="s">
        <v>454</v>
      </c>
      <c r="F50" s="60"/>
      <c r="G50" s="61">
        <v>748000</v>
      </c>
      <c r="I50" s="16">
        <v>612111</v>
      </c>
      <c r="J50" s="17" t="s">
        <v>37</v>
      </c>
      <c r="K50" s="18">
        <f>SUMIF(C:C,"612111",F:F)</f>
        <v>0</v>
      </c>
      <c r="L50" s="18">
        <f>SUMIF(C:C,"612111",G:G)</f>
        <v>0</v>
      </c>
      <c r="M50" s="16">
        <v>45</v>
      </c>
    </row>
    <row r="51" spans="1:13" ht="35.1" customHeight="1" x14ac:dyDescent="0.3">
      <c r="A51" s="417" t="s">
        <v>307</v>
      </c>
      <c r="B51" s="253" t="s">
        <v>297</v>
      </c>
      <c r="C51" s="62">
        <v>612117</v>
      </c>
      <c r="D51" s="63" t="str">
        <f>IFERROR(VLOOKUP(C51,'Acc code'!$B$2:$C$124,2,FALSE),0)</f>
        <v>Printing and Stationery</v>
      </c>
      <c r="E51" s="187" t="s">
        <v>455</v>
      </c>
      <c r="F51" s="64">
        <v>950000</v>
      </c>
      <c r="G51" s="65"/>
      <c r="I51" s="16">
        <v>612112</v>
      </c>
      <c r="J51" s="17" t="s">
        <v>38</v>
      </c>
      <c r="K51" s="18">
        <f>SUMIF(C:C,"612112",F:F)</f>
        <v>0</v>
      </c>
      <c r="L51" s="18">
        <f>SUMIF(C:C,"612112",G:G)</f>
        <v>0</v>
      </c>
      <c r="M51" s="16">
        <v>46</v>
      </c>
    </row>
    <row r="52" spans="1:13" ht="35.1" customHeight="1" x14ac:dyDescent="0.3">
      <c r="A52" s="413" t="s">
        <v>307</v>
      </c>
      <c r="B52" s="57" t="s">
        <v>297</v>
      </c>
      <c r="C52" s="57">
        <v>111201</v>
      </c>
      <c r="D52" s="58" t="str">
        <f>IFERROR(VLOOKUP(C52,'Acc code'!$B$2:$C$124,2,FALSE),0)</f>
        <v>Cash at Bank ( CB-Kyats )</v>
      </c>
      <c r="E52" s="440" t="s">
        <v>455</v>
      </c>
      <c r="F52" s="60"/>
      <c r="G52" s="61">
        <v>950000</v>
      </c>
      <c r="I52" s="16">
        <v>612113</v>
      </c>
      <c r="J52" s="17" t="s">
        <v>39</v>
      </c>
      <c r="K52" s="18">
        <f>SUMIF(C:C,"612113",F:F)</f>
        <v>66000</v>
      </c>
      <c r="L52" s="18">
        <f>SUMIF(C:C,"612113",G:G)</f>
        <v>0</v>
      </c>
      <c r="M52" s="16">
        <v>47</v>
      </c>
    </row>
    <row r="53" spans="1:13" ht="35.1" customHeight="1" x14ac:dyDescent="0.3">
      <c r="A53" s="417" t="s">
        <v>307</v>
      </c>
      <c r="B53" s="253" t="s">
        <v>297</v>
      </c>
      <c r="C53" s="62">
        <v>612113</v>
      </c>
      <c r="D53" s="63" t="str">
        <f>IFERROR(VLOOKUP(C53,'Acc code'!$B$2:$C$124,2,FALSE),0)</f>
        <v>Office Supply Consumable</v>
      </c>
      <c r="E53" s="187" t="s">
        <v>456</v>
      </c>
      <c r="F53" s="64">
        <v>50000</v>
      </c>
      <c r="G53" s="65"/>
      <c r="I53" s="16">
        <v>612114</v>
      </c>
      <c r="J53" s="17" t="s">
        <v>40</v>
      </c>
      <c r="K53" s="18">
        <f>SUMIF(C:C,"612114",F:F)</f>
        <v>0</v>
      </c>
      <c r="L53" s="18">
        <f>SUMIF(C:C,"612114",G:G)</f>
        <v>0</v>
      </c>
      <c r="M53" s="16">
        <v>48</v>
      </c>
    </row>
    <row r="54" spans="1:13" ht="35.1" customHeight="1" x14ac:dyDescent="0.3">
      <c r="A54" s="413" t="s">
        <v>307</v>
      </c>
      <c r="B54" s="57" t="s">
        <v>297</v>
      </c>
      <c r="C54" s="57">
        <v>111201</v>
      </c>
      <c r="D54" s="58" t="str">
        <f>IFERROR(VLOOKUP(C54,'Acc code'!$B$2:$C$124,2,FALSE),0)</f>
        <v>Cash at Bank ( CB-Kyats )</v>
      </c>
      <c r="E54" s="440" t="s">
        <v>456</v>
      </c>
      <c r="F54" s="60"/>
      <c r="G54" s="61">
        <v>50000</v>
      </c>
      <c r="I54" s="16">
        <v>612115</v>
      </c>
      <c r="J54" s="17" t="s">
        <v>41</v>
      </c>
      <c r="K54" s="18">
        <f>SUMIF(C:C,"612115",F:F)</f>
        <v>0</v>
      </c>
      <c r="L54" s="18">
        <f>SUMIF(C:C,"612115",G:G)</f>
        <v>0</v>
      </c>
      <c r="M54" s="16">
        <v>49</v>
      </c>
    </row>
    <row r="55" spans="1:13" ht="35.1" customHeight="1" x14ac:dyDescent="0.3">
      <c r="A55" s="417" t="s">
        <v>307</v>
      </c>
      <c r="B55" s="253" t="s">
        <v>297</v>
      </c>
      <c r="C55" s="62">
        <v>291103</v>
      </c>
      <c r="D55" s="63" t="str">
        <f>IFERROR(VLOOKUP(C55,'Acc code'!$B$2:$C$124,2,FALSE),0)</f>
        <v>Computer Equipment</v>
      </c>
      <c r="E55" s="187" t="s">
        <v>457</v>
      </c>
      <c r="F55" s="64">
        <v>750000</v>
      </c>
      <c r="G55" s="65"/>
      <c r="I55" s="16">
        <v>612116</v>
      </c>
      <c r="J55" s="17" t="s">
        <v>42</v>
      </c>
      <c r="K55" s="18">
        <f>SUMIF(C:C,"612116",F:F)</f>
        <v>0</v>
      </c>
      <c r="L55" s="18">
        <f>SUMIF(C:C,"612116",G:G)</f>
        <v>0</v>
      </c>
      <c r="M55" s="16">
        <v>50</v>
      </c>
    </row>
    <row r="56" spans="1:13" ht="35.1" customHeight="1" x14ac:dyDescent="0.3">
      <c r="A56" s="413" t="s">
        <v>307</v>
      </c>
      <c r="B56" s="57" t="s">
        <v>297</v>
      </c>
      <c r="C56" s="57">
        <v>111201</v>
      </c>
      <c r="D56" s="58" t="str">
        <f>IFERROR(VLOOKUP(C56,'Acc code'!$B$2:$C$124,2,FALSE),0)</f>
        <v>Cash at Bank ( CB-Kyats )</v>
      </c>
      <c r="E56" s="439" t="s">
        <v>457</v>
      </c>
      <c r="F56" s="60"/>
      <c r="G56" s="61">
        <v>750000</v>
      </c>
      <c r="I56" s="16">
        <v>612117</v>
      </c>
      <c r="J56" s="17" t="s">
        <v>43</v>
      </c>
      <c r="K56" s="18">
        <f>SUMIF(C:C,"612117",F:F)</f>
        <v>950000</v>
      </c>
      <c r="L56" s="18">
        <f>SUMIF(C:C,"612117",G:G)</f>
        <v>0</v>
      </c>
      <c r="M56" s="16">
        <v>51</v>
      </c>
    </row>
    <row r="57" spans="1:13" ht="35.1" customHeight="1" x14ac:dyDescent="0.3">
      <c r="A57" s="417" t="s">
        <v>311</v>
      </c>
      <c r="B57" s="253" t="s">
        <v>297</v>
      </c>
      <c r="C57" s="62">
        <v>111201</v>
      </c>
      <c r="D57" s="63" t="str">
        <f>IFERROR(VLOOKUP(C57,'Acc code'!$B$2:$C$124,2,FALSE),0)</f>
        <v>Cash at Bank ( CB-Kyats )</v>
      </c>
      <c r="E57" s="438" t="s">
        <v>458</v>
      </c>
      <c r="F57" s="64">
        <f>485600+728400</f>
        <v>1214000</v>
      </c>
      <c r="G57" s="65"/>
      <c r="I57" s="16">
        <v>612118</v>
      </c>
      <c r="J57" s="17" t="s">
        <v>44</v>
      </c>
      <c r="K57" s="18">
        <f>SUMIF(C:C,"612118",F:F)</f>
        <v>0</v>
      </c>
      <c r="L57" s="18">
        <f>SUMIF(C:C,"612118",G:G)</f>
        <v>0</v>
      </c>
      <c r="M57" s="16">
        <v>52</v>
      </c>
    </row>
    <row r="58" spans="1:13" ht="35.1" customHeight="1" x14ac:dyDescent="0.3">
      <c r="A58" s="413" t="s">
        <v>311</v>
      </c>
      <c r="B58" s="57" t="s">
        <v>297</v>
      </c>
      <c r="C58" s="57">
        <v>401402</v>
      </c>
      <c r="D58" s="58" t="str">
        <f>IFERROR(VLOOKUP(C58,'Acc code'!$B$2:$C$124,2,FALSE),0)</f>
        <v>Exchange A/C</v>
      </c>
      <c r="E58" s="441" t="s">
        <v>458</v>
      </c>
      <c r="F58" s="60"/>
      <c r="G58" s="61">
        <v>1214000</v>
      </c>
      <c r="I58" s="16">
        <v>612119</v>
      </c>
      <c r="J58" s="17" t="s">
        <v>45</v>
      </c>
      <c r="K58" s="18">
        <f>SUMIF(C:C,"612119",F:F)</f>
        <v>0</v>
      </c>
      <c r="L58" s="18">
        <f>SUMIF(C:C,"612119",G:G)</f>
        <v>0</v>
      </c>
      <c r="M58" s="16">
        <v>53</v>
      </c>
    </row>
    <row r="59" spans="1:13" ht="35.1" customHeight="1" x14ac:dyDescent="0.3">
      <c r="A59" s="417" t="s">
        <v>311</v>
      </c>
      <c r="B59" s="253" t="s">
        <v>297</v>
      </c>
      <c r="C59" s="62">
        <v>612107</v>
      </c>
      <c r="D59" s="63" t="str">
        <f>IFERROR(VLOOKUP(C59,'Acc code'!$B$2:$C$124,2,FALSE),0)</f>
        <v xml:space="preserve">Other Fees and Charges </v>
      </c>
      <c r="E59" s="187" t="s">
        <v>459</v>
      </c>
      <c r="F59" s="64">
        <v>437500</v>
      </c>
      <c r="G59" s="65"/>
      <c r="I59" s="16">
        <v>612120</v>
      </c>
      <c r="J59" s="17" t="s">
        <v>46</v>
      </c>
      <c r="K59" s="18">
        <f>SUMIF(C:C,"612120",F:F)</f>
        <v>0</v>
      </c>
      <c r="L59" s="18">
        <f>SUMIF(C:C,"612120",G:G)</f>
        <v>0</v>
      </c>
      <c r="M59" s="16">
        <v>54</v>
      </c>
    </row>
    <row r="60" spans="1:13" ht="35.1" customHeight="1" x14ac:dyDescent="0.3">
      <c r="A60" s="413" t="s">
        <v>311</v>
      </c>
      <c r="B60" s="57" t="s">
        <v>297</v>
      </c>
      <c r="C60" s="57">
        <v>111201</v>
      </c>
      <c r="D60" s="58" t="str">
        <f>IFERROR(VLOOKUP(C60,'Acc code'!$B$2:$C$124,2,FALSE),0)</f>
        <v>Cash at Bank ( CB-Kyats )</v>
      </c>
      <c r="E60" s="440" t="s">
        <v>459</v>
      </c>
      <c r="F60" s="60"/>
      <c r="G60" s="61">
        <v>437500</v>
      </c>
      <c r="I60" s="16">
        <v>612121</v>
      </c>
      <c r="J60" s="17" t="s">
        <v>48</v>
      </c>
      <c r="K60" s="18">
        <f>SUMIF(C:C,"612121",F:F)</f>
        <v>0</v>
      </c>
      <c r="L60" s="18">
        <f>SUMIF(C:C,"612121",G:G)</f>
        <v>0</v>
      </c>
      <c r="M60" s="16">
        <v>55</v>
      </c>
    </row>
    <row r="61" spans="1:13" ht="35.1" customHeight="1" x14ac:dyDescent="0.3">
      <c r="A61" s="417" t="s">
        <v>311</v>
      </c>
      <c r="B61" s="253" t="s">
        <v>297</v>
      </c>
      <c r="C61" s="62">
        <v>111302</v>
      </c>
      <c r="D61" s="63" t="str">
        <f>IFERROR(VLOOKUP(C61,'Acc code'!$B$2:$C$124,2,FALSE),0)</f>
        <v>Prepaid Deposit ( Others )</v>
      </c>
      <c r="E61" s="187" t="s">
        <v>460</v>
      </c>
      <c r="F61" s="64">
        <v>700000</v>
      </c>
      <c r="G61" s="65"/>
      <c r="I61" s="16">
        <v>612122</v>
      </c>
      <c r="J61" s="17" t="s">
        <v>49</v>
      </c>
      <c r="K61" s="18">
        <f>SUMIF(C:C,"612122",F:F)</f>
        <v>800</v>
      </c>
      <c r="L61" s="18">
        <f>SUMIF(C:C,"612122",G:G)</f>
        <v>0</v>
      </c>
      <c r="M61" s="16">
        <v>56</v>
      </c>
    </row>
    <row r="62" spans="1:13" ht="35.1" customHeight="1" x14ac:dyDescent="0.3">
      <c r="A62" s="413" t="s">
        <v>311</v>
      </c>
      <c r="B62" s="57" t="s">
        <v>297</v>
      </c>
      <c r="C62" s="57">
        <v>111201</v>
      </c>
      <c r="D62" s="58" t="str">
        <f>IFERROR(VLOOKUP(C62,'Acc code'!$B$2:$C$124,2,FALSE),0)</f>
        <v>Cash at Bank ( CB-Kyats )</v>
      </c>
      <c r="E62" s="440" t="s">
        <v>460</v>
      </c>
      <c r="F62" s="60"/>
      <c r="G62" s="61">
        <v>700000</v>
      </c>
      <c r="I62" s="16">
        <v>612123</v>
      </c>
      <c r="J62" s="17" t="s">
        <v>50</v>
      </c>
      <c r="K62" s="18">
        <f>SUMIF(C:C,"612123",F:F)</f>
        <v>0</v>
      </c>
      <c r="L62" s="18">
        <f>SUMIF(C:C,"612123",G:G)</f>
        <v>0</v>
      </c>
      <c r="M62" s="16">
        <v>57</v>
      </c>
    </row>
    <row r="63" spans="1:13" ht="35.1" customHeight="1" x14ac:dyDescent="0.3">
      <c r="A63" s="417" t="s">
        <v>316</v>
      </c>
      <c r="B63" s="253" t="s">
        <v>297</v>
      </c>
      <c r="C63" s="62">
        <v>612101</v>
      </c>
      <c r="D63" s="63" t="str">
        <f>IFERROR(VLOOKUP(C63,'Acc code'!$B$2:$C$124,2,FALSE),0)</f>
        <v>Salary and Bonus</v>
      </c>
      <c r="E63" s="187" t="s">
        <v>461</v>
      </c>
      <c r="F63" s="64">
        <v>16198160</v>
      </c>
      <c r="G63" s="65"/>
      <c r="I63" s="16">
        <v>612124</v>
      </c>
      <c r="J63" s="17" t="s">
        <v>51</v>
      </c>
      <c r="K63" s="18">
        <f>SUMIF(C:C,"612124",F:F)</f>
        <v>0</v>
      </c>
      <c r="L63" s="18">
        <f>SUMIF(C:C,"612124",G:G)</f>
        <v>0</v>
      </c>
      <c r="M63" s="16">
        <v>58</v>
      </c>
    </row>
    <row r="64" spans="1:13" ht="35.1" customHeight="1" x14ac:dyDescent="0.3">
      <c r="A64" s="413" t="s">
        <v>316</v>
      </c>
      <c r="B64" s="57" t="s">
        <v>297</v>
      </c>
      <c r="C64" s="57">
        <v>111201</v>
      </c>
      <c r="D64" s="58" t="str">
        <f>IFERROR(VLOOKUP(C64,'Acc code'!$B$2:$C$124,2,FALSE),0)</f>
        <v>Cash at Bank ( CB-Kyats )</v>
      </c>
      <c r="E64" s="440" t="s">
        <v>461</v>
      </c>
      <c r="F64" s="60"/>
      <c r="G64" s="61">
        <v>16198160</v>
      </c>
      <c r="I64" s="16">
        <v>612125</v>
      </c>
      <c r="J64" s="17" t="s">
        <v>52</v>
      </c>
      <c r="K64" s="18">
        <f>SUMIF(C:C,"612125",F:F)</f>
        <v>0</v>
      </c>
      <c r="L64" s="18">
        <f>SUMIF(C:C,"612125",G:G)</f>
        <v>0</v>
      </c>
      <c r="M64" s="16">
        <v>59</v>
      </c>
    </row>
    <row r="65" spans="1:13" ht="35.1" customHeight="1" x14ac:dyDescent="0.3">
      <c r="A65" s="417" t="s">
        <v>487</v>
      </c>
      <c r="B65" s="253" t="s">
        <v>488</v>
      </c>
      <c r="C65" s="62">
        <v>612101</v>
      </c>
      <c r="D65" s="63" t="str">
        <f>IFERROR(VLOOKUP(C65,'Acc code'!$B$2:$C$124,2,FALSE),0)</f>
        <v>Salary and Bonus</v>
      </c>
      <c r="E65" s="438" t="s">
        <v>489</v>
      </c>
      <c r="F65" s="64">
        <v>15600000</v>
      </c>
      <c r="G65" s="65"/>
      <c r="I65" s="16">
        <v>612126</v>
      </c>
      <c r="J65" s="17" t="s">
        <v>53</v>
      </c>
      <c r="K65" s="18">
        <f>SUMIF(C:C,"612126",F:F)</f>
        <v>700000</v>
      </c>
      <c r="L65" s="18">
        <f>SUMIF(C:C,"612126",G:G)</f>
        <v>0</v>
      </c>
      <c r="M65" s="16">
        <v>60</v>
      </c>
    </row>
    <row r="66" spans="1:13" ht="35.1" customHeight="1" x14ac:dyDescent="0.3">
      <c r="A66" s="413" t="s">
        <v>487</v>
      </c>
      <c r="B66" s="57" t="s">
        <v>488</v>
      </c>
      <c r="C66" s="57">
        <v>111201</v>
      </c>
      <c r="D66" s="58" t="str">
        <f>IFERROR(VLOOKUP(C66,'Acc code'!$B$2:$C$124,2,FALSE),0)</f>
        <v>Cash at Bank ( CB-Kyats )</v>
      </c>
      <c r="E66" s="443" t="s">
        <v>489</v>
      </c>
      <c r="F66" s="60"/>
      <c r="G66" s="61">
        <v>15600000</v>
      </c>
      <c r="I66" s="16">
        <v>612127</v>
      </c>
      <c r="J66" s="17" t="s">
        <v>55</v>
      </c>
      <c r="K66" s="18">
        <f>SUMIF(C:C,"612127",F:F)</f>
        <v>0</v>
      </c>
      <c r="L66" s="18">
        <f>SUMIF(C:C,"612127",G:G)</f>
        <v>0</v>
      </c>
      <c r="M66" s="16">
        <v>61</v>
      </c>
    </row>
    <row r="67" spans="1:13" ht="35.1" customHeight="1" x14ac:dyDescent="0.3">
      <c r="A67" s="417" t="s">
        <v>479</v>
      </c>
      <c r="B67" s="253" t="s">
        <v>490</v>
      </c>
      <c r="C67" s="62">
        <v>612107</v>
      </c>
      <c r="D67" s="63" t="str">
        <f>IFERROR(VLOOKUP(C67,'Acc code'!$B$2:$C$124,2,FALSE),0)</f>
        <v xml:space="preserve">Other Fees and Charges </v>
      </c>
      <c r="E67" s="438" t="s">
        <v>493</v>
      </c>
      <c r="F67" s="64">
        <f>700000-30000</f>
        <v>670000</v>
      </c>
      <c r="G67" s="65"/>
      <c r="I67" s="16">
        <v>612128</v>
      </c>
      <c r="J67" s="17" t="s">
        <v>259</v>
      </c>
      <c r="K67" s="18">
        <f>SUMIF(C:C,"612128",F:F)</f>
        <v>185400</v>
      </c>
      <c r="L67" s="18">
        <f>SUMIF(C:C,"612128",G:G)</f>
        <v>0</v>
      </c>
      <c r="M67" s="16">
        <v>62</v>
      </c>
    </row>
    <row r="68" spans="1:13" ht="35.1" customHeight="1" x14ac:dyDescent="0.3">
      <c r="A68" s="413" t="s">
        <v>479</v>
      </c>
      <c r="B68" s="57" t="s">
        <v>490</v>
      </c>
      <c r="C68" s="57">
        <v>111302</v>
      </c>
      <c r="D68" s="58" t="str">
        <f>IFERROR(VLOOKUP(C68,'Acc code'!$B$2:$C$124,2,FALSE),0)</f>
        <v>Prepaid Deposit ( Others )</v>
      </c>
      <c r="E68" s="440" t="s">
        <v>492</v>
      </c>
      <c r="F68" s="60"/>
      <c r="G68" s="61">
        <v>670000</v>
      </c>
      <c r="I68" s="16">
        <v>612129</v>
      </c>
      <c r="J68" s="17" t="s">
        <v>57</v>
      </c>
      <c r="K68" s="18">
        <f>SUMIF(C:C,"612129",F:F)</f>
        <v>0</v>
      </c>
      <c r="L68" s="18">
        <f>SUMIF(C:C,"612129",G:G)</f>
        <v>0</v>
      </c>
      <c r="M68" s="16">
        <v>63</v>
      </c>
    </row>
    <row r="69" spans="1:13" ht="35.1" customHeight="1" x14ac:dyDescent="0.3">
      <c r="A69" s="417" t="s">
        <v>520</v>
      </c>
      <c r="B69" s="253" t="s">
        <v>521</v>
      </c>
      <c r="C69" s="62">
        <v>111201</v>
      </c>
      <c r="D69" s="63" t="str">
        <f>IFERROR(VLOOKUP(C69,'Acc code'!$B$2:$C$124,2,FALSE),0)</f>
        <v>Cash at Bank ( CB-Kyats )</v>
      </c>
      <c r="E69" s="187" t="s">
        <v>522</v>
      </c>
      <c r="F69" s="64">
        <v>11646000</v>
      </c>
      <c r="G69" s="65"/>
      <c r="I69" s="16">
        <v>612210</v>
      </c>
      <c r="J69" s="17" t="s">
        <v>58</v>
      </c>
      <c r="K69" s="18">
        <f>SUMIF(C:C,"612210",F:F)</f>
        <v>0</v>
      </c>
      <c r="L69" s="18">
        <f>SUMIF(C:C,"612210",G:G)</f>
        <v>0</v>
      </c>
      <c r="M69" s="16">
        <v>64</v>
      </c>
    </row>
    <row r="70" spans="1:13" ht="35.1" customHeight="1" x14ac:dyDescent="0.3">
      <c r="A70" s="413" t="s">
        <v>520</v>
      </c>
      <c r="B70" s="57" t="s">
        <v>521</v>
      </c>
      <c r="C70" s="57">
        <v>401101</v>
      </c>
      <c r="D70" s="58" t="str">
        <f>IFERROR(VLOOKUP(C70,'Acc code'!$B$2:$C$124,2,FALSE),0)</f>
        <v>Paid Up Capital</v>
      </c>
      <c r="E70" s="439" t="s">
        <v>522</v>
      </c>
      <c r="F70" s="60"/>
      <c r="G70" s="61">
        <v>11646000</v>
      </c>
      <c r="I70" s="16">
        <v>612211</v>
      </c>
      <c r="J70" s="17" t="s">
        <v>59</v>
      </c>
      <c r="K70" s="18">
        <f>SUMIF(C:C,"612211",F:F)</f>
        <v>0</v>
      </c>
      <c r="L70" s="18">
        <f>SUMIF(C:C,"612211",G:G)</f>
        <v>0</v>
      </c>
      <c r="M70" s="16">
        <v>65</v>
      </c>
    </row>
    <row r="71" spans="1:13" ht="35.1" customHeight="1" x14ac:dyDescent="0.3">
      <c r="A71" s="417" t="s">
        <v>520</v>
      </c>
      <c r="B71" s="431" t="s">
        <v>523</v>
      </c>
      <c r="C71" s="62">
        <v>111201</v>
      </c>
      <c r="D71" s="63" t="str">
        <f>IFERROR(VLOOKUP(C71,'Acc code'!$B$2:$C$124,2,FALSE),0)</f>
        <v>Cash at Bank ( CB-Kyats )</v>
      </c>
      <c r="E71" s="187" t="s">
        <v>522</v>
      </c>
      <c r="F71" s="64">
        <v>5975000</v>
      </c>
      <c r="G71" s="65"/>
      <c r="I71" s="16">
        <v>612212</v>
      </c>
      <c r="J71" s="17" t="s">
        <v>60</v>
      </c>
      <c r="K71" s="18">
        <f>SUMIF(C:C,"612212",F:F)</f>
        <v>0</v>
      </c>
      <c r="L71" s="18">
        <f>SUMIF(C:C,"612212",G:G)</f>
        <v>0</v>
      </c>
      <c r="M71" s="16">
        <v>66</v>
      </c>
    </row>
    <row r="72" spans="1:13" ht="35.1" customHeight="1" x14ac:dyDescent="0.3">
      <c r="A72" s="413" t="s">
        <v>520</v>
      </c>
      <c r="B72" s="423" t="s">
        <v>523</v>
      </c>
      <c r="C72" s="57">
        <v>401101</v>
      </c>
      <c r="D72" s="58" t="str">
        <f>IFERROR(VLOOKUP(C72,'Acc code'!$B$2:$C$124,2,FALSE),0)</f>
        <v>Paid Up Capital</v>
      </c>
      <c r="E72" s="439" t="s">
        <v>522</v>
      </c>
      <c r="F72" s="60"/>
      <c r="G72" s="61">
        <v>5975000</v>
      </c>
      <c r="I72" s="16">
        <v>612213</v>
      </c>
      <c r="J72" s="17" t="s">
        <v>96</v>
      </c>
      <c r="K72" s="18">
        <f>SUMIF(C:C,"612213",F:F)</f>
        <v>0</v>
      </c>
      <c r="L72" s="18">
        <f>SUMIF(C:C,"612213",G:G)</f>
        <v>0</v>
      </c>
      <c r="M72" s="16">
        <v>67</v>
      </c>
    </row>
    <row r="73" spans="1:13" ht="35.1" customHeight="1" x14ac:dyDescent="0.3">
      <c r="A73" s="417" t="s">
        <v>520</v>
      </c>
      <c r="B73" s="431" t="s">
        <v>524</v>
      </c>
      <c r="C73" s="62">
        <v>612108</v>
      </c>
      <c r="D73" s="63" t="str">
        <f>IFERROR(VLOOKUP(C73,'Acc code'!$B$2:$C$124,2,FALSE),0)</f>
        <v>Communication Expenses</v>
      </c>
      <c r="E73" s="438" t="s">
        <v>525</v>
      </c>
      <c r="F73" s="64">
        <v>1209000</v>
      </c>
      <c r="G73" s="65"/>
      <c r="I73" s="16">
        <v>612214</v>
      </c>
      <c r="J73" s="17" t="s">
        <v>94</v>
      </c>
      <c r="K73" s="18">
        <f>SUMIF(C:C,"612214",F:F)</f>
        <v>0</v>
      </c>
      <c r="L73" s="18">
        <f>SUMIF(C:C,"612214",G:G)</f>
        <v>0</v>
      </c>
      <c r="M73" s="16">
        <v>68</v>
      </c>
    </row>
    <row r="74" spans="1:13" ht="35.1" customHeight="1" x14ac:dyDescent="0.3">
      <c r="A74" s="413" t="s">
        <v>520</v>
      </c>
      <c r="B74" s="431" t="s">
        <v>524</v>
      </c>
      <c r="C74" s="57">
        <v>111201</v>
      </c>
      <c r="D74" s="58" t="str">
        <f>IFERROR(VLOOKUP(C74,'Acc code'!$B$2:$C$124,2,FALSE),0)</f>
        <v>Cash at Bank ( CB-Kyats )</v>
      </c>
      <c r="E74" s="443" t="s">
        <v>525</v>
      </c>
      <c r="F74" s="60"/>
      <c r="G74" s="61">
        <v>1209000</v>
      </c>
      <c r="I74" s="16">
        <v>612215</v>
      </c>
      <c r="J74" s="17" t="s">
        <v>120</v>
      </c>
      <c r="K74" s="18">
        <f>SUMIF(C:C,"612215",F:F)</f>
        <v>0</v>
      </c>
      <c r="L74" s="18">
        <f>SUMIF(C:C,"612215",G:G)</f>
        <v>0</v>
      </c>
      <c r="M74" s="16">
        <v>69</v>
      </c>
    </row>
    <row r="75" spans="1:13" ht="35.1" customHeight="1" x14ac:dyDescent="0.3">
      <c r="A75" s="417" t="s">
        <v>520</v>
      </c>
      <c r="B75" s="427" t="s">
        <v>527</v>
      </c>
      <c r="C75" s="62">
        <v>612101</v>
      </c>
      <c r="D75" s="63" t="str">
        <f>IFERROR(VLOOKUP(C75,'Acc code'!$B$2:$C$124,2,FALSE),0)</f>
        <v>Salary and Bonus</v>
      </c>
      <c r="E75" s="438" t="s">
        <v>526</v>
      </c>
      <c r="F75" s="64">
        <v>15600000</v>
      </c>
      <c r="G75" s="65"/>
      <c r="I75" s="16"/>
      <c r="J75" s="17"/>
      <c r="K75" s="18"/>
      <c r="L75" s="18"/>
    </row>
    <row r="76" spans="1:13" ht="35.1" customHeight="1" x14ac:dyDescent="0.3">
      <c r="A76" s="413" t="s">
        <v>520</v>
      </c>
      <c r="B76" s="431" t="s">
        <v>527</v>
      </c>
      <c r="C76" s="57">
        <v>111201</v>
      </c>
      <c r="D76" s="58" t="str">
        <f>IFERROR(VLOOKUP(C76,'Acc code'!$B$2:$C$124,2,FALSE),0)</f>
        <v>Cash at Bank ( CB-Kyats )</v>
      </c>
      <c r="E76" s="443" t="s">
        <v>526</v>
      </c>
      <c r="F76" s="60"/>
      <c r="G76" s="61">
        <v>15600000</v>
      </c>
      <c r="I76" s="16"/>
      <c r="J76" s="17"/>
      <c r="K76" s="18"/>
      <c r="L76" s="18"/>
    </row>
    <row r="77" spans="1:13" ht="35.1" customHeight="1" x14ac:dyDescent="0.3">
      <c r="A77" s="417" t="s">
        <v>520</v>
      </c>
      <c r="B77" s="427" t="s">
        <v>528</v>
      </c>
      <c r="C77" s="62">
        <v>612122</v>
      </c>
      <c r="D77" s="63" t="str">
        <f>IFERROR(VLOOKUP(C77,'Acc code'!$B$2:$C$124,2,FALSE),0)</f>
        <v>Bank Charges</v>
      </c>
      <c r="E77" s="438" t="s">
        <v>529</v>
      </c>
      <c r="F77" s="64">
        <v>800</v>
      </c>
      <c r="G77" s="65"/>
      <c r="I77" s="16"/>
      <c r="J77" s="17"/>
      <c r="K77" s="18"/>
      <c r="L77" s="18"/>
    </row>
    <row r="78" spans="1:13" ht="35.1" customHeight="1" x14ac:dyDescent="0.3">
      <c r="A78" s="413" t="s">
        <v>520</v>
      </c>
      <c r="B78" s="431" t="s">
        <v>528</v>
      </c>
      <c r="C78" s="57">
        <v>111201</v>
      </c>
      <c r="D78" s="58" t="str">
        <f>IFERROR(VLOOKUP(C78,'Acc code'!$B$2:$C$124,2,FALSE),0)</f>
        <v>Cash at Bank ( CB-Kyats )</v>
      </c>
      <c r="E78" s="443" t="s">
        <v>529</v>
      </c>
      <c r="F78" s="60"/>
      <c r="G78" s="61">
        <v>800</v>
      </c>
      <c r="I78" s="16"/>
      <c r="J78" s="17"/>
      <c r="K78" s="18"/>
      <c r="L78" s="18"/>
    </row>
    <row r="79" spans="1:13" ht="35.1" customHeight="1" x14ac:dyDescent="0.3">
      <c r="A79" s="417" t="s">
        <v>520</v>
      </c>
      <c r="B79" s="427" t="s">
        <v>530</v>
      </c>
      <c r="C79" s="62">
        <v>612126</v>
      </c>
      <c r="D79" s="63" t="str">
        <f>IFERROR(VLOOKUP(C79,'Acc code'!$B$2:$C$124,2,FALSE),0)</f>
        <v>Office Renovation Charges</v>
      </c>
      <c r="E79" s="438" t="s">
        <v>531</v>
      </c>
      <c r="F79" s="64">
        <v>700000</v>
      </c>
      <c r="G79" s="65"/>
      <c r="I79" s="16"/>
      <c r="J79" s="17"/>
      <c r="K79" s="18"/>
      <c r="L79" s="18"/>
    </row>
    <row r="80" spans="1:13" ht="35.1" customHeight="1" x14ac:dyDescent="0.3">
      <c r="A80" s="417" t="s">
        <v>520</v>
      </c>
      <c r="B80" s="431" t="s">
        <v>530</v>
      </c>
      <c r="C80" s="57">
        <v>111201</v>
      </c>
      <c r="D80" s="58" t="str">
        <f>IFERROR(VLOOKUP(C80,'Acc code'!$B$2:$C$124,2,FALSE),0)</f>
        <v>Cash at Bank ( CB-Kyats )</v>
      </c>
      <c r="E80" s="443" t="s">
        <v>531</v>
      </c>
      <c r="F80" s="60"/>
      <c r="G80" s="61">
        <v>700000</v>
      </c>
      <c r="I80" s="16"/>
      <c r="J80" s="17"/>
      <c r="K80" s="18"/>
      <c r="L80" s="18"/>
    </row>
    <row r="81" spans="1:12" ht="35.1" hidden="1" customHeight="1" x14ac:dyDescent="0.3">
      <c r="A81" s="186"/>
      <c r="B81" s="123"/>
      <c r="C81" s="62"/>
      <c r="D81" s="63">
        <f>IFERROR(VLOOKUP(C81,'Acc code'!$B$2:$C$124,2,FALSE),0)</f>
        <v>0</v>
      </c>
      <c r="E81" s="187"/>
      <c r="F81" s="64"/>
      <c r="G81" s="65"/>
      <c r="I81" s="16"/>
      <c r="J81" s="17"/>
      <c r="K81" s="18"/>
      <c r="L81" s="18"/>
    </row>
    <row r="82" spans="1:12" ht="35.1" hidden="1" customHeight="1" x14ac:dyDescent="0.3">
      <c r="A82" s="242"/>
      <c r="B82" s="243"/>
      <c r="C82" s="57"/>
      <c r="D82" s="58">
        <f>IFERROR(VLOOKUP(C82,'Acc code'!$B$2:$C$124,2,FALSE),0)</f>
        <v>0</v>
      </c>
      <c r="E82" s="244"/>
      <c r="F82" s="60"/>
      <c r="G82" s="61"/>
      <c r="I82" s="16"/>
      <c r="J82" s="17"/>
      <c r="K82" s="18"/>
      <c r="L82" s="18"/>
    </row>
    <row r="83" spans="1:12" ht="35.1" customHeight="1" x14ac:dyDescent="0.3">
      <c r="A83" s="66"/>
      <c r="B83" s="67"/>
      <c r="C83" s="68"/>
      <c r="D83" s="68"/>
      <c r="E83" s="70"/>
      <c r="F83" s="71"/>
      <c r="G83" s="71"/>
      <c r="I83" s="16"/>
      <c r="J83" s="17"/>
      <c r="K83" s="18"/>
      <c r="L83" s="18"/>
    </row>
    <row r="84" spans="1:12" ht="35.1" customHeight="1" x14ac:dyDescent="0.3">
      <c r="A84" s="66"/>
      <c r="B84" s="67"/>
      <c r="C84" s="68"/>
      <c r="D84" s="68"/>
      <c r="E84" s="70"/>
      <c r="F84" s="71"/>
      <c r="G84" s="71"/>
      <c r="I84" s="16"/>
      <c r="J84" s="17"/>
      <c r="K84" s="18"/>
      <c r="L84" s="18"/>
    </row>
    <row r="85" spans="1:12" ht="35.1" customHeight="1" x14ac:dyDescent="0.3">
      <c r="A85" s="66"/>
      <c r="B85" s="67"/>
      <c r="C85" s="68"/>
      <c r="D85" s="68"/>
      <c r="E85" s="70"/>
      <c r="F85" s="71"/>
      <c r="G85" s="71"/>
      <c r="I85" s="16"/>
      <c r="J85" s="17"/>
      <c r="K85" s="18"/>
      <c r="L85" s="18"/>
    </row>
    <row r="86" spans="1:12" ht="35.1" customHeight="1" x14ac:dyDescent="0.3">
      <c r="A86" s="66"/>
      <c r="B86" s="67"/>
      <c r="C86" s="68"/>
      <c r="D86" s="68"/>
      <c r="E86" s="70"/>
      <c r="F86" s="71"/>
      <c r="G86" s="71"/>
      <c r="I86" s="16"/>
      <c r="J86" s="17"/>
      <c r="K86" s="18"/>
      <c r="L86" s="18"/>
    </row>
    <row r="87" spans="1:12" ht="35.1" customHeight="1" x14ac:dyDescent="0.3">
      <c r="A87" s="66"/>
      <c r="B87" s="67"/>
      <c r="C87" s="68"/>
      <c r="D87" s="68"/>
      <c r="E87" s="70"/>
      <c r="F87" s="71"/>
      <c r="G87" s="71"/>
      <c r="I87" s="16"/>
      <c r="J87" s="17"/>
      <c r="K87" s="18"/>
      <c r="L87" s="18"/>
    </row>
    <row r="88" spans="1:12" ht="35.1" customHeight="1" x14ac:dyDescent="0.3">
      <c r="A88" s="66"/>
      <c r="B88" s="67"/>
      <c r="C88" s="68"/>
      <c r="D88" s="68"/>
      <c r="E88" s="70"/>
      <c r="F88" s="71"/>
      <c r="G88" s="71"/>
      <c r="I88" s="16"/>
      <c r="J88" s="17"/>
      <c r="K88" s="18"/>
      <c r="L88" s="18"/>
    </row>
    <row r="89" spans="1:12" ht="35.1" customHeight="1" x14ac:dyDescent="0.3">
      <c r="A89" s="66"/>
      <c r="B89" s="67"/>
      <c r="C89" s="68"/>
      <c r="D89" s="68"/>
      <c r="E89" s="70"/>
      <c r="F89" s="71"/>
      <c r="G89" s="71"/>
      <c r="I89" s="16"/>
      <c r="J89" s="17"/>
      <c r="K89" s="18"/>
      <c r="L89" s="18"/>
    </row>
    <row r="90" spans="1:12" ht="35.1" customHeight="1" x14ac:dyDescent="0.3">
      <c r="A90" s="66"/>
      <c r="B90" s="67"/>
      <c r="C90" s="68"/>
      <c r="D90" s="68"/>
      <c r="E90" s="70"/>
      <c r="F90" s="71"/>
      <c r="G90" s="71"/>
      <c r="I90" s="16"/>
      <c r="J90" s="17"/>
      <c r="K90" s="18"/>
      <c r="L90" s="18"/>
    </row>
    <row r="91" spans="1:12" ht="35.1" customHeight="1" x14ac:dyDescent="0.3">
      <c r="A91" s="66"/>
      <c r="B91" s="67"/>
      <c r="C91" s="68"/>
      <c r="D91" s="68"/>
      <c r="E91" s="70"/>
      <c r="F91" s="71"/>
      <c r="G91" s="71"/>
      <c r="I91" s="16"/>
      <c r="J91" s="17"/>
      <c r="K91" s="18"/>
      <c r="L91" s="18"/>
    </row>
    <row r="92" spans="1:12" ht="35.1" customHeight="1" x14ac:dyDescent="0.3">
      <c r="A92" s="66"/>
      <c r="B92" s="67"/>
      <c r="C92" s="68"/>
      <c r="D92" s="68"/>
      <c r="E92" s="70"/>
      <c r="F92" s="71"/>
      <c r="G92" s="71"/>
      <c r="I92" s="16"/>
      <c r="J92" s="17"/>
      <c r="K92" s="18"/>
      <c r="L92" s="18"/>
    </row>
    <row r="93" spans="1:12" ht="35.1" customHeight="1" x14ac:dyDescent="0.3">
      <c r="A93" s="66"/>
      <c r="B93" s="67"/>
      <c r="C93" s="68"/>
      <c r="D93" s="68"/>
      <c r="E93" s="70"/>
      <c r="F93" s="71"/>
      <c r="G93" s="71"/>
      <c r="I93" s="16"/>
      <c r="J93" s="17"/>
      <c r="K93" s="18"/>
      <c r="L93" s="18"/>
    </row>
    <row r="94" spans="1:12" ht="35.1" customHeight="1" x14ac:dyDescent="0.3">
      <c r="A94" s="66"/>
      <c r="B94" s="67"/>
      <c r="C94" s="68"/>
      <c r="D94" s="68"/>
      <c r="E94" s="70"/>
      <c r="F94" s="71"/>
      <c r="G94" s="71"/>
      <c r="I94" s="16"/>
      <c r="J94" s="17"/>
      <c r="K94" s="18"/>
      <c r="L94" s="18"/>
    </row>
    <row r="95" spans="1:12" ht="35.1" customHeight="1" x14ac:dyDescent="0.3">
      <c r="A95" s="66"/>
      <c r="B95" s="67"/>
      <c r="C95" s="68"/>
      <c r="D95" s="68"/>
      <c r="E95" s="70"/>
      <c r="F95" s="71"/>
      <c r="G95" s="71"/>
      <c r="I95" s="16"/>
      <c r="J95" s="17"/>
      <c r="K95" s="18"/>
      <c r="L95" s="18"/>
    </row>
    <row r="96" spans="1:12" ht="35.1" customHeight="1" x14ac:dyDescent="0.3">
      <c r="A96" s="66"/>
      <c r="B96" s="67"/>
      <c r="C96" s="68"/>
      <c r="D96" s="68"/>
      <c r="E96" s="70"/>
      <c r="F96" s="71"/>
      <c r="G96" s="71"/>
      <c r="I96" s="16"/>
      <c r="J96" s="17"/>
      <c r="K96" s="18"/>
      <c r="L96" s="18"/>
    </row>
    <row r="97" spans="1:12" ht="35.1" customHeight="1" x14ac:dyDescent="0.3">
      <c r="A97" s="66"/>
      <c r="B97" s="67"/>
      <c r="C97" s="68"/>
      <c r="D97" s="68"/>
      <c r="E97" s="70"/>
      <c r="F97" s="71"/>
      <c r="G97" s="71"/>
      <c r="I97" s="16"/>
      <c r="J97" s="17"/>
      <c r="K97" s="18"/>
      <c r="L97" s="18"/>
    </row>
    <row r="98" spans="1:12" ht="35.1" customHeight="1" x14ac:dyDescent="0.3">
      <c r="A98" s="66"/>
      <c r="B98" s="67"/>
      <c r="C98" s="68"/>
      <c r="D98" s="68"/>
      <c r="E98" s="70"/>
      <c r="F98" s="71"/>
      <c r="G98" s="71"/>
      <c r="I98" s="16"/>
      <c r="J98" s="17"/>
      <c r="K98" s="18"/>
      <c r="L98" s="18"/>
    </row>
    <row r="99" spans="1:12" ht="35.1" customHeight="1" x14ac:dyDescent="0.3">
      <c r="A99" s="66"/>
      <c r="B99" s="67"/>
      <c r="C99" s="68"/>
      <c r="D99" s="68"/>
      <c r="E99" s="70"/>
      <c r="F99" s="71"/>
      <c r="G99" s="71"/>
      <c r="I99" s="16"/>
      <c r="J99" s="17"/>
      <c r="K99" s="18"/>
      <c r="L99" s="18"/>
    </row>
    <row r="100" spans="1:12" ht="35.1" customHeight="1" x14ac:dyDescent="0.3">
      <c r="A100" s="66"/>
      <c r="B100" s="67"/>
      <c r="C100" s="68"/>
      <c r="D100" s="68"/>
      <c r="E100" s="70"/>
      <c r="F100" s="71"/>
      <c r="G100" s="71"/>
      <c r="I100" s="16"/>
      <c r="J100" s="17"/>
      <c r="K100" s="18"/>
      <c r="L100" s="18"/>
    </row>
    <row r="101" spans="1:12" ht="35.1" customHeight="1" x14ac:dyDescent="0.3">
      <c r="A101" s="66"/>
      <c r="B101" s="67"/>
      <c r="C101" s="68"/>
      <c r="D101" s="68"/>
      <c r="E101" s="70"/>
      <c r="F101" s="71"/>
      <c r="G101" s="71"/>
      <c r="I101" s="16"/>
      <c r="J101" s="17"/>
      <c r="K101" s="18"/>
      <c r="L101" s="18"/>
    </row>
    <row r="102" spans="1:12" ht="35.1" customHeight="1" x14ac:dyDescent="0.3">
      <c r="A102" s="66"/>
      <c r="B102" s="67"/>
      <c r="C102" s="68"/>
      <c r="D102" s="68"/>
      <c r="E102" s="70"/>
      <c r="F102" s="71"/>
      <c r="G102" s="71"/>
      <c r="I102" s="16"/>
      <c r="J102" s="17"/>
      <c r="K102" s="18"/>
      <c r="L102" s="18"/>
    </row>
    <row r="103" spans="1:12" ht="35.1" customHeight="1" x14ac:dyDescent="0.3">
      <c r="A103" s="66"/>
      <c r="B103" s="67"/>
      <c r="C103" s="68"/>
      <c r="D103" s="68"/>
      <c r="E103" s="70"/>
      <c r="F103" s="71"/>
      <c r="G103" s="71"/>
      <c r="I103" s="16"/>
      <c r="J103" s="17"/>
      <c r="K103" s="18"/>
      <c r="L103" s="18"/>
    </row>
    <row r="104" spans="1:12" ht="35.1" customHeight="1" x14ac:dyDescent="0.3">
      <c r="A104" s="66"/>
      <c r="B104" s="67"/>
      <c r="C104" s="68"/>
      <c r="D104" s="68"/>
      <c r="E104" s="70"/>
      <c r="F104" s="71"/>
      <c r="G104" s="71"/>
      <c r="I104" s="16"/>
      <c r="J104" s="17"/>
      <c r="K104" s="18"/>
      <c r="L104" s="18"/>
    </row>
    <row r="105" spans="1:12" ht="35.1" customHeight="1" x14ac:dyDescent="0.3">
      <c r="A105" s="66"/>
      <c r="B105" s="67"/>
      <c r="C105" s="68"/>
      <c r="D105" s="68"/>
      <c r="E105" s="70"/>
      <c r="F105" s="71"/>
      <c r="G105" s="71"/>
      <c r="I105" s="16"/>
      <c r="J105" s="17"/>
      <c r="K105" s="18"/>
      <c r="L105" s="18"/>
    </row>
    <row r="106" spans="1:12" ht="35.1" customHeight="1" x14ac:dyDescent="0.3">
      <c r="A106" s="66"/>
      <c r="B106" s="67"/>
      <c r="C106" s="68"/>
      <c r="D106" s="68"/>
      <c r="E106" s="70"/>
      <c r="F106" s="71"/>
      <c r="G106" s="71"/>
      <c r="I106" s="16"/>
      <c r="J106" s="17"/>
      <c r="K106" s="18"/>
      <c r="L106" s="18"/>
    </row>
    <row r="107" spans="1:12" ht="35.1" customHeight="1" x14ac:dyDescent="0.3">
      <c r="A107" s="66"/>
      <c r="B107" s="67"/>
      <c r="C107" s="68"/>
      <c r="D107" s="68"/>
      <c r="E107" s="70"/>
      <c r="F107" s="71"/>
      <c r="G107" s="71"/>
      <c r="I107" s="16"/>
      <c r="J107" s="17"/>
      <c r="K107" s="18"/>
      <c r="L107" s="18"/>
    </row>
    <row r="108" spans="1:12" ht="35.1" customHeight="1" x14ac:dyDescent="0.3">
      <c r="A108" s="66"/>
      <c r="B108" s="67"/>
      <c r="C108" s="68"/>
      <c r="D108" s="68"/>
      <c r="E108" s="70"/>
      <c r="F108" s="71"/>
      <c r="G108" s="71"/>
      <c r="I108" s="16"/>
      <c r="J108" s="17"/>
      <c r="K108" s="18"/>
      <c r="L108" s="18"/>
    </row>
    <row r="109" spans="1:12" ht="35.1" customHeight="1" x14ac:dyDescent="0.3">
      <c r="A109" s="66"/>
      <c r="B109" s="67"/>
      <c r="C109" s="68"/>
      <c r="D109" s="68"/>
      <c r="E109" s="70"/>
      <c r="F109" s="71"/>
      <c r="G109" s="71"/>
      <c r="I109" s="16"/>
      <c r="J109" s="17"/>
      <c r="K109" s="18"/>
      <c r="L109" s="18"/>
    </row>
    <row r="110" spans="1:12" ht="35.1" customHeight="1" x14ac:dyDescent="0.3">
      <c r="A110" s="66"/>
      <c r="B110" s="67"/>
      <c r="C110" s="68"/>
      <c r="D110" s="68"/>
      <c r="E110" s="70"/>
      <c r="F110" s="71"/>
      <c r="G110" s="71"/>
      <c r="I110" s="16"/>
      <c r="J110" s="17"/>
      <c r="K110" s="18"/>
      <c r="L110" s="18"/>
    </row>
    <row r="111" spans="1:12" ht="35.1" customHeight="1" x14ac:dyDescent="0.3">
      <c r="A111" s="66"/>
      <c r="B111" s="67"/>
      <c r="C111" s="68"/>
      <c r="D111" s="68"/>
      <c r="E111" s="70"/>
      <c r="F111" s="71"/>
      <c r="G111" s="71"/>
      <c r="I111" s="16"/>
      <c r="J111" s="17"/>
      <c r="K111" s="18"/>
      <c r="L111" s="18"/>
    </row>
    <row r="112" spans="1:12" ht="35.1" customHeight="1" x14ac:dyDescent="0.3">
      <c r="A112" s="66"/>
      <c r="B112" s="67"/>
      <c r="C112" s="68"/>
      <c r="D112" s="68"/>
      <c r="E112" s="70"/>
      <c r="F112" s="71"/>
      <c r="G112" s="71"/>
      <c r="I112" s="16"/>
      <c r="J112" s="17"/>
      <c r="K112" s="18"/>
      <c r="L112" s="18"/>
    </row>
    <row r="113" spans="1:12" ht="35.1" customHeight="1" x14ac:dyDescent="0.3">
      <c r="A113" s="66"/>
      <c r="B113" s="67"/>
      <c r="C113" s="68"/>
      <c r="D113" s="68"/>
      <c r="E113" s="70"/>
      <c r="F113" s="71"/>
      <c r="G113" s="71"/>
      <c r="I113" s="16"/>
      <c r="J113" s="17"/>
      <c r="K113" s="18"/>
      <c r="L113" s="18"/>
    </row>
    <row r="114" spans="1:12" ht="35.1" customHeight="1" x14ac:dyDescent="0.3">
      <c r="A114" s="66"/>
      <c r="B114" s="67"/>
      <c r="C114" s="68"/>
      <c r="D114" s="68"/>
      <c r="E114" s="70"/>
      <c r="F114" s="71"/>
      <c r="G114" s="71"/>
      <c r="I114" s="16"/>
      <c r="J114" s="17"/>
      <c r="K114" s="18"/>
      <c r="L114" s="18"/>
    </row>
    <row r="115" spans="1:12" ht="35.1" customHeight="1" x14ac:dyDescent="0.3">
      <c r="A115" s="66"/>
      <c r="B115" s="67"/>
      <c r="C115" s="68"/>
      <c r="D115" s="68"/>
      <c r="E115" s="70"/>
      <c r="F115" s="71"/>
      <c r="G115" s="71"/>
      <c r="I115" s="16"/>
      <c r="J115" s="17"/>
      <c r="K115" s="18"/>
      <c r="L115" s="18"/>
    </row>
    <row r="116" spans="1:12" ht="35.1" customHeight="1" x14ac:dyDescent="0.3">
      <c r="A116" s="66"/>
      <c r="B116" s="67"/>
      <c r="C116" s="68"/>
      <c r="D116" s="68"/>
      <c r="E116" s="70"/>
      <c r="F116" s="71"/>
      <c r="G116" s="71"/>
      <c r="I116" s="16"/>
      <c r="J116" s="17"/>
      <c r="K116" s="18"/>
      <c r="L116" s="18"/>
    </row>
    <row r="117" spans="1:12" ht="35.1" customHeight="1" x14ac:dyDescent="0.3">
      <c r="A117" s="66"/>
      <c r="B117" s="67"/>
      <c r="C117" s="68"/>
      <c r="D117" s="68"/>
      <c r="E117" s="70"/>
      <c r="F117" s="71"/>
      <c r="G117" s="71"/>
      <c r="I117" s="16"/>
      <c r="J117" s="17"/>
      <c r="K117" s="18"/>
      <c r="L117" s="18"/>
    </row>
    <row r="118" spans="1:12" ht="35.1" customHeight="1" x14ac:dyDescent="0.3">
      <c r="A118" s="66"/>
      <c r="B118" s="67"/>
      <c r="C118" s="68"/>
      <c r="D118" s="68"/>
      <c r="E118" s="70"/>
      <c r="F118" s="71"/>
      <c r="G118" s="71"/>
      <c r="I118" s="16"/>
      <c r="J118" s="17"/>
      <c r="K118" s="18"/>
      <c r="L118" s="18"/>
    </row>
    <row r="119" spans="1:12" ht="35.1" customHeight="1" x14ac:dyDescent="0.3">
      <c r="A119" s="66"/>
      <c r="B119" s="67"/>
      <c r="C119" s="68"/>
      <c r="D119" s="68"/>
      <c r="E119" s="70"/>
      <c r="F119" s="71"/>
      <c r="G119" s="71"/>
      <c r="I119" s="16"/>
      <c r="J119" s="17"/>
      <c r="K119" s="18"/>
      <c r="L119" s="18"/>
    </row>
    <row r="120" spans="1:12" ht="35.1" customHeight="1" x14ac:dyDescent="0.3">
      <c r="A120" s="66"/>
      <c r="B120" s="67"/>
      <c r="C120" s="68"/>
      <c r="D120" s="68"/>
      <c r="E120" s="70"/>
      <c r="F120" s="71"/>
      <c r="G120" s="71"/>
      <c r="I120" s="16"/>
      <c r="J120" s="17"/>
      <c r="K120" s="18"/>
      <c r="L120" s="18"/>
    </row>
    <row r="121" spans="1:12" ht="35.1" customHeight="1" x14ac:dyDescent="0.3">
      <c r="A121" s="66"/>
      <c r="B121" s="67"/>
      <c r="C121" s="68"/>
      <c r="D121" s="68"/>
      <c r="E121" s="70"/>
      <c r="F121" s="71"/>
      <c r="G121" s="71"/>
      <c r="I121" s="16"/>
      <c r="J121" s="17"/>
      <c r="K121" s="18"/>
      <c r="L121" s="18"/>
    </row>
    <row r="122" spans="1:12" ht="35.1" customHeight="1" x14ac:dyDescent="0.3">
      <c r="A122" s="66"/>
      <c r="B122" s="67"/>
      <c r="C122" s="68"/>
      <c r="D122" s="68"/>
      <c r="E122" s="70"/>
      <c r="F122" s="71"/>
      <c r="G122" s="71"/>
      <c r="I122" s="16"/>
      <c r="J122" s="17"/>
      <c r="K122" s="18"/>
      <c r="L122" s="18"/>
    </row>
    <row r="123" spans="1:12" ht="35.1" customHeight="1" x14ac:dyDescent="0.3">
      <c r="A123" s="66"/>
      <c r="B123" s="67"/>
      <c r="C123" s="68"/>
      <c r="D123" s="68"/>
      <c r="E123" s="70"/>
      <c r="F123" s="71"/>
      <c r="G123" s="71"/>
      <c r="I123" s="16"/>
      <c r="J123" s="17"/>
      <c r="K123" s="18"/>
      <c r="L123" s="18"/>
    </row>
    <row r="124" spans="1:12" ht="35.1" customHeight="1" x14ac:dyDescent="0.3">
      <c r="A124" s="66"/>
      <c r="B124" s="67"/>
      <c r="C124" s="68"/>
      <c r="D124" s="68"/>
      <c r="E124" s="70"/>
      <c r="F124" s="71"/>
      <c r="G124" s="71"/>
      <c r="I124" s="16"/>
      <c r="J124" s="17"/>
      <c r="K124" s="18"/>
      <c r="L124" s="18"/>
    </row>
    <row r="125" spans="1:12" ht="35.1" customHeight="1" x14ac:dyDescent="0.3">
      <c r="A125" s="66"/>
      <c r="B125" s="67"/>
      <c r="C125" s="68"/>
      <c r="D125" s="68"/>
      <c r="E125" s="70"/>
      <c r="F125" s="71"/>
      <c r="G125" s="71"/>
      <c r="I125" s="16"/>
      <c r="J125" s="17"/>
      <c r="K125" s="18"/>
      <c r="L125" s="18"/>
    </row>
    <row r="126" spans="1:12" ht="35.1" customHeight="1" x14ac:dyDescent="0.3">
      <c r="A126" s="66"/>
      <c r="B126" s="67"/>
      <c r="C126" s="68"/>
      <c r="D126" s="68"/>
      <c r="E126" s="70"/>
      <c r="F126" s="71"/>
      <c r="G126" s="71"/>
      <c r="I126" s="16"/>
      <c r="J126" s="17"/>
      <c r="K126" s="18"/>
      <c r="L126" s="18"/>
    </row>
    <row r="127" spans="1:12" ht="35.1" customHeight="1" x14ac:dyDescent="0.3">
      <c r="A127" s="66"/>
      <c r="B127" s="67"/>
      <c r="C127" s="68"/>
      <c r="D127" s="68"/>
      <c r="E127" s="70"/>
      <c r="F127" s="71"/>
      <c r="G127" s="71"/>
      <c r="I127" s="16"/>
      <c r="J127" s="17"/>
      <c r="K127" s="18"/>
      <c r="L127" s="18"/>
    </row>
    <row r="128" spans="1:12" ht="35.1" customHeight="1" x14ac:dyDescent="0.3">
      <c r="A128" s="66"/>
      <c r="B128" s="67"/>
      <c r="C128" s="68"/>
      <c r="D128" s="68"/>
      <c r="E128" s="70"/>
      <c r="F128" s="71"/>
      <c r="G128" s="71"/>
      <c r="I128" s="16"/>
      <c r="J128" s="17"/>
      <c r="K128" s="18"/>
      <c r="L128" s="18"/>
    </row>
    <row r="129" spans="1:12" ht="35.1" customHeight="1" x14ac:dyDescent="0.3">
      <c r="A129" s="66"/>
      <c r="B129" s="67"/>
      <c r="C129" s="68"/>
      <c r="D129" s="68"/>
      <c r="E129" s="70"/>
      <c r="F129" s="71"/>
      <c r="G129" s="71"/>
      <c r="I129" s="16"/>
      <c r="J129" s="17"/>
      <c r="K129" s="18"/>
      <c r="L129" s="18"/>
    </row>
    <row r="130" spans="1:12" ht="35.1" customHeight="1" x14ac:dyDescent="0.3">
      <c r="A130" s="66"/>
      <c r="B130" s="67"/>
      <c r="C130" s="68"/>
      <c r="D130" s="68"/>
      <c r="E130" s="70"/>
      <c r="F130" s="71"/>
      <c r="G130" s="71"/>
      <c r="I130" s="16"/>
      <c r="J130" s="17"/>
      <c r="K130" s="18"/>
      <c r="L130" s="18"/>
    </row>
    <row r="131" spans="1:12" ht="35.1" customHeight="1" x14ac:dyDescent="0.3">
      <c r="A131" s="66"/>
      <c r="B131" s="67"/>
      <c r="C131" s="68"/>
      <c r="D131" s="68"/>
      <c r="E131" s="70"/>
      <c r="F131" s="71"/>
      <c r="G131" s="71"/>
      <c r="I131" s="16"/>
      <c r="J131" s="17"/>
      <c r="K131" s="18"/>
      <c r="L131" s="18"/>
    </row>
    <row r="132" spans="1:12" ht="35.1" customHeight="1" x14ac:dyDescent="0.3">
      <c r="A132" s="66"/>
      <c r="B132" s="67"/>
      <c r="C132" s="68"/>
      <c r="D132" s="68"/>
      <c r="E132" s="70"/>
      <c r="F132" s="71"/>
      <c r="G132" s="71"/>
      <c r="I132" s="16"/>
      <c r="J132" s="17"/>
      <c r="K132" s="18"/>
      <c r="L132" s="18"/>
    </row>
    <row r="133" spans="1:12" ht="35.1" customHeight="1" x14ac:dyDescent="0.3">
      <c r="A133" s="66"/>
      <c r="B133" s="67"/>
      <c r="C133" s="68"/>
      <c r="D133" s="68"/>
      <c r="E133" s="70"/>
      <c r="F133" s="71"/>
      <c r="G133" s="71"/>
      <c r="I133" s="16"/>
      <c r="J133" s="17"/>
      <c r="K133" s="18"/>
      <c r="L133" s="18"/>
    </row>
    <row r="134" spans="1:12" ht="35.1" customHeight="1" x14ac:dyDescent="0.3">
      <c r="A134" s="66"/>
      <c r="B134" s="67"/>
      <c r="C134" s="68"/>
      <c r="D134" s="68"/>
      <c r="E134" s="70"/>
      <c r="F134" s="71"/>
      <c r="G134" s="71"/>
      <c r="I134" s="16"/>
      <c r="J134" s="17"/>
      <c r="K134" s="18"/>
      <c r="L134" s="18"/>
    </row>
    <row r="135" spans="1:12" ht="35.1" customHeight="1" x14ac:dyDescent="0.3">
      <c r="A135" s="66"/>
      <c r="B135" s="67"/>
      <c r="C135" s="68"/>
      <c r="D135" s="68"/>
      <c r="E135" s="70"/>
      <c r="F135" s="71"/>
      <c r="G135" s="71"/>
      <c r="I135" s="16"/>
      <c r="J135" s="17"/>
      <c r="K135" s="18"/>
      <c r="L135" s="18"/>
    </row>
    <row r="136" spans="1:12" ht="35.1" customHeight="1" x14ac:dyDescent="0.3">
      <c r="A136" s="66"/>
      <c r="B136" s="67"/>
      <c r="C136" s="68"/>
      <c r="D136" s="68"/>
      <c r="E136" s="70"/>
      <c r="F136" s="71"/>
      <c r="G136" s="71"/>
      <c r="I136" s="16"/>
      <c r="J136" s="17"/>
      <c r="K136" s="18"/>
      <c r="L136" s="18"/>
    </row>
    <row r="137" spans="1:12" ht="35.1" customHeight="1" x14ac:dyDescent="0.3">
      <c r="A137" s="66"/>
      <c r="B137" s="67"/>
      <c r="C137" s="68"/>
      <c r="D137" s="68"/>
      <c r="E137" s="70"/>
      <c r="F137" s="71"/>
      <c r="G137" s="71"/>
      <c r="I137" s="16"/>
      <c r="J137" s="17"/>
      <c r="K137" s="18"/>
      <c r="L137" s="18"/>
    </row>
    <row r="138" spans="1:12" ht="35.1" customHeight="1" x14ac:dyDescent="0.3">
      <c r="A138" s="66"/>
      <c r="B138" s="67"/>
      <c r="C138" s="68"/>
      <c r="D138" s="68"/>
      <c r="E138" s="70"/>
      <c r="F138" s="71"/>
      <c r="G138" s="71"/>
      <c r="I138" s="16"/>
      <c r="J138" s="17"/>
      <c r="K138" s="18"/>
      <c r="L138" s="18"/>
    </row>
    <row r="139" spans="1:12" ht="35.1" customHeight="1" x14ac:dyDescent="0.3">
      <c r="A139" s="66"/>
      <c r="B139" s="67"/>
      <c r="C139" s="68"/>
      <c r="D139" s="68"/>
      <c r="E139" s="70"/>
      <c r="F139" s="71"/>
      <c r="G139" s="71"/>
      <c r="I139" s="16"/>
      <c r="J139" s="17"/>
      <c r="K139" s="18"/>
      <c r="L139" s="18"/>
    </row>
    <row r="140" spans="1:12" ht="35.1" customHeight="1" x14ac:dyDescent="0.3">
      <c r="A140" s="66"/>
      <c r="B140" s="67"/>
      <c r="C140" s="68"/>
      <c r="D140" s="68"/>
      <c r="E140" s="70"/>
      <c r="F140" s="71"/>
      <c r="G140" s="71"/>
      <c r="I140" s="16"/>
      <c r="J140" s="17"/>
      <c r="K140" s="18"/>
      <c r="L140" s="18"/>
    </row>
    <row r="141" spans="1:12" ht="35.1" customHeight="1" x14ac:dyDescent="0.3">
      <c r="A141" s="66"/>
      <c r="B141" s="67"/>
      <c r="C141" s="68"/>
      <c r="D141" s="68"/>
      <c r="E141" s="70"/>
      <c r="F141" s="71"/>
      <c r="G141" s="71"/>
      <c r="I141" s="16"/>
      <c r="J141" s="17"/>
      <c r="K141" s="18"/>
      <c r="L141" s="18"/>
    </row>
    <row r="142" spans="1:12" ht="35.1" customHeight="1" x14ac:dyDescent="0.3">
      <c r="A142" s="66"/>
      <c r="B142" s="67"/>
      <c r="C142" s="68"/>
      <c r="D142" s="68"/>
      <c r="E142" s="70"/>
      <c r="F142" s="71"/>
      <c r="G142" s="71"/>
      <c r="I142" s="16"/>
      <c r="J142" s="17"/>
      <c r="K142" s="18"/>
      <c r="L142" s="18"/>
    </row>
    <row r="143" spans="1:12" ht="35.1" customHeight="1" x14ac:dyDescent="0.3">
      <c r="A143" s="66"/>
      <c r="B143" s="67"/>
      <c r="C143" s="68"/>
      <c r="D143" s="68"/>
      <c r="E143" s="70"/>
      <c r="F143" s="71"/>
      <c r="G143" s="71"/>
      <c r="I143" s="16"/>
      <c r="J143" s="17"/>
      <c r="K143" s="18"/>
      <c r="L143" s="18"/>
    </row>
    <row r="144" spans="1:12" ht="35.1" customHeight="1" x14ac:dyDescent="0.3">
      <c r="A144" s="66"/>
      <c r="B144" s="67"/>
      <c r="C144" s="68"/>
      <c r="D144" s="68"/>
      <c r="E144" s="70"/>
      <c r="F144" s="71"/>
      <c r="G144" s="71"/>
      <c r="I144" s="16"/>
      <c r="J144" s="17"/>
      <c r="K144" s="18"/>
      <c r="L144" s="18"/>
    </row>
    <row r="145" spans="1:12" ht="35.1" customHeight="1" x14ac:dyDescent="0.3">
      <c r="A145" s="66"/>
      <c r="B145" s="67"/>
      <c r="C145" s="68"/>
      <c r="D145" s="68"/>
      <c r="E145" s="70"/>
      <c r="F145" s="71"/>
      <c r="G145" s="71"/>
      <c r="I145" s="16"/>
      <c r="J145" s="17"/>
      <c r="K145" s="18"/>
      <c r="L145" s="18"/>
    </row>
    <row r="146" spans="1:12" ht="35.1" customHeight="1" x14ac:dyDescent="0.3">
      <c r="A146" s="66"/>
      <c r="B146" s="67"/>
      <c r="C146" s="68"/>
      <c r="D146" s="68"/>
      <c r="E146" s="70"/>
      <c r="F146" s="71"/>
      <c r="G146" s="71"/>
      <c r="I146" s="16"/>
      <c r="J146" s="17"/>
      <c r="K146" s="18"/>
      <c r="L146" s="18"/>
    </row>
    <row r="147" spans="1:12" ht="35.1" customHeight="1" x14ac:dyDescent="0.3">
      <c r="A147" s="66"/>
      <c r="B147" s="67"/>
      <c r="C147" s="68"/>
      <c r="D147" s="68"/>
      <c r="E147" s="70"/>
      <c r="F147" s="71"/>
      <c r="G147" s="71"/>
      <c r="I147" s="16"/>
      <c r="J147" s="17"/>
      <c r="K147" s="18"/>
      <c r="L147" s="18"/>
    </row>
    <row r="148" spans="1:12" ht="35.1" customHeight="1" x14ac:dyDescent="0.3">
      <c r="A148" s="66"/>
      <c r="B148" s="67"/>
      <c r="C148" s="68"/>
      <c r="D148" s="68"/>
      <c r="E148" s="70"/>
      <c r="F148" s="71"/>
      <c r="G148" s="71"/>
      <c r="I148" s="16"/>
      <c r="J148" s="17"/>
      <c r="K148" s="18"/>
      <c r="L148" s="18"/>
    </row>
    <row r="149" spans="1:12" ht="35.1" customHeight="1" x14ac:dyDescent="0.3">
      <c r="A149" s="66"/>
      <c r="B149" s="67"/>
      <c r="C149" s="68"/>
      <c r="D149" s="68"/>
      <c r="E149" s="70"/>
      <c r="F149" s="71"/>
      <c r="G149" s="71"/>
      <c r="I149" s="16"/>
      <c r="J149" s="17"/>
      <c r="K149" s="18"/>
      <c r="L149" s="18"/>
    </row>
    <row r="150" spans="1:12" ht="35.1" customHeight="1" x14ac:dyDescent="0.3">
      <c r="A150" s="66"/>
      <c r="B150" s="67"/>
      <c r="C150" s="68"/>
      <c r="D150" s="68"/>
      <c r="E150" s="70"/>
      <c r="F150" s="71"/>
      <c r="G150" s="71"/>
      <c r="I150" s="16"/>
      <c r="J150" s="17"/>
      <c r="K150" s="18"/>
      <c r="L150" s="18"/>
    </row>
    <row r="151" spans="1:12" ht="35.1" customHeight="1" x14ac:dyDescent="0.3">
      <c r="A151" s="66"/>
      <c r="B151" s="67"/>
      <c r="C151" s="68"/>
      <c r="D151" s="68"/>
      <c r="E151" s="70"/>
      <c r="F151" s="71"/>
      <c r="G151" s="71"/>
      <c r="I151" s="16"/>
      <c r="J151" s="17"/>
      <c r="K151" s="18"/>
      <c r="L151" s="18"/>
    </row>
    <row r="152" spans="1:12" ht="35.1" customHeight="1" x14ac:dyDescent="0.3">
      <c r="A152" s="66"/>
      <c r="B152" s="67"/>
      <c r="C152" s="68"/>
      <c r="D152" s="68"/>
      <c r="E152" s="70"/>
      <c r="F152" s="71"/>
      <c r="G152" s="71"/>
      <c r="I152" s="16"/>
      <c r="J152" s="17"/>
      <c r="K152" s="18"/>
      <c r="L152" s="18"/>
    </row>
    <row r="153" spans="1:12" ht="35.1" customHeight="1" x14ac:dyDescent="0.3">
      <c r="A153" s="66"/>
      <c r="B153" s="67"/>
      <c r="C153" s="68"/>
      <c r="D153" s="68"/>
      <c r="E153" s="70"/>
      <c r="F153" s="71"/>
      <c r="G153" s="71"/>
      <c r="I153" s="16"/>
      <c r="J153" s="17"/>
      <c r="K153" s="18"/>
      <c r="L153" s="18"/>
    </row>
    <row r="154" spans="1:12" ht="35.1" customHeight="1" x14ac:dyDescent="0.3">
      <c r="A154" s="66"/>
      <c r="B154" s="67"/>
      <c r="C154" s="68"/>
      <c r="D154" s="68"/>
      <c r="E154" s="70"/>
      <c r="F154" s="71"/>
      <c r="G154" s="71"/>
      <c r="I154" s="16"/>
      <c r="J154" s="17"/>
      <c r="K154" s="18"/>
      <c r="L154" s="18"/>
    </row>
    <row r="155" spans="1:12" ht="35.1" customHeight="1" x14ac:dyDescent="0.3">
      <c r="A155" s="66"/>
      <c r="B155" s="67"/>
      <c r="C155" s="68"/>
      <c r="D155" s="68"/>
      <c r="E155" s="70"/>
      <c r="F155" s="71"/>
      <c r="G155" s="71"/>
      <c r="I155" s="16"/>
      <c r="J155" s="17"/>
      <c r="K155" s="18"/>
      <c r="L155" s="18"/>
    </row>
    <row r="156" spans="1:12" ht="35.1" customHeight="1" x14ac:dyDescent="0.3">
      <c r="A156" s="66"/>
      <c r="B156" s="67"/>
      <c r="C156" s="68"/>
      <c r="D156" s="68"/>
      <c r="E156" s="70"/>
      <c r="F156" s="71"/>
      <c r="G156" s="71"/>
      <c r="I156" s="16"/>
      <c r="J156" s="17"/>
      <c r="K156" s="18"/>
      <c r="L156" s="18"/>
    </row>
    <row r="157" spans="1:12" ht="35.1" customHeight="1" x14ac:dyDescent="0.3">
      <c r="A157" s="66"/>
      <c r="B157" s="67"/>
      <c r="C157" s="68"/>
      <c r="D157" s="68"/>
      <c r="E157" s="70"/>
      <c r="F157" s="71"/>
      <c r="G157" s="71"/>
      <c r="I157" s="16"/>
      <c r="J157" s="17"/>
      <c r="K157" s="18"/>
      <c r="L157" s="18"/>
    </row>
    <row r="158" spans="1:12" ht="35.1" customHeight="1" x14ac:dyDescent="0.3">
      <c r="A158" s="66"/>
      <c r="B158" s="67"/>
      <c r="C158" s="68"/>
      <c r="D158" s="68"/>
      <c r="E158" s="70"/>
      <c r="F158" s="71"/>
      <c r="G158" s="71"/>
      <c r="I158" s="16"/>
      <c r="J158" s="17"/>
      <c r="K158" s="18"/>
      <c r="L158" s="18"/>
    </row>
    <row r="159" spans="1:12" ht="35.1" customHeight="1" x14ac:dyDescent="0.3">
      <c r="A159" s="66"/>
      <c r="B159" s="67"/>
      <c r="C159" s="68"/>
      <c r="D159" s="68"/>
      <c r="E159" s="70"/>
      <c r="F159" s="71"/>
      <c r="G159" s="71"/>
      <c r="I159" s="16"/>
      <c r="J159" s="17"/>
      <c r="K159" s="18"/>
      <c r="L159" s="18"/>
    </row>
    <row r="160" spans="1:12" ht="35.1" customHeight="1" x14ac:dyDescent="0.3">
      <c r="A160" s="66"/>
      <c r="B160" s="67"/>
      <c r="C160" s="68"/>
      <c r="D160" s="68"/>
      <c r="E160" s="70"/>
      <c r="F160" s="71"/>
      <c r="G160" s="71"/>
      <c r="I160" s="16"/>
      <c r="J160" s="17"/>
      <c r="K160" s="18"/>
      <c r="L160" s="18"/>
    </row>
    <row r="161" spans="1:12" ht="35.1" customHeight="1" x14ac:dyDescent="0.3">
      <c r="A161" s="66"/>
      <c r="B161" s="67"/>
      <c r="C161" s="68"/>
      <c r="D161" s="68"/>
      <c r="E161" s="70"/>
      <c r="F161" s="71"/>
      <c r="G161" s="71"/>
      <c r="I161" s="16"/>
      <c r="J161" s="17"/>
      <c r="K161" s="18"/>
      <c r="L161" s="18"/>
    </row>
    <row r="162" spans="1:12" ht="35.1" customHeight="1" x14ac:dyDescent="0.3">
      <c r="A162" s="66"/>
      <c r="B162" s="67"/>
      <c r="C162" s="68"/>
      <c r="D162" s="68"/>
      <c r="E162" s="70"/>
      <c r="F162" s="71"/>
      <c r="G162" s="71"/>
      <c r="I162" s="16"/>
      <c r="J162" s="17"/>
      <c r="K162" s="18"/>
      <c r="L162" s="18"/>
    </row>
    <row r="163" spans="1:12" ht="35.1" customHeight="1" x14ac:dyDescent="0.3">
      <c r="A163" s="66"/>
      <c r="B163" s="67"/>
      <c r="C163" s="68"/>
      <c r="D163" s="68"/>
      <c r="E163" s="70"/>
      <c r="F163" s="71"/>
      <c r="G163" s="71"/>
      <c r="I163" s="16"/>
      <c r="J163" s="17"/>
      <c r="K163" s="18"/>
      <c r="L163" s="18"/>
    </row>
    <row r="164" spans="1:12" ht="35.1" customHeight="1" x14ac:dyDescent="0.3">
      <c r="A164" s="66"/>
      <c r="B164" s="67"/>
      <c r="C164" s="68"/>
      <c r="D164" s="68"/>
      <c r="E164" s="70"/>
      <c r="F164" s="71"/>
      <c r="G164" s="71"/>
      <c r="I164" s="16"/>
      <c r="J164" s="17"/>
      <c r="K164" s="18"/>
      <c r="L164" s="18"/>
    </row>
    <row r="165" spans="1:12" ht="35.1" customHeight="1" x14ac:dyDescent="0.3">
      <c r="A165" s="66"/>
      <c r="B165" s="67"/>
      <c r="C165" s="68"/>
      <c r="D165" s="68"/>
      <c r="E165" s="70"/>
      <c r="F165" s="71"/>
      <c r="G165" s="71"/>
      <c r="I165" s="16"/>
      <c r="J165" s="17"/>
      <c r="K165" s="18"/>
      <c r="L165" s="18"/>
    </row>
    <row r="166" spans="1:12" ht="35.1" customHeight="1" x14ac:dyDescent="0.3">
      <c r="A166" s="66"/>
      <c r="B166" s="67"/>
      <c r="C166" s="68"/>
      <c r="D166" s="68"/>
      <c r="E166" s="70"/>
      <c r="F166" s="71"/>
      <c r="G166" s="71"/>
      <c r="I166" s="16"/>
      <c r="J166" s="17"/>
      <c r="K166" s="18"/>
      <c r="L166" s="18"/>
    </row>
    <row r="167" spans="1:12" ht="35.1" customHeight="1" x14ac:dyDescent="0.3">
      <c r="A167" s="66"/>
      <c r="B167" s="67"/>
      <c r="C167" s="68"/>
      <c r="D167" s="68"/>
      <c r="E167" s="70"/>
      <c r="F167" s="71"/>
      <c r="G167" s="71"/>
      <c r="I167" s="16"/>
      <c r="J167" s="17"/>
      <c r="K167" s="18"/>
      <c r="L167" s="18"/>
    </row>
    <row r="168" spans="1:12" ht="35.1" customHeight="1" x14ac:dyDescent="0.3">
      <c r="A168" s="66"/>
      <c r="B168" s="67"/>
      <c r="C168" s="68"/>
      <c r="D168" s="68"/>
      <c r="E168" s="70"/>
      <c r="F168" s="71"/>
      <c r="G168" s="71"/>
      <c r="I168" s="16"/>
      <c r="J168" s="17"/>
      <c r="K168" s="18"/>
      <c r="L168" s="18"/>
    </row>
    <row r="169" spans="1:12" ht="35.1" customHeight="1" x14ac:dyDescent="0.3">
      <c r="A169" s="66"/>
      <c r="B169" s="67"/>
      <c r="C169" s="68"/>
      <c r="D169" s="68"/>
      <c r="E169" s="70"/>
      <c r="F169" s="71"/>
      <c r="G169" s="71"/>
      <c r="I169" s="16"/>
      <c r="J169" s="17"/>
      <c r="K169" s="18"/>
      <c r="L169" s="18"/>
    </row>
    <row r="170" spans="1:12" ht="35.1" customHeight="1" x14ac:dyDescent="0.3">
      <c r="A170" s="66"/>
      <c r="B170" s="67"/>
      <c r="C170" s="68"/>
      <c r="D170" s="68"/>
      <c r="E170" s="70"/>
      <c r="F170" s="71"/>
      <c r="G170" s="71"/>
      <c r="I170" s="16"/>
      <c r="J170" s="17"/>
      <c r="K170" s="18"/>
      <c r="L170" s="18"/>
    </row>
    <row r="171" spans="1:12" ht="35.1" customHeight="1" x14ac:dyDescent="0.3">
      <c r="A171" s="66"/>
      <c r="B171" s="67"/>
      <c r="C171" s="68"/>
      <c r="D171" s="68"/>
      <c r="E171" s="70"/>
      <c r="F171" s="71"/>
      <c r="G171" s="71"/>
      <c r="I171" s="16"/>
      <c r="J171" s="17"/>
      <c r="K171" s="18"/>
      <c r="L171" s="18"/>
    </row>
    <row r="172" spans="1:12" ht="35.1" customHeight="1" x14ac:dyDescent="0.3">
      <c r="A172" s="66"/>
      <c r="B172" s="67"/>
      <c r="C172" s="68"/>
      <c r="D172" s="68"/>
      <c r="E172" s="70"/>
      <c r="F172" s="71"/>
      <c r="G172" s="71"/>
      <c r="I172" s="16"/>
      <c r="J172" s="17"/>
      <c r="K172" s="18"/>
      <c r="L172" s="18"/>
    </row>
    <row r="173" spans="1:12" ht="35.1" customHeight="1" x14ac:dyDescent="0.3">
      <c r="A173" s="66"/>
      <c r="B173" s="67"/>
      <c r="C173" s="68"/>
      <c r="D173" s="68"/>
      <c r="E173" s="70"/>
      <c r="F173" s="71"/>
      <c r="G173" s="71"/>
      <c r="I173" s="16"/>
      <c r="J173" s="17"/>
      <c r="K173" s="18"/>
      <c r="L173" s="18"/>
    </row>
    <row r="174" spans="1:12" ht="35.1" customHeight="1" x14ac:dyDescent="0.3">
      <c r="A174" s="66"/>
      <c r="B174" s="67"/>
      <c r="C174" s="68"/>
      <c r="D174" s="68"/>
      <c r="E174" s="70"/>
      <c r="F174" s="71"/>
      <c r="G174" s="71"/>
      <c r="I174" s="16"/>
      <c r="J174" s="17"/>
      <c r="K174" s="18"/>
      <c r="L174" s="18"/>
    </row>
    <row r="175" spans="1:12" ht="35.1" customHeight="1" x14ac:dyDescent="0.3">
      <c r="A175" s="66"/>
      <c r="B175" s="67"/>
      <c r="C175" s="68"/>
      <c r="D175" s="68"/>
      <c r="E175" s="70"/>
      <c r="F175" s="71"/>
      <c r="G175" s="71"/>
      <c r="I175" s="16"/>
      <c r="J175" s="17"/>
      <c r="K175" s="18"/>
      <c r="L175" s="18"/>
    </row>
    <row r="176" spans="1:12" ht="35.1" customHeight="1" x14ac:dyDescent="0.3">
      <c r="A176" s="66"/>
      <c r="B176" s="67"/>
      <c r="C176" s="68"/>
      <c r="D176" s="68"/>
      <c r="E176" s="70"/>
      <c r="F176" s="71"/>
      <c r="G176" s="71"/>
      <c r="I176" s="16"/>
      <c r="J176" s="17"/>
      <c r="K176" s="18"/>
      <c r="L176" s="18"/>
    </row>
    <row r="177" spans="1:12" ht="35.1" customHeight="1" x14ac:dyDescent="0.3">
      <c r="A177" s="66"/>
      <c r="B177" s="67"/>
      <c r="C177" s="68"/>
      <c r="D177" s="68"/>
      <c r="E177" s="70"/>
      <c r="F177" s="71"/>
      <c r="G177" s="71"/>
      <c r="I177" s="16"/>
      <c r="J177" s="17"/>
      <c r="K177" s="18"/>
      <c r="L177" s="18"/>
    </row>
    <row r="178" spans="1:12" ht="35.1" customHeight="1" x14ac:dyDescent="0.3">
      <c r="A178" s="66"/>
      <c r="B178" s="67"/>
      <c r="C178" s="68"/>
      <c r="D178" s="68"/>
      <c r="E178" s="70"/>
      <c r="F178" s="71"/>
      <c r="G178" s="71"/>
      <c r="I178" s="16"/>
      <c r="J178" s="17"/>
      <c r="K178" s="18"/>
      <c r="L178" s="18"/>
    </row>
    <row r="179" spans="1:12" ht="35.1" customHeight="1" x14ac:dyDescent="0.3">
      <c r="A179" s="66"/>
      <c r="B179" s="67"/>
      <c r="C179" s="68"/>
      <c r="D179" s="68"/>
      <c r="E179" s="70"/>
      <c r="F179" s="71"/>
      <c r="G179" s="71"/>
      <c r="I179" s="16"/>
      <c r="J179" s="17"/>
      <c r="K179" s="18"/>
      <c r="L179" s="18"/>
    </row>
    <row r="180" spans="1:12" ht="35.1" customHeight="1" x14ac:dyDescent="0.3">
      <c r="A180" s="66"/>
      <c r="B180" s="67"/>
      <c r="C180" s="68"/>
      <c r="D180" s="68"/>
      <c r="E180" s="70"/>
      <c r="F180" s="71"/>
      <c r="G180" s="71"/>
      <c r="I180" s="16"/>
      <c r="J180" s="17"/>
      <c r="K180" s="18"/>
      <c r="L180" s="18"/>
    </row>
    <row r="181" spans="1:12" ht="35.1" customHeight="1" x14ac:dyDescent="0.3">
      <c r="A181" s="66"/>
      <c r="B181" s="67"/>
      <c r="C181" s="68"/>
      <c r="D181" s="68"/>
      <c r="E181" s="70"/>
      <c r="F181" s="71"/>
      <c r="G181" s="71"/>
      <c r="I181" s="16"/>
      <c r="J181" s="17"/>
      <c r="K181" s="18"/>
      <c r="L181" s="18"/>
    </row>
    <row r="182" spans="1:12" ht="35.1" customHeight="1" x14ac:dyDescent="0.3">
      <c r="A182" s="66"/>
      <c r="B182" s="67"/>
      <c r="C182" s="68"/>
      <c r="D182" s="68"/>
      <c r="E182" s="70"/>
      <c r="F182" s="71"/>
      <c r="G182" s="71"/>
      <c r="I182" s="16"/>
      <c r="J182" s="17"/>
      <c r="K182" s="18"/>
      <c r="L182" s="18"/>
    </row>
    <row r="183" spans="1:12" ht="35.1" customHeight="1" x14ac:dyDescent="0.3">
      <c r="A183" s="66"/>
      <c r="B183" s="67"/>
      <c r="C183" s="68"/>
      <c r="D183" s="68"/>
      <c r="E183" s="70"/>
      <c r="F183" s="71"/>
      <c r="G183" s="71"/>
      <c r="I183" s="16"/>
      <c r="J183" s="17"/>
      <c r="K183" s="18"/>
      <c r="L183" s="18"/>
    </row>
    <row r="184" spans="1:12" ht="35.1" customHeight="1" x14ac:dyDescent="0.3">
      <c r="A184" s="66"/>
      <c r="B184" s="67"/>
      <c r="C184" s="68"/>
      <c r="D184" s="68"/>
      <c r="E184" s="70"/>
      <c r="F184" s="71"/>
      <c r="G184" s="71"/>
      <c r="I184" s="16"/>
      <c r="J184" s="17"/>
      <c r="K184" s="18"/>
      <c r="L184" s="18"/>
    </row>
    <row r="185" spans="1:12" ht="35.1" customHeight="1" x14ac:dyDescent="0.3">
      <c r="A185" s="66"/>
      <c r="B185" s="67"/>
      <c r="C185" s="68"/>
      <c r="D185" s="68"/>
      <c r="E185" s="70"/>
      <c r="F185" s="71"/>
      <c r="G185" s="71"/>
      <c r="I185" s="16"/>
      <c r="J185" s="17"/>
      <c r="K185" s="18"/>
      <c r="L185" s="18"/>
    </row>
    <row r="186" spans="1:12" ht="35.1" customHeight="1" x14ac:dyDescent="0.3">
      <c r="A186" s="66"/>
      <c r="B186" s="67"/>
      <c r="C186" s="68"/>
      <c r="D186" s="68"/>
      <c r="E186" s="70"/>
      <c r="F186" s="71"/>
      <c r="G186" s="71"/>
      <c r="I186" s="16"/>
      <c r="J186" s="17"/>
      <c r="K186" s="18"/>
      <c r="L186" s="18"/>
    </row>
    <row r="187" spans="1:12" ht="35.1" customHeight="1" x14ac:dyDescent="0.3">
      <c r="A187" s="66"/>
      <c r="B187" s="67"/>
      <c r="C187" s="68"/>
      <c r="D187" s="68"/>
      <c r="E187" s="70"/>
      <c r="F187" s="71"/>
      <c r="G187" s="71"/>
      <c r="I187" s="16"/>
      <c r="J187" s="17"/>
      <c r="K187" s="18"/>
      <c r="L187" s="18"/>
    </row>
    <row r="188" spans="1:12" ht="35.1" customHeight="1" x14ac:dyDescent="0.3">
      <c r="A188" s="66"/>
      <c r="B188" s="67"/>
      <c r="C188" s="68"/>
      <c r="D188" s="68"/>
      <c r="E188" s="70"/>
      <c r="F188" s="71"/>
      <c r="G188" s="71"/>
      <c r="I188" s="16"/>
      <c r="J188" s="17"/>
      <c r="K188" s="18"/>
      <c r="L188" s="18"/>
    </row>
    <row r="189" spans="1:12" ht="35.1" customHeight="1" x14ac:dyDescent="0.3">
      <c r="A189" s="66"/>
      <c r="B189" s="67"/>
      <c r="C189" s="68"/>
      <c r="D189" s="68"/>
      <c r="E189" s="70"/>
      <c r="F189" s="71"/>
      <c r="G189" s="71"/>
      <c r="I189" s="16"/>
      <c r="J189" s="17"/>
      <c r="K189" s="18"/>
      <c r="L189" s="18"/>
    </row>
    <row r="190" spans="1:12" ht="35.1" customHeight="1" x14ac:dyDescent="0.3">
      <c r="A190" s="66"/>
      <c r="B190" s="67"/>
      <c r="C190" s="68"/>
      <c r="D190" s="68"/>
      <c r="E190" s="70"/>
      <c r="F190" s="71"/>
      <c r="G190" s="71"/>
      <c r="I190" s="16"/>
      <c r="J190" s="17"/>
      <c r="K190" s="18"/>
      <c r="L190" s="18"/>
    </row>
    <row r="191" spans="1:12" ht="30" customHeight="1" x14ac:dyDescent="0.3">
      <c r="A191" s="66"/>
      <c r="B191" s="67"/>
      <c r="C191" s="68"/>
      <c r="D191" s="68"/>
      <c r="E191" s="70"/>
      <c r="F191" s="71"/>
      <c r="G191" s="71"/>
      <c r="I191" s="16"/>
      <c r="J191" s="17"/>
      <c r="K191" s="18"/>
      <c r="L191" s="18"/>
    </row>
    <row r="192" spans="1:12" ht="30" customHeight="1" x14ac:dyDescent="0.3">
      <c r="A192" s="66"/>
      <c r="B192" s="67"/>
      <c r="C192" s="68"/>
      <c r="D192" s="68"/>
      <c r="E192" s="70"/>
      <c r="F192" s="71"/>
      <c r="G192" s="71"/>
      <c r="I192" s="16"/>
      <c r="J192" s="17"/>
      <c r="K192" s="18"/>
      <c r="L192" s="18"/>
    </row>
    <row r="193" spans="1:12" ht="30" customHeight="1" x14ac:dyDescent="0.3">
      <c r="A193" s="66"/>
      <c r="B193" s="67"/>
      <c r="C193" s="68"/>
      <c r="D193" s="68"/>
      <c r="E193" s="70"/>
      <c r="F193" s="71"/>
      <c r="G193" s="71"/>
      <c r="I193" s="16"/>
      <c r="J193" s="17"/>
      <c r="K193" s="18"/>
      <c r="L193" s="18"/>
    </row>
    <row r="194" spans="1:12" ht="30" customHeight="1" x14ac:dyDescent="0.3">
      <c r="A194" s="66"/>
      <c r="B194" s="67"/>
      <c r="C194" s="68"/>
      <c r="D194" s="68"/>
      <c r="E194" s="70"/>
      <c r="F194" s="71"/>
      <c r="G194" s="71"/>
      <c r="I194" s="16"/>
      <c r="J194" s="17"/>
      <c r="K194" s="18"/>
      <c r="L194" s="18"/>
    </row>
    <row r="195" spans="1:12" ht="30" customHeight="1" x14ac:dyDescent="0.3">
      <c r="A195" s="66"/>
      <c r="B195" s="67"/>
      <c r="C195" s="68"/>
      <c r="D195" s="68"/>
      <c r="E195" s="70"/>
      <c r="F195" s="71"/>
      <c r="G195" s="71"/>
      <c r="I195" s="16"/>
      <c r="J195" s="17"/>
      <c r="K195" s="18"/>
      <c r="L195" s="18"/>
    </row>
    <row r="196" spans="1:12" ht="30" customHeight="1" x14ac:dyDescent="0.3">
      <c r="A196" s="66"/>
      <c r="B196" s="67"/>
      <c r="C196" s="68"/>
      <c r="D196" s="68"/>
      <c r="E196" s="70"/>
      <c r="F196" s="71"/>
      <c r="G196" s="71"/>
      <c r="I196" s="16"/>
      <c r="J196" s="17"/>
      <c r="K196" s="18"/>
      <c r="L196" s="18"/>
    </row>
    <row r="197" spans="1:12" ht="30" customHeight="1" x14ac:dyDescent="0.3">
      <c r="A197" s="66"/>
      <c r="B197" s="67"/>
      <c r="C197" s="68"/>
      <c r="D197" s="68"/>
      <c r="E197" s="70"/>
      <c r="F197" s="71"/>
      <c r="G197" s="71"/>
      <c r="I197" s="16"/>
      <c r="J197" s="17"/>
      <c r="K197" s="18"/>
      <c r="L197" s="18"/>
    </row>
    <row r="198" spans="1:12" ht="30" customHeight="1" x14ac:dyDescent="0.3">
      <c r="A198" s="66"/>
      <c r="B198" s="67"/>
      <c r="C198" s="68"/>
      <c r="D198" s="68"/>
      <c r="E198" s="70"/>
      <c r="F198" s="71"/>
      <c r="G198" s="71"/>
      <c r="I198" s="16"/>
      <c r="J198" s="17"/>
      <c r="K198" s="18"/>
      <c r="L198" s="18"/>
    </row>
    <row r="199" spans="1:12" ht="30" customHeight="1" x14ac:dyDescent="0.3">
      <c r="A199" s="66"/>
      <c r="B199" s="67"/>
      <c r="C199" s="68"/>
      <c r="D199" s="68"/>
      <c r="E199" s="70"/>
      <c r="F199" s="71"/>
      <c r="G199" s="71"/>
      <c r="I199" s="16"/>
      <c r="J199" s="17"/>
      <c r="K199" s="18"/>
      <c r="L199" s="18"/>
    </row>
    <row r="200" spans="1:12" ht="30" customHeight="1" x14ac:dyDescent="0.3">
      <c r="A200" s="66"/>
      <c r="B200" s="67"/>
      <c r="C200" s="68"/>
      <c r="D200" s="68"/>
      <c r="E200" s="70"/>
      <c r="F200" s="71"/>
      <c r="G200" s="71"/>
      <c r="I200" s="16"/>
      <c r="J200" s="17"/>
      <c r="K200" s="18"/>
      <c r="L200" s="18"/>
    </row>
    <row r="201" spans="1:12" ht="30" customHeight="1" x14ac:dyDescent="0.3">
      <c r="A201" s="66"/>
      <c r="B201" s="67"/>
      <c r="C201" s="68"/>
      <c r="D201" s="68"/>
      <c r="E201" s="70"/>
      <c r="F201" s="71"/>
      <c r="G201" s="71"/>
      <c r="I201" s="16"/>
      <c r="J201" s="17"/>
      <c r="K201" s="18"/>
      <c r="L201" s="18"/>
    </row>
    <row r="202" spans="1:12" ht="30" customHeight="1" x14ac:dyDescent="0.3">
      <c r="A202" s="66"/>
      <c r="B202" s="67"/>
      <c r="C202" s="68"/>
      <c r="D202" s="68"/>
      <c r="E202" s="70"/>
      <c r="F202" s="71"/>
      <c r="G202" s="71"/>
      <c r="I202" s="16"/>
      <c r="J202" s="17"/>
      <c r="K202" s="18"/>
      <c r="L202" s="18"/>
    </row>
    <row r="203" spans="1:12" ht="30" customHeight="1" x14ac:dyDescent="0.3">
      <c r="A203" s="66"/>
      <c r="B203" s="67"/>
      <c r="C203" s="68"/>
      <c r="D203" s="68"/>
      <c r="E203" s="70"/>
      <c r="F203" s="71"/>
      <c r="G203" s="71"/>
      <c r="I203" s="16"/>
      <c r="J203" s="17"/>
      <c r="K203" s="18"/>
      <c r="L203" s="18"/>
    </row>
    <row r="204" spans="1:12" ht="30" customHeight="1" x14ac:dyDescent="0.3">
      <c r="A204" s="66"/>
      <c r="B204" s="67"/>
      <c r="C204" s="68"/>
      <c r="D204" s="68"/>
      <c r="E204" s="70"/>
      <c r="F204" s="71"/>
      <c r="G204" s="71"/>
      <c r="I204" s="16"/>
      <c r="J204" s="17"/>
      <c r="K204" s="18"/>
      <c r="L204" s="18"/>
    </row>
    <row r="205" spans="1:12" ht="30" customHeight="1" x14ac:dyDescent="0.3">
      <c r="A205" s="66"/>
      <c r="B205" s="67"/>
      <c r="C205" s="68"/>
      <c r="D205" s="68"/>
      <c r="E205" s="70"/>
      <c r="F205" s="71"/>
      <c r="G205" s="71"/>
      <c r="I205" s="16"/>
      <c r="J205" s="17"/>
      <c r="K205" s="18"/>
      <c r="L205" s="18"/>
    </row>
    <row r="206" spans="1:12" ht="30" customHeight="1" x14ac:dyDescent="0.3">
      <c r="A206" s="66"/>
      <c r="B206" s="67"/>
      <c r="C206" s="68"/>
      <c r="D206" s="68"/>
      <c r="E206" s="70"/>
      <c r="F206" s="71"/>
      <c r="G206" s="71"/>
      <c r="I206" s="16"/>
      <c r="J206" s="17"/>
      <c r="K206" s="18"/>
      <c r="L206" s="18"/>
    </row>
    <row r="207" spans="1:12" ht="30" customHeight="1" x14ac:dyDescent="0.3">
      <c r="A207" s="72"/>
      <c r="B207" s="68"/>
      <c r="C207" s="73"/>
      <c r="D207" s="69"/>
      <c r="E207" s="70"/>
      <c r="F207" s="71"/>
      <c r="G207" s="71"/>
      <c r="I207" s="16"/>
      <c r="J207" s="17"/>
      <c r="K207" s="18"/>
      <c r="L207" s="18"/>
    </row>
    <row r="208" spans="1:12" ht="30" customHeight="1" x14ac:dyDescent="0.3">
      <c r="A208" s="72"/>
      <c r="B208" s="68"/>
      <c r="C208" s="73"/>
      <c r="D208" s="69"/>
      <c r="E208" s="70"/>
      <c r="F208" s="71"/>
      <c r="G208" s="71"/>
      <c r="I208" s="16"/>
      <c r="J208" s="17"/>
      <c r="K208" s="18"/>
      <c r="L208" s="18"/>
    </row>
    <row r="209" spans="1:12" ht="30" customHeight="1" x14ac:dyDescent="0.3">
      <c r="A209" s="72"/>
      <c r="B209" s="68"/>
      <c r="C209" s="73"/>
      <c r="D209" s="69"/>
      <c r="E209" s="70"/>
      <c r="F209" s="71"/>
      <c r="G209" s="71"/>
      <c r="I209" s="16"/>
      <c r="J209" s="17"/>
      <c r="K209" s="18"/>
      <c r="L209" s="18"/>
    </row>
    <row r="210" spans="1:12" ht="30" customHeight="1" x14ac:dyDescent="0.3">
      <c r="A210" s="72"/>
      <c r="B210" s="68"/>
      <c r="C210" s="73"/>
      <c r="D210" s="69"/>
      <c r="E210" s="70"/>
      <c r="F210" s="71"/>
      <c r="G210" s="71"/>
      <c r="I210" s="16"/>
      <c r="J210" s="17"/>
      <c r="K210" s="18"/>
      <c r="L210" s="18"/>
    </row>
    <row r="211" spans="1:12" ht="30" customHeight="1" x14ac:dyDescent="0.3">
      <c r="A211" s="72"/>
      <c r="B211" s="68"/>
      <c r="C211" s="73"/>
      <c r="D211" s="69"/>
      <c r="E211" s="70"/>
      <c r="F211" s="71"/>
      <c r="G211" s="71"/>
      <c r="I211" s="16"/>
      <c r="J211" s="17"/>
      <c r="K211" s="18"/>
      <c r="L211" s="18"/>
    </row>
    <row r="212" spans="1:12" ht="30" customHeight="1" x14ac:dyDescent="0.3">
      <c r="A212" s="72"/>
      <c r="B212" s="68"/>
      <c r="C212" s="73"/>
      <c r="D212" s="69"/>
      <c r="E212" s="70"/>
      <c r="F212" s="71"/>
      <c r="G212" s="71"/>
      <c r="I212" s="16"/>
      <c r="J212" s="17"/>
      <c r="K212" s="18"/>
      <c r="L212" s="18"/>
    </row>
    <row r="213" spans="1:12" ht="30" customHeight="1" x14ac:dyDescent="0.3">
      <c r="A213" s="72"/>
      <c r="B213" s="68"/>
      <c r="C213" s="73"/>
      <c r="D213" s="69"/>
      <c r="E213" s="70"/>
      <c r="F213" s="71"/>
      <c r="G213" s="71"/>
      <c r="I213" s="16"/>
      <c r="J213" s="17"/>
      <c r="K213" s="18"/>
      <c r="L213" s="18"/>
    </row>
    <row r="214" spans="1:12" ht="30" customHeight="1" x14ac:dyDescent="0.3">
      <c r="A214" s="72"/>
      <c r="B214" s="68"/>
      <c r="C214" s="73"/>
      <c r="D214" s="69"/>
      <c r="E214" s="70"/>
      <c r="F214" s="71"/>
      <c r="G214" s="71"/>
      <c r="I214" s="16"/>
      <c r="J214" s="17"/>
      <c r="K214" s="18"/>
      <c r="L214" s="18"/>
    </row>
    <row r="215" spans="1:12" ht="30" customHeight="1" x14ac:dyDescent="0.3">
      <c r="A215" s="72"/>
      <c r="B215" s="68"/>
      <c r="C215" s="73"/>
      <c r="D215" s="69"/>
      <c r="E215" s="70"/>
      <c r="F215" s="71"/>
      <c r="G215" s="71"/>
      <c r="I215" s="16"/>
      <c r="J215" s="17"/>
      <c r="K215" s="18"/>
      <c r="L215" s="18"/>
    </row>
    <row r="216" spans="1:12" ht="30" customHeight="1" thickBot="1" x14ac:dyDescent="0.35">
      <c r="A216" s="74"/>
      <c r="B216" s="68"/>
      <c r="C216" s="73"/>
      <c r="D216" s="69"/>
      <c r="E216" s="70"/>
      <c r="F216" s="71"/>
      <c r="G216" s="71"/>
      <c r="I216" s="16"/>
      <c r="J216" s="17"/>
      <c r="K216" s="18"/>
      <c r="L216" s="18"/>
    </row>
    <row r="217" spans="1:12" ht="24.9" customHeight="1" x14ac:dyDescent="0.3">
      <c r="A217" s="75"/>
      <c r="B217" s="68"/>
      <c r="C217" s="73"/>
      <c r="D217" s="69"/>
      <c r="E217" s="70"/>
      <c r="F217" s="71"/>
      <c r="G217" s="71"/>
    </row>
    <row r="218" spans="1:12" x14ac:dyDescent="0.3">
      <c r="A218" s="75"/>
      <c r="B218" s="68"/>
      <c r="C218" s="73"/>
      <c r="D218" s="69"/>
      <c r="E218" s="67"/>
      <c r="F218" s="76"/>
      <c r="G218" s="76"/>
    </row>
    <row r="219" spans="1:12" x14ac:dyDescent="0.3">
      <c r="A219" s="75"/>
      <c r="B219" s="68"/>
      <c r="C219" s="73"/>
      <c r="D219" s="69"/>
      <c r="E219" s="67"/>
      <c r="F219" s="76"/>
      <c r="G219" s="76"/>
    </row>
    <row r="220" spans="1:12" x14ac:dyDescent="0.3">
      <c r="A220" s="75"/>
      <c r="B220" s="68"/>
      <c r="C220" s="73"/>
      <c r="D220" s="69"/>
      <c r="E220" s="67"/>
      <c r="F220" s="76"/>
      <c r="G220" s="76"/>
    </row>
    <row r="221" spans="1:12" x14ac:dyDescent="0.3">
      <c r="A221" s="75"/>
      <c r="B221" s="68"/>
      <c r="C221" s="73"/>
      <c r="D221" s="69"/>
      <c r="E221" s="67"/>
      <c r="F221" s="76"/>
      <c r="G221" s="76"/>
    </row>
    <row r="222" spans="1:12" x14ac:dyDescent="0.3">
      <c r="A222" s="75"/>
      <c r="B222" s="68"/>
      <c r="C222" s="73"/>
      <c r="D222" s="69"/>
      <c r="E222" s="67"/>
      <c r="F222" s="76"/>
      <c r="G222" s="76"/>
    </row>
    <row r="223" spans="1:12" x14ac:dyDescent="0.3">
      <c r="A223" s="75"/>
      <c r="B223" s="68"/>
      <c r="C223" s="73"/>
      <c r="D223" s="69"/>
      <c r="E223" s="67"/>
      <c r="F223" s="76"/>
      <c r="G223" s="76"/>
    </row>
    <row r="224" spans="1:12" x14ac:dyDescent="0.3">
      <c r="A224" s="75"/>
      <c r="B224" s="68"/>
      <c r="C224" s="73"/>
      <c r="D224" s="69"/>
      <c r="E224" s="67"/>
      <c r="F224" s="76"/>
      <c r="G224" s="76"/>
    </row>
    <row r="225" spans="1:7" x14ac:dyDescent="0.3">
      <c r="A225" s="75"/>
      <c r="B225" s="68"/>
      <c r="C225" s="73"/>
      <c r="D225" s="69"/>
      <c r="E225" s="67"/>
      <c r="F225" s="76"/>
      <c r="G225" s="76"/>
    </row>
    <row r="226" spans="1:7" x14ac:dyDescent="0.3">
      <c r="A226" s="75"/>
      <c r="B226" s="68"/>
      <c r="C226" s="73"/>
      <c r="D226" s="69"/>
      <c r="E226" s="67"/>
      <c r="F226" s="76"/>
      <c r="G226" s="76"/>
    </row>
    <row r="227" spans="1:7" x14ac:dyDescent="0.3">
      <c r="B227" s="67"/>
      <c r="C227" s="67"/>
      <c r="D227" s="67"/>
      <c r="E227" s="67"/>
      <c r="F227" s="76"/>
      <c r="G227" s="76"/>
    </row>
    <row r="228" spans="1:7" x14ac:dyDescent="0.3">
      <c r="B228" s="67"/>
      <c r="C228" s="67"/>
      <c r="D228" s="67"/>
      <c r="E228" s="67"/>
      <c r="F228" s="76"/>
      <c r="G228" s="76"/>
    </row>
    <row r="229" spans="1:7" x14ac:dyDescent="0.3">
      <c r="B229" s="67"/>
      <c r="C229" s="67"/>
      <c r="D229" s="67"/>
      <c r="E229" s="67"/>
      <c r="F229" s="76"/>
      <c r="G229" s="76"/>
    </row>
    <row r="230" spans="1:7" x14ac:dyDescent="0.3">
      <c r="B230" s="67"/>
      <c r="C230" s="67"/>
      <c r="D230" s="67"/>
      <c r="E230" s="67"/>
      <c r="F230" s="76"/>
      <c r="G230" s="76"/>
    </row>
    <row r="231" spans="1:7" x14ac:dyDescent="0.3">
      <c r="B231" s="67"/>
      <c r="C231" s="67"/>
      <c r="D231" s="67"/>
      <c r="E231" s="67"/>
      <c r="F231" s="76"/>
      <c r="G231" s="76"/>
    </row>
    <row r="232" spans="1:7" x14ac:dyDescent="0.3">
      <c r="B232" s="67"/>
      <c r="C232" s="67"/>
      <c r="D232" s="67"/>
      <c r="E232" s="67"/>
      <c r="F232" s="76"/>
      <c r="G232" s="76"/>
    </row>
    <row r="233" spans="1:7" x14ac:dyDescent="0.3">
      <c r="B233" s="67"/>
      <c r="C233" s="67"/>
      <c r="D233" s="67"/>
      <c r="E233" s="67"/>
      <c r="F233" s="76"/>
      <c r="G233" s="76"/>
    </row>
    <row r="234" spans="1:7" x14ac:dyDescent="0.3">
      <c r="B234" s="67"/>
      <c r="C234" s="67"/>
      <c r="D234" s="67"/>
      <c r="E234" s="67"/>
      <c r="F234" s="76"/>
      <c r="G234" s="76"/>
    </row>
    <row r="235" spans="1:7" x14ac:dyDescent="0.3">
      <c r="B235" s="67"/>
      <c r="C235" s="67"/>
      <c r="D235" s="67"/>
      <c r="E235" s="67"/>
      <c r="F235" s="76"/>
      <c r="G235" s="76"/>
    </row>
    <row r="236" spans="1:7" x14ac:dyDescent="0.3">
      <c r="B236" s="67"/>
      <c r="C236" s="67"/>
      <c r="D236" s="67"/>
      <c r="E236" s="67"/>
      <c r="F236" s="76"/>
      <c r="G236" s="76"/>
    </row>
    <row r="237" spans="1:7" x14ac:dyDescent="0.3">
      <c r="B237" s="67"/>
      <c r="C237" s="67"/>
      <c r="D237" s="67"/>
      <c r="E237" s="67"/>
      <c r="F237" s="76"/>
      <c r="G237" s="76"/>
    </row>
    <row r="238" spans="1:7" x14ac:dyDescent="0.3">
      <c r="B238" s="67"/>
      <c r="C238" s="67"/>
      <c r="D238" s="67"/>
      <c r="E238" s="67"/>
      <c r="F238" s="76"/>
      <c r="G238" s="76"/>
    </row>
    <row r="239" spans="1:7" x14ac:dyDescent="0.3">
      <c r="B239" s="67"/>
      <c r="C239" s="67"/>
      <c r="D239" s="67"/>
      <c r="E239" s="67"/>
      <c r="F239" s="76"/>
      <c r="G239" s="76"/>
    </row>
    <row r="240" spans="1:7" x14ac:dyDescent="0.3">
      <c r="B240" s="67"/>
      <c r="C240" s="67"/>
      <c r="D240" s="67"/>
      <c r="E240" s="67"/>
      <c r="F240" s="76"/>
      <c r="G240" s="76"/>
    </row>
    <row r="241" spans="2:7" x14ac:dyDescent="0.3">
      <c r="B241" s="67"/>
      <c r="C241" s="67"/>
      <c r="D241" s="67"/>
      <c r="E241" s="67"/>
      <c r="F241" s="76"/>
      <c r="G241" s="76"/>
    </row>
    <row r="242" spans="2:7" x14ac:dyDescent="0.3">
      <c r="B242" s="67"/>
      <c r="C242" s="67"/>
      <c r="D242" s="67"/>
      <c r="E242" s="67"/>
      <c r="F242" s="76"/>
      <c r="G242" s="76"/>
    </row>
    <row r="243" spans="2:7" x14ac:dyDescent="0.3">
      <c r="B243" s="67"/>
      <c r="C243" s="67"/>
      <c r="D243" s="67"/>
      <c r="E243" s="67"/>
      <c r="F243" s="76"/>
      <c r="G243" s="76"/>
    </row>
    <row r="244" spans="2:7" x14ac:dyDescent="0.3">
      <c r="B244" s="67"/>
      <c r="C244" s="67"/>
      <c r="D244" s="67"/>
      <c r="E244" s="67"/>
      <c r="F244" s="76"/>
      <c r="G244" s="76"/>
    </row>
    <row r="245" spans="2:7" x14ac:dyDescent="0.3">
      <c r="B245" s="67"/>
      <c r="C245" s="67"/>
      <c r="D245" s="67"/>
      <c r="E245" s="67"/>
      <c r="F245" s="76"/>
      <c r="G245" s="76"/>
    </row>
    <row r="246" spans="2:7" x14ac:dyDescent="0.3">
      <c r="B246" s="67"/>
      <c r="C246" s="67"/>
      <c r="D246" s="67"/>
      <c r="E246" s="67"/>
      <c r="F246" s="76"/>
      <c r="G246" s="76"/>
    </row>
    <row r="247" spans="2:7" x14ac:dyDescent="0.3">
      <c r="B247" s="67"/>
      <c r="C247" s="67"/>
      <c r="D247" s="67"/>
      <c r="E247" s="67"/>
      <c r="F247" s="76"/>
      <c r="G247" s="76"/>
    </row>
    <row r="248" spans="2:7" x14ac:dyDescent="0.3">
      <c r="B248" s="67"/>
      <c r="C248" s="67"/>
      <c r="D248" s="67"/>
      <c r="E248" s="67"/>
      <c r="F248" s="76"/>
      <c r="G248" s="76"/>
    </row>
    <row r="249" spans="2:7" x14ac:dyDescent="0.3">
      <c r="B249" s="67"/>
      <c r="C249" s="67"/>
      <c r="D249" s="67"/>
      <c r="E249" s="67"/>
      <c r="F249" s="76"/>
      <c r="G249" s="76"/>
    </row>
    <row r="250" spans="2:7" x14ac:dyDescent="0.3">
      <c r="B250" s="67"/>
      <c r="C250" s="67"/>
      <c r="D250" s="67"/>
      <c r="E250" s="67"/>
      <c r="F250" s="76"/>
      <c r="G250" s="76"/>
    </row>
    <row r="251" spans="2:7" x14ac:dyDescent="0.3">
      <c r="B251" s="67"/>
      <c r="C251" s="67"/>
      <c r="D251" s="67"/>
      <c r="E251" s="67"/>
      <c r="F251" s="76"/>
      <c r="G251" s="76"/>
    </row>
    <row r="252" spans="2:7" x14ac:dyDescent="0.3">
      <c r="B252" s="67"/>
      <c r="C252" s="67"/>
      <c r="D252" s="67"/>
      <c r="E252" s="67"/>
      <c r="F252" s="76"/>
      <c r="G252" s="76"/>
    </row>
    <row r="253" spans="2:7" x14ac:dyDescent="0.3">
      <c r="B253" s="67"/>
      <c r="C253" s="67"/>
      <c r="D253" s="67"/>
      <c r="E253" s="67"/>
      <c r="F253" s="76"/>
      <c r="G253" s="76"/>
    </row>
    <row r="254" spans="2:7" x14ac:dyDescent="0.3">
      <c r="B254" s="67"/>
      <c r="C254" s="67"/>
      <c r="D254" s="67"/>
      <c r="E254" s="67"/>
      <c r="F254" s="76"/>
      <c r="G254" s="76"/>
    </row>
    <row r="255" spans="2:7" x14ac:dyDescent="0.3">
      <c r="B255" s="67"/>
      <c r="C255" s="67"/>
      <c r="D255" s="67"/>
      <c r="E255" s="67"/>
      <c r="F255" s="76"/>
      <c r="G255" s="76"/>
    </row>
    <row r="256" spans="2:7" x14ac:dyDescent="0.3">
      <c r="B256" s="67"/>
      <c r="C256" s="67"/>
      <c r="D256" s="67"/>
      <c r="E256" s="67"/>
      <c r="F256" s="76"/>
      <c r="G256" s="76"/>
    </row>
    <row r="257" spans="2:7" x14ac:dyDescent="0.3">
      <c r="B257" s="67"/>
      <c r="C257" s="67"/>
      <c r="D257" s="67"/>
      <c r="E257" s="67"/>
      <c r="F257" s="76"/>
      <c r="G257" s="76"/>
    </row>
    <row r="258" spans="2:7" x14ac:dyDescent="0.3">
      <c r="B258" s="67"/>
      <c r="C258" s="67"/>
      <c r="D258" s="67"/>
      <c r="E258" s="67"/>
      <c r="F258" s="76"/>
      <c r="G258" s="76"/>
    </row>
    <row r="259" spans="2:7" x14ac:dyDescent="0.3">
      <c r="B259" s="67"/>
      <c r="C259" s="67"/>
      <c r="D259" s="67"/>
      <c r="E259" s="67"/>
      <c r="F259" s="76"/>
      <c r="G259" s="76"/>
    </row>
    <row r="260" spans="2:7" x14ac:dyDescent="0.3">
      <c r="B260" s="67"/>
      <c r="C260" s="67"/>
      <c r="D260" s="67"/>
      <c r="E260" s="67"/>
      <c r="F260" s="76"/>
      <c r="G260" s="76"/>
    </row>
    <row r="261" spans="2:7" x14ac:dyDescent="0.3">
      <c r="B261" s="67"/>
      <c r="C261" s="67"/>
      <c r="D261" s="67"/>
      <c r="E261" s="67"/>
      <c r="F261" s="76"/>
      <c r="G261" s="76"/>
    </row>
    <row r="262" spans="2:7" x14ac:dyDescent="0.3">
      <c r="B262" s="67"/>
      <c r="C262" s="67"/>
      <c r="D262" s="67"/>
      <c r="E262" s="67"/>
      <c r="F262" s="76"/>
      <c r="G262" s="76"/>
    </row>
    <row r="263" spans="2:7" x14ac:dyDescent="0.3">
      <c r="B263" s="67"/>
      <c r="C263" s="67"/>
      <c r="D263" s="67"/>
      <c r="E263" s="67"/>
      <c r="F263" s="76"/>
      <c r="G263" s="76"/>
    </row>
    <row r="264" spans="2:7" x14ac:dyDescent="0.3">
      <c r="B264" s="67"/>
      <c r="C264" s="67"/>
      <c r="D264" s="67"/>
      <c r="E264" s="67"/>
      <c r="F264" s="76"/>
      <c r="G264" s="76"/>
    </row>
    <row r="265" spans="2:7" x14ac:dyDescent="0.3">
      <c r="B265" s="67"/>
      <c r="C265" s="67"/>
      <c r="D265" s="67"/>
      <c r="E265" s="67"/>
      <c r="F265" s="76"/>
      <c r="G265" s="76"/>
    </row>
    <row r="266" spans="2:7" x14ac:dyDescent="0.3">
      <c r="B266" s="67"/>
      <c r="C266" s="67"/>
      <c r="D266" s="67"/>
      <c r="E266" s="67"/>
      <c r="F266" s="76"/>
      <c r="G266" s="76"/>
    </row>
    <row r="267" spans="2:7" x14ac:dyDescent="0.3">
      <c r="B267" s="67"/>
      <c r="C267" s="67"/>
      <c r="D267" s="67"/>
      <c r="E267" s="67"/>
      <c r="F267" s="76"/>
      <c r="G267" s="76"/>
    </row>
    <row r="268" spans="2:7" x14ac:dyDescent="0.3">
      <c r="B268" s="67"/>
      <c r="C268" s="67"/>
      <c r="D268" s="67"/>
      <c r="E268" s="67"/>
      <c r="F268" s="76"/>
      <c r="G268" s="76"/>
    </row>
    <row r="269" spans="2:7" x14ac:dyDescent="0.3">
      <c r="B269" s="67"/>
      <c r="C269" s="67"/>
      <c r="D269" s="67"/>
      <c r="E269" s="67"/>
      <c r="F269" s="76"/>
      <c r="G269" s="76"/>
    </row>
    <row r="270" spans="2:7" x14ac:dyDescent="0.3">
      <c r="B270" s="67"/>
      <c r="C270" s="67"/>
      <c r="D270" s="67"/>
      <c r="E270" s="67"/>
      <c r="F270" s="76"/>
      <c r="G270" s="76"/>
    </row>
    <row r="271" spans="2:7" x14ac:dyDescent="0.3">
      <c r="B271" s="67"/>
      <c r="C271" s="67"/>
      <c r="D271" s="67"/>
      <c r="E271" s="67"/>
      <c r="F271" s="76"/>
      <c r="G271" s="76"/>
    </row>
    <row r="272" spans="2:7" x14ac:dyDescent="0.3">
      <c r="B272" s="67"/>
      <c r="C272" s="67"/>
      <c r="D272" s="67"/>
      <c r="E272" s="67"/>
      <c r="F272" s="76"/>
      <c r="G272" s="76"/>
    </row>
    <row r="273" spans="2:7" x14ac:dyDescent="0.3">
      <c r="B273" s="67"/>
      <c r="C273" s="67"/>
      <c r="D273" s="67"/>
      <c r="E273" s="67"/>
      <c r="F273" s="76"/>
      <c r="G273" s="76"/>
    </row>
    <row r="274" spans="2:7" x14ac:dyDescent="0.3">
      <c r="B274" s="67"/>
      <c r="C274" s="67"/>
      <c r="D274" s="67"/>
      <c r="E274" s="67"/>
      <c r="F274" s="76"/>
      <c r="G274" s="76"/>
    </row>
    <row r="275" spans="2:7" x14ac:dyDescent="0.3">
      <c r="B275" s="67"/>
      <c r="C275" s="67"/>
      <c r="D275" s="67"/>
      <c r="E275" s="67"/>
      <c r="F275" s="76"/>
      <c r="G275" s="76"/>
    </row>
    <row r="276" spans="2:7" x14ac:dyDescent="0.3">
      <c r="B276" s="67"/>
      <c r="C276" s="67"/>
      <c r="D276" s="67"/>
      <c r="E276" s="67"/>
      <c r="F276" s="76"/>
      <c r="G276" s="76"/>
    </row>
    <row r="277" spans="2:7" x14ac:dyDescent="0.3">
      <c r="B277" s="67"/>
      <c r="C277" s="67"/>
      <c r="D277" s="67"/>
      <c r="E277" s="67"/>
      <c r="F277" s="76"/>
      <c r="G277" s="76"/>
    </row>
    <row r="278" spans="2:7" x14ac:dyDescent="0.3">
      <c r="B278" s="67"/>
      <c r="C278" s="67"/>
      <c r="D278" s="67"/>
      <c r="E278" s="67"/>
      <c r="F278" s="76"/>
      <c r="G278" s="76"/>
    </row>
    <row r="279" spans="2:7" x14ac:dyDescent="0.3">
      <c r="B279" s="67"/>
      <c r="C279" s="67"/>
      <c r="D279" s="67"/>
      <c r="E279" s="67"/>
      <c r="F279" s="76"/>
      <c r="G279" s="76"/>
    </row>
    <row r="280" spans="2:7" x14ac:dyDescent="0.3">
      <c r="B280" s="67"/>
      <c r="C280" s="67"/>
      <c r="D280" s="67"/>
      <c r="E280" s="67"/>
      <c r="F280" s="76"/>
      <c r="G280" s="76"/>
    </row>
    <row r="281" spans="2:7" x14ac:dyDescent="0.3">
      <c r="B281" s="67"/>
      <c r="C281" s="67"/>
      <c r="D281" s="67"/>
      <c r="E281" s="67"/>
      <c r="F281" s="76"/>
      <c r="G281" s="76"/>
    </row>
    <row r="282" spans="2:7" x14ac:dyDescent="0.3">
      <c r="B282" s="67"/>
      <c r="C282" s="67"/>
      <c r="D282" s="67"/>
      <c r="E282" s="67"/>
      <c r="F282" s="76"/>
      <c r="G282" s="76"/>
    </row>
    <row r="283" spans="2:7" x14ac:dyDescent="0.3">
      <c r="B283" s="67"/>
      <c r="C283" s="67"/>
      <c r="D283" s="67"/>
      <c r="E283" s="67"/>
      <c r="F283" s="76"/>
      <c r="G283" s="76"/>
    </row>
    <row r="284" spans="2:7" x14ac:dyDescent="0.3">
      <c r="B284" s="67"/>
      <c r="C284" s="67"/>
      <c r="D284" s="67"/>
      <c r="E284" s="67"/>
      <c r="F284" s="76"/>
      <c r="G284" s="76"/>
    </row>
    <row r="285" spans="2:7" x14ac:dyDescent="0.3">
      <c r="B285" s="67"/>
      <c r="C285" s="67"/>
      <c r="D285" s="67"/>
      <c r="E285" s="67"/>
      <c r="F285" s="76"/>
      <c r="G285" s="76"/>
    </row>
    <row r="286" spans="2:7" x14ac:dyDescent="0.3">
      <c r="B286" s="67"/>
      <c r="C286" s="67"/>
      <c r="D286" s="67"/>
      <c r="E286" s="67"/>
      <c r="F286" s="76"/>
      <c r="G286" s="76"/>
    </row>
    <row r="287" spans="2:7" x14ac:dyDescent="0.3">
      <c r="B287" s="67"/>
      <c r="C287" s="67"/>
      <c r="D287" s="67"/>
      <c r="E287" s="67"/>
      <c r="F287" s="76"/>
      <c r="G287" s="76"/>
    </row>
    <row r="288" spans="2:7" x14ac:dyDescent="0.3">
      <c r="B288" s="67"/>
      <c r="C288" s="67"/>
      <c r="D288" s="67"/>
      <c r="E288" s="67"/>
      <c r="F288" s="76"/>
      <c r="G288" s="76"/>
    </row>
    <row r="289" spans="2:7" x14ac:dyDescent="0.3">
      <c r="B289" s="67"/>
      <c r="C289" s="67"/>
      <c r="D289" s="67"/>
      <c r="E289" s="67"/>
      <c r="F289" s="76"/>
      <c r="G289" s="76"/>
    </row>
    <row r="290" spans="2:7" x14ac:dyDescent="0.3">
      <c r="B290" s="67"/>
      <c r="C290" s="67"/>
      <c r="D290" s="67"/>
      <c r="E290" s="67"/>
      <c r="F290" s="76"/>
      <c r="G290" s="76"/>
    </row>
    <row r="291" spans="2:7" x14ac:dyDescent="0.3">
      <c r="B291" s="67"/>
      <c r="C291" s="67"/>
      <c r="D291" s="67"/>
      <c r="E291" s="67"/>
      <c r="F291" s="76"/>
      <c r="G291" s="76"/>
    </row>
    <row r="292" spans="2:7" x14ac:dyDescent="0.3">
      <c r="B292" s="67"/>
      <c r="C292" s="67"/>
      <c r="D292" s="67"/>
      <c r="E292" s="67"/>
      <c r="F292" s="76"/>
      <c r="G292" s="76"/>
    </row>
    <row r="293" spans="2:7" x14ac:dyDescent="0.3">
      <c r="B293" s="67"/>
      <c r="C293" s="67"/>
      <c r="D293" s="67"/>
      <c r="E293" s="67"/>
      <c r="F293" s="76"/>
      <c r="G293" s="76"/>
    </row>
    <row r="294" spans="2:7" x14ac:dyDescent="0.3">
      <c r="B294" s="67"/>
      <c r="C294" s="67"/>
      <c r="D294" s="67"/>
      <c r="E294" s="67"/>
      <c r="F294" s="76"/>
      <c r="G294" s="76"/>
    </row>
    <row r="295" spans="2:7" x14ac:dyDescent="0.3">
      <c r="B295" s="67"/>
      <c r="C295" s="67"/>
      <c r="D295" s="67"/>
      <c r="E295" s="67"/>
      <c r="F295" s="76"/>
      <c r="G295" s="76"/>
    </row>
    <row r="296" spans="2:7" x14ac:dyDescent="0.3">
      <c r="B296" s="67"/>
      <c r="C296" s="67"/>
      <c r="D296" s="67"/>
      <c r="E296" s="67"/>
      <c r="F296" s="76"/>
      <c r="G296" s="76"/>
    </row>
    <row r="297" spans="2:7" x14ac:dyDescent="0.3">
      <c r="B297" s="67"/>
      <c r="C297" s="67"/>
      <c r="D297" s="67"/>
      <c r="E297" s="67"/>
      <c r="F297" s="76"/>
      <c r="G297" s="76"/>
    </row>
    <row r="298" spans="2:7" x14ac:dyDescent="0.3">
      <c r="B298" s="67"/>
      <c r="C298" s="67"/>
      <c r="D298" s="67"/>
      <c r="E298" s="67"/>
      <c r="F298" s="76"/>
      <c r="G298" s="76"/>
    </row>
    <row r="299" spans="2:7" x14ac:dyDescent="0.3">
      <c r="B299" s="67"/>
      <c r="C299" s="67"/>
      <c r="D299" s="67"/>
      <c r="E299" s="67"/>
      <c r="F299" s="76"/>
      <c r="G299" s="76"/>
    </row>
    <row r="300" spans="2:7" x14ac:dyDescent="0.3">
      <c r="B300" s="67"/>
      <c r="C300" s="67"/>
      <c r="D300" s="67"/>
      <c r="E300" s="67"/>
      <c r="F300" s="76"/>
      <c r="G300" s="76"/>
    </row>
    <row r="301" spans="2:7" x14ac:dyDescent="0.3">
      <c r="B301" s="67"/>
      <c r="C301" s="67"/>
      <c r="D301" s="67"/>
      <c r="E301" s="67"/>
      <c r="F301" s="76"/>
      <c r="G301" s="76"/>
    </row>
    <row r="302" spans="2:7" x14ac:dyDescent="0.3">
      <c r="B302" s="67"/>
      <c r="C302" s="67"/>
      <c r="D302" s="67"/>
      <c r="E302" s="67"/>
      <c r="F302" s="76"/>
      <c r="G302" s="76"/>
    </row>
    <row r="303" spans="2:7" x14ac:dyDescent="0.3">
      <c r="B303" s="67"/>
      <c r="C303" s="67"/>
      <c r="D303" s="67"/>
      <c r="E303" s="67"/>
      <c r="F303" s="76"/>
      <c r="G303" s="76"/>
    </row>
    <row r="304" spans="2:7" x14ac:dyDescent="0.3">
      <c r="B304" s="67"/>
      <c r="C304" s="67"/>
      <c r="D304" s="67"/>
      <c r="E304" s="67"/>
      <c r="F304" s="76"/>
      <c r="G304" s="76"/>
    </row>
    <row r="305" spans="2:7" x14ac:dyDescent="0.3">
      <c r="B305" s="67"/>
      <c r="C305" s="67"/>
      <c r="D305" s="67"/>
      <c r="E305" s="67"/>
      <c r="F305" s="76"/>
      <c r="G305" s="76"/>
    </row>
    <row r="306" spans="2:7" x14ac:dyDescent="0.3">
      <c r="B306" s="67"/>
      <c r="C306" s="67"/>
      <c r="D306" s="67"/>
      <c r="E306" s="67"/>
      <c r="F306" s="76"/>
      <c r="G306" s="76"/>
    </row>
    <row r="307" spans="2:7" x14ac:dyDescent="0.3">
      <c r="B307" s="67"/>
      <c r="C307" s="67"/>
      <c r="D307" s="67"/>
      <c r="E307" s="67"/>
      <c r="F307" s="76"/>
      <c r="G307" s="76"/>
    </row>
    <row r="308" spans="2:7" x14ac:dyDescent="0.3">
      <c r="B308" s="67"/>
      <c r="C308" s="67"/>
      <c r="D308" s="67"/>
      <c r="E308" s="67"/>
      <c r="F308" s="76"/>
      <c r="G308" s="76"/>
    </row>
    <row r="309" spans="2:7" x14ac:dyDescent="0.3">
      <c r="B309" s="67"/>
      <c r="C309" s="67"/>
      <c r="D309" s="67"/>
      <c r="E309" s="67"/>
      <c r="F309" s="76"/>
      <c r="G309" s="76"/>
    </row>
    <row r="310" spans="2:7" x14ac:dyDescent="0.3">
      <c r="B310" s="67"/>
      <c r="C310" s="67"/>
      <c r="D310" s="67"/>
      <c r="E310" s="67"/>
      <c r="F310" s="76"/>
      <c r="G310" s="76"/>
    </row>
    <row r="311" spans="2:7" x14ac:dyDescent="0.3">
      <c r="B311" s="67"/>
      <c r="C311" s="67"/>
      <c r="D311" s="67"/>
      <c r="E311" s="67"/>
      <c r="F311" s="76"/>
      <c r="G311" s="76"/>
    </row>
    <row r="312" spans="2:7" x14ac:dyDescent="0.3">
      <c r="B312" s="67"/>
      <c r="C312" s="67"/>
      <c r="D312" s="67"/>
      <c r="E312" s="67"/>
      <c r="F312" s="76"/>
      <c r="G312" s="76"/>
    </row>
    <row r="313" spans="2:7" x14ac:dyDescent="0.3">
      <c r="B313" s="67"/>
      <c r="C313" s="67"/>
      <c r="D313" s="67"/>
      <c r="E313" s="67"/>
      <c r="F313" s="76"/>
      <c r="G313" s="76"/>
    </row>
    <row r="314" spans="2:7" x14ac:dyDescent="0.3">
      <c r="B314" s="67"/>
      <c r="C314" s="67"/>
      <c r="D314" s="67"/>
      <c r="E314" s="67"/>
      <c r="F314" s="76"/>
      <c r="G314" s="76"/>
    </row>
    <row r="315" spans="2:7" x14ac:dyDescent="0.3">
      <c r="B315" s="67"/>
      <c r="C315" s="67"/>
      <c r="D315" s="67"/>
      <c r="E315" s="67"/>
      <c r="F315" s="76"/>
      <c r="G315" s="76"/>
    </row>
    <row r="316" spans="2:7" x14ac:dyDescent="0.3">
      <c r="B316" s="67"/>
      <c r="C316" s="67"/>
      <c r="D316" s="67"/>
      <c r="E316" s="67"/>
      <c r="F316" s="76"/>
      <c r="G316" s="76"/>
    </row>
    <row r="317" spans="2:7" x14ac:dyDescent="0.3">
      <c r="B317" s="67"/>
      <c r="C317" s="67"/>
      <c r="D317" s="67"/>
      <c r="E317" s="67"/>
      <c r="F317" s="76"/>
      <c r="G317" s="76"/>
    </row>
    <row r="318" spans="2:7" x14ac:dyDescent="0.3">
      <c r="B318" s="67"/>
      <c r="C318" s="67"/>
      <c r="D318" s="67"/>
      <c r="E318" s="67"/>
      <c r="F318" s="76"/>
      <c r="G318" s="76"/>
    </row>
    <row r="319" spans="2:7" x14ac:dyDescent="0.3">
      <c r="B319" s="67"/>
      <c r="C319" s="67"/>
      <c r="D319" s="67"/>
      <c r="E319" s="67"/>
      <c r="F319" s="76"/>
      <c r="G319" s="76"/>
    </row>
    <row r="320" spans="2:7" x14ac:dyDescent="0.3">
      <c r="B320" s="67"/>
      <c r="C320" s="67"/>
      <c r="D320" s="67"/>
      <c r="E320" s="67"/>
      <c r="F320" s="76"/>
      <c r="G320" s="76"/>
    </row>
    <row r="321" spans="2:7" x14ac:dyDescent="0.3">
      <c r="B321" s="67"/>
      <c r="C321" s="67"/>
      <c r="D321" s="67"/>
      <c r="E321" s="67"/>
      <c r="F321" s="76"/>
      <c r="G321" s="76"/>
    </row>
    <row r="322" spans="2:7" x14ac:dyDescent="0.3">
      <c r="B322" s="67"/>
      <c r="C322" s="67"/>
      <c r="D322" s="67"/>
      <c r="E322" s="67"/>
      <c r="F322" s="76"/>
      <c r="G322" s="76"/>
    </row>
    <row r="323" spans="2:7" x14ac:dyDescent="0.3">
      <c r="B323" s="67"/>
      <c r="C323" s="67"/>
      <c r="D323" s="67"/>
      <c r="E323" s="67"/>
      <c r="F323" s="76"/>
      <c r="G323" s="76"/>
    </row>
    <row r="324" spans="2:7" x14ac:dyDescent="0.3">
      <c r="B324" s="67"/>
      <c r="C324" s="67"/>
      <c r="D324" s="67"/>
      <c r="E324" s="67"/>
      <c r="F324" s="76"/>
      <c r="G324" s="76"/>
    </row>
    <row r="325" spans="2:7" x14ac:dyDescent="0.3">
      <c r="B325" s="67"/>
      <c r="C325" s="67"/>
      <c r="D325" s="67"/>
      <c r="E325" s="67"/>
      <c r="F325" s="76"/>
      <c r="G325" s="76"/>
    </row>
    <row r="326" spans="2:7" x14ac:dyDescent="0.3">
      <c r="B326" s="67"/>
      <c r="C326" s="67"/>
      <c r="D326" s="67"/>
      <c r="E326" s="67"/>
      <c r="F326" s="76"/>
      <c r="G326" s="76"/>
    </row>
    <row r="327" spans="2:7" x14ac:dyDescent="0.3">
      <c r="B327" s="67"/>
      <c r="C327" s="67"/>
      <c r="D327" s="67"/>
      <c r="E327" s="67"/>
      <c r="F327" s="76"/>
      <c r="G327" s="76"/>
    </row>
    <row r="328" spans="2:7" x14ac:dyDescent="0.3">
      <c r="B328" s="67"/>
      <c r="C328" s="67"/>
      <c r="D328" s="67"/>
      <c r="E328" s="67"/>
      <c r="F328" s="76"/>
      <c r="G328" s="76"/>
    </row>
    <row r="329" spans="2:7" x14ac:dyDescent="0.3">
      <c r="B329" s="67"/>
      <c r="C329" s="67"/>
      <c r="D329" s="67"/>
      <c r="E329" s="67"/>
      <c r="F329" s="76"/>
      <c r="G329" s="76"/>
    </row>
    <row r="330" spans="2:7" x14ac:dyDescent="0.3">
      <c r="B330" s="67"/>
      <c r="C330" s="67"/>
      <c r="D330" s="67"/>
      <c r="E330" s="67"/>
      <c r="F330" s="76"/>
      <c r="G330" s="76"/>
    </row>
    <row r="331" spans="2:7" x14ac:dyDescent="0.3">
      <c r="B331" s="67"/>
      <c r="C331" s="67"/>
      <c r="D331" s="67"/>
      <c r="E331" s="67"/>
      <c r="F331" s="76"/>
      <c r="G331" s="76"/>
    </row>
    <row r="332" spans="2:7" x14ac:dyDescent="0.3">
      <c r="B332" s="67"/>
      <c r="C332" s="67"/>
      <c r="D332" s="67"/>
      <c r="E332" s="67"/>
      <c r="F332" s="76"/>
      <c r="G332" s="76"/>
    </row>
    <row r="333" spans="2:7" x14ac:dyDescent="0.3">
      <c r="B333" s="67"/>
      <c r="C333" s="67"/>
      <c r="D333" s="67"/>
      <c r="E333" s="67"/>
      <c r="F333" s="76"/>
      <c r="G333" s="76"/>
    </row>
    <row r="334" spans="2:7" x14ac:dyDescent="0.3">
      <c r="B334" s="67"/>
      <c r="C334" s="67"/>
      <c r="D334" s="67"/>
      <c r="E334" s="67"/>
      <c r="F334" s="76"/>
      <c r="G334" s="76"/>
    </row>
    <row r="335" spans="2:7" x14ac:dyDescent="0.3">
      <c r="B335" s="67"/>
      <c r="C335" s="67"/>
      <c r="D335" s="67"/>
      <c r="E335" s="67"/>
      <c r="F335" s="76"/>
      <c r="G335" s="76"/>
    </row>
    <row r="336" spans="2:7" x14ac:dyDescent="0.3">
      <c r="B336" s="67"/>
      <c r="C336" s="67"/>
      <c r="D336" s="67"/>
      <c r="E336" s="67"/>
      <c r="F336" s="76"/>
      <c r="G336" s="76"/>
    </row>
    <row r="337" spans="2:7" x14ac:dyDescent="0.3">
      <c r="B337" s="67"/>
      <c r="C337" s="67"/>
      <c r="D337" s="67"/>
      <c r="E337" s="67"/>
      <c r="F337" s="76"/>
      <c r="G337" s="76"/>
    </row>
    <row r="338" spans="2:7" x14ac:dyDescent="0.3">
      <c r="B338" s="67"/>
      <c r="C338" s="67"/>
      <c r="D338" s="67"/>
      <c r="E338" s="67"/>
      <c r="F338" s="76"/>
      <c r="G338" s="76"/>
    </row>
    <row r="339" spans="2:7" x14ac:dyDescent="0.3">
      <c r="B339" s="67"/>
      <c r="C339" s="67"/>
      <c r="D339" s="67"/>
      <c r="E339" s="67"/>
      <c r="F339" s="76"/>
      <c r="G339" s="76"/>
    </row>
    <row r="340" spans="2:7" x14ac:dyDescent="0.3">
      <c r="B340" s="67"/>
      <c r="C340" s="67"/>
      <c r="D340" s="67"/>
      <c r="E340" s="67"/>
      <c r="F340" s="76"/>
      <c r="G340" s="76"/>
    </row>
    <row r="341" spans="2:7" x14ac:dyDescent="0.3">
      <c r="B341" s="67"/>
      <c r="C341" s="67"/>
      <c r="D341" s="67"/>
      <c r="E341" s="67"/>
      <c r="F341" s="76"/>
      <c r="G341" s="76"/>
    </row>
    <row r="342" spans="2:7" x14ac:dyDescent="0.3">
      <c r="B342" s="67"/>
      <c r="C342" s="67"/>
      <c r="D342" s="67"/>
      <c r="E342" s="67"/>
      <c r="F342" s="76"/>
      <c r="G342" s="76"/>
    </row>
    <row r="343" spans="2:7" x14ac:dyDescent="0.3">
      <c r="B343" s="67"/>
      <c r="C343" s="67"/>
      <c r="D343" s="67"/>
      <c r="E343" s="67"/>
      <c r="F343" s="76"/>
      <c r="G343" s="76"/>
    </row>
    <row r="344" spans="2:7" x14ac:dyDescent="0.3">
      <c r="B344" s="67"/>
      <c r="C344" s="67"/>
      <c r="D344" s="67"/>
      <c r="E344" s="67"/>
      <c r="F344" s="76"/>
      <c r="G344" s="76"/>
    </row>
    <row r="345" spans="2:7" x14ac:dyDescent="0.3">
      <c r="B345" s="67"/>
      <c r="C345" s="67"/>
      <c r="D345" s="67"/>
      <c r="E345" s="67"/>
      <c r="F345" s="76"/>
      <c r="G345" s="76"/>
    </row>
    <row r="346" spans="2:7" x14ac:dyDescent="0.3">
      <c r="B346" s="67"/>
      <c r="C346" s="67"/>
      <c r="D346" s="67"/>
      <c r="E346" s="67"/>
      <c r="F346" s="76"/>
      <c r="G346" s="76"/>
    </row>
    <row r="347" spans="2:7" x14ac:dyDescent="0.3">
      <c r="B347" s="67"/>
      <c r="C347" s="67"/>
      <c r="D347" s="67"/>
      <c r="E347" s="67"/>
      <c r="F347" s="76"/>
      <c r="G347" s="76"/>
    </row>
    <row r="348" spans="2:7" x14ac:dyDescent="0.3">
      <c r="B348" s="67"/>
      <c r="C348" s="67"/>
      <c r="D348" s="67"/>
      <c r="E348" s="67"/>
      <c r="F348" s="76"/>
      <c r="G348" s="76"/>
    </row>
    <row r="349" spans="2:7" x14ac:dyDescent="0.3">
      <c r="B349" s="67"/>
      <c r="C349" s="67"/>
      <c r="D349" s="67"/>
      <c r="E349" s="67"/>
      <c r="F349" s="76"/>
      <c r="G349" s="76"/>
    </row>
    <row r="350" spans="2:7" x14ac:dyDescent="0.3">
      <c r="B350" s="67"/>
      <c r="C350" s="67"/>
      <c r="D350" s="67"/>
      <c r="E350" s="67"/>
      <c r="F350" s="76"/>
      <c r="G350" s="76"/>
    </row>
    <row r="351" spans="2:7" x14ac:dyDescent="0.3">
      <c r="B351" s="67"/>
      <c r="C351" s="67"/>
      <c r="D351" s="67"/>
      <c r="E351" s="67"/>
      <c r="F351" s="76"/>
      <c r="G351" s="76"/>
    </row>
    <row r="352" spans="2:7" x14ac:dyDescent="0.3">
      <c r="B352" s="67"/>
      <c r="C352" s="67"/>
      <c r="D352" s="67"/>
      <c r="E352" s="67"/>
      <c r="F352" s="76"/>
      <c r="G352" s="76"/>
    </row>
    <row r="353" spans="2:7" x14ac:dyDescent="0.3">
      <c r="B353" s="67"/>
      <c r="C353" s="67"/>
      <c r="D353" s="67"/>
      <c r="E353" s="67"/>
      <c r="F353" s="76"/>
      <c r="G353" s="76"/>
    </row>
    <row r="354" spans="2:7" x14ac:dyDescent="0.3">
      <c r="B354" s="67"/>
      <c r="C354" s="67"/>
      <c r="D354" s="67"/>
      <c r="E354" s="67"/>
      <c r="F354" s="76"/>
      <c r="G354" s="76"/>
    </row>
    <row r="355" spans="2:7" x14ac:dyDescent="0.3">
      <c r="B355" s="67"/>
      <c r="C355" s="67"/>
      <c r="D355" s="67"/>
      <c r="E355" s="67"/>
      <c r="F355" s="76"/>
      <c r="G355" s="76"/>
    </row>
    <row r="356" spans="2:7" x14ac:dyDescent="0.3">
      <c r="B356" s="67"/>
      <c r="C356" s="67"/>
      <c r="D356" s="67"/>
      <c r="E356" s="67"/>
      <c r="F356" s="76"/>
      <c r="G356" s="76"/>
    </row>
    <row r="357" spans="2:7" x14ac:dyDescent="0.3">
      <c r="B357" s="67"/>
      <c r="C357" s="67"/>
      <c r="D357" s="67"/>
      <c r="E357" s="67"/>
      <c r="F357" s="76"/>
      <c r="G357" s="76"/>
    </row>
    <row r="358" spans="2:7" x14ac:dyDescent="0.3">
      <c r="B358" s="67"/>
      <c r="C358" s="67"/>
      <c r="D358" s="67"/>
      <c r="E358" s="67"/>
      <c r="F358" s="76"/>
      <c r="G358" s="76"/>
    </row>
    <row r="359" spans="2:7" x14ac:dyDescent="0.3">
      <c r="B359" s="67"/>
      <c r="C359" s="67"/>
      <c r="D359" s="67"/>
      <c r="E359" s="67"/>
      <c r="F359" s="76"/>
      <c r="G359" s="76"/>
    </row>
    <row r="360" spans="2:7" x14ac:dyDescent="0.3">
      <c r="B360" s="67"/>
      <c r="C360" s="67"/>
      <c r="D360" s="67"/>
      <c r="E360" s="67"/>
      <c r="F360" s="76"/>
      <c r="G360" s="76"/>
    </row>
    <row r="361" spans="2:7" x14ac:dyDescent="0.3">
      <c r="B361" s="67"/>
      <c r="C361" s="67"/>
      <c r="D361" s="67"/>
      <c r="E361" s="67"/>
      <c r="F361" s="76"/>
      <c r="G361" s="76"/>
    </row>
    <row r="362" spans="2:7" x14ac:dyDescent="0.3">
      <c r="B362" s="67"/>
      <c r="C362" s="67"/>
      <c r="D362" s="67"/>
      <c r="E362" s="67"/>
      <c r="F362" s="76"/>
      <c r="G362" s="76"/>
    </row>
    <row r="363" spans="2:7" x14ac:dyDescent="0.3">
      <c r="B363" s="67"/>
      <c r="C363" s="67"/>
      <c r="D363" s="67"/>
      <c r="E363" s="67"/>
      <c r="F363" s="76"/>
      <c r="G363" s="76"/>
    </row>
    <row r="364" spans="2:7" x14ac:dyDescent="0.3">
      <c r="B364" s="67"/>
      <c r="C364" s="67"/>
      <c r="D364" s="67"/>
      <c r="E364" s="67"/>
      <c r="F364" s="76"/>
      <c r="G364" s="76"/>
    </row>
    <row r="365" spans="2:7" x14ac:dyDescent="0.3">
      <c r="B365" s="67"/>
      <c r="C365" s="67"/>
      <c r="D365" s="67"/>
      <c r="E365" s="67"/>
      <c r="F365" s="76"/>
      <c r="G365" s="76"/>
    </row>
    <row r="366" spans="2:7" x14ac:dyDescent="0.3">
      <c r="B366" s="67"/>
      <c r="C366" s="67"/>
      <c r="D366" s="67"/>
      <c r="E366" s="67"/>
      <c r="F366" s="76"/>
      <c r="G366" s="76"/>
    </row>
    <row r="367" spans="2:7" x14ac:dyDescent="0.3">
      <c r="B367" s="67"/>
      <c r="C367" s="67"/>
      <c r="D367" s="67"/>
      <c r="E367" s="67"/>
      <c r="F367" s="76"/>
      <c r="G367" s="76"/>
    </row>
    <row r="368" spans="2:7" x14ac:dyDescent="0.3">
      <c r="B368" s="67"/>
      <c r="C368" s="67"/>
      <c r="D368" s="67"/>
      <c r="E368" s="67"/>
      <c r="F368" s="76"/>
      <c r="G368" s="76"/>
    </row>
    <row r="369" spans="2:7" x14ac:dyDescent="0.3">
      <c r="B369" s="67"/>
      <c r="C369" s="67"/>
      <c r="D369" s="67"/>
      <c r="E369" s="67"/>
      <c r="F369" s="76"/>
      <c r="G369" s="76"/>
    </row>
    <row r="370" spans="2:7" x14ac:dyDescent="0.3">
      <c r="B370" s="67"/>
      <c r="C370" s="67"/>
      <c r="D370" s="67"/>
      <c r="E370" s="67"/>
      <c r="F370" s="76"/>
      <c r="G370" s="76"/>
    </row>
    <row r="371" spans="2:7" x14ac:dyDescent="0.3">
      <c r="B371" s="67"/>
      <c r="C371" s="67"/>
      <c r="D371" s="67"/>
      <c r="E371" s="67"/>
      <c r="F371" s="76"/>
      <c r="G371" s="76"/>
    </row>
    <row r="372" spans="2:7" x14ac:dyDescent="0.3">
      <c r="B372" s="67"/>
      <c r="C372" s="67"/>
      <c r="D372" s="67"/>
      <c r="E372" s="67"/>
      <c r="F372" s="76"/>
      <c r="G372" s="76"/>
    </row>
    <row r="373" spans="2:7" x14ac:dyDescent="0.3">
      <c r="B373" s="67"/>
      <c r="C373" s="67"/>
      <c r="D373" s="67"/>
      <c r="E373" s="67"/>
      <c r="F373" s="76"/>
      <c r="G373" s="76"/>
    </row>
    <row r="374" spans="2:7" x14ac:dyDescent="0.3">
      <c r="B374" s="67"/>
      <c r="C374" s="67"/>
      <c r="D374" s="67"/>
      <c r="E374" s="67"/>
      <c r="F374" s="76"/>
      <c r="G374" s="76"/>
    </row>
    <row r="375" spans="2:7" x14ac:dyDescent="0.3">
      <c r="B375" s="67"/>
      <c r="C375" s="67"/>
      <c r="D375" s="67"/>
      <c r="E375" s="67"/>
      <c r="F375" s="76"/>
      <c r="G375" s="76"/>
    </row>
    <row r="376" spans="2:7" x14ac:dyDescent="0.3">
      <c r="B376" s="67"/>
      <c r="C376" s="67"/>
      <c r="D376" s="67"/>
      <c r="E376" s="67"/>
      <c r="F376" s="76"/>
      <c r="G376" s="76"/>
    </row>
    <row r="377" spans="2:7" x14ac:dyDescent="0.3">
      <c r="B377" s="67"/>
      <c r="C377" s="67"/>
      <c r="D377" s="67"/>
      <c r="E377" s="67"/>
      <c r="F377" s="76"/>
      <c r="G377" s="76"/>
    </row>
    <row r="378" spans="2:7" x14ac:dyDescent="0.3">
      <c r="B378" s="67"/>
      <c r="C378" s="67"/>
      <c r="D378" s="67"/>
      <c r="E378" s="67"/>
      <c r="F378" s="76"/>
      <c r="G378" s="76"/>
    </row>
    <row r="379" spans="2:7" x14ac:dyDescent="0.3">
      <c r="B379" s="67"/>
      <c r="C379" s="67"/>
      <c r="D379" s="67"/>
      <c r="E379" s="67"/>
      <c r="F379" s="76"/>
      <c r="G379" s="76"/>
    </row>
    <row r="380" spans="2:7" x14ac:dyDescent="0.3">
      <c r="B380" s="67"/>
      <c r="C380" s="67"/>
      <c r="D380" s="67"/>
      <c r="E380" s="67"/>
      <c r="F380" s="76"/>
      <c r="G380" s="76"/>
    </row>
    <row r="381" spans="2:7" x14ac:dyDescent="0.3">
      <c r="B381" s="67"/>
      <c r="C381" s="67"/>
      <c r="D381" s="67"/>
      <c r="E381" s="67"/>
      <c r="F381" s="76"/>
      <c r="G381" s="76"/>
    </row>
    <row r="382" spans="2:7" x14ac:dyDescent="0.3">
      <c r="B382" s="67"/>
      <c r="C382" s="67"/>
      <c r="D382" s="67"/>
      <c r="E382" s="67"/>
      <c r="F382" s="76"/>
      <c r="G382" s="76"/>
    </row>
    <row r="383" spans="2:7" x14ac:dyDescent="0.3">
      <c r="B383" s="67"/>
      <c r="C383" s="67"/>
      <c r="D383" s="67"/>
      <c r="E383" s="67"/>
      <c r="F383" s="76"/>
      <c r="G383" s="76"/>
    </row>
    <row r="384" spans="2:7" x14ac:dyDescent="0.3">
      <c r="B384" s="67"/>
      <c r="C384" s="67"/>
      <c r="D384" s="67"/>
      <c r="E384" s="67"/>
      <c r="F384" s="76"/>
      <c r="G384" s="76"/>
    </row>
    <row r="385" spans="2:7" x14ac:dyDescent="0.3">
      <c r="B385" s="67"/>
      <c r="C385" s="67"/>
      <c r="D385" s="67"/>
      <c r="E385" s="67"/>
      <c r="F385" s="76"/>
      <c r="G385" s="76"/>
    </row>
    <row r="386" spans="2:7" x14ac:dyDescent="0.3">
      <c r="B386" s="67"/>
      <c r="C386" s="67"/>
      <c r="D386" s="67"/>
      <c r="E386" s="67"/>
      <c r="F386" s="76"/>
      <c r="G386" s="76"/>
    </row>
    <row r="387" spans="2:7" x14ac:dyDescent="0.3">
      <c r="B387" s="67"/>
      <c r="C387" s="67"/>
      <c r="D387" s="67"/>
      <c r="E387" s="67"/>
      <c r="F387" s="76"/>
      <c r="G387" s="76"/>
    </row>
    <row r="388" spans="2:7" x14ac:dyDescent="0.3">
      <c r="B388" s="67"/>
      <c r="C388" s="67"/>
      <c r="D388" s="67"/>
      <c r="E388" s="67"/>
      <c r="F388" s="76"/>
      <c r="G388" s="76"/>
    </row>
    <row r="389" spans="2:7" x14ac:dyDescent="0.3">
      <c r="B389" s="67"/>
      <c r="C389" s="67"/>
      <c r="D389" s="67"/>
      <c r="E389" s="67"/>
      <c r="F389" s="76"/>
      <c r="G389" s="76"/>
    </row>
    <row r="390" spans="2:7" x14ac:dyDescent="0.3">
      <c r="B390" s="67"/>
      <c r="C390" s="67"/>
      <c r="D390" s="67"/>
      <c r="E390" s="67"/>
      <c r="F390" s="76"/>
      <c r="G390" s="76"/>
    </row>
    <row r="391" spans="2:7" x14ac:dyDescent="0.3">
      <c r="B391" s="67"/>
      <c r="C391" s="67"/>
      <c r="D391" s="67"/>
      <c r="E391" s="67"/>
      <c r="F391" s="76"/>
      <c r="G391" s="76"/>
    </row>
    <row r="392" spans="2:7" x14ac:dyDescent="0.3">
      <c r="B392" s="67"/>
      <c r="C392" s="67"/>
      <c r="D392" s="67"/>
      <c r="E392" s="67"/>
      <c r="F392" s="76"/>
      <c r="G392" s="76"/>
    </row>
    <row r="393" spans="2:7" x14ac:dyDescent="0.3">
      <c r="B393" s="67"/>
      <c r="C393" s="67"/>
      <c r="D393" s="67"/>
      <c r="E393" s="67"/>
      <c r="F393" s="76"/>
      <c r="G393" s="76"/>
    </row>
    <row r="394" spans="2:7" x14ac:dyDescent="0.3">
      <c r="B394" s="67"/>
      <c r="C394" s="67"/>
      <c r="D394" s="67"/>
      <c r="E394" s="67"/>
      <c r="F394" s="76"/>
      <c r="G394" s="76"/>
    </row>
    <row r="395" spans="2:7" x14ac:dyDescent="0.3">
      <c r="B395" s="67"/>
      <c r="C395" s="67"/>
      <c r="D395" s="67"/>
      <c r="E395" s="67"/>
      <c r="F395" s="76"/>
      <c r="G395" s="76"/>
    </row>
    <row r="396" spans="2:7" x14ac:dyDescent="0.3">
      <c r="B396" s="67"/>
      <c r="C396" s="67"/>
      <c r="D396" s="67"/>
      <c r="E396" s="67"/>
      <c r="F396" s="76"/>
      <c r="G396" s="76"/>
    </row>
    <row r="397" spans="2:7" x14ac:dyDescent="0.3">
      <c r="B397" s="67"/>
      <c r="C397" s="67"/>
      <c r="D397" s="67"/>
      <c r="E397" s="67"/>
      <c r="F397" s="76"/>
      <c r="G397" s="76"/>
    </row>
    <row r="398" spans="2:7" x14ac:dyDescent="0.3">
      <c r="B398" s="67"/>
      <c r="C398" s="67"/>
      <c r="D398" s="67"/>
      <c r="E398" s="67"/>
      <c r="F398" s="76"/>
      <c r="G398" s="76"/>
    </row>
    <row r="399" spans="2:7" x14ac:dyDescent="0.3">
      <c r="B399" s="67"/>
      <c r="C399" s="67"/>
      <c r="D399" s="67"/>
      <c r="E399" s="67"/>
      <c r="F399" s="76"/>
      <c r="G399" s="76"/>
    </row>
    <row r="400" spans="2:7" x14ac:dyDescent="0.3">
      <c r="B400" s="67"/>
      <c r="C400" s="67"/>
      <c r="D400" s="67"/>
      <c r="E400" s="67"/>
      <c r="F400" s="76"/>
      <c r="G400" s="76"/>
    </row>
    <row r="401" spans="2:7" x14ac:dyDescent="0.3">
      <c r="B401" s="67"/>
      <c r="C401" s="67"/>
      <c r="D401" s="67"/>
      <c r="E401" s="67"/>
      <c r="F401" s="76"/>
      <c r="G401" s="76"/>
    </row>
    <row r="402" spans="2:7" x14ac:dyDescent="0.3">
      <c r="B402" s="67"/>
      <c r="C402" s="67"/>
      <c r="D402" s="67"/>
      <c r="E402" s="67"/>
      <c r="F402" s="76"/>
      <c r="G402" s="76"/>
    </row>
    <row r="403" spans="2:7" x14ac:dyDescent="0.3">
      <c r="B403" s="67"/>
      <c r="C403" s="67"/>
      <c r="D403" s="67"/>
      <c r="E403" s="67"/>
      <c r="F403" s="76"/>
      <c r="G403" s="76"/>
    </row>
    <row r="404" spans="2:7" x14ac:dyDescent="0.3">
      <c r="B404" s="67"/>
      <c r="C404" s="67"/>
      <c r="D404" s="67"/>
      <c r="E404" s="67"/>
      <c r="F404" s="76"/>
      <c r="G404" s="76"/>
    </row>
    <row r="405" spans="2:7" x14ac:dyDescent="0.3">
      <c r="B405" s="67"/>
      <c r="C405" s="67"/>
      <c r="D405" s="67"/>
      <c r="E405" s="67"/>
      <c r="F405" s="76"/>
      <c r="G405" s="76"/>
    </row>
    <row r="406" spans="2:7" x14ac:dyDescent="0.3">
      <c r="B406" s="67"/>
      <c r="C406" s="67"/>
      <c r="D406" s="67"/>
      <c r="E406" s="67"/>
      <c r="F406" s="76"/>
      <c r="G406" s="76"/>
    </row>
    <row r="407" spans="2:7" x14ac:dyDescent="0.3">
      <c r="B407" s="67"/>
      <c r="C407" s="67"/>
      <c r="D407" s="67"/>
      <c r="E407" s="67"/>
      <c r="F407" s="76"/>
      <c r="G407" s="76"/>
    </row>
    <row r="408" spans="2:7" x14ac:dyDescent="0.3">
      <c r="B408" s="67"/>
      <c r="C408" s="67"/>
      <c r="D408" s="67"/>
      <c r="E408" s="67"/>
      <c r="F408" s="76"/>
      <c r="G408" s="76"/>
    </row>
    <row r="409" spans="2:7" x14ac:dyDescent="0.3">
      <c r="B409" s="67"/>
      <c r="C409" s="67"/>
      <c r="D409" s="67"/>
      <c r="E409" s="67"/>
      <c r="F409" s="76"/>
      <c r="G409" s="76"/>
    </row>
    <row r="410" spans="2:7" x14ac:dyDescent="0.3">
      <c r="B410" s="67"/>
      <c r="C410" s="67"/>
      <c r="D410" s="67"/>
      <c r="E410" s="67"/>
      <c r="F410" s="76"/>
      <c r="G410" s="76"/>
    </row>
    <row r="411" spans="2:7" x14ac:dyDescent="0.3">
      <c r="B411" s="67"/>
      <c r="C411" s="67"/>
      <c r="D411" s="67"/>
      <c r="E411" s="67"/>
      <c r="F411" s="76"/>
      <c r="G411" s="76"/>
    </row>
    <row r="412" spans="2:7" x14ac:dyDescent="0.3">
      <c r="B412" s="67"/>
      <c r="C412" s="67"/>
      <c r="D412" s="67"/>
      <c r="E412" s="67"/>
      <c r="F412" s="76"/>
      <c r="G412" s="76"/>
    </row>
    <row r="413" spans="2:7" x14ac:dyDescent="0.3">
      <c r="B413" s="67"/>
      <c r="C413" s="67"/>
      <c r="D413" s="67"/>
      <c r="E413" s="67"/>
      <c r="F413" s="76"/>
      <c r="G413" s="76"/>
    </row>
  </sheetData>
  <autoFilter ref="C4:G216">
    <filterColumn colId="1">
      <filters blank="1">
        <filter val="Advertising Expenses"/>
        <filter val="Bank Charges"/>
        <filter val="Cash at Bank ( CB-Kyats )"/>
        <filter val="Communication Expenses"/>
        <filter val="Computer Equipment"/>
        <filter val="Exchange A/C"/>
        <filter val="Office Equipment"/>
        <filter val="Office Renovation Charges"/>
        <filter val="Office Rental Charges"/>
        <filter val="Office Supply Consumable"/>
        <filter val="Other Fees and Charges"/>
        <filter val="Paid Up Capital"/>
        <filter val="Prepaid ( Office Staff )"/>
        <filter val="Prepaid Deposit ( Others )"/>
        <filter val="Printing and Stationery"/>
        <filter val="Salary and Bonus"/>
        <filter val="Stamp Duty Tax"/>
        <filter val="Travelling Expenses"/>
      </filters>
    </filterColumn>
  </autoFilter>
  <mergeCells count="4">
    <mergeCell ref="A1:G1"/>
    <mergeCell ref="A2:G2"/>
    <mergeCell ref="I4:L4"/>
    <mergeCell ref="F3:G3"/>
  </mergeCells>
  <pageMargins left="0.4" right="0" top="0" bottom="0" header="0.31496062992125984" footer="0.31496062992125984"/>
  <pageSetup paperSize="9" scale="85" orientation="landscape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P529"/>
  <sheetViews>
    <sheetView showGridLines="0" workbookViewId="0">
      <pane ySplit="4" topLeftCell="A5" activePane="bottomLeft" state="frozen"/>
      <selection pane="bottomLeft" activeCell="E3" sqref="E3"/>
    </sheetView>
  </sheetViews>
  <sheetFormatPr defaultRowHeight="14.4" x14ac:dyDescent="0.3"/>
  <cols>
    <col min="1" max="1" width="12.109375" customWidth="1"/>
    <col min="2" max="2" width="15.88671875" customWidth="1"/>
    <col min="3" max="3" width="13" customWidth="1"/>
    <col min="4" max="4" width="40.6640625" customWidth="1"/>
    <col min="5" max="5" width="42.109375" customWidth="1"/>
    <col min="6" max="7" width="17.6640625" style="45" customWidth="1"/>
    <col min="9" max="9" width="17.44140625" customWidth="1"/>
    <col min="10" max="10" width="55.33203125" customWidth="1"/>
    <col min="11" max="12" width="15.6640625" customWidth="1"/>
    <col min="15" max="15" width="9.5546875" bestFit="1" customWidth="1"/>
  </cols>
  <sheetData>
    <row r="1" spans="1:13" ht="24.9" customHeight="1" x14ac:dyDescent="0.35">
      <c r="A1" s="449" t="str">
        <f>'Trial balance'!A1:H1</f>
        <v>LEAD GENERATION CO.,LTD</v>
      </c>
      <c r="B1" s="449"/>
      <c r="C1" s="449"/>
      <c r="D1" s="449"/>
      <c r="E1" s="449"/>
      <c r="F1" s="449"/>
      <c r="G1" s="449"/>
    </row>
    <row r="2" spans="1:13" ht="24.9" customHeight="1" x14ac:dyDescent="0.35">
      <c r="A2" s="471" t="s">
        <v>138</v>
      </c>
      <c r="B2" s="471"/>
      <c r="C2" s="471"/>
      <c r="D2" s="471"/>
      <c r="E2" s="471"/>
      <c r="F2" s="471"/>
      <c r="G2" s="471"/>
    </row>
    <row r="3" spans="1:13" ht="15" thickBot="1" x14ac:dyDescent="0.35">
      <c r="A3" s="434"/>
      <c r="B3" s="434"/>
      <c r="C3" s="434"/>
      <c r="D3" s="434"/>
      <c r="E3" s="434"/>
      <c r="F3" s="470" t="str">
        <f>Ledger!F3</f>
        <v>For 1-06-2015 to 31-05-2016</v>
      </c>
      <c r="G3" s="470"/>
    </row>
    <row r="4" spans="1:13" ht="33" customHeight="1" thickBot="1" x14ac:dyDescent="0.35">
      <c r="A4" s="46" t="s">
        <v>61</v>
      </c>
      <c r="B4" s="47" t="s">
        <v>77</v>
      </c>
      <c r="C4" s="48" t="s">
        <v>63</v>
      </c>
      <c r="D4" s="48" t="s">
        <v>64</v>
      </c>
      <c r="E4" s="48" t="s">
        <v>65</v>
      </c>
      <c r="F4" s="49" t="s">
        <v>98</v>
      </c>
      <c r="G4" s="50" t="s">
        <v>99</v>
      </c>
      <c r="I4" s="451" t="s">
        <v>69</v>
      </c>
      <c r="J4" s="451"/>
      <c r="K4" s="451"/>
      <c r="L4" s="451"/>
    </row>
    <row r="5" spans="1:13" ht="35.1" customHeight="1" x14ac:dyDescent="0.3">
      <c r="A5" s="412" t="s">
        <v>197</v>
      </c>
      <c r="B5" s="253" t="s">
        <v>195</v>
      </c>
      <c r="C5" s="14">
        <v>291104</v>
      </c>
      <c r="D5" s="63" t="str">
        <f>IFERROR(VLOOKUP(C5,'Acc code'!$B$2:$C$124,2,FALSE),0)</f>
        <v>Software Installation</v>
      </c>
      <c r="E5" s="254" t="s">
        <v>196</v>
      </c>
      <c r="F5" s="53">
        <v>3500</v>
      </c>
      <c r="G5" s="54"/>
      <c r="K5" s="11" t="s">
        <v>66</v>
      </c>
      <c r="L5" s="55" t="s">
        <v>70</v>
      </c>
    </row>
    <row r="6" spans="1:13" ht="35.1" customHeight="1" x14ac:dyDescent="0.3">
      <c r="A6" s="413" t="s">
        <v>197</v>
      </c>
      <c r="B6" s="57" t="s">
        <v>195</v>
      </c>
      <c r="C6" s="57">
        <v>111202</v>
      </c>
      <c r="D6" s="58" t="str">
        <f>IFERROR(VLOOKUP(C6,'Acc code'!$B$2:$C$124,2,FALSE),0)</f>
        <v>Cash at Bank ( CB-US$ )</v>
      </c>
      <c r="E6" s="58" t="s">
        <v>196</v>
      </c>
      <c r="F6" s="60"/>
      <c r="G6" s="61">
        <v>3500</v>
      </c>
      <c r="I6" s="16">
        <v>111101</v>
      </c>
      <c r="J6" s="17" t="s">
        <v>114</v>
      </c>
      <c r="K6" s="18">
        <f>SUMIF(C:C,"111101",F:F)</f>
        <v>0</v>
      </c>
      <c r="L6" s="18">
        <f>SUMIF(C:C,"111101",G:G)</f>
        <v>0</v>
      </c>
      <c r="M6" s="16">
        <v>1</v>
      </c>
    </row>
    <row r="7" spans="1:13" s="198" customFormat="1" ht="35.1" customHeight="1" x14ac:dyDescent="0.3">
      <c r="A7" s="417" t="s">
        <v>202</v>
      </c>
      <c r="B7" s="253" t="s">
        <v>203</v>
      </c>
      <c r="C7" s="199">
        <v>612101</v>
      </c>
      <c r="D7" s="63" t="str">
        <f>IFERROR(VLOOKUP(C7,'Acc code'!$B$2:$C$124,2,FALSE),0)</f>
        <v>Salary and Bonus</v>
      </c>
      <c r="E7" s="254" t="s">
        <v>204</v>
      </c>
      <c r="F7" s="53">
        <v>1000</v>
      </c>
      <c r="G7" s="54"/>
      <c r="I7" s="16">
        <v>111102</v>
      </c>
      <c r="J7" s="17" t="s">
        <v>117</v>
      </c>
      <c r="K7" s="18">
        <f>SUMIF(C:C,"111102",F:F)</f>
        <v>0</v>
      </c>
      <c r="L7" s="18">
        <f>SUMIF(C:C,"111102",G:G)</f>
        <v>0</v>
      </c>
      <c r="M7" s="16">
        <v>2</v>
      </c>
    </row>
    <row r="8" spans="1:13" s="198" customFormat="1" ht="35.1" customHeight="1" x14ac:dyDescent="0.3">
      <c r="A8" s="413" t="s">
        <v>202</v>
      </c>
      <c r="B8" s="57" t="s">
        <v>203</v>
      </c>
      <c r="C8" s="199">
        <v>111202</v>
      </c>
      <c r="D8" s="58" t="str">
        <f>IFERROR(VLOOKUP(C8,'Acc code'!$B$2:$C$124,2,FALSE),0)</f>
        <v>Cash at Bank ( CB-US$ )</v>
      </c>
      <c r="E8" s="210" t="s">
        <v>204</v>
      </c>
      <c r="F8" s="53"/>
      <c r="G8" s="54">
        <v>1000</v>
      </c>
      <c r="I8" s="16">
        <v>111103</v>
      </c>
      <c r="J8" s="17" t="s">
        <v>118</v>
      </c>
      <c r="K8" s="18">
        <f>SUMIF(C:C,"111103",F:F)</f>
        <v>4215</v>
      </c>
      <c r="L8" s="18">
        <f>SUMIF(C:C,"111103",G:G)</f>
        <v>0</v>
      </c>
      <c r="M8" s="16">
        <v>3</v>
      </c>
    </row>
    <row r="9" spans="1:13" ht="35.1" customHeight="1" x14ac:dyDescent="0.3">
      <c r="A9" s="417" t="s">
        <v>206</v>
      </c>
      <c r="B9" s="253" t="s">
        <v>207</v>
      </c>
      <c r="C9" s="62">
        <v>401402</v>
      </c>
      <c r="D9" s="63" t="str">
        <f>IFERROR(VLOOKUP(C9,'Acc code'!$B$2:$C$124,2,FALSE),0)</f>
        <v>Exchange A/C</v>
      </c>
      <c r="E9" s="254" t="s">
        <v>208</v>
      </c>
      <c r="F9" s="64">
        <v>1320</v>
      </c>
      <c r="G9" s="65"/>
      <c r="I9" s="16">
        <v>111201</v>
      </c>
      <c r="J9" s="409" t="s">
        <v>205</v>
      </c>
      <c r="K9" s="18">
        <f>SUMIF(C:C,"111201",F:F)</f>
        <v>0</v>
      </c>
      <c r="L9" s="18">
        <f>SUMIF(C:C,"111201",G:G)</f>
        <v>0</v>
      </c>
      <c r="M9" s="16">
        <v>4</v>
      </c>
    </row>
    <row r="10" spans="1:13" ht="35.1" customHeight="1" x14ac:dyDescent="0.3">
      <c r="A10" s="413" t="s">
        <v>206</v>
      </c>
      <c r="B10" s="57" t="s">
        <v>207</v>
      </c>
      <c r="C10" s="57">
        <v>111202</v>
      </c>
      <c r="D10" s="58" t="str">
        <f>IFERROR(VLOOKUP(C10,'Acc code'!$B$2:$C$124,2,FALSE),0)</f>
        <v>Cash at Bank ( CB-US$ )</v>
      </c>
      <c r="E10" s="210" t="s">
        <v>208</v>
      </c>
      <c r="F10" s="60"/>
      <c r="G10" s="61">
        <v>1320</v>
      </c>
      <c r="I10" s="16">
        <v>111202</v>
      </c>
      <c r="J10" s="409" t="s">
        <v>192</v>
      </c>
      <c r="K10" s="18">
        <f>SUMIF(C:C,"111202",F:F)</f>
        <v>69500</v>
      </c>
      <c r="L10" s="18">
        <f>SUMIF(C:C,"111202",G:G)</f>
        <v>59765.9</v>
      </c>
      <c r="M10" s="16">
        <v>5</v>
      </c>
    </row>
    <row r="11" spans="1:13" ht="35.1" customHeight="1" x14ac:dyDescent="0.3">
      <c r="A11" s="417" t="s">
        <v>206</v>
      </c>
      <c r="B11" s="253" t="s">
        <v>209</v>
      </c>
      <c r="C11" s="62">
        <v>612122</v>
      </c>
      <c r="D11" s="63" t="str">
        <f>IFERROR(VLOOKUP(C11,'Acc code'!$B$2:$C$124,2,FALSE),0)</f>
        <v>Bank Charges</v>
      </c>
      <c r="E11" s="254" t="s">
        <v>210</v>
      </c>
      <c r="F11" s="376">
        <v>23.9</v>
      </c>
      <c r="G11" s="65"/>
      <c r="I11" s="16">
        <v>111203</v>
      </c>
      <c r="J11" s="17" t="s">
        <v>18</v>
      </c>
      <c r="K11" s="18">
        <f>SUMIF(C:C,"111203",F:F)</f>
        <v>0</v>
      </c>
      <c r="L11" s="18">
        <f>SUMIF(C:C,"111203",G:G)</f>
        <v>0</v>
      </c>
      <c r="M11" s="16">
        <v>6</v>
      </c>
    </row>
    <row r="12" spans="1:13" ht="35.1" customHeight="1" x14ac:dyDescent="0.3">
      <c r="A12" s="413" t="s">
        <v>206</v>
      </c>
      <c r="B12" s="57" t="s">
        <v>209</v>
      </c>
      <c r="C12" s="57">
        <v>111202</v>
      </c>
      <c r="D12" s="58" t="str">
        <f>IFERROR(VLOOKUP(C12,'Acc code'!$B$2:$C$124,2,FALSE),0)</f>
        <v>Cash at Bank ( CB-US$ )</v>
      </c>
      <c r="E12" s="210" t="s">
        <v>210</v>
      </c>
      <c r="F12" s="60"/>
      <c r="G12" s="377">
        <v>23.9</v>
      </c>
      <c r="I12" s="16">
        <v>111204</v>
      </c>
      <c r="J12" s="17" t="s">
        <v>19</v>
      </c>
      <c r="K12" s="18">
        <f>SUMIF(C:C,"111204",F:F)</f>
        <v>0</v>
      </c>
      <c r="L12" s="18">
        <f>SUMIF(C:C,"111204",G:G)</f>
        <v>0</v>
      </c>
      <c r="M12" s="16">
        <v>7</v>
      </c>
    </row>
    <row r="13" spans="1:13" ht="35.1" customHeight="1" x14ac:dyDescent="0.3">
      <c r="A13" s="417" t="s">
        <v>211</v>
      </c>
      <c r="B13" s="253" t="s">
        <v>212</v>
      </c>
      <c r="C13" s="62">
        <v>401402</v>
      </c>
      <c r="D13" s="63" t="str">
        <f>IFERROR(VLOOKUP(C13,'Acc code'!$B$2:$C$124,2,FALSE),0)</f>
        <v>Exchange A/C</v>
      </c>
      <c r="E13" s="254" t="s">
        <v>208</v>
      </c>
      <c r="F13" s="64">
        <v>900</v>
      </c>
      <c r="G13" s="65"/>
      <c r="I13" s="16">
        <v>111301</v>
      </c>
      <c r="J13" s="17" t="s">
        <v>248</v>
      </c>
      <c r="K13" s="18">
        <f>SUMIF(C:C,"111301",F:F)</f>
        <v>1500</v>
      </c>
      <c r="L13" s="18">
        <f>SUMIF(C:C,"111301",G:G)</f>
        <v>0</v>
      </c>
      <c r="M13" s="16">
        <v>8</v>
      </c>
    </row>
    <row r="14" spans="1:13" ht="35.1" customHeight="1" x14ac:dyDescent="0.3">
      <c r="A14" s="413" t="s">
        <v>211</v>
      </c>
      <c r="B14" s="253" t="s">
        <v>212</v>
      </c>
      <c r="C14" s="57">
        <v>111202</v>
      </c>
      <c r="D14" s="58" t="str">
        <f>IFERROR(VLOOKUP(C14,'Acc code'!$B$2:$C$124,2,FALSE),0)</f>
        <v>Cash at Bank ( CB-US$ )</v>
      </c>
      <c r="E14" s="210" t="s">
        <v>208</v>
      </c>
      <c r="F14" s="60"/>
      <c r="G14" s="61">
        <v>900</v>
      </c>
      <c r="I14" s="16">
        <v>111302</v>
      </c>
      <c r="J14" s="409" t="s">
        <v>432</v>
      </c>
      <c r="K14" s="18">
        <f>SUMIF(C:C,"111302",F:F)</f>
        <v>640</v>
      </c>
      <c r="L14" s="18">
        <f>SUMIF(C:C,"111302",G:G)</f>
        <v>0</v>
      </c>
      <c r="M14" s="16">
        <v>9</v>
      </c>
    </row>
    <row r="15" spans="1:13" ht="35.1" customHeight="1" x14ac:dyDescent="0.3">
      <c r="A15" s="417" t="s">
        <v>214</v>
      </c>
      <c r="B15" s="62" t="s">
        <v>215</v>
      </c>
      <c r="C15" s="62">
        <v>401402</v>
      </c>
      <c r="D15" s="63" t="str">
        <f>IFERROR(VLOOKUP(C15,'Acc code'!$B$2:$C$124,2,FALSE),0)</f>
        <v>Exchange A/C</v>
      </c>
      <c r="E15" s="254" t="s">
        <v>208</v>
      </c>
      <c r="F15" s="426">
        <v>5400</v>
      </c>
      <c r="G15" s="65"/>
      <c r="I15" s="16">
        <v>111401</v>
      </c>
      <c r="J15" s="17" t="s">
        <v>14</v>
      </c>
      <c r="K15" s="18">
        <f>SUMIF(C:C,"111401",F:F)</f>
        <v>0</v>
      </c>
      <c r="L15" s="18">
        <f>SUMIF(C:C,"111401",G:G)</f>
        <v>0</v>
      </c>
      <c r="M15" s="16">
        <v>10</v>
      </c>
    </row>
    <row r="16" spans="1:13" s="247" customFormat="1" ht="35.1" customHeight="1" x14ac:dyDescent="0.3">
      <c r="A16" s="413" t="s">
        <v>214</v>
      </c>
      <c r="B16" s="57" t="s">
        <v>215</v>
      </c>
      <c r="C16" s="57">
        <v>111202</v>
      </c>
      <c r="D16" s="58" t="str">
        <f>IFERROR(VLOOKUP(C16,'Acc code'!$B$2:$C$124,2,FALSE),0)</f>
        <v>Cash at Bank ( CB-US$ )</v>
      </c>
      <c r="E16" s="210" t="s">
        <v>208</v>
      </c>
      <c r="F16" s="60"/>
      <c r="G16" s="425">
        <v>5400</v>
      </c>
      <c r="I16" s="16">
        <v>111402</v>
      </c>
      <c r="J16" s="17" t="s">
        <v>161</v>
      </c>
      <c r="K16" s="18">
        <f>SUMIF(C:C,"111402",F:F)</f>
        <v>0</v>
      </c>
      <c r="L16" s="18">
        <f>SUMIF(C:C,"111402",G:G)</f>
        <v>0</v>
      </c>
      <c r="M16" s="16">
        <v>11</v>
      </c>
    </row>
    <row r="17" spans="1:16" ht="35.1" customHeight="1" x14ac:dyDescent="0.3">
      <c r="A17" s="417" t="s">
        <v>213</v>
      </c>
      <c r="B17" s="427" t="s">
        <v>232</v>
      </c>
      <c r="C17" s="62">
        <v>401402</v>
      </c>
      <c r="D17" s="63" t="str">
        <f>IFERROR(VLOOKUP(C17,'Acc code'!$B$2:$C$124,2,FALSE),0)</f>
        <v>Exchange A/C</v>
      </c>
      <c r="E17" s="254" t="s">
        <v>208</v>
      </c>
      <c r="F17" s="426">
        <v>900</v>
      </c>
      <c r="G17" s="65"/>
      <c r="I17" s="16">
        <v>111501</v>
      </c>
      <c r="J17" s="17" t="s">
        <v>15</v>
      </c>
      <c r="K17" s="18">
        <f>SUMIF(C:C,"111501",F:F)</f>
        <v>0</v>
      </c>
      <c r="L17" s="18">
        <f>SUMIF(C:C,"111501",G:G)</f>
        <v>0</v>
      </c>
      <c r="M17" s="16">
        <v>12</v>
      </c>
    </row>
    <row r="18" spans="1:16" ht="35.1" customHeight="1" x14ac:dyDescent="0.3">
      <c r="A18" s="413" t="s">
        <v>213</v>
      </c>
      <c r="B18" s="423" t="s">
        <v>232</v>
      </c>
      <c r="C18" s="57">
        <v>111202</v>
      </c>
      <c r="D18" s="58" t="str">
        <f>IFERROR(VLOOKUP(C18,'Acc code'!$B$2:$C$124,2,FALSE),0)</f>
        <v>Cash at Bank ( CB-US$ )</v>
      </c>
      <c r="E18" s="210" t="s">
        <v>208</v>
      </c>
      <c r="F18" s="60"/>
      <c r="G18" s="425">
        <v>900</v>
      </c>
      <c r="I18" s="16">
        <v>111601</v>
      </c>
      <c r="J18" s="17" t="s">
        <v>1</v>
      </c>
      <c r="K18" s="18">
        <f>SUMIF(C:C,"111601",F:F)</f>
        <v>0</v>
      </c>
      <c r="L18" s="18">
        <f>SUMIF(C:C,"111601",G:G)</f>
        <v>0</v>
      </c>
      <c r="M18" s="16">
        <v>13</v>
      </c>
    </row>
    <row r="19" spans="1:16" ht="35.1" customHeight="1" x14ac:dyDescent="0.3">
      <c r="A19" s="417" t="s">
        <v>217</v>
      </c>
      <c r="B19" s="62" t="s">
        <v>218</v>
      </c>
      <c r="C19" s="62">
        <v>401402</v>
      </c>
      <c r="D19" s="63" t="str">
        <f>IFERROR(VLOOKUP(C19,'Acc code'!$B$2:$C$124,2,FALSE),0)</f>
        <v>Exchange A/C</v>
      </c>
      <c r="E19" s="254" t="s">
        <v>208</v>
      </c>
      <c r="F19" s="64">
        <v>2340</v>
      </c>
      <c r="G19" s="65"/>
      <c r="I19" s="16">
        <v>291101</v>
      </c>
      <c r="J19" s="17" t="s">
        <v>2</v>
      </c>
      <c r="K19" s="18">
        <f>SUMIF(C:C,"291101",F:F)</f>
        <v>0</v>
      </c>
      <c r="L19" s="18">
        <f>SUMIF(C:C,"291101",G:G)</f>
        <v>0</v>
      </c>
      <c r="M19" s="16">
        <v>14</v>
      </c>
    </row>
    <row r="20" spans="1:16" ht="35.1" customHeight="1" x14ac:dyDescent="0.3">
      <c r="A20" s="413" t="s">
        <v>217</v>
      </c>
      <c r="B20" s="253" t="s">
        <v>218</v>
      </c>
      <c r="C20" s="57">
        <v>111202</v>
      </c>
      <c r="D20" s="58" t="str">
        <f>IFERROR(VLOOKUP(C20,'Acc code'!$B$2:$C$124,2,FALSE),0)</f>
        <v>Cash at Bank ( CB-US$ )</v>
      </c>
      <c r="E20" s="210" t="s">
        <v>208</v>
      </c>
      <c r="F20" s="60"/>
      <c r="G20" s="61">
        <v>2340</v>
      </c>
      <c r="I20" s="16">
        <v>291102</v>
      </c>
      <c r="J20" s="17" t="s">
        <v>16</v>
      </c>
      <c r="K20" s="18">
        <f>SUMIF(C:C,"291102",F:F)</f>
        <v>0</v>
      </c>
      <c r="L20" s="18">
        <f>SUMIF(C:C,"291102",G:G)</f>
        <v>0</v>
      </c>
      <c r="M20" s="16">
        <v>15</v>
      </c>
    </row>
    <row r="21" spans="1:16" ht="35.1" customHeight="1" x14ac:dyDescent="0.3">
      <c r="A21" s="422" t="s">
        <v>227</v>
      </c>
      <c r="B21" s="62" t="s">
        <v>222</v>
      </c>
      <c r="C21" s="62">
        <v>111202</v>
      </c>
      <c r="D21" s="63" t="str">
        <f>IFERROR(VLOOKUP(C21,'Acc code'!$B$2:$C$124,2,FALSE),0)</f>
        <v>Cash at Bank ( CB-US$ )</v>
      </c>
      <c r="E21" s="63" t="s">
        <v>224</v>
      </c>
      <c r="F21" s="64">
        <v>25000</v>
      </c>
      <c r="G21" s="65"/>
      <c r="I21" s="16">
        <v>291103</v>
      </c>
      <c r="J21" s="17" t="s">
        <v>3</v>
      </c>
      <c r="K21" s="18">
        <f>SUMIF(C:C,"291103",F:F)</f>
        <v>0</v>
      </c>
      <c r="L21" s="18">
        <f>SUMIF(C:C,"291103",G:G)</f>
        <v>0</v>
      </c>
      <c r="M21" s="16">
        <v>16</v>
      </c>
    </row>
    <row r="22" spans="1:16" ht="35.1" customHeight="1" x14ac:dyDescent="0.3">
      <c r="A22" s="413" t="s">
        <v>227</v>
      </c>
      <c r="B22" s="57" t="s">
        <v>222</v>
      </c>
      <c r="C22" s="57">
        <v>401101</v>
      </c>
      <c r="D22" s="58" t="str">
        <f>IFERROR(VLOOKUP(C22,'Acc code'!$B$2:$C$124,2,FALSE),0)</f>
        <v>Paid Up Capital</v>
      </c>
      <c r="E22" s="210" t="s">
        <v>224</v>
      </c>
      <c r="F22" s="60"/>
      <c r="G22" s="61">
        <v>25000</v>
      </c>
      <c r="I22" s="16">
        <v>291104</v>
      </c>
      <c r="J22" s="17" t="s">
        <v>193</v>
      </c>
      <c r="K22" s="18">
        <f>SUMIF(C:C,"291104",F:F)</f>
        <v>3500</v>
      </c>
      <c r="L22" s="18">
        <f>SUMIF(C:C,"291104",G:G)</f>
        <v>0</v>
      </c>
      <c r="M22" s="16">
        <v>17</v>
      </c>
    </row>
    <row r="23" spans="1:16" ht="35.1" customHeight="1" x14ac:dyDescent="0.3">
      <c r="A23" s="417" t="s">
        <v>225</v>
      </c>
      <c r="B23" s="253" t="s">
        <v>226</v>
      </c>
      <c r="C23" s="62">
        <v>111202</v>
      </c>
      <c r="D23" s="195" t="str">
        <f>IFERROR(VLOOKUP(C23,'Acc code'!$B$2:$C$124,2,FALSE),0)</f>
        <v>Cash at Bank ( CB-US$ )</v>
      </c>
      <c r="E23" s="63" t="s">
        <v>224</v>
      </c>
      <c r="F23" s="256">
        <v>24500</v>
      </c>
      <c r="G23" s="257"/>
      <c r="I23" s="16">
        <v>294101</v>
      </c>
      <c r="J23" s="17" t="s">
        <v>4</v>
      </c>
      <c r="K23" s="18">
        <f>SUMIF(C:C,"294101",F:F)</f>
        <v>0</v>
      </c>
      <c r="L23" s="18">
        <f>SUMIF(C:C,"294101",G:G)</f>
        <v>0</v>
      </c>
      <c r="M23" s="16">
        <v>18</v>
      </c>
    </row>
    <row r="24" spans="1:16" ht="35.1" customHeight="1" x14ac:dyDescent="0.3">
      <c r="A24" s="413" t="s">
        <v>225</v>
      </c>
      <c r="B24" s="57" t="s">
        <v>226</v>
      </c>
      <c r="C24" s="57">
        <v>401101</v>
      </c>
      <c r="D24" s="58" t="str">
        <f>IFERROR(VLOOKUP(C24,'Acc code'!$B$2:$C$124,2,FALSE),0)</f>
        <v>Paid Up Capital</v>
      </c>
      <c r="E24" s="210" t="s">
        <v>224</v>
      </c>
      <c r="F24" s="258"/>
      <c r="G24" s="259">
        <v>24500</v>
      </c>
      <c r="I24" s="16">
        <v>294102</v>
      </c>
      <c r="J24" s="17" t="s">
        <v>17</v>
      </c>
      <c r="K24" s="18">
        <f>SUMIF(C:C,"294102",F:F)</f>
        <v>0</v>
      </c>
      <c r="L24" s="18">
        <f>SUMIF(C:C,"294102",G:G)</f>
        <v>0</v>
      </c>
      <c r="M24" s="16">
        <v>19</v>
      </c>
    </row>
    <row r="25" spans="1:16" ht="35.1" customHeight="1" x14ac:dyDescent="0.3">
      <c r="A25" s="417" t="s">
        <v>206</v>
      </c>
      <c r="B25" s="253" t="s">
        <v>228</v>
      </c>
      <c r="C25" s="62">
        <v>401402</v>
      </c>
      <c r="D25" s="254" t="str">
        <f>IFERROR(VLOOKUP(C25,'Acc code'!$B$2:$C$124,2,FALSE),0)</f>
        <v>Exchange A/C</v>
      </c>
      <c r="E25" s="254" t="s">
        <v>208</v>
      </c>
      <c r="F25" s="256">
        <v>1255</v>
      </c>
      <c r="G25" s="257"/>
      <c r="I25" s="16">
        <v>294103</v>
      </c>
      <c r="J25" s="17" t="s">
        <v>5</v>
      </c>
      <c r="K25" s="18">
        <f>SUMIF(C:C,"294103",F:F)</f>
        <v>0</v>
      </c>
      <c r="L25" s="18">
        <f>SUMIF(C:C,"294103",G:G)</f>
        <v>0</v>
      </c>
      <c r="M25" s="16">
        <v>20</v>
      </c>
      <c r="P25" s="247"/>
    </row>
    <row r="26" spans="1:16" ht="35.1" customHeight="1" x14ac:dyDescent="0.3">
      <c r="A26" s="413" t="s">
        <v>206</v>
      </c>
      <c r="B26" s="253" t="s">
        <v>228</v>
      </c>
      <c r="C26" s="57">
        <v>111202</v>
      </c>
      <c r="D26" s="58" t="str">
        <f>IFERROR(VLOOKUP(C26,'Acc code'!$B$2:$C$124,2,FALSE),0)</f>
        <v>Cash at Bank ( CB-US$ )</v>
      </c>
      <c r="E26" s="210" t="s">
        <v>208</v>
      </c>
      <c r="F26" s="258"/>
      <c r="G26" s="259">
        <v>1255</v>
      </c>
      <c r="I26" s="16">
        <v>294104</v>
      </c>
      <c r="J26" s="17" t="s">
        <v>95</v>
      </c>
      <c r="K26" s="18">
        <f>SUMIF(C:C,"294104",F:F)</f>
        <v>0</v>
      </c>
      <c r="L26" s="18">
        <f>SUMIF(C:C,"294104",G:G)</f>
        <v>0</v>
      </c>
      <c r="M26" s="16">
        <v>21</v>
      </c>
      <c r="O26" s="255"/>
    </row>
    <row r="27" spans="1:16" ht="35.1" customHeight="1" x14ac:dyDescent="0.3">
      <c r="A27" s="422" t="s">
        <v>213</v>
      </c>
      <c r="B27" s="62" t="s">
        <v>229</v>
      </c>
      <c r="C27" s="62">
        <v>401402</v>
      </c>
      <c r="D27" s="63" t="str">
        <f>IFERROR(VLOOKUP(C27,'Acc code'!$B$2:$C$124,2,FALSE),0)</f>
        <v>Exchange A/C</v>
      </c>
      <c r="E27" s="254" t="s">
        <v>208</v>
      </c>
      <c r="F27" s="260">
        <v>900</v>
      </c>
      <c r="G27" s="261"/>
      <c r="I27" s="16">
        <v>321101</v>
      </c>
      <c r="J27" s="17" t="s">
        <v>21</v>
      </c>
      <c r="K27" s="18">
        <f>SUMIF(C:C,"321101",F:F)</f>
        <v>0</v>
      </c>
      <c r="L27" s="18">
        <f>SUMIF(C:C,"321101",G:G)</f>
        <v>0</v>
      </c>
      <c r="M27" s="16">
        <v>22</v>
      </c>
    </row>
    <row r="28" spans="1:16" ht="35.1" customHeight="1" x14ac:dyDescent="0.3">
      <c r="A28" s="413" t="s">
        <v>213</v>
      </c>
      <c r="B28" s="423" t="s">
        <v>229</v>
      </c>
      <c r="C28" s="57">
        <v>111202</v>
      </c>
      <c r="D28" s="254" t="str">
        <f>IFERROR(VLOOKUP(C28,'Acc code'!$B$2:$C$124,2,FALSE),0)</f>
        <v>Cash at Bank ( CB-US$ )</v>
      </c>
      <c r="E28" s="210" t="s">
        <v>208</v>
      </c>
      <c r="F28" s="258"/>
      <c r="G28" s="259">
        <v>900</v>
      </c>
      <c r="I28" s="16">
        <v>321201</v>
      </c>
      <c r="J28" s="17" t="s">
        <v>22</v>
      </c>
      <c r="K28" s="18">
        <f>SUMIF(C:C,"321201",F:F)</f>
        <v>0</v>
      </c>
      <c r="L28" s="18">
        <f>SUMIF(C:C,"321201",G:G)</f>
        <v>0</v>
      </c>
      <c r="M28" s="16">
        <v>23</v>
      </c>
    </row>
    <row r="29" spans="1:16" ht="35.1" customHeight="1" x14ac:dyDescent="0.3">
      <c r="A29" s="422" t="s">
        <v>293</v>
      </c>
      <c r="B29" s="427" t="s">
        <v>294</v>
      </c>
      <c r="C29" s="62">
        <v>401402</v>
      </c>
      <c r="D29" s="63" t="str">
        <f>IFERROR(VLOOKUP(C29,'Acc code'!$B$2:$C$124,2,FALSE),0)</f>
        <v>Exchange A/C</v>
      </c>
      <c r="E29" s="429" t="s">
        <v>295</v>
      </c>
      <c r="F29" s="260">
        <v>850</v>
      </c>
      <c r="G29" s="261"/>
      <c r="I29" s="16">
        <v>321301</v>
      </c>
      <c r="J29" s="17" t="s">
        <v>23</v>
      </c>
      <c r="K29" s="18">
        <f>SUMIF(C:C,"321301",F:F)</f>
        <v>0</v>
      </c>
      <c r="L29" s="18">
        <f>SUMIF(C:C,"321301",G:G)</f>
        <v>0</v>
      </c>
      <c r="M29" s="16">
        <v>24</v>
      </c>
    </row>
    <row r="30" spans="1:16" ht="35.1" customHeight="1" x14ac:dyDescent="0.3">
      <c r="A30" s="413" t="s">
        <v>293</v>
      </c>
      <c r="B30" s="423" t="s">
        <v>294</v>
      </c>
      <c r="C30" s="57">
        <v>111202</v>
      </c>
      <c r="D30" s="58" t="str">
        <f>IFERROR(VLOOKUP(C30,'Acc code'!$B$2:$C$124,2,FALSE),0)</f>
        <v>Cash at Bank ( CB-US$ )</v>
      </c>
      <c r="E30" s="432" t="s">
        <v>295</v>
      </c>
      <c r="F30" s="258"/>
      <c r="G30" s="259">
        <v>850</v>
      </c>
      <c r="I30" s="16">
        <v>321302</v>
      </c>
      <c r="J30" s="17" t="s">
        <v>24</v>
      </c>
      <c r="K30" s="18">
        <f>SUMIF(C:C,"321302",F:F)</f>
        <v>0</v>
      </c>
      <c r="L30" s="18">
        <f>SUMIF(C:C,"321302",G:G)</f>
        <v>0</v>
      </c>
      <c r="M30" s="16">
        <v>25</v>
      </c>
    </row>
    <row r="31" spans="1:16" s="198" customFormat="1" ht="35.1" customHeight="1" x14ac:dyDescent="0.3">
      <c r="A31" s="422" t="s">
        <v>293</v>
      </c>
      <c r="B31" s="253" t="s">
        <v>294</v>
      </c>
      <c r="C31" s="62">
        <v>111103</v>
      </c>
      <c r="D31" s="254" t="str">
        <f>IFERROR(VLOOKUP(C31,'Acc code'!$B$2:$C$124,2,FALSE),0)</f>
        <v>Transfer Account ( Cash &amp; Bank )</v>
      </c>
      <c r="E31" s="429" t="s">
        <v>299</v>
      </c>
      <c r="F31" s="256">
        <v>500</v>
      </c>
      <c r="G31" s="257"/>
      <c r="I31" s="16">
        <v>321303</v>
      </c>
      <c r="J31" s="17" t="s">
        <v>159</v>
      </c>
      <c r="K31" s="18">
        <f>SUMIF(C:C,"321303",F:F)</f>
        <v>0</v>
      </c>
      <c r="L31" s="18">
        <f>SUMIF(C:C,"321303",G:G)</f>
        <v>0</v>
      </c>
      <c r="M31" s="16">
        <v>26</v>
      </c>
    </row>
    <row r="32" spans="1:16" ht="35.1" customHeight="1" x14ac:dyDescent="0.3">
      <c r="A32" s="413" t="s">
        <v>293</v>
      </c>
      <c r="B32" s="57" t="s">
        <v>294</v>
      </c>
      <c r="C32" s="57">
        <v>111202</v>
      </c>
      <c r="D32" s="58" t="str">
        <f>IFERROR(VLOOKUP(C32,'Acc code'!$B$2:$C$124,2,FALSE),0)</f>
        <v>Cash at Bank ( CB-US$ )</v>
      </c>
      <c r="E32" s="432" t="s">
        <v>299</v>
      </c>
      <c r="F32" s="258"/>
      <c r="G32" s="259">
        <v>500</v>
      </c>
      <c r="I32" s="16">
        <v>401101</v>
      </c>
      <c r="J32" s="17" t="s">
        <v>223</v>
      </c>
      <c r="K32" s="18">
        <f>SUMIF(C:C,"401101",F:F)</f>
        <v>0</v>
      </c>
      <c r="L32" s="18">
        <f>SUMIF(C:C,"401101",G:G)</f>
        <v>69500</v>
      </c>
      <c r="M32" s="16">
        <v>27</v>
      </c>
    </row>
    <row r="33" spans="1:13" ht="35.1" customHeight="1" x14ac:dyDescent="0.3">
      <c r="A33" s="417" t="s">
        <v>300</v>
      </c>
      <c r="B33" s="253" t="s">
        <v>297</v>
      </c>
      <c r="C33" s="253">
        <v>111301</v>
      </c>
      <c r="D33" s="254" t="str">
        <f>IFERROR(VLOOKUP(C33,'Acc code'!$B$2:$C$124,2,FALSE),0)</f>
        <v>Prepaid ( Office Staff )</v>
      </c>
      <c r="E33" s="429" t="s">
        <v>301</v>
      </c>
      <c r="F33" s="53">
        <v>1500</v>
      </c>
      <c r="G33" s="54"/>
      <c r="I33" s="16">
        <v>401201</v>
      </c>
      <c r="J33" s="17" t="s">
        <v>25</v>
      </c>
      <c r="K33" s="18">
        <f>SUMIF(C:C,"401201",F:F)</f>
        <v>0</v>
      </c>
      <c r="L33" s="18">
        <f>SUMIF(C:C,"401201",G:G)</f>
        <v>0</v>
      </c>
      <c r="M33" s="16">
        <v>28</v>
      </c>
    </row>
    <row r="34" spans="1:13" ht="35.1" customHeight="1" x14ac:dyDescent="0.3">
      <c r="A34" s="413" t="s">
        <v>300</v>
      </c>
      <c r="B34" s="57" t="s">
        <v>297</v>
      </c>
      <c r="C34" s="57">
        <v>111202</v>
      </c>
      <c r="D34" s="58" t="str">
        <f>IFERROR(VLOOKUP(C34,'Acc code'!$B$2:$C$124,2,FALSE),0)</f>
        <v>Cash at Bank ( CB-US$ )</v>
      </c>
      <c r="E34" s="432" t="s">
        <v>301</v>
      </c>
      <c r="F34" s="60"/>
      <c r="G34" s="61">
        <v>1500</v>
      </c>
      <c r="I34" s="16">
        <v>401301</v>
      </c>
      <c r="J34" s="17" t="s">
        <v>26</v>
      </c>
      <c r="K34" s="18">
        <f>SUMIF(C:C,"401301",F:F)</f>
        <v>0</v>
      </c>
      <c r="L34" s="18">
        <f>SUMIF(C:C,"401301",G:G)</f>
        <v>0</v>
      </c>
      <c r="M34" s="16">
        <v>29</v>
      </c>
    </row>
    <row r="35" spans="1:13" ht="35.1" customHeight="1" x14ac:dyDescent="0.3">
      <c r="A35" s="422" t="s">
        <v>302</v>
      </c>
      <c r="B35" s="253" t="s">
        <v>297</v>
      </c>
      <c r="C35" s="62">
        <v>401402</v>
      </c>
      <c r="D35" s="254" t="str">
        <f>IFERROR(VLOOKUP(C35,'Acc code'!$B$2:$C$124,2,FALSE),0)</f>
        <v>Exchange A/C</v>
      </c>
      <c r="E35" s="429" t="s">
        <v>303</v>
      </c>
      <c r="F35" s="53">
        <v>3160</v>
      </c>
      <c r="G35" s="54"/>
      <c r="I35" s="16">
        <v>401401</v>
      </c>
      <c r="J35" s="17" t="s">
        <v>27</v>
      </c>
      <c r="K35" s="18">
        <f>SUMIF(C:C,"401401",F:F)</f>
        <v>0</v>
      </c>
      <c r="L35" s="18">
        <f>SUMIF(C:C,"401401",G:G)</f>
        <v>0</v>
      </c>
      <c r="M35" s="16">
        <v>30</v>
      </c>
    </row>
    <row r="36" spans="1:13" ht="35.1" customHeight="1" x14ac:dyDescent="0.3">
      <c r="A36" s="413" t="s">
        <v>302</v>
      </c>
      <c r="B36" s="57" t="s">
        <v>297</v>
      </c>
      <c r="C36" s="57">
        <v>111202</v>
      </c>
      <c r="D36" s="58" t="str">
        <f>IFERROR(VLOOKUP(C36,'Acc code'!$B$2:$C$124,2,FALSE),0)</f>
        <v>Cash at Bank ( CB-US$ )</v>
      </c>
      <c r="E36" s="432" t="s">
        <v>303</v>
      </c>
      <c r="F36" s="60"/>
      <c r="G36" s="61">
        <v>3160</v>
      </c>
      <c r="I36" s="16">
        <v>401402</v>
      </c>
      <c r="J36" s="17" t="s">
        <v>106</v>
      </c>
      <c r="K36" s="18">
        <f>SUMIF(C:C,"401402",F:F)</f>
        <v>43900</v>
      </c>
      <c r="L36" s="18">
        <f>SUMIF(C:C,"401402",G:G)</f>
        <v>0</v>
      </c>
      <c r="M36" s="16">
        <v>31</v>
      </c>
    </row>
    <row r="37" spans="1:13" s="198" customFormat="1" ht="35.1" customHeight="1" x14ac:dyDescent="0.3">
      <c r="A37" s="417" t="s">
        <v>305</v>
      </c>
      <c r="B37" s="253" t="s">
        <v>297</v>
      </c>
      <c r="C37" s="253">
        <v>612126</v>
      </c>
      <c r="D37" s="254" t="str">
        <f>IFERROR(VLOOKUP(C37,'Acc code'!$B$2:$C$124,2,FALSE),0)</f>
        <v>Office Renovation Charges</v>
      </c>
      <c r="E37" s="254" t="s">
        <v>306</v>
      </c>
      <c r="F37" s="53">
        <v>1100</v>
      </c>
      <c r="G37" s="54"/>
      <c r="I37" s="16">
        <v>401403</v>
      </c>
      <c r="J37" s="17" t="s">
        <v>116</v>
      </c>
      <c r="K37" s="18">
        <f>SUMIF(C:C,"401403",F:F)</f>
        <v>0</v>
      </c>
      <c r="L37" s="18">
        <f>SUMIF(C:C,"401403",G:G)</f>
        <v>0</v>
      </c>
      <c r="M37" s="16">
        <v>32</v>
      </c>
    </row>
    <row r="38" spans="1:13" ht="35.1" customHeight="1" x14ac:dyDescent="0.3">
      <c r="A38" s="413" t="s">
        <v>305</v>
      </c>
      <c r="B38" s="57" t="s">
        <v>297</v>
      </c>
      <c r="C38" s="57">
        <v>111202</v>
      </c>
      <c r="D38" s="58" t="str">
        <f>IFERROR(VLOOKUP(C38,'Acc code'!$B$2:$C$124,2,FALSE),0)</f>
        <v>Cash at Bank ( CB-US$ )</v>
      </c>
      <c r="E38" s="210" t="s">
        <v>306</v>
      </c>
      <c r="F38" s="60"/>
      <c r="G38" s="61">
        <v>1100</v>
      </c>
      <c r="I38" s="16">
        <v>514101</v>
      </c>
      <c r="J38" s="17" t="s">
        <v>28</v>
      </c>
      <c r="K38" s="18">
        <f>SUMIF(C:C,"514101",F:F)</f>
        <v>0</v>
      </c>
      <c r="L38" s="18">
        <f>SUMIF(C:C,"514101",G:G)</f>
        <v>0</v>
      </c>
      <c r="M38" s="16">
        <v>33</v>
      </c>
    </row>
    <row r="39" spans="1:13" ht="35.1" customHeight="1" x14ac:dyDescent="0.3">
      <c r="A39" s="417" t="s">
        <v>307</v>
      </c>
      <c r="B39" s="253" t="s">
        <v>297</v>
      </c>
      <c r="C39" s="62">
        <v>401402</v>
      </c>
      <c r="D39" s="254" t="str">
        <f>IFERROR(VLOOKUP(C39,'Acc code'!$B$2:$C$124,2,FALSE),0)</f>
        <v>Exchange A/C</v>
      </c>
      <c r="E39" s="429" t="s">
        <v>308</v>
      </c>
      <c r="F39" s="53">
        <v>1450</v>
      </c>
      <c r="G39" s="54"/>
      <c r="I39" s="16">
        <v>611101</v>
      </c>
      <c r="J39" s="17" t="s">
        <v>29</v>
      </c>
      <c r="K39" s="18">
        <f>SUMIF(C:C,"611101",F:F)</f>
        <v>0</v>
      </c>
      <c r="L39" s="18">
        <f>SUMIF(C:C,"611101",G:G)</f>
        <v>0</v>
      </c>
      <c r="M39" s="16">
        <v>34</v>
      </c>
    </row>
    <row r="40" spans="1:13" ht="35.1" customHeight="1" x14ac:dyDescent="0.3">
      <c r="A40" s="413" t="s">
        <v>307</v>
      </c>
      <c r="B40" s="57" t="s">
        <v>297</v>
      </c>
      <c r="C40" s="57">
        <v>111202</v>
      </c>
      <c r="D40" s="58" t="str">
        <f>IFERROR(VLOOKUP(C40,'Acc code'!$B$2:$C$124,2,FALSE),0)</f>
        <v>Cash at Bank ( CB-US$ )</v>
      </c>
      <c r="E40" s="432" t="s">
        <v>309</v>
      </c>
      <c r="F40" s="60"/>
      <c r="G40" s="61">
        <v>1450</v>
      </c>
      <c r="I40" s="16">
        <v>612101</v>
      </c>
      <c r="J40" s="17" t="s">
        <v>30</v>
      </c>
      <c r="K40" s="18">
        <f>SUMIF(C:C,"612101",F:F)</f>
        <v>1000</v>
      </c>
      <c r="L40" s="18">
        <f>SUMIF(C:C,"612101",G:G)</f>
        <v>0</v>
      </c>
      <c r="M40" s="16">
        <v>35</v>
      </c>
    </row>
    <row r="41" spans="1:13" ht="35.1" customHeight="1" x14ac:dyDescent="0.3">
      <c r="A41" s="417" t="s">
        <v>311</v>
      </c>
      <c r="B41" s="253" t="s">
        <v>297</v>
      </c>
      <c r="C41" s="62">
        <v>401402</v>
      </c>
      <c r="D41" s="254" t="str">
        <f>IFERROR(VLOOKUP(C41,'Acc code'!$B$2:$C$124,2,FALSE),0)</f>
        <v>Exchange A/C</v>
      </c>
      <c r="E41" s="429" t="s">
        <v>312</v>
      </c>
      <c r="F41" s="53">
        <v>1000</v>
      </c>
      <c r="G41" s="54"/>
      <c r="I41" s="16">
        <v>612102</v>
      </c>
      <c r="J41" s="17" t="s">
        <v>54</v>
      </c>
      <c r="K41" s="18">
        <f>SUMIF(C:C,"612102",F:F)</f>
        <v>0</v>
      </c>
      <c r="L41" s="18">
        <f>SUMIF(C:C,"612102",G:G)</f>
        <v>0</v>
      </c>
      <c r="M41" s="16">
        <v>36</v>
      </c>
    </row>
    <row r="42" spans="1:13" ht="35.1" customHeight="1" x14ac:dyDescent="0.3">
      <c r="A42" s="413" t="s">
        <v>311</v>
      </c>
      <c r="B42" s="57" t="s">
        <v>297</v>
      </c>
      <c r="C42" s="57">
        <v>111202</v>
      </c>
      <c r="D42" s="58" t="str">
        <f>IFERROR(VLOOKUP(C42,'Acc code'!$B$2:$C$124,2,FALSE),0)</f>
        <v>Cash at Bank ( CB-US$ )</v>
      </c>
      <c r="E42" s="432" t="s">
        <v>312</v>
      </c>
      <c r="F42" s="60"/>
      <c r="G42" s="61">
        <v>1000</v>
      </c>
      <c r="I42" s="16">
        <v>612103</v>
      </c>
      <c r="J42" s="17" t="s">
        <v>31</v>
      </c>
      <c r="K42" s="18">
        <f>SUMIF(C:C,"612103",F:F)</f>
        <v>3045</v>
      </c>
      <c r="L42" s="18">
        <f>SUMIF(C:C,"612103",G:G)</f>
        <v>0</v>
      </c>
      <c r="M42" s="16">
        <v>37</v>
      </c>
    </row>
    <row r="43" spans="1:13" ht="35.1" customHeight="1" x14ac:dyDescent="0.3">
      <c r="A43" s="417" t="s">
        <v>313</v>
      </c>
      <c r="B43" s="253" t="s">
        <v>297</v>
      </c>
      <c r="C43" s="62">
        <v>401402</v>
      </c>
      <c r="D43" s="63" t="str">
        <f>IFERROR(VLOOKUP(C43,'Acc code'!$B$2:$C$124,2,FALSE),0)</f>
        <v>Exchange A/C</v>
      </c>
      <c r="E43" s="429" t="s">
        <v>314</v>
      </c>
      <c r="F43" s="64">
        <v>300</v>
      </c>
      <c r="G43" s="65"/>
      <c r="I43" s="16">
        <v>612104</v>
      </c>
      <c r="J43" s="17" t="s">
        <v>32</v>
      </c>
      <c r="K43" s="18">
        <f>SUMIF(C:C,"612104",F:F)</f>
        <v>0</v>
      </c>
      <c r="L43" s="18">
        <f>SUMIF(C:C,"612104",G:G)</f>
        <v>0</v>
      </c>
      <c r="M43" s="16">
        <v>38</v>
      </c>
    </row>
    <row r="44" spans="1:13" ht="35.1" customHeight="1" x14ac:dyDescent="0.3">
      <c r="A44" s="413" t="s">
        <v>313</v>
      </c>
      <c r="B44" s="57" t="s">
        <v>297</v>
      </c>
      <c r="C44" s="57">
        <v>111202</v>
      </c>
      <c r="D44" s="58" t="str">
        <f>IFERROR(VLOOKUP(C44,'Acc code'!$B$2:$C$124,2,FALSE),0)</f>
        <v>Cash at Bank ( CB-US$ )</v>
      </c>
      <c r="E44" s="432" t="s">
        <v>314</v>
      </c>
      <c r="F44" s="60"/>
      <c r="G44" s="61">
        <v>300</v>
      </c>
      <c r="I44" s="16">
        <v>612105</v>
      </c>
      <c r="J44" s="17" t="s">
        <v>33</v>
      </c>
      <c r="K44" s="18">
        <f>SUMIF(C:C,"612105",F:F)</f>
        <v>0</v>
      </c>
      <c r="L44" s="18">
        <f>SUMIF(C:C,"612105",G:G)</f>
        <v>0</v>
      </c>
      <c r="M44" s="16">
        <v>39</v>
      </c>
    </row>
    <row r="45" spans="1:13" ht="35.1" customHeight="1" x14ac:dyDescent="0.3">
      <c r="A45" s="417" t="s">
        <v>316</v>
      </c>
      <c r="B45" s="253" t="s">
        <v>297</v>
      </c>
      <c r="C45" s="62">
        <v>401402</v>
      </c>
      <c r="D45" s="63" t="str">
        <f>IFERROR(VLOOKUP(C45,'Acc code'!$B$2:$C$124,2,FALSE),0)</f>
        <v>Exchange A/C</v>
      </c>
      <c r="E45" s="429" t="s">
        <v>317</v>
      </c>
      <c r="F45" s="64">
        <v>13390</v>
      </c>
      <c r="G45" s="65"/>
      <c r="I45" s="16">
        <v>612106</v>
      </c>
      <c r="J45" s="17" t="s">
        <v>34</v>
      </c>
      <c r="K45" s="18">
        <f>SUMIF(C:C,"612106",F:F)</f>
        <v>610</v>
      </c>
      <c r="L45" s="18">
        <f>SUMIF(C:C,"612106",G:G)</f>
        <v>0</v>
      </c>
      <c r="M45" s="16">
        <v>40</v>
      </c>
    </row>
    <row r="46" spans="1:13" ht="35.1" customHeight="1" x14ac:dyDescent="0.3">
      <c r="A46" s="413" t="s">
        <v>316</v>
      </c>
      <c r="B46" s="57" t="s">
        <v>297</v>
      </c>
      <c r="C46" s="57">
        <v>111202</v>
      </c>
      <c r="D46" s="58" t="str">
        <f>IFERROR(VLOOKUP(C46,'Acc code'!$B$2:$C$124,2,FALSE),0)</f>
        <v>Cash at Bank ( CB-US$ )</v>
      </c>
      <c r="E46" s="432" t="s">
        <v>317</v>
      </c>
      <c r="F46" s="60"/>
      <c r="G46" s="61">
        <v>13390</v>
      </c>
      <c r="I46" s="16">
        <v>612107</v>
      </c>
      <c r="J46" s="17" t="s">
        <v>281</v>
      </c>
      <c r="K46" s="18">
        <f>SUMIF(C:C,"612107",F:F)</f>
        <v>215</v>
      </c>
      <c r="L46" s="18">
        <f>SUMIF(C:C,"612107",G:G)</f>
        <v>0</v>
      </c>
      <c r="M46" s="16">
        <v>41</v>
      </c>
    </row>
    <row r="47" spans="1:13" ht="35.1" customHeight="1" x14ac:dyDescent="0.3">
      <c r="A47" s="417" t="s">
        <v>479</v>
      </c>
      <c r="B47" s="253" t="s">
        <v>480</v>
      </c>
      <c r="C47" s="62">
        <v>401402</v>
      </c>
      <c r="D47" s="63" t="str">
        <f>IFERROR(VLOOKUP(C47,'Acc code'!$B$2:$C$124,2,FALSE),0)</f>
        <v>Exchange A/C</v>
      </c>
      <c r="E47" s="429" t="s">
        <v>495</v>
      </c>
      <c r="F47" s="64">
        <v>2620</v>
      </c>
      <c r="G47" s="65"/>
      <c r="I47" s="16">
        <v>612108</v>
      </c>
      <c r="J47" s="17" t="s">
        <v>10</v>
      </c>
      <c r="K47" s="18">
        <f>SUMIF(C:C,"612108",F:F)</f>
        <v>0</v>
      </c>
      <c r="L47" s="18">
        <f>SUMIF(C:C,"612108",G:G)</f>
        <v>0</v>
      </c>
      <c r="M47" s="16">
        <v>42</v>
      </c>
    </row>
    <row r="48" spans="1:13" ht="35.1" customHeight="1" x14ac:dyDescent="0.3">
      <c r="A48" s="413" t="s">
        <v>479</v>
      </c>
      <c r="B48" s="57" t="s">
        <v>480</v>
      </c>
      <c r="C48" s="57">
        <v>111202</v>
      </c>
      <c r="D48" s="58" t="str">
        <f>IFERROR(VLOOKUP(C48,'Acc code'!$B$2:$C$124,2,FALSE),0)</f>
        <v>Cash at Bank ( CB-US$ )</v>
      </c>
      <c r="E48" s="444" t="s">
        <v>495</v>
      </c>
      <c r="F48" s="60"/>
      <c r="G48" s="61">
        <v>2620</v>
      </c>
      <c r="I48" s="16">
        <v>612109</v>
      </c>
      <c r="J48" s="17" t="s">
        <v>47</v>
      </c>
      <c r="K48" s="18">
        <f>SUMIF(C:C,"612109",F:F)</f>
        <v>0</v>
      </c>
      <c r="L48" s="18">
        <f>SUMIF(C:C,"612109",G:G)</f>
        <v>0</v>
      </c>
      <c r="M48" s="16">
        <v>43</v>
      </c>
    </row>
    <row r="49" spans="1:13" ht="35.1" customHeight="1" x14ac:dyDescent="0.3">
      <c r="A49" s="417" t="s">
        <v>462</v>
      </c>
      <c r="B49" s="253" t="s">
        <v>483</v>
      </c>
      <c r="C49" s="62">
        <v>111103</v>
      </c>
      <c r="D49" s="63" t="str">
        <f>IFERROR(VLOOKUP(C49,'Acc code'!$B$2:$C$124,2,FALSE),0)</f>
        <v>Transfer Account ( Cash &amp; Bank )</v>
      </c>
      <c r="E49" s="429" t="s">
        <v>484</v>
      </c>
      <c r="F49" s="64">
        <v>3715</v>
      </c>
      <c r="G49" s="65"/>
      <c r="I49" s="16">
        <v>612110</v>
      </c>
      <c r="J49" s="17" t="s">
        <v>36</v>
      </c>
      <c r="K49" s="18">
        <f>SUMIF(C:C,"612110",F:F)</f>
        <v>0</v>
      </c>
      <c r="L49" s="18">
        <f>SUMIF(C:C,"612110",G:G)</f>
        <v>0</v>
      </c>
      <c r="M49" s="16">
        <v>44</v>
      </c>
    </row>
    <row r="50" spans="1:13" ht="35.1" customHeight="1" x14ac:dyDescent="0.3">
      <c r="A50" s="413" t="s">
        <v>479</v>
      </c>
      <c r="B50" s="57" t="s">
        <v>483</v>
      </c>
      <c r="C50" s="57">
        <v>111202</v>
      </c>
      <c r="D50" s="58" t="str">
        <f>IFERROR(VLOOKUP(C50,'Acc code'!$B$2:$C$124,2,FALSE),0)</f>
        <v>Cash at Bank ( CB-US$ )</v>
      </c>
      <c r="E50" s="432" t="s">
        <v>484</v>
      </c>
      <c r="F50" s="60"/>
      <c r="G50" s="61">
        <v>3715</v>
      </c>
      <c r="I50" s="16">
        <v>612111</v>
      </c>
      <c r="J50" s="17" t="s">
        <v>37</v>
      </c>
      <c r="K50" s="18">
        <f>SUMIF(C:C,"612111",F:F)</f>
        <v>0</v>
      </c>
      <c r="L50" s="18">
        <f>SUMIF(C:C,"612111",G:G)</f>
        <v>0</v>
      </c>
      <c r="M50" s="16">
        <v>45</v>
      </c>
    </row>
    <row r="51" spans="1:13" ht="35.1" customHeight="1" x14ac:dyDescent="0.3">
      <c r="A51" s="417" t="s">
        <v>474</v>
      </c>
      <c r="B51" s="253" t="s">
        <v>494</v>
      </c>
      <c r="C51" s="62">
        <v>401402</v>
      </c>
      <c r="D51" s="63" t="str">
        <f>IFERROR(VLOOKUP(C51,'Acc code'!$B$2:$C$124,2,FALSE),0)</f>
        <v>Exchange A/C</v>
      </c>
      <c r="E51" s="429" t="s">
        <v>496</v>
      </c>
      <c r="F51" s="64">
        <v>3115</v>
      </c>
      <c r="G51" s="65"/>
      <c r="I51" s="16">
        <v>612112</v>
      </c>
      <c r="J51" s="17" t="s">
        <v>38</v>
      </c>
      <c r="K51" s="18">
        <f>SUMIF(C:C,"612112",F:F)</f>
        <v>0</v>
      </c>
      <c r="L51" s="18">
        <f>SUMIF(C:C,"612112",G:G)</f>
        <v>0</v>
      </c>
      <c r="M51" s="16">
        <v>46</v>
      </c>
    </row>
    <row r="52" spans="1:13" ht="35.1" customHeight="1" x14ac:dyDescent="0.3">
      <c r="A52" s="413" t="s">
        <v>474</v>
      </c>
      <c r="B52" s="57" t="s">
        <v>494</v>
      </c>
      <c r="C52" s="57">
        <v>111202</v>
      </c>
      <c r="D52" s="58" t="str">
        <f>IFERROR(VLOOKUP(C52,'Acc code'!$B$2:$C$124,2,FALSE),0)</f>
        <v>Cash at Bank ( CB-US$ )</v>
      </c>
      <c r="E52" s="442" t="s">
        <v>496</v>
      </c>
      <c r="F52" s="60"/>
      <c r="G52" s="61">
        <v>3115</v>
      </c>
      <c r="I52" s="16">
        <v>612113</v>
      </c>
      <c r="J52" s="17" t="s">
        <v>39</v>
      </c>
      <c r="K52" s="18">
        <f>SUMIF(C:C,"612113",F:F)</f>
        <v>0</v>
      </c>
      <c r="L52" s="18">
        <f>SUMIF(C:C,"612113",G:G)</f>
        <v>0</v>
      </c>
      <c r="M52" s="16">
        <v>47</v>
      </c>
    </row>
    <row r="53" spans="1:13" ht="35.1" customHeight="1" x14ac:dyDescent="0.3">
      <c r="A53" s="417" t="s">
        <v>498</v>
      </c>
      <c r="B53" s="253" t="s">
        <v>507</v>
      </c>
      <c r="C53" s="62">
        <v>612122</v>
      </c>
      <c r="D53" s="63" t="str">
        <f>IFERROR(VLOOKUP(C53,'Acc code'!$B$2:$C$124,2,FALSE),0)</f>
        <v>Bank Charges</v>
      </c>
      <c r="E53" s="187" t="s">
        <v>514</v>
      </c>
      <c r="F53" s="64">
        <v>8</v>
      </c>
      <c r="G53" s="65"/>
      <c r="I53" s="16">
        <v>612114</v>
      </c>
      <c r="J53" s="17" t="s">
        <v>40</v>
      </c>
      <c r="K53" s="18">
        <f>SUMIF(C:C,"612114",F:F)</f>
        <v>0</v>
      </c>
      <c r="L53" s="18">
        <f>SUMIF(C:C,"612114",G:G)</f>
        <v>0</v>
      </c>
      <c r="M53" s="16">
        <v>48</v>
      </c>
    </row>
    <row r="54" spans="1:13" ht="35.1" customHeight="1" x14ac:dyDescent="0.3">
      <c r="A54" s="413" t="s">
        <v>498</v>
      </c>
      <c r="B54" s="57" t="s">
        <v>507</v>
      </c>
      <c r="C54" s="57">
        <v>111202</v>
      </c>
      <c r="D54" s="58" t="str">
        <f>IFERROR(VLOOKUP(C54,'Acc code'!$B$2:$C$124,2,FALSE),0)</f>
        <v>Cash at Bank ( CB-US$ )</v>
      </c>
      <c r="E54" s="439" t="s">
        <v>514</v>
      </c>
      <c r="F54" s="60"/>
      <c r="G54" s="61">
        <v>8</v>
      </c>
      <c r="I54" s="16">
        <v>612115</v>
      </c>
      <c r="J54" s="17" t="s">
        <v>41</v>
      </c>
      <c r="K54" s="18">
        <f>SUMIF(C:C,"612115",F:F)</f>
        <v>0</v>
      </c>
      <c r="L54" s="18">
        <f>SUMIF(C:C,"612115",G:G)</f>
        <v>0</v>
      </c>
      <c r="M54" s="16">
        <v>49</v>
      </c>
    </row>
    <row r="55" spans="1:13" ht="35.1" customHeight="1" x14ac:dyDescent="0.3">
      <c r="A55" s="417" t="s">
        <v>532</v>
      </c>
      <c r="B55" s="253" t="s">
        <v>521</v>
      </c>
      <c r="C55" s="62">
        <v>111202</v>
      </c>
      <c r="D55" s="63" t="str">
        <f>IFERROR(VLOOKUP(C55,'Acc code'!$B$2:$C$124,2,FALSE),0)</f>
        <v>Cash at Bank ( CB-US$ )</v>
      </c>
      <c r="E55" s="187" t="s">
        <v>224</v>
      </c>
      <c r="F55" s="64">
        <v>20000</v>
      </c>
      <c r="G55" s="65"/>
      <c r="I55" s="16">
        <v>612116</v>
      </c>
      <c r="J55" s="17" t="s">
        <v>42</v>
      </c>
      <c r="K55" s="18">
        <f>SUMIF(C:C,"612116",F:F)</f>
        <v>0</v>
      </c>
      <c r="L55" s="18">
        <f>SUMIF(C:C,"612116",G:G)</f>
        <v>0</v>
      </c>
      <c r="M55" s="16">
        <v>50</v>
      </c>
    </row>
    <row r="56" spans="1:13" ht="35.1" customHeight="1" x14ac:dyDescent="0.3">
      <c r="A56" s="413" t="s">
        <v>532</v>
      </c>
      <c r="B56" s="57" t="s">
        <v>521</v>
      </c>
      <c r="C56" s="57">
        <v>401101</v>
      </c>
      <c r="D56" s="58" t="str">
        <f>IFERROR(VLOOKUP(C56,'Acc code'!$B$2:$C$124,2,FALSE),0)</f>
        <v>Paid Up Capital</v>
      </c>
      <c r="E56" s="440" t="s">
        <v>224</v>
      </c>
      <c r="F56" s="60"/>
      <c r="G56" s="61">
        <v>20000</v>
      </c>
      <c r="I56" s="16">
        <v>612117</v>
      </c>
      <c r="J56" s="17" t="s">
        <v>43</v>
      </c>
      <c r="K56" s="18">
        <f>SUMIF(C:C,"612117",F:F)</f>
        <v>0</v>
      </c>
      <c r="L56" s="18">
        <f>SUMIF(C:C,"612117",G:G)</f>
        <v>0</v>
      </c>
      <c r="M56" s="16">
        <v>51</v>
      </c>
    </row>
    <row r="57" spans="1:13" ht="35.1" customHeight="1" x14ac:dyDescent="0.3">
      <c r="A57" s="417" t="s">
        <v>532</v>
      </c>
      <c r="B57" s="253" t="s">
        <v>524</v>
      </c>
      <c r="C57" s="62">
        <v>612122</v>
      </c>
      <c r="D57" s="63" t="str">
        <f>IFERROR(VLOOKUP(C57,'Acc code'!$B$2:$C$124,2,FALSE),0)</f>
        <v>Bank Charges</v>
      </c>
      <c r="E57" s="187" t="s">
        <v>533</v>
      </c>
      <c r="F57" s="64">
        <v>9</v>
      </c>
      <c r="G57" s="65"/>
      <c r="I57" s="16">
        <v>612118</v>
      </c>
      <c r="J57" s="17" t="s">
        <v>44</v>
      </c>
      <c r="K57" s="18">
        <f>SUMIF(C:C,"612118",F:F)</f>
        <v>0</v>
      </c>
      <c r="L57" s="18">
        <f>SUMIF(C:C,"612118",G:G)</f>
        <v>0</v>
      </c>
      <c r="M57" s="16">
        <v>52</v>
      </c>
    </row>
    <row r="58" spans="1:13" ht="35.1" customHeight="1" x14ac:dyDescent="0.3">
      <c r="A58" s="413" t="s">
        <v>532</v>
      </c>
      <c r="B58" s="57" t="s">
        <v>524</v>
      </c>
      <c r="C58" s="57">
        <v>111202</v>
      </c>
      <c r="D58" s="254" t="str">
        <f>IFERROR(VLOOKUP(C58,'Acc code'!$B$2:$C$124,2,FALSE),0)</f>
        <v>Cash at Bank ( CB-US$ )</v>
      </c>
      <c r="E58" s="440" t="s">
        <v>533</v>
      </c>
      <c r="F58" s="60"/>
      <c r="G58" s="61">
        <v>9</v>
      </c>
      <c r="I58" s="16">
        <v>612119</v>
      </c>
      <c r="J58" s="17" t="s">
        <v>45</v>
      </c>
      <c r="K58" s="18">
        <f>SUMIF(C:C,"612119",F:F)</f>
        <v>0</v>
      </c>
      <c r="L58" s="18">
        <f>SUMIF(C:C,"612119",G:G)</f>
        <v>0</v>
      </c>
      <c r="M58" s="16">
        <v>53</v>
      </c>
    </row>
    <row r="59" spans="1:13" ht="35.1" customHeight="1" x14ac:dyDescent="0.3">
      <c r="A59" s="417" t="s">
        <v>532</v>
      </c>
      <c r="B59" s="253" t="s">
        <v>530</v>
      </c>
      <c r="C59" s="62">
        <v>612106</v>
      </c>
      <c r="D59" s="63" t="str">
        <f>IFERROR(VLOOKUP(C59,'Acc code'!$B$2:$C$124,2,FALSE),0)</f>
        <v>Advertising Expenses</v>
      </c>
      <c r="E59" s="187" t="s">
        <v>306</v>
      </c>
      <c r="F59" s="64">
        <v>610</v>
      </c>
      <c r="G59" s="65"/>
      <c r="I59" s="16">
        <v>612120</v>
      </c>
      <c r="J59" s="17" t="s">
        <v>46</v>
      </c>
      <c r="K59" s="18">
        <f>SUMIF(C:C,"612120",F:F)</f>
        <v>0</v>
      </c>
      <c r="L59" s="18">
        <f>SUMIF(C:C,"612120",G:G)</f>
        <v>0</v>
      </c>
      <c r="M59" s="16">
        <v>54</v>
      </c>
    </row>
    <row r="60" spans="1:13" ht="35.1" customHeight="1" x14ac:dyDescent="0.3">
      <c r="A60" s="413" t="s">
        <v>532</v>
      </c>
      <c r="B60" s="253" t="s">
        <v>530</v>
      </c>
      <c r="C60" s="57">
        <v>111202</v>
      </c>
      <c r="D60" s="254" t="str">
        <f>IFERROR(VLOOKUP(C60,'Acc code'!$B$2:$C$124,2,FALSE),0)</f>
        <v>Cash at Bank ( CB-US$ )</v>
      </c>
      <c r="E60" s="439" t="s">
        <v>306</v>
      </c>
      <c r="F60" s="60"/>
      <c r="G60" s="61">
        <v>610</v>
      </c>
      <c r="I60" s="16">
        <v>612121</v>
      </c>
      <c r="J60" s="17" t="s">
        <v>48</v>
      </c>
      <c r="K60" s="18">
        <f>SUMIF(C:C,"612121",F:F)</f>
        <v>0</v>
      </c>
      <c r="L60" s="18">
        <f>SUMIF(C:C,"612121",G:G)</f>
        <v>0</v>
      </c>
      <c r="M60" s="16">
        <v>55</v>
      </c>
    </row>
    <row r="61" spans="1:13" ht="35.1" customHeight="1" x14ac:dyDescent="0.3">
      <c r="A61" s="417" t="s">
        <v>532</v>
      </c>
      <c r="B61" s="62" t="s">
        <v>527</v>
      </c>
      <c r="C61" s="62">
        <v>612107</v>
      </c>
      <c r="D61" s="63" t="str">
        <f>IFERROR(VLOOKUP(C61,'Acc code'!$B$2:$C$124,2,FALSE),0)</f>
        <v xml:space="preserve">Other Fees and Charges </v>
      </c>
      <c r="E61" s="187" t="s">
        <v>534</v>
      </c>
      <c r="F61" s="64">
        <v>215</v>
      </c>
      <c r="G61" s="65"/>
      <c r="I61" s="16">
        <v>612122</v>
      </c>
      <c r="J61" s="17" t="s">
        <v>49</v>
      </c>
      <c r="K61" s="18">
        <f>SUMIF(C:C,"612122",F:F)</f>
        <v>40.9</v>
      </c>
      <c r="L61" s="18">
        <f>SUMIF(C:C,"612122",G:G)</f>
        <v>0</v>
      </c>
      <c r="M61" s="16">
        <v>56</v>
      </c>
    </row>
    <row r="62" spans="1:13" ht="35.1" customHeight="1" x14ac:dyDescent="0.3">
      <c r="A62" s="413" t="s">
        <v>532</v>
      </c>
      <c r="B62" s="253" t="s">
        <v>527</v>
      </c>
      <c r="C62" s="57">
        <v>111202</v>
      </c>
      <c r="D62" s="254" t="str">
        <f>IFERROR(VLOOKUP(C62,'Acc code'!$B$2:$C$124,2,FALSE),0)</f>
        <v>Cash at Bank ( CB-US$ )</v>
      </c>
      <c r="E62" s="440" t="s">
        <v>534</v>
      </c>
      <c r="F62" s="60"/>
      <c r="G62" s="61">
        <v>215</v>
      </c>
      <c r="I62" s="16">
        <v>612123</v>
      </c>
      <c r="J62" s="17" t="s">
        <v>50</v>
      </c>
      <c r="K62" s="18">
        <f>SUMIF(C:C,"612123",F:F)</f>
        <v>0</v>
      </c>
      <c r="L62" s="18">
        <f>SUMIF(C:C,"612123",G:G)</f>
        <v>0</v>
      </c>
      <c r="M62" s="16">
        <v>57</v>
      </c>
    </row>
    <row r="63" spans="1:13" ht="35.1" customHeight="1" x14ac:dyDescent="0.3">
      <c r="A63" s="417" t="s">
        <v>535</v>
      </c>
      <c r="B63" s="62" t="s">
        <v>528</v>
      </c>
      <c r="C63" s="62">
        <v>612103</v>
      </c>
      <c r="D63" s="63" t="str">
        <f>IFERROR(VLOOKUP(C63,'Acc code'!$B$2:$C$124,2,FALSE),0)</f>
        <v>Office Rental Charges</v>
      </c>
      <c r="E63" s="187" t="s">
        <v>536</v>
      </c>
      <c r="F63" s="64">
        <v>3045</v>
      </c>
      <c r="G63" s="65"/>
      <c r="I63" s="16">
        <v>612124</v>
      </c>
      <c r="J63" s="17" t="s">
        <v>51</v>
      </c>
      <c r="K63" s="18">
        <f>SUMIF(C:C,"612124",F:F)</f>
        <v>0</v>
      </c>
      <c r="L63" s="18">
        <f>SUMIF(C:C,"612124",G:G)</f>
        <v>0</v>
      </c>
      <c r="M63" s="16">
        <v>58</v>
      </c>
    </row>
    <row r="64" spans="1:13" ht="35.1" customHeight="1" x14ac:dyDescent="0.3">
      <c r="A64" s="413" t="s">
        <v>535</v>
      </c>
      <c r="B64" s="253" t="s">
        <v>528</v>
      </c>
      <c r="C64" s="57">
        <v>111202</v>
      </c>
      <c r="D64" s="254" t="str">
        <f>IFERROR(VLOOKUP(C64,'Acc code'!$B$2:$C$124,2,FALSE),0)</f>
        <v>Cash at Bank ( CB-US$ )</v>
      </c>
      <c r="E64" s="440" t="s">
        <v>536</v>
      </c>
      <c r="F64" s="60"/>
      <c r="G64" s="61">
        <v>3045</v>
      </c>
      <c r="I64" s="16">
        <v>612125</v>
      </c>
      <c r="J64" s="17" t="s">
        <v>52</v>
      </c>
      <c r="K64" s="18">
        <f>SUMIF(C:C,"612125",F:F)</f>
        <v>0</v>
      </c>
      <c r="L64" s="18">
        <f>SUMIF(C:C,"612125",G:G)</f>
        <v>0</v>
      </c>
      <c r="M64" s="16">
        <v>59</v>
      </c>
    </row>
    <row r="65" spans="1:13" ht="35.1" customHeight="1" x14ac:dyDescent="0.3">
      <c r="A65" s="417" t="s">
        <v>537</v>
      </c>
      <c r="B65" s="62" t="s">
        <v>538</v>
      </c>
      <c r="C65" s="62">
        <v>111302</v>
      </c>
      <c r="D65" s="63" t="str">
        <f>IFERROR(VLOOKUP(C65,'Acc code'!$B$2:$C$124,2,FALSE),0)</f>
        <v>Prepaid Deposit ( Others )</v>
      </c>
      <c r="E65" s="187" t="s">
        <v>539</v>
      </c>
      <c r="F65" s="64">
        <v>640</v>
      </c>
      <c r="G65" s="65"/>
      <c r="I65" s="16">
        <v>612126</v>
      </c>
      <c r="J65" s="17" t="s">
        <v>53</v>
      </c>
      <c r="K65" s="18">
        <f>SUMIF(C:C,"612126",F:F)</f>
        <v>1100</v>
      </c>
      <c r="L65" s="18">
        <f>SUMIF(C:C,"612126",G:G)</f>
        <v>0</v>
      </c>
      <c r="M65" s="16">
        <v>60</v>
      </c>
    </row>
    <row r="66" spans="1:13" ht="35.1" customHeight="1" x14ac:dyDescent="0.3">
      <c r="A66" s="413" t="s">
        <v>537</v>
      </c>
      <c r="B66" s="253" t="s">
        <v>538</v>
      </c>
      <c r="C66" s="57">
        <v>111202</v>
      </c>
      <c r="D66" s="254" t="str">
        <f>IFERROR(VLOOKUP(C66,'Acc code'!$B$2:$C$124,2,FALSE),0)</f>
        <v>Cash at Bank ( CB-US$ )</v>
      </c>
      <c r="E66" s="440" t="s">
        <v>539</v>
      </c>
      <c r="F66" s="60"/>
      <c r="G66" s="61">
        <v>640</v>
      </c>
      <c r="I66" s="16">
        <v>612127</v>
      </c>
      <c r="J66" s="17" t="s">
        <v>55</v>
      </c>
      <c r="K66" s="18">
        <f>SUMIF(C:C,"612127",F:F)</f>
        <v>0</v>
      </c>
      <c r="L66" s="18">
        <f>SUMIF(C:C,"612127",G:G)</f>
        <v>0</v>
      </c>
      <c r="M66" s="16">
        <v>61</v>
      </c>
    </row>
    <row r="67" spans="1:13" ht="35.1" customHeight="1" x14ac:dyDescent="0.3">
      <c r="A67" s="417" t="s">
        <v>520</v>
      </c>
      <c r="B67" s="62" t="s">
        <v>540</v>
      </c>
      <c r="C67" s="62">
        <v>401402</v>
      </c>
      <c r="D67" s="63" t="str">
        <f>IFERROR(VLOOKUP(C67,'Acc code'!$B$2:$C$124,2,FALSE),0)</f>
        <v>Exchange A/C</v>
      </c>
      <c r="E67" s="187" t="s">
        <v>541</v>
      </c>
      <c r="F67" s="64">
        <v>5000</v>
      </c>
      <c r="G67" s="65"/>
      <c r="I67" s="16">
        <v>612128</v>
      </c>
      <c r="J67" s="17" t="s">
        <v>259</v>
      </c>
      <c r="K67" s="18">
        <f>SUMIF(C:C,"612128",F:F)</f>
        <v>0</v>
      </c>
      <c r="L67" s="18">
        <f>SUMIF(C:C,"612128",G:G)</f>
        <v>0</v>
      </c>
      <c r="M67" s="16">
        <v>62</v>
      </c>
    </row>
    <row r="68" spans="1:13" ht="35.1" customHeight="1" x14ac:dyDescent="0.3">
      <c r="A68" s="413" t="s">
        <v>520</v>
      </c>
      <c r="B68" s="253" t="s">
        <v>540</v>
      </c>
      <c r="C68" s="57">
        <v>111202</v>
      </c>
      <c r="D68" s="254" t="str">
        <f>IFERROR(VLOOKUP(C68,'Acc code'!$B$2:$C$124,2,FALSE),0)</f>
        <v>Cash at Bank ( CB-US$ )</v>
      </c>
      <c r="E68" s="440" t="s">
        <v>541</v>
      </c>
      <c r="F68" s="60"/>
      <c r="G68" s="61">
        <v>5000</v>
      </c>
      <c r="I68" s="16">
        <v>612129</v>
      </c>
      <c r="J68" s="17" t="s">
        <v>57</v>
      </c>
      <c r="K68" s="18">
        <f>SUMIF(C:C,"612129",F:F)</f>
        <v>0</v>
      </c>
      <c r="L68" s="18">
        <f>SUMIF(C:C,"612129",G:G)</f>
        <v>0</v>
      </c>
      <c r="M68" s="16">
        <v>63</v>
      </c>
    </row>
    <row r="69" spans="1:13" ht="35.1" hidden="1" customHeight="1" x14ac:dyDescent="0.3">
      <c r="A69" s="186"/>
      <c r="B69" s="123"/>
      <c r="C69" s="62"/>
      <c r="D69" s="63">
        <f>IFERROR(VLOOKUP(C69,'Acc code'!$B$2:$C$124,2,FALSE),0)</f>
        <v>0</v>
      </c>
      <c r="E69" s="187"/>
      <c r="F69" s="64"/>
      <c r="G69" s="65"/>
      <c r="I69" s="16">
        <v>612210</v>
      </c>
      <c r="J69" s="17" t="s">
        <v>58</v>
      </c>
      <c r="K69" s="18">
        <f>SUMIF(C:C,"612210",F:F)</f>
        <v>0</v>
      </c>
      <c r="L69" s="18">
        <f>SUMIF(C:C,"612210",G:G)</f>
        <v>0</v>
      </c>
      <c r="M69" s="16">
        <v>64</v>
      </c>
    </row>
    <row r="70" spans="1:13" ht="35.1" hidden="1" customHeight="1" x14ac:dyDescent="0.3">
      <c r="A70" s="242"/>
      <c r="B70" s="243"/>
      <c r="C70" s="57"/>
      <c r="D70" s="58">
        <f>IFERROR(VLOOKUP(C70,'Acc code'!$B$2:$C$124,2,FALSE),0)</f>
        <v>0</v>
      </c>
      <c r="E70" s="244"/>
      <c r="F70" s="60"/>
      <c r="G70" s="61"/>
      <c r="I70" s="16">
        <v>612211</v>
      </c>
      <c r="J70" s="17" t="s">
        <v>59</v>
      </c>
      <c r="K70" s="18">
        <f>SUMIF(C:C,"612211",F:F)</f>
        <v>0</v>
      </c>
      <c r="L70" s="18">
        <f>SUMIF(C:C,"612211",G:G)</f>
        <v>0</v>
      </c>
      <c r="M70" s="16">
        <v>65</v>
      </c>
    </row>
    <row r="71" spans="1:13" ht="35.1" hidden="1" customHeight="1" x14ac:dyDescent="0.3">
      <c r="A71" s="186"/>
      <c r="B71" s="123"/>
      <c r="C71" s="62"/>
      <c r="D71" s="63">
        <f>IFERROR(VLOOKUP(C71,'Acc code'!$B$2:$C$124,2,FALSE),0)</f>
        <v>0</v>
      </c>
      <c r="E71" s="187"/>
      <c r="F71" s="64"/>
      <c r="G71" s="65"/>
      <c r="I71" s="16">
        <v>612212</v>
      </c>
      <c r="J71" s="17" t="s">
        <v>60</v>
      </c>
      <c r="K71" s="18">
        <f>SUMIF(C:C,"612212",F:F)</f>
        <v>0</v>
      </c>
      <c r="L71" s="18">
        <f>SUMIF(C:C,"612212",G:G)</f>
        <v>0</v>
      </c>
      <c r="M71" s="16">
        <v>66</v>
      </c>
    </row>
    <row r="72" spans="1:13" ht="35.1" hidden="1" customHeight="1" x14ac:dyDescent="0.3">
      <c r="A72" s="242"/>
      <c r="B72" s="243"/>
      <c r="C72" s="57"/>
      <c r="D72" s="58">
        <f>IFERROR(VLOOKUP(C72,'Acc code'!$B$2:$C$124,2,FALSE),0)</f>
        <v>0</v>
      </c>
      <c r="E72" s="244"/>
      <c r="F72" s="60"/>
      <c r="G72" s="61"/>
      <c r="I72" s="16">
        <v>612213</v>
      </c>
      <c r="J72" s="17" t="s">
        <v>96</v>
      </c>
      <c r="K72" s="18">
        <f>SUMIF(C:C,"612213",F:F)</f>
        <v>0</v>
      </c>
      <c r="L72" s="18">
        <f>SUMIF(C:C,"612213",G:G)</f>
        <v>0</v>
      </c>
      <c r="M72" s="16">
        <v>67</v>
      </c>
    </row>
    <row r="73" spans="1:13" ht="35.1" hidden="1" customHeight="1" x14ac:dyDescent="0.3">
      <c r="A73" s="186"/>
      <c r="B73" s="123"/>
      <c r="C73" s="62"/>
      <c r="D73" s="63">
        <f>IFERROR(VLOOKUP(C73,'Acc code'!$B$2:$C$124,2,FALSE),0)</f>
        <v>0</v>
      </c>
      <c r="E73" s="187"/>
      <c r="F73" s="64"/>
      <c r="G73" s="65"/>
      <c r="I73" s="16">
        <v>612214</v>
      </c>
      <c r="J73" s="17" t="s">
        <v>94</v>
      </c>
      <c r="K73" s="18">
        <f>SUMIF(C:C,"612214",F:F)</f>
        <v>0</v>
      </c>
      <c r="L73" s="18">
        <f>SUMIF(C:C,"612214",G:G)</f>
        <v>0</v>
      </c>
      <c r="M73" s="16">
        <v>68</v>
      </c>
    </row>
    <row r="74" spans="1:13" ht="35.1" hidden="1" customHeight="1" x14ac:dyDescent="0.3">
      <c r="A74" s="242"/>
      <c r="B74" s="243"/>
      <c r="C74" s="57"/>
      <c r="D74" s="58">
        <f>IFERROR(VLOOKUP(C74,'Acc code'!$B$2:$C$124,2,FALSE),0)</f>
        <v>0</v>
      </c>
      <c r="E74" s="244"/>
      <c r="F74" s="60"/>
      <c r="G74" s="61"/>
      <c r="I74" s="16">
        <v>612215</v>
      </c>
      <c r="J74" s="17" t="s">
        <v>120</v>
      </c>
      <c r="K74" s="18">
        <f>SUMIF(C:C,"612215",F:F)</f>
        <v>0</v>
      </c>
      <c r="L74" s="18">
        <f>SUMIF(C:C,"612215",G:G)</f>
        <v>0</v>
      </c>
      <c r="M74" s="16">
        <v>69</v>
      </c>
    </row>
    <row r="75" spans="1:13" ht="35.1" hidden="1" customHeight="1" x14ac:dyDescent="0.3">
      <c r="A75" s="186"/>
      <c r="B75" s="123"/>
      <c r="C75" s="62"/>
      <c r="D75" s="63">
        <f>IFERROR(VLOOKUP(C75,'Acc code'!$B$2:$C$124,2,FALSE),0)</f>
        <v>0</v>
      </c>
      <c r="E75" s="187"/>
      <c r="F75" s="64"/>
      <c r="G75" s="65"/>
      <c r="I75" s="16"/>
      <c r="J75" s="17"/>
      <c r="K75" s="18"/>
      <c r="L75" s="18"/>
    </row>
    <row r="76" spans="1:13" ht="35.1" hidden="1" customHeight="1" x14ac:dyDescent="0.3">
      <c r="A76" s="242"/>
      <c r="B76" s="243"/>
      <c r="C76" s="57"/>
      <c r="D76" s="58">
        <f>IFERROR(VLOOKUP(C76,'Acc code'!$B$2:$C$124,2,FALSE),0)</f>
        <v>0</v>
      </c>
      <c r="E76" s="244"/>
      <c r="F76" s="60"/>
      <c r="G76" s="61"/>
      <c r="I76" s="16"/>
      <c r="J76" s="17"/>
      <c r="K76" s="18"/>
      <c r="L76" s="18"/>
    </row>
    <row r="77" spans="1:13" ht="35.1" hidden="1" customHeight="1" x14ac:dyDescent="0.3">
      <c r="A77" s="186"/>
      <c r="B77" s="123"/>
      <c r="C77" s="62"/>
      <c r="D77" s="63">
        <f>IFERROR(VLOOKUP(C77,'Acc code'!$B$2:$C$124,2,FALSE),0)</f>
        <v>0</v>
      </c>
      <c r="E77" s="187"/>
      <c r="F77" s="64"/>
      <c r="G77" s="65"/>
      <c r="I77" s="16"/>
      <c r="J77" s="17"/>
      <c r="K77" s="18"/>
      <c r="L77" s="18"/>
    </row>
    <row r="78" spans="1:13" ht="35.1" hidden="1" customHeight="1" x14ac:dyDescent="0.3">
      <c r="A78" s="242"/>
      <c r="B78" s="243"/>
      <c r="C78" s="57"/>
      <c r="D78" s="58">
        <f>IFERROR(VLOOKUP(C78,'Acc code'!$B$2:$C$124,2,FALSE),0)</f>
        <v>0</v>
      </c>
      <c r="E78" s="244"/>
      <c r="F78" s="60"/>
      <c r="G78" s="61"/>
      <c r="I78" s="16"/>
      <c r="J78" s="17"/>
      <c r="K78" s="18"/>
      <c r="L78" s="18"/>
    </row>
    <row r="79" spans="1:13" ht="35.1" hidden="1" customHeight="1" x14ac:dyDescent="0.3">
      <c r="A79" s="186"/>
      <c r="B79" s="123"/>
      <c r="C79" s="62"/>
      <c r="D79" s="63">
        <f>IFERROR(VLOOKUP(C79,'Acc code'!$B$2:$C$124,2,FALSE),0)</f>
        <v>0</v>
      </c>
      <c r="E79" s="187"/>
      <c r="F79" s="64"/>
      <c r="G79" s="65"/>
      <c r="I79" s="16"/>
      <c r="J79" s="17"/>
      <c r="K79" s="18"/>
      <c r="L79" s="18"/>
    </row>
    <row r="80" spans="1:13" ht="35.1" hidden="1" customHeight="1" x14ac:dyDescent="0.3">
      <c r="A80" s="242"/>
      <c r="B80" s="243"/>
      <c r="C80" s="57"/>
      <c r="D80" s="58">
        <f>IFERROR(VLOOKUP(C80,'Acc code'!$B$2:$C$124,2,FALSE),0)</f>
        <v>0</v>
      </c>
      <c r="E80" s="244"/>
      <c r="F80" s="60"/>
      <c r="G80" s="61"/>
      <c r="I80" s="16"/>
      <c r="J80" s="17"/>
      <c r="K80" s="18"/>
      <c r="L80" s="18"/>
    </row>
    <row r="81" spans="1:12" ht="35.1" hidden="1" customHeight="1" x14ac:dyDescent="0.3">
      <c r="A81" s="186"/>
      <c r="B81" s="123"/>
      <c r="C81" s="62"/>
      <c r="D81" s="63">
        <f>IFERROR(VLOOKUP(C81,'Acc code'!$B$2:$C$124,2,FALSE),0)</f>
        <v>0</v>
      </c>
      <c r="E81" s="187"/>
      <c r="F81" s="64"/>
      <c r="G81" s="65"/>
      <c r="I81" s="16"/>
      <c r="J81" s="17"/>
      <c r="K81" s="18"/>
      <c r="L81" s="18"/>
    </row>
    <row r="82" spans="1:12" ht="35.1" hidden="1" customHeight="1" x14ac:dyDescent="0.3">
      <c r="A82" s="242"/>
      <c r="B82" s="243"/>
      <c r="C82" s="57"/>
      <c r="D82" s="58">
        <f>IFERROR(VLOOKUP(C82,'Acc code'!$B$2:$C$124,2,FALSE),0)</f>
        <v>0</v>
      </c>
      <c r="E82" s="244"/>
      <c r="F82" s="60"/>
      <c r="G82" s="61"/>
      <c r="I82" s="16"/>
      <c r="J82" s="17"/>
      <c r="K82" s="18"/>
      <c r="L82" s="18"/>
    </row>
    <row r="83" spans="1:12" ht="35.1" hidden="1" customHeight="1" x14ac:dyDescent="0.3">
      <c r="A83" s="186"/>
      <c r="B83" s="123"/>
      <c r="C83" s="62"/>
      <c r="D83" s="63">
        <f>IFERROR(VLOOKUP(C83,'Acc code'!$B$2:$C$124,2,FALSE),0)</f>
        <v>0</v>
      </c>
      <c r="E83" s="187"/>
      <c r="F83" s="64"/>
      <c r="G83" s="65"/>
      <c r="I83" s="16"/>
      <c r="J83" s="17"/>
      <c r="K83" s="18"/>
      <c r="L83" s="18"/>
    </row>
    <row r="84" spans="1:12" ht="35.1" hidden="1" customHeight="1" x14ac:dyDescent="0.3">
      <c r="A84" s="242"/>
      <c r="B84" s="243"/>
      <c r="C84" s="57"/>
      <c r="D84" s="58">
        <f>IFERROR(VLOOKUP(C84,'Acc code'!$B$2:$C$124,2,FALSE),0)</f>
        <v>0</v>
      </c>
      <c r="E84" s="244"/>
      <c r="F84" s="60"/>
      <c r="G84" s="61"/>
      <c r="I84" s="16"/>
      <c r="J84" s="17"/>
      <c r="K84" s="18"/>
      <c r="L84" s="18"/>
    </row>
    <row r="85" spans="1:12" ht="35.1" hidden="1" customHeight="1" x14ac:dyDescent="0.3">
      <c r="A85" s="186"/>
      <c r="B85" s="123"/>
      <c r="C85" s="62"/>
      <c r="D85" s="63">
        <f>IFERROR(VLOOKUP(C85,'Acc code'!$B$2:$C$124,2,FALSE),0)</f>
        <v>0</v>
      </c>
      <c r="E85" s="187"/>
      <c r="F85" s="64"/>
      <c r="G85" s="65"/>
      <c r="I85" s="16"/>
      <c r="J85" s="17"/>
      <c r="K85" s="18"/>
      <c r="L85" s="18"/>
    </row>
    <row r="86" spans="1:12" ht="35.1" hidden="1" customHeight="1" x14ac:dyDescent="0.3">
      <c r="A86" s="242"/>
      <c r="B86" s="243"/>
      <c r="C86" s="57"/>
      <c r="D86" s="58">
        <f>IFERROR(VLOOKUP(C86,'Acc code'!$B$2:$C$124,2,FALSE),0)</f>
        <v>0</v>
      </c>
      <c r="E86" s="244"/>
      <c r="F86" s="60"/>
      <c r="G86" s="61"/>
      <c r="I86" s="16"/>
      <c r="J86" s="17"/>
      <c r="K86" s="18"/>
      <c r="L86" s="18"/>
    </row>
    <row r="87" spans="1:12" ht="35.1" hidden="1" customHeight="1" x14ac:dyDescent="0.3">
      <c r="A87" s="186"/>
      <c r="B87" s="123"/>
      <c r="C87" s="62"/>
      <c r="D87" s="63">
        <f>IFERROR(VLOOKUP(C87,'Acc code'!$B$2:$C$124,2,FALSE),0)</f>
        <v>0</v>
      </c>
      <c r="E87" s="187"/>
      <c r="F87" s="64"/>
      <c r="G87" s="65"/>
      <c r="I87" s="16"/>
      <c r="J87" s="17"/>
      <c r="K87" s="18"/>
      <c r="L87" s="18"/>
    </row>
    <row r="88" spans="1:12" ht="35.1" hidden="1" customHeight="1" x14ac:dyDescent="0.3">
      <c r="A88" s="242"/>
      <c r="B88" s="243"/>
      <c r="C88" s="57"/>
      <c r="D88" s="58">
        <f>IFERROR(VLOOKUP(C88,'Acc code'!$B$2:$C$124,2,FALSE),0)</f>
        <v>0</v>
      </c>
      <c r="E88" s="244"/>
      <c r="F88" s="60"/>
      <c r="G88" s="61"/>
      <c r="I88" s="16"/>
      <c r="J88" s="17"/>
      <c r="K88" s="18"/>
      <c r="L88" s="18"/>
    </row>
    <row r="89" spans="1:12" ht="35.1" hidden="1" customHeight="1" x14ac:dyDescent="0.3">
      <c r="A89" s="186"/>
      <c r="B89" s="123"/>
      <c r="C89" s="62"/>
      <c r="D89" s="63">
        <f>IFERROR(VLOOKUP(C89,'Acc code'!$B$2:$C$124,2,FALSE),0)</f>
        <v>0</v>
      </c>
      <c r="E89" s="187"/>
      <c r="F89" s="64"/>
      <c r="G89" s="65"/>
      <c r="I89" s="16"/>
      <c r="J89" s="17"/>
      <c r="K89" s="18"/>
      <c r="L89" s="18"/>
    </row>
    <row r="90" spans="1:12" ht="35.1" hidden="1" customHeight="1" x14ac:dyDescent="0.3">
      <c r="A90" s="242"/>
      <c r="B90" s="243"/>
      <c r="C90" s="57"/>
      <c r="D90" s="58">
        <f>IFERROR(VLOOKUP(C90,'Acc code'!$B$2:$C$124,2,FALSE),0)</f>
        <v>0</v>
      </c>
      <c r="E90" s="244"/>
      <c r="F90" s="60"/>
      <c r="G90" s="61"/>
      <c r="I90" s="16"/>
      <c r="J90" s="17"/>
      <c r="K90" s="18"/>
      <c r="L90" s="18"/>
    </row>
    <row r="91" spans="1:12" ht="35.1" hidden="1" customHeight="1" x14ac:dyDescent="0.3">
      <c r="A91" s="186"/>
      <c r="B91" s="123"/>
      <c r="C91" s="62"/>
      <c r="D91" s="63">
        <f>IFERROR(VLOOKUP(C91,'Acc code'!$B$2:$C$124,2,FALSE),0)</f>
        <v>0</v>
      </c>
      <c r="E91" s="187"/>
      <c r="F91" s="64"/>
      <c r="G91" s="65"/>
      <c r="I91" s="16"/>
      <c r="J91" s="17"/>
      <c r="K91" s="18"/>
      <c r="L91" s="18"/>
    </row>
    <row r="92" spans="1:12" ht="35.1" hidden="1" customHeight="1" x14ac:dyDescent="0.3">
      <c r="A92" s="242"/>
      <c r="B92" s="243"/>
      <c r="C92" s="57"/>
      <c r="D92" s="58">
        <f>IFERROR(VLOOKUP(C92,'Acc code'!$B$2:$C$124,2,FALSE),0)</f>
        <v>0</v>
      </c>
      <c r="E92" s="244"/>
      <c r="F92" s="60"/>
      <c r="G92" s="61"/>
      <c r="I92" s="16"/>
      <c r="J92" s="17"/>
      <c r="K92" s="18"/>
      <c r="L92" s="18"/>
    </row>
    <row r="93" spans="1:12" ht="35.1" customHeight="1" x14ac:dyDescent="0.3">
      <c r="A93" s="66"/>
      <c r="B93" s="67"/>
      <c r="C93" s="68"/>
      <c r="D93" s="68"/>
      <c r="E93" s="70"/>
      <c r="F93" s="71"/>
      <c r="G93" s="71"/>
      <c r="I93" s="16"/>
      <c r="J93" s="17"/>
      <c r="K93" s="18"/>
      <c r="L93" s="18"/>
    </row>
    <row r="94" spans="1:12" ht="35.1" customHeight="1" x14ac:dyDescent="0.3">
      <c r="A94" s="66"/>
      <c r="B94" s="67"/>
      <c r="C94" s="68"/>
      <c r="D94" s="68"/>
      <c r="E94" s="70"/>
      <c r="F94" s="71"/>
      <c r="G94" s="71"/>
      <c r="I94" s="16"/>
      <c r="J94" s="17"/>
      <c r="K94" s="18"/>
      <c r="L94" s="18"/>
    </row>
    <row r="95" spans="1:12" ht="35.1" customHeight="1" x14ac:dyDescent="0.3">
      <c r="A95" s="66"/>
      <c r="B95" s="67"/>
      <c r="C95" s="68"/>
      <c r="D95" s="68"/>
      <c r="E95" s="70"/>
      <c r="F95" s="71"/>
      <c r="G95" s="71"/>
      <c r="I95" s="16"/>
      <c r="J95" s="17"/>
      <c r="K95" s="18"/>
      <c r="L95" s="18"/>
    </row>
    <row r="96" spans="1:12" ht="35.1" customHeight="1" x14ac:dyDescent="0.3">
      <c r="A96" s="66"/>
      <c r="B96" s="67"/>
      <c r="C96" s="68"/>
      <c r="D96" s="68"/>
      <c r="E96" s="70"/>
      <c r="F96" s="71"/>
      <c r="G96" s="71"/>
      <c r="I96" s="16"/>
      <c r="J96" s="17"/>
      <c r="K96" s="18"/>
      <c r="L96" s="18"/>
    </row>
    <row r="97" spans="1:12" ht="35.1" customHeight="1" x14ac:dyDescent="0.3">
      <c r="A97" s="66"/>
      <c r="B97" s="67"/>
      <c r="C97" s="68"/>
      <c r="D97" s="68"/>
      <c r="E97" s="70"/>
      <c r="F97" s="71"/>
      <c r="G97" s="71"/>
      <c r="I97" s="16"/>
      <c r="J97" s="17"/>
      <c r="K97" s="18"/>
      <c r="L97" s="18"/>
    </row>
    <row r="98" spans="1:12" ht="35.1" customHeight="1" x14ac:dyDescent="0.3">
      <c r="A98" s="66"/>
      <c r="B98" s="67"/>
      <c r="C98" s="68"/>
      <c r="D98" s="68"/>
      <c r="E98" s="70"/>
      <c r="F98" s="71"/>
      <c r="G98" s="71"/>
      <c r="I98" s="16"/>
      <c r="J98" s="17"/>
      <c r="K98" s="18"/>
      <c r="L98" s="18"/>
    </row>
    <row r="99" spans="1:12" ht="35.1" customHeight="1" x14ac:dyDescent="0.3">
      <c r="A99" s="66"/>
      <c r="B99" s="67"/>
      <c r="C99" s="68"/>
      <c r="D99" s="68"/>
      <c r="E99" s="70"/>
      <c r="F99" s="71"/>
      <c r="G99" s="71"/>
      <c r="I99" s="16"/>
      <c r="J99" s="17"/>
      <c r="K99" s="18"/>
      <c r="L99" s="18"/>
    </row>
    <row r="100" spans="1:12" ht="35.1" customHeight="1" x14ac:dyDescent="0.3">
      <c r="A100" s="66"/>
      <c r="B100" s="67"/>
      <c r="C100" s="68"/>
      <c r="D100" s="68"/>
      <c r="E100" s="70"/>
      <c r="F100" s="71"/>
      <c r="G100" s="71"/>
      <c r="I100" s="16"/>
      <c r="J100" s="17"/>
      <c r="K100" s="18"/>
      <c r="L100" s="18"/>
    </row>
    <row r="101" spans="1:12" ht="35.1" customHeight="1" x14ac:dyDescent="0.3">
      <c r="A101" s="66"/>
      <c r="B101" s="67"/>
      <c r="C101" s="68"/>
      <c r="D101" s="68"/>
      <c r="E101" s="70"/>
      <c r="F101" s="71"/>
      <c r="G101" s="71"/>
      <c r="I101" s="16"/>
      <c r="J101" s="17"/>
      <c r="K101" s="18"/>
      <c r="L101" s="18"/>
    </row>
    <row r="102" spans="1:12" ht="35.1" customHeight="1" x14ac:dyDescent="0.3">
      <c r="A102" s="66"/>
      <c r="B102" s="67"/>
      <c r="C102" s="68"/>
      <c r="D102" s="68"/>
      <c r="E102" s="70"/>
      <c r="F102" s="71"/>
      <c r="G102" s="71"/>
      <c r="I102" s="16"/>
      <c r="J102" s="17"/>
      <c r="K102" s="18"/>
      <c r="L102" s="18"/>
    </row>
    <row r="103" spans="1:12" ht="35.1" customHeight="1" x14ac:dyDescent="0.3">
      <c r="A103" s="66"/>
      <c r="B103" s="67"/>
      <c r="C103" s="68"/>
      <c r="D103" s="68"/>
      <c r="E103" s="70"/>
      <c r="F103" s="71"/>
      <c r="G103" s="71"/>
      <c r="I103" s="16"/>
      <c r="J103" s="17"/>
      <c r="K103" s="18"/>
      <c r="L103" s="18"/>
    </row>
    <row r="104" spans="1:12" ht="35.1" customHeight="1" x14ac:dyDescent="0.3">
      <c r="A104" s="66"/>
      <c r="B104" s="67"/>
      <c r="C104" s="68"/>
      <c r="D104" s="68"/>
      <c r="E104" s="70"/>
      <c r="F104" s="71"/>
      <c r="G104" s="71"/>
      <c r="I104" s="16"/>
      <c r="J104" s="17"/>
      <c r="K104" s="18"/>
      <c r="L104" s="18"/>
    </row>
    <row r="105" spans="1:12" ht="35.1" customHeight="1" x14ac:dyDescent="0.3">
      <c r="A105" s="66"/>
      <c r="B105" s="67"/>
      <c r="C105" s="68"/>
      <c r="D105" s="68"/>
      <c r="E105" s="70"/>
      <c r="F105" s="71"/>
      <c r="G105" s="71"/>
      <c r="I105" s="16"/>
      <c r="J105" s="17"/>
      <c r="K105" s="18"/>
      <c r="L105" s="18"/>
    </row>
    <row r="106" spans="1:12" ht="35.1" customHeight="1" x14ac:dyDescent="0.3">
      <c r="A106" s="66"/>
      <c r="B106" s="67"/>
      <c r="C106" s="68"/>
      <c r="D106" s="68"/>
      <c r="E106" s="70"/>
      <c r="F106" s="71"/>
      <c r="G106" s="71"/>
      <c r="I106" s="16"/>
      <c r="J106" s="17"/>
      <c r="K106" s="18"/>
      <c r="L106" s="18"/>
    </row>
    <row r="107" spans="1:12" ht="35.1" customHeight="1" x14ac:dyDescent="0.3">
      <c r="A107" s="66"/>
      <c r="B107" s="67"/>
      <c r="C107" s="68"/>
      <c r="D107" s="68"/>
      <c r="E107" s="70"/>
      <c r="F107" s="71"/>
      <c r="G107" s="71"/>
      <c r="I107" s="16"/>
      <c r="J107" s="17"/>
      <c r="K107" s="18"/>
      <c r="L107" s="18"/>
    </row>
    <row r="108" spans="1:12" ht="35.1" customHeight="1" x14ac:dyDescent="0.3">
      <c r="A108" s="66"/>
      <c r="B108" s="67"/>
      <c r="C108" s="68"/>
      <c r="D108" s="68"/>
      <c r="E108" s="70"/>
      <c r="F108" s="71"/>
      <c r="G108" s="71"/>
      <c r="I108" s="16"/>
      <c r="J108" s="17"/>
      <c r="K108" s="18"/>
      <c r="L108" s="18"/>
    </row>
    <row r="109" spans="1:12" ht="35.1" customHeight="1" x14ac:dyDescent="0.3">
      <c r="A109" s="66"/>
      <c r="B109" s="67"/>
      <c r="C109" s="68"/>
      <c r="D109" s="68"/>
      <c r="E109" s="70"/>
      <c r="F109" s="71"/>
      <c r="G109" s="71"/>
      <c r="I109" s="16"/>
      <c r="J109" s="17"/>
      <c r="K109" s="18"/>
      <c r="L109" s="18"/>
    </row>
    <row r="110" spans="1:12" ht="35.1" customHeight="1" x14ac:dyDescent="0.3">
      <c r="A110" s="66"/>
      <c r="B110" s="67"/>
      <c r="C110" s="68"/>
      <c r="D110" s="68"/>
      <c r="E110" s="70"/>
      <c r="F110" s="71"/>
      <c r="G110" s="71"/>
      <c r="I110" s="16"/>
      <c r="J110" s="17"/>
      <c r="K110" s="18"/>
      <c r="L110" s="18"/>
    </row>
    <row r="111" spans="1:12" ht="35.1" customHeight="1" x14ac:dyDescent="0.3">
      <c r="A111" s="66"/>
      <c r="B111" s="67"/>
      <c r="C111" s="68"/>
      <c r="D111" s="68"/>
      <c r="E111" s="70"/>
      <c r="F111" s="71"/>
      <c r="G111" s="71"/>
      <c r="I111" s="16"/>
      <c r="J111" s="17"/>
      <c r="K111" s="18"/>
      <c r="L111" s="18"/>
    </row>
    <row r="112" spans="1:12" ht="35.1" customHeight="1" x14ac:dyDescent="0.3">
      <c r="A112" s="66"/>
      <c r="B112" s="67"/>
      <c r="C112" s="68"/>
      <c r="D112" s="68"/>
      <c r="E112" s="70"/>
      <c r="F112" s="71"/>
      <c r="G112" s="71"/>
      <c r="I112" s="16"/>
      <c r="J112" s="17"/>
      <c r="K112" s="18"/>
      <c r="L112" s="18"/>
    </row>
    <row r="113" spans="1:12" ht="35.1" customHeight="1" x14ac:dyDescent="0.3">
      <c r="A113" s="66"/>
      <c r="B113" s="67"/>
      <c r="C113" s="68"/>
      <c r="D113" s="68"/>
      <c r="E113" s="70"/>
      <c r="F113" s="71"/>
      <c r="G113" s="71"/>
      <c r="I113" s="16"/>
      <c r="J113" s="17"/>
      <c r="K113" s="18"/>
      <c r="L113" s="18"/>
    </row>
    <row r="114" spans="1:12" ht="35.1" customHeight="1" x14ac:dyDescent="0.3">
      <c r="A114" s="66"/>
      <c r="B114" s="67"/>
      <c r="C114" s="68"/>
      <c r="D114" s="68"/>
      <c r="E114" s="70"/>
      <c r="F114" s="71"/>
      <c r="G114" s="71"/>
      <c r="I114" s="16"/>
      <c r="J114" s="17"/>
      <c r="K114" s="18"/>
      <c r="L114" s="18"/>
    </row>
    <row r="115" spans="1:12" ht="35.1" customHeight="1" x14ac:dyDescent="0.3">
      <c r="A115" s="66"/>
      <c r="B115" s="67"/>
      <c r="C115" s="68"/>
      <c r="D115" s="68"/>
      <c r="E115" s="70"/>
      <c r="F115" s="71"/>
      <c r="G115" s="71"/>
      <c r="I115" s="16"/>
      <c r="J115" s="17"/>
      <c r="K115" s="18"/>
      <c r="L115" s="18"/>
    </row>
    <row r="116" spans="1:12" ht="35.1" customHeight="1" x14ac:dyDescent="0.3">
      <c r="A116" s="66"/>
      <c r="B116" s="67"/>
      <c r="C116" s="68"/>
      <c r="D116" s="68"/>
      <c r="E116" s="70"/>
      <c r="F116" s="71"/>
      <c r="G116" s="71"/>
      <c r="I116" s="16"/>
      <c r="J116" s="17"/>
      <c r="K116" s="18"/>
      <c r="L116" s="18"/>
    </row>
    <row r="117" spans="1:12" ht="35.1" customHeight="1" x14ac:dyDescent="0.3">
      <c r="A117" s="66"/>
      <c r="B117" s="67"/>
      <c r="C117" s="68"/>
      <c r="D117" s="68"/>
      <c r="E117" s="70"/>
      <c r="F117" s="71"/>
      <c r="G117" s="71"/>
      <c r="I117" s="16"/>
      <c r="J117" s="17"/>
      <c r="K117" s="18"/>
      <c r="L117" s="18"/>
    </row>
    <row r="118" spans="1:12" ht="35.1" customHeight="1" x14ac:dyDescent="0.3">
      <c r="A118" s="66"/>
      <c r="B118" s="67"/>
      <c r="C118" s="68"/>
      <c r="D118" s="68"/>
      <c r="E118" s="70"/>
      <c r="F118" s="71"/>
      <c r="G118" s="71"/>
      <c r="I118" s="16"/>
      <c r="J118" s="17"/>
      <c r="K118" s="18"/>
      <c r="L118" s="18"/>
    </row>
    <row r="119" spans="1:12" ht="35.1" customHeight="1" x14ac:dyDescent="0.3">
      <c r="A119" s="66"/>
      <c r="B119" s="67"/>
      <c r="C119" s="68"/>
      <c r="D119" s="68"/>
      <c r="E119" s="70"/>
      <c r="F119" s="71"/>
      <c r="G119" s="71"/>
      <c r="I119" s="16"/>
      <c r="J119" s="17"/>
      <c r="K119" s="18"/>
      <c r="L119" s="18"/>
    </row>
    <row r="120" spans="1:12" ht="35.1" customHeight="1" x14ac:dyDescent="0.3">
      <c r="A120" s="66"/>
      <c r="B120" s="67"/>
      <c r="C120" s="68"/>
      <c r="D120" s="68"/>
      <c r="E120" s="70"/>
      <c r="F120" s="71"/>
      <c r="G120" s="71"/>
      <c r="I120" s="16"/>
      <c r="J120" s="17"/>
      <c r="K120" s="18"/>
      <c r="L120" s="18"/>
    </row>
    <row r="121" spans="1:12" ht="35.1" customHeight="1" x14ac:dyDescent="0.3">
      <c r="A121" s="66"/>
      <c r="B121" s="67"/>
      <c r="C121" s="68"/>
      <c r="D121" s="68"/>
      <c r="E121" s="70"/>
      <c r="F121" s="71"/>
      <c r="G121" s="71"/>
      <c r="I121" s="16"/>
      <c r="J121" s="17"/>
      <c r="K121" s="18"/>
      <c r="L121" s="18"/>
    </row>
    <row r="122" spans="1:12" ht="35.1" customHeight="1" x14ac:dyDescent="0.3">
      <c r="A122" s="66"/>
      <c r="B122" s="67"/>
      <c r="C122" s="68"/>
      <c r="D122" s="68"/>
      <c r="E122" s="70"/>
      <c r="F122" s="71"/>
      <c r="G122" s="71"/>
      <c r="I122" s="16"/>
      <c r="J122" s="17"/>
      <c r="K122" s="18"/>
      <c r="L122" s="18"/>
    </row>
    <row r="123" spans="1:12" ht="35.1" customHeight="1" x14ac:dyDescent="0.3">
      <c r="A123" s="66"/>
      <c r="B123" s="67"/>
      <c r="C123" s="68"/>
      <c r="D123" s="68"/>
      <c r="E123" s="70"/>
      <c r="F123" s="71"/>
      <c r="G123" s="71"/>
      <c r="I123" s="16"/>
      <c r="J123" s="17"/>
      <c r="K123" s="18"/>
      <c r="L123" s="18"/>
    </row>
    <row r="124" spans="1:12" ht="35.1" customHeight="1" x14ac:dyDescent="0.3">
      <c r="A124" s="66"/>
      <c r="B124" s="67"/>
      <c r="C124" s="68"/>
      <c r="D124" s="68"/>
      <c r="E124" s="70"/>
      <c r="F124" s="71"/>
      <c r="G124" s="71"/>
      <c r="I124" s="16"/>
      <c r="J124" s="17"/>
      <c r="K124" s="18"/>
      <c r="L124" s="18"/>
    </row>
    <row r="125" spans="1:12" ht="35.1" customHeight="1" x14ac:dyDescent="0.3">
      <c r="A125" s="66"/>
      <c r="B125" s="67"/>
      <c r="C125" s="68"/>
      <c r="D125" s="68"/>
      <c r="E125" s="70"/>
      <c r="F125" s="71"/>
      <c r="G125" s="71"/>
      <c r="I125" s="16"/>
      <c r="J125" s="17"/>
      <c r="K125" s="18"/>
      <c r="L125" s="18"/>
    </row>
    <row r="126" spans="1:12" ht="35.1" customHeight="1" x14ac:dyDescent="0.3">
      <c r="A126" s="66"/>
      <c r="B126" s="67"/>
      <c r="C126" s="68"/>
      <c r="D126" s="68"/>
      <c r="E126" s="70"/>
      <c r="F126" s="71"/>
      <c r="G126" s="71"/>
      <c r="I126" s="16"/>
      <c r="J126" s="17"/>
      <c r="K126" s="18"/>
      <c r="L126" s="18"/>
    </row>
    <row r="127" spans="1:12" ht="35.1" customHeight="1" x14ac:dyDescent="0.3">
      <c r="A127" s="66"/>
      <c r="B127" s="67"/>
      <c r="C127" s="68"/>
      <c r="D127" s="68"/>
      <c r="E127" s="70"/>
      <c r="F127" s="71"/>
      <c r="G127" s="71"/>
      <c r="I127" s="16"/>
      <c r="J127" s="17"/>
      <c r="K127" s="18"/>
      <c r="L127" s="18"/>
    </row>
    <row r="128" spans="1:12" ht="35.1" customHeight="1" x14ac:dyDescent="0.3">
      <c r="A128" s="66"/>
      <c r="B128" s="67"/>
      <c r="C128" s="68"/>
      <c r="D128" s="68"/>
      <c r="E128" s="70"/>
      <c r="F128" s="71"/>
      <c r="G128" s="71"/>
      <c r="I128" s="16"/>
      <c r="J128" s="17"/>
      <c r="K128" s="18"/>
      <c r="L128" s="18"/>
    </row>
    <row r="129" spans="1:12" ht="35.1" customHeight="1" x14ac:dyDescent="0.3">
      <c r="A129" s="66"/>
      <c r="B129" s="67"/>
      <c r="C129" s="68"/>
      <c r="D129" s="68"/>
      <c r="E129" s="70"/>
      <c r="F129" s="71"/>
      <c r="G129" s="71"/>
      <c r="I129" s="16"/>
      <c r="J129" s="17"/>
      <c r="K129" s="18"/>
      <c r="L129" s="18"/>
    </row>
    <row r="130" spans="1:12" ht="35.1" customHeight="1" x14ac:dyDescent="0.3">
      <c r="A130" s="66"/>
      <c r="B130" s="67"/>
      <c r="C130" s="68"/>
      <c r="D130" s="68"/>
      <c r="E130" s="70"/>
      <c r="F130" s="71"/>
      <c r="G130" s="71"/>
      <c r="I130" s="16"/>
      <c r="J130" s="17"/>
      <c r="K130" s="18"/>
      <c r="L130" s="18"/>
    </row>
    <row r="131" spans="1:12" ht="35.1" customHeight="1" x14ac:dyDescent="0.3">
      <c r="A131" s="66"/>
      <c r="B131" s="67"/>
      <c r="C131" s="68"/>
      <c r="D131" s="68"/>
      <c r="E131" s="70"/>
      <c r="F131" s="71"/>
      <c r="G131" s="71"/>
      <c r="I131" s="16"/>
      <c r="J131" s="17"/>
      <c r="K131" s="18"/>
      <c r="L131" s="18"/>
    </row>
    <row r="132" spans="1:12" ht="35.1" customHeight="1" x14ac:dyDescent="0.3">
      <c r="A132" s="66"/>
      <c r="B132" s="67"/>
      <c r="C132" s="68"/>
      <c r="D132" s="68"/>
      <c r="E132" s="70"/>
      <c r="F132" s="71"/>
      <c r="G132" s="71"/>
      <c r="I132" s="16"/>
      <c r="J132" s="17"/>
      <c r="K132" s="18"/>
      <c r="L132" s="18"/>
    </row>
    <row r="133" spans="1:12" ht="35.1" customHeight="1" x14ac:dyDescent="0.3">
      <c r="A133" s="66"/>
      <c r="B133" s="67"/>
      <c r="C133" s="68"/>
      <c r="D133" s="68"/>
      <c r="E133" s="70"/>
      <c r="F133" s="71"/>
      <c r="G133" s="71"/>
      <c r="I133" s="16"/>
      <c r="J133" s="17"/>
      <c r="K133" s="18"/>
      <c r="L133" s="18"/>
    </row>
    <row r="134" spans="1:12" ht="35.1" customHeight="1" x14ac:dyDescent="0.3">
      <c r="A134" s="66"/>
      <c r="B134" s="67"/>
      <c r="C134" s="68"/>
      <c r="D134" s="68"/>
      <c r="E134" s="70"/>
      <c r="F134" s="71"/>
      <c r="G134" s="71"/>
      <c r="I134" s="16"/>
      <c r="J134" s="17"/>
      <c r="K134" s="18"/>
      <c r="L134" s="18"/>
    </row>
    <row r="135" spans="1:12" ht="35.1" customHeight="1" x14ac:dyDescent="0.3">
      <c r="A135" s="66"/>
      <c r="B135" s="67"/>
      <c r="C135" s="68"/>
      <c r="D135" s="68"/>
      <c r="E135" s="70"/>
      <c r="F135" s="71"/>
      <c r="G135" s="71"/>
      <c r="I135" s="16"/>
      <c r="J135" s="17"/>
      <c r="K135" s="18"/>
      <c r="L135" s="18"/>
    </row>
    <row r="136" spans="1:12" ht="35.1" customHeight="1" x14ac:dyDescent="0.3">
      <c r="A136" s="66"/>
      <c r="B136" s="67"/>
      <c r="C136" s="68"/>
      <c r="D136" s="68"/>
      <c r="E136" s="70"/>
      <c r="F136" s="71"/>
      <c r="G136" s="71"/>
      <c r="I136" s="16"/>
      <c r="J136" s="17"/>
      <c r="K136" s="18"/>
      <c r="L136" s="18"/>
    </row>
    <row r="137" spans="1:12" ht="35.1" customHeight="1" x14ac:dyDescent="0.3">
      <c r="A137" s="66"/>
      <c r="B137" s="67"/>
      <c r="C137" s="68"/>
      <c r="D137" s="68"/>
      <c r="E137" s="70"/>
      <c r="F137" s="71"/>
      <c r="G137" s="71"/>
      <c r="I137" s="16"/>
      <c r="J137" s="17"/>
      <c r="K137" s="18"/>
      <c r="L137" s="18"/>
    </row>
    <row r="138" spans="1:12" ht="35.1" customHeight="1" x14ac:dyDescent="0.3">
      <c r="A138" s="66"/>
      <c r="B138" s="67"/>
      <c r="C138" s="68"/>
      <c r="D138" s="68"/>
      <c r="E138" s="70"/>
      <c r="F138" s="71"/>
      <c r="G138" s="71"/>
      <c r="I138" s="16"/>
      <c r="J138" s="17"/>
      <c r="K138" s="18"/>
      <c r="L138" s="18"/>
    </row>
    <row r="139" spans="1:12" ht="35.1" customHeight="1" x14ac:dyDescent="0.3">
      <c r="A139" s="66"/>
      <c r="B139" s="67"/>
      <c r="C139" s="68"/>
      <c r="D139" s="68"/>
      <c r="E139" s="70"/>
      <c r="F139" s="71"/>
      <c r="G139" s="71"/>
      <c r="I139" s="16"/>
      <c r="J139" s="17"/>
      <c r="K139" s="18"/>
      <c r="L139" s="18"/>
    </row>
    <row r="140" spans="1:12" ht="35.1" customHeight="1" x14ac:dyDescent="0.3">
      <c r="A140" s="66"/>
      <c r="B140" s="67"/>
      <c r="C140" s="68"/>
      <c r="D140" s="68"/>
      <c r="E140" s="70"/>
      <c r="F140" s="71"/>
      <c r="G140" s="71"/>
      <c r="I140" s="16"/>
      <c r="J140" s="17"/>
      <c r="K140" s="18"/>
      <c r="L140" s="18"/>
    </row>
    <row r="141" spans="1:12" ht="35.1" customHeight="1" x14ac:dyDescent="0.3">
      <c r="A141" s="66"/>
      <c r="B141" s="67"/>
      <c r="C141" s="68"/>
      <c r="D141" s="68"/>
      <c r="E141" s="70"/>
      <c r="F141" s="71"/>
      <c r="G141" s="71"/>
      <c r="I141" s="16"/>
      <c r="J141" s="17"/>
      <c r="K141" s="18"/>
      <c r="L141" s="18"/>
    </row>
    <row r="142" spans="1:12" ht="35.1" customHeight="1" x14ac:dyDescent="0.3">
      <c r="A142" s="66"/>
      <c r="B142" s="67"/>
      <c r="C142" s="68"/>
      <c r="D142" s="68"/>
      <c r="E142" s="70"/>
      <c r="F142" s="71"/>
      <c r="G142" s="71"/>
      <c r="I142" s="16"/>
      <c r="J142" s="17"/>
      <c r="K142" s="18"/>
      <c r="L142" s="18"/>
    </row>
    <row r="143" spans="1:12" ht="35.1" customHeight="1" x14ac:dyDescent="0.3">
      <c r="A143" s="66"/>
      <c r="B143" s="67"/>
      <c r="C143" s="68"/>
      <c r="D143" s="68"/>
      <c r="E143" s="70"/>
      <c r="F143" s="71"/>
      <c r="G143" s="71"/>
      <c r="I143" s="16"/>
      <c r="J143" s="17"/>
      <c r="K143" s="18"/>
      <c r="L143" s="18"/>
    </row>
    <row r="144" spans="1:12" ht="35.1" customHeight="1" x14ac:dyDescent="0.3">
      <c r="A144" s="66"/>
      <c r="B144" s="67"/>
      <c r="C144" s="68"/>
      <c r="D144" s="68"/>
      <c r="E144" s="70"/>
      <c r="F144" s="71"/>
      <c r="G144" s="71"/>
      <c r="I144" s="16"/>
      <c r="J144" s="17"/>
      <c r="K144" s="18"/>
      <c r="L144" s="18"/>
    </row>
    <row r="145" spans="1:12" ht="35.1" customHeight="1" x14ac:dyDescent="0.3">
      <c r="A145" s="66"/>
      <c r="B145" s="67"/>
      <c r="C145" s="68"/>
      <c r="D145" s="68"/>
      <c r="E145" s="70"/>
      <c r="F145" s="71"/>
      <c r="G145" s="71"/>
      <c r="I145" s="16"/>
      <c r="J145" s="17"/>
      <c r="K145" s="18"/>
      <c r="L145" s="18"/>
    </row>
    <row r="146" spans="1:12" ht="35.1" customHeight="1" x14ac:dyDescent="0.3">
      <c r="A146" s="66"/>
      <c r="B146" s="67"/>
      <c r="C146" s="68"/>
      <c r="D146" s="68"/>
      <c r="E146" s="70"/>
      <c r="F146" s="71"/>
      <c r="G146" s="71"/>
      <c r="I146" s="16"/>
      <c r="J146" s="17"/>
      <c r="K146" s="18"/>
      <c r="L146" s="18"/>
    </row>
    <row r="147" spans="1:12" ht="35.1" customHeight="1" x14ac:dyDescent="0.3">
      <c r="A147" s="66"/>
      <c r="B147" s="67"/>
      <c r="C147" s="68"/>
      <c r="D147" s="68"/>
      <c r="E147" s="70"/>
      <c r="F147" s="71"/>
      <c r="G147" s="71"/>
      <c r="I147" s="16"/>
      <c r="J147" s="17"/>
      <c r="K147" s="18"/>
      <c r="L147" s="18"/>
    </row>
    <row r="148" spans="1:12" ht="35.1" customHeight="1" x14ac:dyDescent="0.3">
      <c r="A148" s="66"/>
      <c r="B148" s="67"/>
      <c r="C148" s="68"/>
      <c r="D148" s="68"/>
      <c r="E148" s="70"/>
      <c r="F148" s="71"/>
      <c r="G148" s="71"/>
      <c r="I148" s="16"/>
      <c r="J148" s="17"/>
      <c r="K148" s="18"/>
      <c r="L148" s="18"/>
    </row>
    <row r="149" spans="1:12" ht="35.1" customHeight="1" x14ac:dyDescent="0.3">
      <c r="A149" s="66"/>
      <c r="B149" s="67"/>
      <c r="C149" s="68"/>
      <c r="D149" s="68"/>
      <c r="E149" s="70"/>
      <c r="F149" s="71"/>
      <c r="G149" s="71"/>
      <c r="I149" s="16"/>
      <c r="J149" s="17"/>
      <c r="K149" s="18"/>
      <c r="L149" s="18"/>
    </row>
    <row r="150" spans="1:12" ht="35.1" customHeight="1" x14ac:dyDescent="0.3">
      <c r="A150" s="66"/>
      <c r="B150" s="67"/>
      <c r="C150" s="68"/>
      <c r="D150" s="68"/>
      <c r="E150" s="70"/>
      <c r="F150" s="71"/>
      <c r="G150" s="71"/>
      <c r="I150" s="16"/>
      <c r="J150" s="17"/>
      <c r="K150" s="18"/>
      <c r="L150" s="18"/>
    </row>
    <row r="151" spans="1:12" ht="35.1" customHeight="1" x14ac:dyDescent="0.3">
      <c r="A151" s="66"/>
      <c r="B151" s="67"/>
      <c r="C151" s="68"/>
      <c r="D151" s="68"/>
      <c r="E151" s="70"/>
      <c r="F151" s="71"/>
      <c r="G151" s="71"/>
      <c r="I151" s="16"/>
      <c r="J151" s="17"/>
      <c r="K151" s="18"/>
      <c r="L151" s="18"/>
    </row>
    <row r="152" spans="1:12" ht="35.1" customHeight="1" x14ac:dyDescent="0.3">
      <c r="A152" s="66"/>
      <c r="B152" s="67"/>
      <c r="C152" s="68"/>
      <c r="D152" s="68"/>
      <c r="E152" s="70"/>
      <c r="F152" s="71"/>
      <c r="G152" s="71"/>
      <c r="I152" s="16"/>
      <c r="J152" s="17"/>
      <c r="K152" s="18"/>
      <c r="L152" s="18"/>
    </row>
    <row r="153" spans="1:12" ht="35.1" customHeight="1" x14ac:dyDescent="0.3">
      <c r="A153" s="66"/>
      <c r="B153" s="67"/>
      <c r="C153" s="68"/>
      <c r="D153" s="68"/>
      <c r="E153" s="70"/>
      <c r="F153" s="71"/>
      <c r="G153" s="71"/>
      <c r="I153" s="16"/>
      <c r="J153" s="17"/>
      <c r="K153" s="18"/>
      <c r="L153" s="18"/>
    </row>
    <row r="154" spans="1:12" ht="35.1" customHeight="1" x14ac:dyDescent="0.3">
      <c r="A154" s="66"/>
      <c r="B154" s="67"/>
      <c r="C154" s="68"/>
      <c r="D154" s="68"/>
      <c r="E154" s="70"/>
      <c r="F154" s="71"/>
      <c r="G154" s="71"/>
      <c r="I154" s="16"/>
      <c r="J154" s="17"/>
      <c r="K154" s="18"/>
      <c r="L154" s="18"/>
    </row>
    <row r="155" spans="1:12" ht="35.1" customHeight="1" x14ac:dyDescent="0.3">
      <c r="A155" s="66"/>
      <c r="B155" s="67"/>
      <c r="C155" s="68"/>
      <c r="D155" s="68"/>
      <c r="E155" s="70"/>
      <c r="F155" s="71"/>
      <c r="G155" s="71"/>
      <c r="I155" s="16"/>
      <c r="J155" s="17"/>
      <c r="K155" s="18"/>
      <c r="L155" s="18"/>
    </row>
    <row r="156" spans="1:12" ht="35.1" customHeight="1" x14ac:dyDescent="0.3">
      <c r="A156" s="66"/>
      <c r="B156" s="67"/>
      <c r="C156" s="68"/>
      <c r="D156" s="68"/>
      <c r="E156" s="70"/>
      <c r="F156" s="71"/>
      <c r="G156" s="71"/>
      <c r="I156" s="16"/>
      <c r="J156" s="17"/>
      <c r="K156" s="18"/>
      <c r="L156" s="18"/>
    </row>
    <row r="157" spans="1:12" ht="35.1" customHeight="1" x14ac:dyDescent="0.3">
      <c r="A157" s="66"/>
      <c r="B157" s="67"/>
      <c r="C157" s="68"/>
      <c r="D157" s="68"/>
      <c r="E157" s="70"/>
      <c r="F157" s="71"/>
      <c r="G157" s="71"/>
      <c r="I157" s="16"/>
      <c r="J157" s="17"/>
      <c r="K157" s="18"/>
      <c r="L157" s="18"/>
    </row>
    <row r="158" spans="1:12" ht="35.1" customHeight="1" x14ac:dyDescent="0.3">
      <c r="A158" s="66"/>
      <c r="B158" s="67"/>
      <c r="C158" s="68"/>
      <c r="D158" s="68"/>
      <c r="E158" s="70"/>
      <c r="F158" s="71"/>
      <c r="G158" s="71"/>
      <c r="I158" s="16"/>
      <c r="J158" s="17"/>
      <c r="K158" s="18"/>
      <c r="L158" s="18"/>
    </row>
    <row r="159" spans="1:12" ht="35.1" customHeight="1" x14ac:dyDescent="0.3">
      <c r="A159" s="66"/>
      <c r="B159" s="67"/>
      <c r="C159" s="68"/>
      <c r="D159" s="68"/>
      <c r="E159" s="70"/>
      <c r="F159" s="71"/>
      <c r="G159" s="71"/>
      <c r="I159" s="16"/>
      <c r="J159" s="17"/>
      <c r="K159" s="18"/>
      <c r="L159" s="18"/>
    </row>
    <row r="160" spans="1:12" ht="35.1" customHeight="1" x14ac:dyDescent="0.3">
      <c r="A160" s="66"/>
      <c r="B160" s="67"/>
      <c r="C160" s="68"/>
      <c r="D160" s="68"/>
      <c r="E160" s="70"/>
      <c r="F160" s="71"/>
      <c r="G160" s="71"/>
      <c r="I160" s="16"/>
      <c r="J160" s="17"/>
      <c r="K160" s="18"/>
      <c r="L160" s="18"/>
    </row>
    <row r="161" spans="1:12" ht="35.1" customHeight="1" x14ac:dyDescent="0.3">
      <c r="A161" s="66"/>
      <c r="B161" s="67"/>
      <c r="C161" s="68"/>
      <c r="D161" s="68"/>
      <c r="E161" s="70"/>
      <c r="F161" s="71"/>
      <c r="G161" s="71"/>
      <c r="I161" s="16"/>
      <c r="J161" s="17"/>
      <c r="K161" s="18"/>
      <c r="L161" s="18"/>
    </row>
    <row r="162" spans="1:12" ht="35.1" customHeight="1" x14ac:dyDescent="0.3">
      <c r="A162" s="66"/>
      <c r="B162" s="67"/>
      <c r="C162" s="68"/>
      <c r="D162" s="68"/>
      <c r="E162" s="70"/>
      <c r="F162" s="71"/>
      <c r="G162" s="71"/>
      <c r="I162" s="16"/>
      <c r="J162" s="17"/>
      <c r="K162" s="18"/>
      <c r="L162" s="18"/>
    </row>
    <row r="163" spans="1:12" ht="35.1" customHeight="1" x14ac:dyDescent="0.3">
      <c r="A163" s="66"/>
      <c r="B163" s="67"/>
      <c r="C163" s="68"/>
      <c r="D163" s="68"/>
      <c r="E163" s="70"/>
      <c r="F163" s="71"/>
      <c r="G163" s="71"/>
      <c r="I163" s="16"/>
      <c r="J163" s="17"/>
      <c r="K163" s="18"/>
      <c r="L163" s="18"/>
    </row>
    <row r="164" spans="1:12" ht="35.1" customHeight="1" x14ac:dyDescent="0.3">
      <c r="A164" s="66"/>
      <c r="B164" s="67"/>
      <c r="C164" s="68"/>
      <c r="D164" s="68"/>
      <c r="E164" s="70"/>
      <c r="F164" s="71"/>
      <c r="G164" s="71"/>
      <c r="I164" s="16"/>
      <c r="J164" s="17"/>
      <c r="K164" s="18"/>
      <c r="L164" s="18"/>
    </row>
    <row r="165" spans="1:12" ht="35.1" customHeight="1" x14ac:dyDescent="0.3">
      <c r="A165" s="66"/>
      <c r="B165" s="67"/>
      <c r="C165" s="68"/>
      <c r="D165" s="68"/>
      <c r="E165" s="70"/>
      <c r="F165" s="71"/>
      <c r="G165" s="71"/>
      <c r="I165" s="16"/>
      <c r="J165" s="17"/>
      <c r="K165" s="18"/>
      <c r="L165" s="18"/>
    </row>
    <row r="166" spans="1:12" ht="35.1" customHeight="1" x14ac:dyDescent="0.3">
      <c r="A166" s="66"/>
      <c r="B166" s="67"/>
      <c r="C166" s="68"/>
      <c r="D166" s="68"/>
      <c r="E166" s="70"/>
      <c r="F166" s="71"/>
      <c r="G166" s="71"/>
      <c r="I166" s="16"/>
      <c r="J166" s="17"/>
      <c r="K166" s="18"/>
      <c r="L166" s="18"/>
    </row>
    <row r="167" spans="1:12" ht="35.1" customHeight="1" x14ac:dyDescent="0.3">
      <c r="A167" s="66"/>
      <c r="B167" s="67"/>
      <c r="C167" s="68"/>
      <c r="D167" s="68"/>
      <c r="E167" s="70"/>
      <c r="F167" s="71"/>
      <c r="G167" s="71"/>
      <c r="I167" s="16"/>
      <c r="J167" s="17"/>
      <c r="K167" s="18"/>
      <c r="L167" s="18"/>
    </row>
    <row r="168" spans="1:12" ht="35.1" customHeight="1" x14ac:dyDescent="0.3">
      <c r="A168" s="66"/>
      <c r="B168" s="67"/>
      <c r="C168" s="68"/>
      <c r="D168" s="68"/>
      <c r="E168" s="70"/>
      <c r="F168" s="71"/>
      <c r="G168" s="71"/>
      <c r="I168" s="16"/>
      <c r="J168" s="17"/>
      <c r="K168" s="18"/>
      <c r="L168" s="18"/>
    </row>
    <row r="169" spans="1:12" ht="35.1" customHeight="1" x14ac:dyDescent="0.3">
      <c r="A169" s="66"/>
      <c r="B169" s="67"/>
      <c r="C169" s="68"/>
      <c r="D169" s="68"/>
      <c r="E169" s="70"/>
      <c r="F169" s="71"/>
      <c r="G169" s="71"/>
      <c r="I169" s="16"/>
      <c r="J169" s="17"/>
      <c r="K169" s="18"/>
      <c r="L169" s="18"/>
    </row>
    <row r="170" spans="1:12" ht="35.1" customHeight="1" x14ac:dyDescent="0.3">
      <c r="A170" s="66"/>
      <c r="B170" s="67"/>
      <c r="C170" s="68"/>
      <c r="D170" s="68"/>
      <c r="E170" s="70"/>
      <c r="F170" s="71"/>
      <c r="G170" s="71"/>
      <c r="I170" s="16"/>
      <c r="J170" s="17"/>
      <c r="K170" s="18"/>
      <c r="L170" s="18"/>
    </row>
    <row r="171" spans="1:12" ht="35.1" customHeight="1" x14ac:dyDescent="0.3">
      <c r="A171" s="66"/>
      <c r="B171" s="67"/>
      <c r="C171" s="68"/>
      <c r="D171" s="68"/>
      <c r="E171" s="70"/>
      <c r="F171" s="71"/>
      <c r="G171" s="71"/>
      <c r="I171" s="16"/>
      <c r="J171" s="17"/>
      <c r="K171" s="18"/>
      <c r="L171" s="18"/>
    </row>
    <row r="172" spans="1:12" ht="35.1" customHeight="1" x14ac:dyDescent="0.3">
      <c r="A172" s="66"/>
      <c r="B172" s="67"/>
      <c r="C172" s="68"/>
      <c r="D172" s="68"/>
      <c r="E172" s="70"/>
      <c r="F172" s="71"/>
      <c r="G172" s="71"/>
      <c r="I172" s="16"/>
      <c r="J172" s="17"/>
      <c r="K172" s="18"/>
      <c r="L172" s="18"/>
    </row>
    <row r="173" spans="1:12" ht="35.1" customHeight="1" x14ac:dyDescent="0.3">
      <c r="A173" s="66"/>
      <c r="B173" s="67"/>
      <c r="C173" s="68"/>
      <c r="D173" s="68"/>
      <c r="E173" s="70"/>
      <c r="F173" s="71"/>
      <c r="G173" s="71"/>
      <c r="I173" s="16"/>
      <c r="J173" s="17"/>
      <c r="K173" s="18"/>
      <c r="L173" s="18"/>
    </row>
    <row r="174" spans="1:12" ht="35.1" customHeight="1" x14ac:dyDescent="0.3">
      <c r="A174" s="66"/>
      <c r="B174" s="67"/>
      <c r="C174" s="68"/>
      <c r="D174" s="68"/>
      <c r="E174" s="70"/>
      <c r="F174" s="71"/>
      <c r="G174" s="71"/>
      <c r="I174" s="16"/>
      <c r="J174" s="17"/>
      <c r="K174" s="18"/>
      <c r="L174" s="18"/>
    </row>
    <row r="175" spans="1:12" ht="35.1" customHeight="1" x14ac:dyDescent="0.3">
      <c r="A175" s="66"/>
      <c r="B175" s="67"/>
      <c r="C175" s="68"/>
      <c r="D175" s="68"/>
      <c r="E175" s="70"/>
      <c r="F175" s="71"/>
      <c r="G175" s="71"/>
      <c r="I175" s="16"/>
      <c r="J175" s="17"/>
      <c r="K175" s="18"/>
      <c r="L175" s="18"/>
    </row>
    <row r="176" spans="1:12" ht="35.1" customHeight="1" x14ac:dyDescent="0.3">
      <c r="A176" s="66"/>
      <c r="B176" s="67"/>
      <c r="C176" s="68"/>
      <c r="D176" s="68"/>
      <c r="E176" s="70"/>
      <c r="F176" s="71"/>
      <c r="G176" s="71"/>
      <c r="I176" s="16"/>
      <c r="J176" s="17"/>
      <c r="K176" s="18"/>
      <c r="L176" s="18"/>
    </row>
    <row r="177" spans="1:12" ht="35.1" customHeight="1" x14ac:dyDescent="0.3">
      <c r="A177" s="66"/>
      <c r="B177" s="67"/>
      <c r="C177" s="68"/>
      <c r="D177" s="68"/>
      <c r="E177" s="70"/>
      <c r="F177" s="71"/>
      <c r="G177" s="71"/>
      <c r="I177" s="16"/>
      <c r="J177" s="17"/>
      <c r="K177" s="18"/>
      <c r="L177" s="18"/>
    </row>
    <row r="178" spans="1:12" ht="35.1" customHeight="1" x14ac:dyDescent="0.3">
      <c r="A178" s="66"/>
      <c r="B178" s="67"/>
      <c r="C178" s="68"/>
      <c r="D178" s="68"/>
      <c r="E178" s="70"/>
      <c r="F178" s="71"/>
      <c r="G178" s="71"/>
      <c r="I178" s="16"/>
      <c r="J178" s="17"/>
      <c r="K178" s="18"/>
      <c r="L178" s="18"/>
    </row>
    <row r="179" spans="1:12" ht="35.1" customHeight="1" x14ac:dyDescent="0.3">
      <c r="A179" s="66"/>
      <c r="B179" s="67"/>
      <c r="C179" s="68"/>
      <c r="D179" s="68"/>
      <c r="E179" s="70"/>
      <c r="F179" s="71"/>
      <c r="G179" s="71"/>
      <c r="I179" s="16"/>
      <c r="J179" s="17"/>
      <c r="K179" s="18"/>
      <c r="L179" s="18"/>
    </row>
    <row r="180" spans="1:12" ht="35.1" customHeight="1" x14ac:dyDescent="0.3">
      <c r="A180" s="66"/>
      <c r="B180" s="67"/>
      <c r="C180" s="68"/>
      <c r="D180" s="68"/>
      <c r="E180" s="70"/>
      <c r="F180" s="71"/>
      <c r="G180" s="71"/>
      <c r="I180" s="16"/>
      <c r="J180" s="17"/>
      <c r="K180" s="18"/>
      <c r="L180" s="18"/>
    </row>
    <row r="181" spans="1:12" ht="35.1" customHeight="1" x14ac:dyDescent="0.3">
      <c r="A181" s="66"/>
      <c r="B181" s="67"/>
      <c r="C181" s="68"/>
      <c r="D181" s="68"/>
      <c r="E181" s="70"/>
      <c r="F181" s="71"/>
      <c r="G181" s="71"/>
      <c r="I181" s="16"/>
      <c r="J181" s="17"/>
      <c r="K181" s="18"/>
      <c r="L181" s="18"/>
    </row>
    <row r="182" spans="1:12" ht="35.1" customHeight="1" x14ac:dyDescent="0.3">
      <c r="A182" s="66"/>
      <c r="B182" s="67"/>
      <c r="C182" s="68"/>
      <c r="D182" s="68"/>
      <c r="E182" s="70"/>
      <c r="F182" s="71"/>
      <c r="G182" s="71"/>
      <c r="I182" s="16"/>
      <c r="J182" s="17"/>
      <c r="K182" s="18"/>
      <c r="L182" s="18"/>
    </row>
    <row r="183" spans="1:12" ht="35.1" customHeight="1" x14ac:dyDescent="0.3">
      <c r="A183" s="66"/>
      <c r="B183" s="67"/>
      <c r="C183" s="68"/>
      <c r="D183" s="68"/>
      <c r="E183" s="70"/>
      <c r="F183" s="71"/>
      <c r="G183" s="71"/>
      <c r="I183" s="16"/>
      <c r="J183" s="17"/>
      <c r="K183" s="18"/>
      <c r="L183" s="18"/>
    </row>
    <row r="184" spans="1:12" ht="35.1" customHeight="1" x14ac:dyDescent="0.3">
      <c r="A184" s="66"/>
      <c r="B184" s="67"/>
      <c r="C184" s="68"/>
      <c r="D184" s="68"/>
      <c r="E184" s="70"/>
      <c r="F184" s="71"/>
      <c r="G184" s="71"/>
      <c r="I184" s="16"/>
      <c r="J184" s="17"/>
      <c r="K184" s="18"/>
      <c r="L184" s="18"/>
    </row>
    <row r="185" spans="1:12" ht="35.1" customHeight="1" x14ac:dyDescent="0.3">
      <c r="A185" s="66"/>
      <c r="B185" s="67"/>
      <c r="C185" s="68"/>
      <c r="D185" s="68"/>
      <c r="E185" s="70"/>
      <c r="F185" s="71"/>
      <c r="G185" s="71"/>
      <c r="I185" s="16"/>
      <c r="J185" s="17"/>
      <c r="K185" s="18"/>
      <c r="L185" s="18"/>
    </row>
    <row r="186" spans="1:12" ht="35.1" customHeight="1" x14ac:dyDescent="0.3">
      <c r="A186" s="66"/>
      <c r="B186" s="67"/>
      <c r="C186" s="68"/>
      <c r="D186" s="68"/>
      <c r="E186" s="70"/>
      <c r="F186" s="71"/>
      <c r="G186" s="71"/>
      <c r="I186" s="16"/>
      <c r="J186" s="17"/>
      <c r="K186" s="18"/>
      <c r="L186" s="18"/>
    </row>
    <row r="187" spans="1:12" ht="35.1" customHeight="1" x14ac:dyDescent="0.3">
      <c r="A187" s="66"/>
      <c r="B187" s="67"/>
      <c r="C187" s="68"/>
      <c r="D187" s="68"/>
      <c r="E187" s="70"/>
      <c r="F187" s="71"/>
      <c r="G187" s="71"/>
      <c r="I187" s="16"/>
      <c r="J187" s="17"/>
      <c r="K187" s="18"/>
      <c r="L187" s="18"/>
    </row>
    <row r="188" spans="1:12" ht="35.1" customHeight="1" x14ac:dyDescent="0.3">
      <c r="A188" s="66"/>
      <c r="B188" s="67"/>
      <c r="C188" s="68"/>
      <c r="D188" s="68"/>
      <c r="E188" s="70"/>
      <c r="F188" s="71"/>
      <c r="G188" s="71"/>
      <c r="I188" s="16"/>
      <c r="J188" s="17"/>
      <c r="K188" s="18"/>
      <c r="L188" s="18"/>
    </row>
    <row r="189" spans="1:12" ht="35.1" customHeight="1" x14ac:dyDescent="0.3">
      <c r="A189" s="66"/>
      <c r="B189" s="67"/>
      <c r="C189" s="68"/>
      <c r="D189" s="68"/>
      <c r="E189" s="70"/>
      <c r="F189" s="71"/>
      <c r="G189" s="71"/>
      <c r="I189" s="16"/>
      <c r="J189" s="17"/>
      <c r="K189" s="18"/>
      <c r="L189" s="18"/>
    </row>
    <row r="190" spans="1:12" ht="35.1" customHeight="1" x14ac:dyDescent="0.3">
      <c r="A190" s="66"/>
      <c r="B190" s="67"/>
      <c r="C190" s="68"/>
      <c r="D190" s="68"/>
      <c r="E190" s="70"/>
      <c r="F190" s="71"/>
      <c r="G190" s="71"/>
      <c r="I190" s="16"/>
      <c r="J190" s="17"/>
      <c r="K190" s="18"/>
      <c r="L190" s="18"/>
    </row>
    <row r="191" spans="1:12" ht="35.1" customHeight="1" x14ac:dyDescent="0.3">
      <c r="A191" s="66"/>
      <c r="B191" s="67"/>
      <c r="C191" s="68"/>
      <c r="D191" s="68"/>
      <c r="E191" s="70"/>
      <c r="F191" s="71"/>
      <c r="G191" s="71"/>
      <c r="I191" s="16"/>
      <c r="J191" s="17"/>
      <c r="K191" s="18"/>
      <c r="L191" s="18"/>
    </row>
    <row r="192" spans="1:12" ht="35.1" customHeight="1" x14ac:dyDescent="0.3">
      <c r="A192" s="66"/>
      <c r="B192" s="67"/>
      <c r="C192" s="68"/>
      <c r="D192" s="68"/>
      <c r="E192" s="70"/>
      <c r="F192" s="71"/>
      <c r="G192" s="71"/>
      <c r="I192" s="16"/>
      <c r="J192" s="17"/>
      <c r="K192" s="18"/>
      <c r="L192" s="18"/>
    </row>
    <row r="193" spans="1:12" ht="35.1" customHeight="1" x14ac:dyDescent="0.3">
      <c r="A193" s="66"/>
      <c r="B193" s="67"/>
      <c r="C193" s="68"/>
      <c r="D193" s="68"/>
      <c r="E193" s="70"/>
      <c r="F193" s="71"/>
      <c r="G193" s="71"/>
      <c r="I193" s="16"/>
      <c r="J193" s="17"/>
      <c r="K193" s="18"/>
      <c r="L193" s="18"/>
    </row>
    <row r="194" spans="1:12" ht="35.1" customHeight="1" x14ac:dyDescent="0.3">
      <c r="A194" s="66"/>
      <c r="B194" s="67"/>
      <c r="C194" s="68"/>
      <c r="D194" s="68"/>
      <c r="E194" s="70"/>
      <c r="F194" s="71"/>
      <c r="G194" s="71"/>
      <c r="I194" s="16"/>
      <c r="J194" s="17"/>
      <c r="K194" s="18"/>
      <c r="L194" s="18"/>
    </row>
    <row r="195" spans="1:12" ht="35.1" customHeight="1" x14ac:dyDescent="0.3">
      <c r="A195" s="66"/>
      <c r="B195" s="67"/>
      <c r="C195" s="68"/>
      <c r="D195" s="68"/>
      <c r="E195" s="70"/>
      <c r="F195" s="71"/>
      <c r="G195" s="71"/>
      <c r="I195" s="16"/>
      <c r="J195" s="17"/>
      <c r="K195" s="18"/>
      <c r="L195" s="18"/>
    </row>
    <row r="196" spans="1:12" ht="35.1" customHeight="1" x14ac:dyDescent="0.3">
      <c r="A196" s="66"/>
      <c r="B196" s="67"/>
      <c r="C196" s="68"/>
      <c r="D196" s="68"/>
      <c r="E196" s="70"/>
      <c r="F196" s="71"/>
      <c r="G196" s="71"/>
      <c r="I196" s="16"/>
      <c r="J196" s="17"/>
      <c r="K196" s="18"/>
      <c r="L196" s="18"/>
    </row>
    <row r="197" spans="1:12" ht="35.1" customHeight="1" x14ac:dyDescent="0.3">
      <c r="A197" s="66"/>
      <c r="B197" s="67"/>
      <c r="C197" s="68"/>
      <c r="D197" s="68"/>
      <c r="E197" s="70"/>
      <c r="F197" s="71"/>
      <c r="G197" s="71"/>
      <c r="I197" s="16"/>
      <c r="J197" s="17"/>
      <c r="K197" s="18"/>
      <c r="L197" s="18"/>
    </row>
    <row r="198" spans="1:12" ht="35.1" customHeight="1" x14ac:dyDescent="0.3">
      <c r="A198" s="66"/>
      <c r="B198" s="67"/>
      <c r="C198" s="68"/>
      <c r="D198" s="68"/>
      <c r="E198" s="70"/>
      <c r="F198" s="71"/>
      <c r="G198" s="71"/>
      <c r="I198" s="16"/>
      <c r="J198" s="17"/>
      <c r="K198" s="18"/>
      <c r="L198" s="18"/>
    </row>
    <row r="199" spans="1:12" ht="35.1" customHeight="1" x14ac:dyDescent="0.3">
      <c r="A199" s="66"/>
      <c r="B199" s="67"/>
      <c r="C199" s="68"/>
      <c r="D199" s="68"/>
      <c r="E199" s="70"/>
      <c r="F199" s="71"/>
      <c r="G199" s="71"/>
      <c r="I199" s="16"/>
      <c r="J199" s="17"/>
      <c r="K199" s="18"/>
      <c r="L199" s="18"/>
    </row>
    <row r="200" spans="1:12" ht="35.1" customHeight="1" x14ac:dyDescent="0.3">
      <c r="A200" s="66"/>
      <c r="B200" s="67"/>
      <c r="C200" s="68"/>
      <c r="D200" s="68"/>
      <c r="E200" s="70"/>
      <c r="F200" s="71"/>
      <c r="G200" s="71"/>
      <c r="I200" s="16"/>
      <c r="J200" s="17"/>
      <c r="K200" s="18"/>
      <c r="L200" s="18"/>
    </row>
    <row r="201" spans="1:12" ht="35.1" customHeight="1" x14ac:dyDescent="0.3">
      <c r="A201" s="66"/>
      <c r="B201" s="67"/>
      <c r="C201" s="68"/>
      <c r="D201" s="68"/>
      <c r="E201" s="70"/>
      <c r="F201" s="71"/>
      <c r="G201" s="71"/>
      <c r="I201" s="16"/>
      <c r="J201" s="17"/>
      <c r="K201" s="18"/>
      <c r="L201" s="18"/>
    </row>
    <row r="202" spans="1:12" ht="35.1" customHeight="1" x14ac:dyDescent="0.3">
      <c r="A202" s="66"/>
      <c r="B202" s="67"/>
      <c r="C202" s="68"/>
      <c r="D202" s="68"/>
      <c r="E202" s="70"/>
      <c r="F202" s="71"/>
      <c r="G202" s="71"/>
      <c r="I202" s="16"/>
      <c r="J202" s="17"/>
      <c r="K202" s="18"/>
      <c r="L202" s="18"/>
    </row>
    <row r="203" spans="1:12" ht="35.1" customHeight="1" x14ac:dyDescent="0.3">
      <c r="A203" s="66"/>
      <c r="B203" s="67"/>
      <c r="C203" s="68"/>
      <c r="D203" s="68"/>
      <c r="E203" s="70"/>
      <c r="F203" s="71"/>
      <c r="G203" s="71"/>
      <c r="I203" s="16"/>
      <c r="J203" s="17"/>
      <c r="K203" s="18"/>
      <c r="L203" s="18"/>
    </row>
    <row r="204" spans="1:12" ht="35.1" customHeight="1" x14ac:dyDescent="0.3">
      <c r="A204" s="66"/>
      <c r="B204" s="67"/>
      <c r="C204" s="68"/>
      <c r="D204" s="68"/>
      <c r="E204" s="70"/>
      <c r="F204" s="71"/>
      <c r="G204" s="71"/>
      <c r="I204" s="16"/>
      <c r="J204" s="17"/>
      <c r="K204" s="18"/>
      <c r="L204" s="18"/>
    </row>
    <row r="205" spans="1:12" ht="35.1" customHeight="1" x14ac:dyDescent="0.3">
      <c r="A205" s="66"/>
      <c r="B205" s="67"/>
      <c r="C205" s="68"/>
      <c r="D205" s="68"/>
      <c r="E205" s="70"/>
      <c r="F205" s="71"/>
      <c r="G205" s="71"/>
      <c r="I205" s="16"/>
      <c r="J205" s="17"/>
      <c r="K205" s="18"/>
      <c r="L205" s="18"/>
    </row>
    <row r="206" spans="1:12" ht="35.1" customHeight="1" x14ac:dyDescent="0.3">
      <c r="A206" s="66"/>
      <c r="B206" s="67"/>
      <c r="C206" s="68"/>
      <c r="D206" s="68"/>
      <c r="E206" s="70"/>
      <c r="F206" s="71"/>
      <c r="G206" s="71"/>
      <c r="I206" s="16"/>
      <c r="J206" s="17"/>
      <c r="K206" s="18"/>
      <c r="L206" s="18"/>
    </row>
    <row r="207" spans="1:12" ht="35.1" customHeight="1" x14ac:dyDescent="0.3">
      <c r="A207" s="72"/>
      <c r="B207" s="68"/>
      <c r="C207" s="73"/>
      <c r="D207" s="69"/>
      <c r="E207" s="70"/>
      <c r="F207" s="71"/>
      <c r="G207" s="71"/>
      <c r="I207" s="16"/>
      <c r="J207" s="17"/>
      <c r="K207" s="18"/>
      <c r="L207" s="18"/>
    </row>
    <row r="208" spans="1:12" ht="35.1" customHeight="1" x14ac:dyDescent="0.3">
      <c r="A208" s="72"/>
      <c r="B208" s="68"/>
      <c r="C208" s="73"/>
      <c r="D208" s="69"/>
      <c r="E208" s="70"/>
      <c r="F208" s="71"/>
      <c r="G208" s="71"/>
      <c r="I208" s="16"/>
      <c r="J208" s="17"/>
      <c r="K208" s="18"/>
      <c r="L208" s="18"/>
    </row>
    <row r="209" spans="1:12" ht="35.1" customHeight="1" x14ac:dyDescent="0.3">
      <c r="A209" s="72"/>
      <c r="B209" s="68"/>
      <c r="C209" s="73"/>
      <c r="D209" s="69"/>
      <c r="E209" s="70"/>
      <c r="F209" s="71"/>
      <c r="G209" s="71"/>
      <c r="I209" s="16"/>
      <c r="J209" s="17"/>
      <c r="K209" s="18"/>
      <c r="L209" s="18"/>
    </row>
    <row r="210" spans="1:12" ht="35.1" customHeight="1" x14ac:dyDescent="0.3">
      <c r="A210" s="72"/>
      <c r="B210" s="68"/>
      <c r="C210" s="73"/>
      <c r="D210" s="69"/>
      <c r="E210" s="70"/>
      <c r="F210" s="71"/>
      <c r="G210" s="71"/>
      <c r="I210" s="16"/>
      <c r="J210" s="17"/>
      <c r="K210" s="18"/>
      <c r="L210" s="18"/>
    </row>
    <row r="211" spans="1:12" ht="35.1" customHeight="1" x14ac:dyDescent="0.3">
      <c r="A211" s="72"/>
      <c r="B211" s="68"/>
      <c r="C211" s="73"/>
      <c r="D211" s="69"/>
      <c r="E211" s="70"/>
      <c r="F211" s="71"/>
      <c r="G211" s="71"/>
      <c r="I211" s="16"/>
      <c r="J211" s="17"/>
      <c r="K211" s="18"/>
      <c r="L211" s="18"/>
    </row>
    <row r="212" spans="1:12" ht="35.1" customHeight="1" x14ac:dyDescent="0.3">
      <c r="A212" s="72"/>
      <c r="B212" s="68"/>
      <c r="C212" s="73"/>
      <c r="D212" s="69"/>
      <c r="E212" s="70"/>
      <c r="F212" s="71"/>
      <c r="G212" s="71"/>
      <c r="I212" s="16"/>
      <c r="J212" s="17"/>
      <c r="K212" s="18"/>
      <c r="L212" s="18"/>
    </row>
    <row r="213" spans="1:12" ht="35.1" customHeight="1" x14ac:dyDescent="0.3">
      <c r="A213" s="72"/>
      <c r="B213" s="68"/>
      <c r="C213" s="73"/>
      <c r="D213" s="69"/>
      <c r="E213" s="70"/>
      <c r="F213" s="71"/>
      <c r="G213" s="71"/>
      <c r="I213" s="16"/>
      <c r="J213" s="17"/>
      <c r="K213" s="18"/>
      <c r="L213" s="18"/>
    </row>
    <row r="214" spans="1:12" ht="35.1" customHeight="1" x14ac:dyDescent="0.3">
      <c r="A214" s="72"/>
      <c r="B214" s="68"/>
      <c r="C214" s="73"/>
      <c r="D214" s="69"/>
      <c r="E214" s="70"/>
      <c r="F214" s="71"/>
      <c r="G214" s="71"/>
      <c r="I214" s="16"/>
      <c r="J214" s="17"/>
      <c r="K214" s="18"/>
      <c r="L214" s="18"/>
    </row>
    <row r="215" spans="1:12" ht="35.1" customHeight="1" x14ac:dyDescent="0.3">
      <c r="A215" s="72"/>
      <c r="B215" s="68"/>
      <c r="C215" s="73"/>
      <c r="D215" s="69"/>
      <c r="E215" s="70"/>
      <c r="F215" s="71"/>
      <c r="G215" s="71"/>
      <c r="I215" s="16"/>
      <c r="J215" s="17"/>
      <c r="K215" s="18"/>
      <c r="L215" s="18"/>
    </row>
    <row r="216" spans="1:12" ht="35.1" customHeight="1" thickBot="1" x14ac:dyDescent="0.35">
      <c r="A216" s="74"/>
      <c r="B216" s="68"/>
      <c r="C216" s="73"/>
      <c r="D216" s="69"/>
      <c r="E216" s="70"/>
      <c r="F216" s="71"/>
      <c r="G216" s="71"/>
      <c r="I216" s="16"/>
      <c r="J216" s="17"/>
      <c r="K216" s="18"/>
      <c r="L216" s="18"/>
    </row>
    <row r="217" spans="1:12" ht="35.1" customHeight="1" x14ac:dyDescent="0.3">
      <c r="A217" s="75"/>
      <c r="B217" s="68"/>
      <c r="C217" s="73"/>
      <c r="D217" s="69"/>
      <c r="E217" s="70"/>
      <c r="F217" s="71"/>
      <c r="G217" s="71"/>
    </row>
    <row r="218" spans="1:12" ht="35.1" customHeight="1" x14ac:dyDescent="0.3">
      <c r="A218" s="75"/>
      <c r="B218" s="68"/>
      <c r="C218" s="73"/>
      <c r="D218" s="69"/>
      <c r="E218" s="67"/>
      <c r="F218" s="76"/>
      <c r="G218" s="76"/>
    </row>
    <row r="219" spans="1:12" ht="35.1" customHeight="1" x14ac:dyDescent="0.3">
      <c r="A219" s="75"/>
      <c r="B219" s="68"/>
      <c r="C219" s="73"/>
      <c r="D219" s="69"/>
      <c r="E219" s="67"/>
      <c r="F219" s="76"/>
      <c r="G219" s="76"/>
    </row>
    <row r="220" spans="1:12" ht="35.1" customHeight="1" x14ac:dyDescent="0.3">
      <c r="A220" s="75"/>
      <c r="B220" s="68"/>
      <c r="C220" s="73"/>
      <c r="D220" s="69"/>
      <c r="E220" s="67"/>
      <c r="F220" s="76"/>
      <c r="G220" s="76"/>
    </row>
    <row r="221" spans="1:12" ht="35.1" customHeight="1" x14ac:dyDescent="0.3">
      <c r="A221" s="75"/>
      <c r="B221" s="68"/>
      <c r="C221" s="73"/>
      <c r="D221" s="69"/>
      <c r="E221" s="67"/>
      <c r="F221" s="76"/>
      <c r="G221" s="76"/>
    </row>
    <row r="222" spans="1:12" ht="35.1" customHeight="1" x14ac:dyDescent="0.3">
      <c r="A222" s="75"/>
      <c r="B222" s="68"/>
      <c r="C222" s="73"/>
      <c r="D222" s="69"/>
      <c r="E222" s="67"/>
      <c r="F222" s="76"/>
      <c r="G222" s="76"/>
    </row>
    <row r="223" spans="1:12" ht="35.1" customHeight="1" x14ac:dyDescent="0.3">
      <c r="A223" s="75"/>
      <c r="B223" s="68"/>
      <c r="C223" s="73"/>
      <c r="D223" s="69"/>
      <c r="E223" s="67"/>
      <c r="F223" s="76"/>
      <c r="G223" s="76"/>
    </row>
    <row r="224" spans="1:12" ht="35.1" customHeight="1" x14ac:dyDescent="0.3">
      <c r="A224" s="75"/>
      <c r="B224" s="68"/>
      <c r="C224" s="73"/>
      <c r="D224" s="69"/>
      <c r="E224" s="67"/>
      <c r="F224" s="76"/>
      <c r="G224" s="76"/>
    </row>
    <row r="225" spans="1:7" ht="35.1" customHeight="1" x14ac:dyDescent="0.3">
      <c r="A225" s="75"/>
      <c r="B225" s="68"/>
      <c r="C225" s="73"/>
      <c r="D225" s="69"/>
      <c r="E225" s="67"/>
      <c r="F225" s="76"/>
      <c r="G225" s="76"/>
    </row>
    <row r="226" spans="1:7" ht="35.1" customHeight="1" x14ac:dyDescent="0.3">
      <c r="A226" s="75"/>
      <c r="B226" s="68"/>
      <c r="C226" s="73"/>
      <c r="D226" s="69"/>
      <c r="E226" s="67"/>
      <c r="F226" s="76"/>
      <c r="G226" s="76"/>
    </row>
    <row r="227" spans="1:7" ht="35.1" customHeight="1" x14ac:dyDescent="0.3">
      <c r="B227" s="67"/>
      <c r="C227" s="67"/>
      <c r="D227" s="67"/>
      <c r="E227" s="67"/>
      <c r="F227" s="76"/>
      <c r="G227" s="76"/>
    </row>
    <row r="228" spans="1:7" ht="35.1" customHeight="1" x14ac:dyDescent="0.3">
      <c r="B228" s="67"/>
      <c r="C228" s="67"/>
      <c r="D228" s="67"/>
      <c r="E228" s="67"/>
      <c r="F228" s="76"/>
      <c r="G228" s="76"/>
    </row>
    <row r="229" spans="1:7" ht="35.1" customHeight="1" x14ac:dyDescent="0.3">
      <c r="B229" s="67"/>
      <c r="C229" s="67"/>
      <c r="D229" s="67"/>
      <c r="E229" s="67"/>
      <c r="F229" s="76"/>
      <c r="G229" s="76"/>
    </row>
    <row r="230" spans="1:7" ht="35.1" customHeight="1" x14ac:dyDescent="0.3">
      <c r="B230" s="67"/>
      <c r="C230" s="67"/>
      <c r="D230" s="67"/>
      <c r="E230" s="67"/>
      <c r="F230" s="76"/>
      <c r="G230" s="76"/>
    </row>
    <row r="231" spans="1:7" ht="35.1" customHeight="1" x14ac:dyDescent="0.3">
      <c r="B231" s="67"/>
      <c r="C231" s="67"/>
      <c r="D231" s="67"/>
      <c r="E231" s="67"/>
      <c r="F231" s="76"/>
      <c r="G231" s="76"/>
    </row>
    <row r="232" spans="1:7" ht="35.1" customHeight="1" x14ac:dyDescent="0.3">
      <c r="B232" s="67"/>
      <c r="C232" s="67"/>
      <c r="D232" s="67"/>
      <c r="E232" s="67"/>
      <c r="F232" s="76"/>
      <c r="G232" s="76"/>
    </row>
    <row r="233" spans="1:7" ht="35.1" customHeight="1" x14ac:dyDescent="0.3">
      <c r="B233" s="67"/>
      <c r="C233" s="67"/>
      <c r="D233" s="67"/>
      <c r="E233" s="67"/>
      <c r="F233" s="76"/>
      <c r="G233" s="76"/>
    </row>
    <row r="234" spans="1:7" ht="35.1" customHeight="1" x14ac:dyDescent="0.3">
      <c r="B234" s="67"/>
      <c r="C234" s="67"/>
      <c r="D234" s="67"/>
      <c r="E234" s="67"/>
      <c r="F234" s="76"/>
      <c r="G234" s="76"/>
    </row>
    <row r="235" spans="1:7" ht="35.1" customHeight="1" x14ac:dyDescent="0.3">
      <c r="B235" s="67"/>
      <c r="C235" s="67"/>
      <c r="D235" s="67"/>
      <c r="E235" s="67"/>
      <c r="F235" s="76"/>
      <c r="G235" s="76"/>
    </row>
    <row r="236" spans="1:7" ht="35.1" customHeight="1" x14ac:dyDescent="0.3">
      <c r="B236" s="67"/>
      <c r="C236" s="67"/>
      <c r="D236" s="67"/>
      <c r="E236" s="67"/>
      <c r="F236" s="76"/>
      <c r="G236" s="76"/>
    </row>
    <row r="237" spans="1:7" ht="35.1" customHeight="1" x14ac:dyDescent="0.3">
      <c r="B237" s="67"/>
      <c r="C237" s="67"/>
      <c r="D237" s="67"/>
      <c r="E237" s="67"/>
      <c r="F237" s="76"/>
      <c r="G237" s="76"/>
    </row>
    <row r="238" spans="1:7" ht="35.1" customHeight="1" x14ac:dyDescent="0.3">
      <c r="B238" s="67"/>
      <c r="C238" s="67"/>
      <c r="D238" s="67"/>
      <c r="E238" s="67"/>
      <c r="F238" s="76"/>
      <c r="G238" s="76"/>
    </row>
    <row r="239" spans="1:7" ht="35.1" customHeight="1" x14ac:dyDescent="0.3">
      <c r="B239" s="67"/>
      <c r="C239" s="67"/>
      <c r="D239" s="67"/>
      <c r="E239" s="67"/>
      <c r="F239" s="76"/>
      <c r="G239" s="76"/>
    </row>
    <row r="240" spans="1:7" ht="35.1" customHeight="1" x14ac:dyDescent="0.3">
      <c r="B240" s="67"/>
      <c r="C240" s="67"/>
      <c r="D240" s="67"/>
      <c r="E240" s="67"/>
      <c r="F240" s="76"/>
      <c r="G240" s="76"/>
    </row>
    <row r="241" spans="2:7" ht="35.1" customHeight="1" x14ac:dyDescent="0.3">
      <c r="B241" s="67"/>
      <c r="C241" s="67"/>
      <c r="D241" s="67"/>
      <c r="E241" s="67"/>
      <c r="F241" s="76"/>
      <c r="G241" s="76"/>
    </row>
    <row r="242" spans="2:7" ht="35.1" customHeight="1" x14ac:dyDescent="0.3">
      <c r="B242" s="67"/>
      <c r="C242" s="67"/>
      <c r="D242" s="67"/>
      <c r="E242" s="67"/>
      <c r="F242" s="76"/>
      <c r="G242" s="76"/>
    </row>
    <row r="243" spans="2:7" ht="35.1" customHeight="1" x14ac:dyDescent="0.3">
      <c r="B243" s="67"/>
      <c r="C243" s="67"/>
      <c r="D243" s="67"/>
      <c r="E243" s="67"/>
      <c r="F243" s="76"/>
      <c r="G243" s="76"/>
    </row>
    <row r="244" spans="2:7" ht="35.1" customHeight="1" x14ac:dyDescent="0.3">
      <c r="B244" s="67"/>
      <c r="C244" s="67"/>
      <c r="D244" s="67"/>
      <c r="E244" s="67"/>
      <c r="F244" s="76"/>
      <c r="G244" s="76"/>
    </row>
    <row r="245" spans="2:7" ht="35.1" customHeight="1" x14ac:dyDescent="0.3">
      <c r="B245" s="67"/>
      <c r="C245" s="67"/>
      <c r="D245" s="67"/>
      <c r="E245" s="67"/>
      <c r="F245" s="76"/>
      <c r="G245" s="76"/>
    </row>
    <row r="246" spans="2:7" ht="35.1" customHeight="1" x14ac:dyDescent="0.3">
      <c r="B246" s="67"/>
      <c r="C246" s="67"/>
      <c r="D246" s="67"/>
      <c r="E246" s="67"/>
      <c r="F246" s="76"/>
      <c r="G246" s="76"/>
    </row>
    <row r="247" spans="2:7" ht="35.1" customHeight="1" x14ac:dyDescent="0.3">
      <c r="B247" s="67"/>
      <c r="C247" s="67"/>
      <c r="D247" s="67"/>
      <c r="E247" s="67"/>
      <c r="F247" s="76"/>
      <c r="G247" s="76"/>
    </row>
    <row r="248" spans="2:7" ht="35.1" customHeight="1" x14ac:dyDescent="0.3">
      <c r="B248" s="67"/>
      <c r="C248" s="67"/>
      <c r="D248" s="67"/>
      <c r="E248" s="67"/>
      <c r="F248" s="76"/>
      <c r="G248" s="76"/>
    </row>
    <row r="249" spans="2:7" ht="35.1" customHeight="1" x14ac:dyDescent="0.3">
      <c r="B249" s="67"/>
      <c r="C249" s="67"/>
      <c r="D249" s="67"/>
      <c r="E249" s="67"/>
      <c r="F249" s="76"/>
      <c r="G249" s="76"/>
    </row>
    <row r="250" spans="2:7" ht="35.1" customHeight="1" x14ac:dyDescent="0.3">
      <c r="B250" s="67"/>
      <c r="C250" s="67"/>
      <c r="D250" s="67"/>
      <c r="E250" s="67"/>
      <c r="F250" s="76"/>
      <c r="G250" s="76"/>
    </row>
    <row r="251" spans="2:7" ht="35.1" customHeight="1" x14ac:dyDescent="0.3">
      <c r="B251" s="67"/>
      <c r="C251" s="67"/>
      <c r="D251" s="67"/>
      <c r="E251" s="67"/>
      <c r="F251" s="76"/>
      <c r="G251" s="76"/>
    </row>
    <row r="252" spans="2:7" ht="35.1" customHeight="1" x14ac:dyDescent="0.3">
      <c r="B252" s="67"/>
      <c r="C252" s="67"/>
      <c r="D252" s="67"/>
      <c r="E252" s="67"/>
      <c r="F252" s="76"/>
      <c r="G252" s="76"/>
    </row>
    <row r="253" spans="2:7" ht="35.1" customHeight="1" x14ac:dyDescent="0.3">
      <c r="B253" s="67"/>
      <c r="C253" s="67"/>
      <c r="D253" s="67"/>
      <c r="E253" s="67"/>
      <c r="F253" s="76"/>
      <c r="G253" s="76"/>
    </row>
    <row r="254" spans="2:7" ht="35.1" customHeight="1" x14ac:dyDescent="0.3">
      <c r="B254" s="67"/>
      <c r="C254" s="67"/>
      <c r="D254" s="67"/>
      <c r="E254" s="67"/>
      <c r="F254" s="76"/>
      <c r="G254" s="76"/>
    </row>
    <row r="255" spans="2:7" ht="35.1" customHeight="1" x14ac:dyDescent="0.3">
      <c r="B255" s="67"/>
      <c r="C255" s="67"/>
      <c r="D255" s="67"/>
      <c r="E255" s="67"/>
      <c r="F255" s="76"/>
      <c r="G255" s="76"/>
    </row>
    <row r="256" spans="2:7" ht="35.1" customHeight="1" x14ac:dyDescent="0.3">
      <c r="B256" s="67"/>
      <c r="C256" s="67"/>
      <c r="D256" s="67"/>
      <c r="E256" s="67"/>
      <c r="F256" s="76"/>
      <c r="G256" s="76"/>
    </row>
    <row r="257" spans="2:7" ht="35.1" customHeight="1" x14ac:dyDescent="0.3">
      <c r="B257" s="67"/>
      <c r="C257" s="67"/>
      <c r="D257" s="67"/>
      <c r="E257" s="67"/>
      <c r="F257" s="76"/>
      <c r="G257" s="76"/>
    </row>
    <row r="258" spans="2:7" ht="35.1" customHeight="1" x14ac:dyDescent="0.3">
      <c r="B258" s="67"/>
      <c r="C258" s="67"/>
      <c r="D258" s="67"/>
      <c r="E258" s="67"/>
      <c r="F258" s="76"/>
      <c r="G258" s="76"/>
    </row>
    <row r="259" spans="2:7" ht="35.1" customHeight="1" x14ac:dyDescent="0.3">
      <c r="B259" s="67"/>
      <c r="C259" s="67"/>
      <c r="D259" s="67"/>
      <c r="E259" s="67"/>
      <c r="F259" s="76"/>
      <c r="G259" s="76"/>
    </row>
    <row r="260" spans="2:7" ht="35.1" customHeight="1" x14ac:dyDescent="0.3">
      <c r="B260" s="67"/>
      <c r="C260" s="67"/>
      <c r="D260" s="67"/>
      <c r="E260" s="67"/>
      <c r="F260" s="76"/>
      <c r="G260" s="76"/>
    </row>
    <row r="261" spans="2:7" ht="35.1" customHeight="1" x14ac:dyDescent="0.3">
      <c r="B261" s="67"/>
      <c r="C261" s="67"/>
      <c r="D261" s="67"/>
      <c r="E261" s="67"/>
      <c r="F261" s="76"/>
      <c r="G261" s="76"/>
    </row>
    <row r="262" spans="2:7" ht="35.1" customHeight="1" x14ac:dyDescent="0.3">
      <c r="B262" s="67"/>
      <c r="C262" s="67"/>
      <c r="D262" s="67"/>
      <c r="E262" s="67"/>
      <c r="F262" s="76"/>
      <c r="G262" s="76"/>
    </row>
    <row r="263" spans="2:7" ht="35.1" customHeight="1" x14ac:dyDescent="0.3">
      <c r="B263" s="67"/>
      <c r="C263" s="67"/>
      <c r="D263" s="67"/>
      <c r="E263" s="67"/>
      <c r="F263" s="76"/>
      <c r="G263" s="76"/>
    </row>
    <row r="264" spans="2:7" ht="35.1" customHeight="1" x14ac:dyDescent="0.3">
      <c r="B264" s="67"/>
      <c r="C264" s="67"/>
      <c r="D264" s="67"/>
      <c r="E264" s="67"/>
      <c r="F264" s="76"/>
      <c r="G264" s="76"/>
    </row>
    <row r="265" spans="2:7" ht="35.1" customHeight="1" x14ac:dyDescent="0.3">
      <c r="B265" s="67"/>
      <c r="C265" s="67"/>
      <c r="D265" s="67"/>
      <c r="E265" s="67"/>
      <c r="F265" s="76"/>
      <c r="G265" s="76"/>
    </row>
    <row r="266" spans="2:7" ht="35.1" customHeight="1" x14ac:dyDescent="0.3">
      <c r="B266" s="67"/>
      <c r="C266" s="67"/>
      <c r="D266" s="67"/>
      <c r="E266" s="67"/>
      <c r="F266" s="76"/>
      <c r="G266" s="76"/>
    </row>
    <row r="267" spans="2:7" ht="35.1" customHeight="1" x14ac:dyDescent="0.3">
      <c r="B267" s="67"/>
      <c r="C267" s="67"/>
      <c r="D267" s="67"/>
      <c r="E267" s="67"/>
      <c r="F267" s="76"/>
      <c r="G267" s="76"/>
    </row>
    <row r="268" spans="2:7" ht="35.1" customHeight="1" x14ac:dyDescent="0.3">
      <c r="B268" s="67"/>
      <c r="C268" s="67"/>
      <c r="D268" s="67"/>
      <c r="E268" s="67"/>
      <c r="F268" s="76"/>
      <c r="G268" s="76"/>
    </row>
    <row r="269" spans="2:7" ht="35.1" customHeight="1" x14ac:dyDescent="0.3">
      <c r="B269" s="67"/>
      <c r="C269" s="67"/>
      <c r="D269" s="67"/>
      <c r="E269" s="67"/>
      <c r="F269" s="76"/>
      <c r="G269" s="76"/>
    </row>
    <row r="270" spans="2:7" ht="35.1" customHeight="1" x14ac:dyDescent="0.3">
      <c r="B270" s="67"/>
      <c r="C270" s="67"/>
      <c r="D270" s="67"/>
      <c r="E270" s="67"/>
      <c r="F270" s="76"/>
      <c r="G270" s="76"/>
    </row>
    <row r="271" spans="2:7" ht="35.1" customHeight="1" x14ac:dyDescent="0.3">
      <c r="B271" s="67"/>
      <c r="C271" s="67"/>
      <c r="D271" s="67"/>
      <c r="E271" s="67"/>
      <c r="F271" s="76"/>
      <c r="G271" s="76"/>
    </row>
    <row r="272" spans="2:7" ht="35.1" customHeight="1" x14ac:dyDescent="0.3">
      <c r="B272" s="67"/>
      <c r="C272" s="67"/>
      <c r="D272" s="67"/>
      <c r="E272" s="67"/>
      <c r="F272" s="76"/>
      <c r="G272" s="76"/>
    </row>
    <row r="273" spans="2:7" ht="35.1" customHeight="1" x14ac:dyDescent="0.3">
      <c r="B273" s="67"/>
      <c r="C273" s="67"/>
      <c r="D273" s="67"/>
      <c r="E273" s="67"/>
      <c r="F273" s="76"/>
      <c r="G273" s="76"/>
    </row>
    <row r="274" spans="2:7" ht="35.1" customHeight="1" x14ac:dyDescent="0.3">
      <c r="B274" s="67"/>
      <c r="C274" s="67"/>
      <c r="D274" s="67"/>
      <c r="E274" s="67"/>
      <c r="F274" s="76"/>
      <c r="G274" s="76"/>
    </row>
    <row r="275" spans="2:7" ht="35.1" customHeight="1" x14ac:dyDescent="0.3">
      <c r="B275" s="67"/>
      <c r="C275" s="67"/>
      <c r="D275" s="67"/>
      <c r="E275" s="67"/>
      <c r="F275" s="76"/>
      <c r="G275" s="76"/>
    </row>
    <row r="276" spans="2:7" ht="35.1" customHeight="1" x14ac:dyDescent="0.3">
      <c r="B276" s="67"/>
      <c r="C276" s="67"/>
      <c r="D276" s="67"/>
      <c r="E276" s="67"/>
      <c r="F276" s="76"/>
      <c r="G276" s="76"/>
    </row>
    <row r="277" spans="2:7" ht="35.1" customHeight="1" x14ac:dyDescent="0.3">
      <c r="B277" s="67"/>
      <c r="C277" s="67"/>
      <c r="D277" s="67"/>
      <c r="E277" s="67"/>
      <c r="F277" s="76"/>
      <c r="G277" s="76"/>
    </row>
    <row r="278" spans="2:7" ht="35.1" customHeight="1" x14ac:dyDescent="0.3">
      <c r="B278" s="67"/>
      <c r="C278" s="67"/>
      <c r="D278" s="67"/>
      <c r="E278" s="67"/>
      <c r="F278" s="76"/>
      <c r="G278" s="76"/>
    </row>
    <row r="279" spans="2:7" ht="35.1" customHeight="1" x14ac:dyDescent="0.3">
      <c r="B279" s="67"/>
      <c r="C279" s="67"/>
      <c r="D279" s="67"/>
      <c r="E279" s="67"/>
      <c r="F279" s="76"/>
      <c r="G279" s="76"/>
    </row>
    <row r="280" spans="2:7" ht="35.1" customHeight="1" x14ac:dyDescent="0.3">
      <c r="B280" s="67"/>
      <c r="C280" s="67"/>
      <c r="D280" s="67"/>
      <c r="E280" s="67"/>
      <c r="F280" s="76"/>
      <c r="G280" s="76"/>
    </row>
    <row r="281" spans="2:7" ht="35.1" customHeight="1" x14ac:dyDescent="0.3">
      <c r="B281" s="67"/>
      <c r="C281" s="67"/>
      <c r="D281" s="67"/>
      <c r="E281" s="67"/>
      <c r="F281" s="76"/>
      <c r="G281" s="76"/>
    </row>
    <row r="282" spans="2:7" ht="35.1" customHeight="1" x14ac:dyDescent="0.3">
      <c r="B282" s="67"/>
      <c r="C282" s="67"/>
      <c r="D282" s="67"/>
      <c r="E282" s="67"/>
      <c r="F282" s="76"/>
      <c r="G282" s="76"/>
    </row>
    <row r="283" spans="2:7" ht="35.1" customHeight="1" x14ac:dyDescent="0.3">
      <c r="B283" s="67"/>
      <c r="C283" s="67"/>
      <c r="D283" s="67"/>
      <c r="E283" s="67"/>
      <c r="F283" s="76"/>
      <c r="G283" s="76"/>
    </row>
    <row r="284" spans="2:7" ht="35.1" customHeight="1" x14ac:dyDescent="0.3">
      <c r="B284" s="67"/>
      <c r="C284" s="67"/>
      <c r="D284" s="67"/>
      <c r="E284" s="67"/>
      <c r="F284" s="76"/>
      <c r="G284" s="76"/>
    </row>
    <row r="285" spans="2:7" ht="35.1" customHeight="1" x14ac:dyDescent="0.3">
      <c r="B285" s="67"/>
      <c r="C285" s="67"/>
      <c r="D285" s="67"/>
      <c r="E285" s="67"/>
      <c r="F285" s="76"/>
      <c r="G285" s="76"/>
    </row>
    <row r="286" spans="2:7" ht="35.1" customHeight="1" x14ac:dyDescent="0.3">
      <c r="B286" s="67"/>
      <c r="C286" s="67"/>
      <c r="D286" s="67"/>
      <c r="E286" s="67"/>
      <c r="F286" s="76"/>
      <c r="G286" s="76"/>
    </row>
    <row r="287" spans="2:7" ht="35.1" customHeight="1" x14ac:dyDescent="0.3">
      <c r="B287" s="67"/>
      <c r="C287" s="67"/>
      <c r="D287" s="67"/>
      <c r="E287" s="67"/>
      <c r="F287" s="76"/>
      <c r="G287" s="76"/>
    </row>
    <row r="288" spans="2:7" ht="35.1" customHeight="1" x14ac:dyDescent="0.3">
      <c r="B288" s="67"/>
      <c r="C288" s="67"/>
      <c r="D288" s="67"/>
      <c r="E288" s="67"/>
      <c r="F288" s="76"/>
      <c r="G288" s="76"/>
    </row>
    <row r="289" spans="2:7" ht="35.1" customHeight="1" x14ac:dyDescent="0.3">
      <c r="B289" s="67"/>
      <c r="C289" s="67"/>
      <c r="D289" s="67"/>
      <c r="E289" s="67"/>
      <c r="F289" s="76"/>
      <c r="G289" s="76"/>
    </row>
    <row r="290" spans="2:7" ht="35.1" customHeight="1" x14ac:dyDescent="0.3">
      <c r="B290" s="67"/>
      <c r="C290" s="67"/>
      <c r="D290" s="67"/>
      <c r="E290" s="67"/>
      <c r="F290" s="76"/>
      <c r="G290" s="76"/>
    </row>
    <row r="291" spans="2:7" ht="35.1" customHeight="1" x14ac:dyDescent="0.3">
      <c r="B291" s="67"/>
      <c r="C291" s="67"/>
      <c r="D291" s="67"/>
      <c r="E291" s="67"/>
      <c r="F291" s="76"/>
      <c r="G291" s="76"/>
    </row>
    <row r="292" spans="2:7" ht="35.1" customHeight="1" x14ac:dyDescent="0.3">
      <c r="B292" s="67"/>
      <c r="C292" s="67"/>
      <c r="D292" s="67"/>
      <c r="E292" s="67"/>
      <c r="F292" s="76"/>
      <c r="G292" s="76"/>
    </row>
    <row r="293" spans="2:7" ht="35.1" customHeight="1" x14ac:dyDescent="0.3">
      <c r="B293" s="67"/>
      <c r="C293" s="67"/>
      <c r="D293" s="67"/>
      <c r="E293" s="67"/>
      <c r="F293" s="76"/>
      <c r="G293" s="76"/>
    </row>
    <row r="294" spans="2:7" ht="35.1" customHeight="1" x14ac:dyDescent="0.3">
      <c r="B294" s="67"/>
      <c r="C294" s="67"/>
      <c r="D294" s="67"/>
      <c r="E294" s="67"/>
      <c r="F294" s="76"/>
      <c r="G294" s="76"/>
    </row>
    <row r="295" spans="2:7" ht="35.1" customHeight="1" x14ac:dyDescent="0.3">
      <c r="B295" s="67"/>
      <c r="C295" s="67"/>
      <c r="D295" s="67"/>
      <c r="E295" s="67"/>
      <c r="F295" s="76"/>
      <c r="G295" s="76"/>
    </row>
    <row r="296" spans="2:7" ht="35.1" customHeight="1" x14ac:dyDescent="0.3">
      <c r="B296" s="67"/>
      <c r="C296" s="67"/>
      <c r="D296" s="67"/>
      <c r="E296" s="67"/>
      <c r="F296" s="76"/>
      <c r="G296" s="76"/>
    </row>
    <row r="297" spans="2:7" ht="35.1" customHeight="1" x14ac:dyDescent="0.3">
      <c r="B297" s="67"/>
      <c r="C297" s="67"/>
      <c r="D297" s="67"/>
      <c r="E297" s="67"/>
      <c r="F297" s="76"/>
      <c r="G297" s="76"/>
    </row>
    <row r="298" spans="2:7" ht="35.1" customHeight="1" x14ac:dyDescent="0.3">
      <c r="B298" s="67"/>
      <c r="C298" s="67"/>
      <c r="D298" s="67"/>
      <c r="E298" s="67"/>
      <c r="F298" s="76"/>
      <c r="G298" s="76"/>
    </row>
    <row r="299" spans="2:7" ht="35.1" customHeight="1" x14ac:dyDescent="0.3">
      <c r="B299" s="67"/>
      <c r="C299" s="67"/>
      <c r="D299" s="67"/>
      <c r="E299" s="67"/>
      <c r="F299" s="76"/>
      <c r="G299" s="76"/>
    </row>
    <row r="300" spans="2:7" ht="35.1" customHeight="1" x14ac:dyDescent="0.3">
      <c r="B300" s="67"/>
      <c r="C300" s="67"/>
      <c r="D300" s="67"/>
      <c r="E300" s="67"/>
      <c r="F300" s="76"/>
      <c r="G300" s="76"/>
    </row>
    <row r="301" spans="2:7" ht="35.1" customHeight="1" x14ac:dyDescent="0.3">
      <c r="B301" s="67"/>
      <c r="C301" s="67"/>
      <c r="D301" s="67"/>
      <c r="E301" s="67"/>
      <c r="F301" s="76"/>
      <c r="G301" s="76"/>
    </row>
    <row r="302" spans="2:7" ht="35.1" customHeight="1" x14ac:dyDescent="0.3">
      <c r="B302" s="67"/>
      <c r="C302" s="67"/>
      <c r="D302" s="67"/>
      <c r="E302" s="67"/>
      <c r="F302" s="76"/>
      <c r="G302" s="76"/>
    </row>
    <row r="303" spans="2:7" ht="35.1" customHeight="1" x14ac:dyDescent="0.3">
      <c r="B303" s="67"/>
      <c r="C303" s="67"/>
      <c r="D303" s="67"/>
      <c r="E303" s="67"/>
      <c r="F303" s="76"/>
      <c r="G303" s="76"/>
    </row>
    <row r="304" spans="2:7" ht="35.1" customHeight="1" x14ac:dyDescent="0.3">
      <c r="B304" s="67"/>
      <c r="C304" s="67"/>
      <c r="D304" s="67"/>
      <c r="E304" s="67"/>
      <c r="F304" s="76"/>
      <c r="G304" s="76"/>
    </row>
    <row r="305" spans="2:7" ht="35.1" customHeight="1" x14ac:dyDescent="0.3">
      <c r="B305" s="67"/>
      <c r="C305" s="67"/>
      <c r="D305" s="67"/>
      <c r="E305" s="67"/>
      <c r="F305" s="76"/>
      <c r="G305" s="76"/>
    </row>
    <row r="306" spans="2:7" ht="35.1" customHeight="1" x14ac:dyDescent="0.3">
      <c r="B306" s="67"/>
      <c r="C306" s="67"/>
      <c r="D306" s="67"/>
      <c r="E306" s="67"/>
      <c r="F306" s="76"/>
      <c r="G306" s="76"/>
    </row>
    <row r="307" spans="2:7" ht="35.1" customHeight="1" x14ac:dyDescent="0.3">
      <c r="B307" s="67"/>
      <c r="C307" s="67"/>
      <c r="D307" s="67"/>
      <c r="E307" s="67"/>
      <c r="F307" s="76"/>
      <c r="G307" s="76"/>
    </row>
    <row r="308" spans="2:7" ht="35.1" customHeight="1" x14ac:dyDescent="0.3">
      <c r="B308" s="67"/>
      <c r="C308" s="67"/>
      <c r="D308" s="67"/>
      <c r="E308" s="67"/>
      <c r="F308" s="76"/>
      <c r="G308" s="76"/>
    </row>
    <row r="309" spans="2:7" ht="35.1" customHeight="1" x14ac:dyDescent="0.3">
      <c r="B309" s="67"/>
      <c r="C309" s="67"/>
      <c r="D309" s="67"/>
      <c r="E309" s="67"/>
      <c r="F309" s="76"/>
      <c r="G309" s="76"/>
    </row>
    <row r="310" spans="2:7" ht="35.1" customHeight="1" x14ac:dyDescent="0.3">
      <c r="B310" s="67"/>
      <c r="C310" s="67"/>
      <c r="D310" s="67"/>
      <c r="E310" s="67"/>
      <c r="F310" s="76"/>
      <c r="G310" s="76"/>
    </row>
    <row r="311" spans="2:7" ht="35.1" customHeight="1" x14ac:dyDescent="0.3">
      <c r="B311" s="67"/>
      <c r="C311" s="67"/>
      <c r="D311" s="67"/>
      <c r="E311" s="67"/>
      <c r="F311" s="76"/>
      <c r="G311" s="76"/>
    </row>
    <row r="312" spans="2:7" ht="35.1" customHeight="1" x14ac:dyDescent="0.3">
      <c r="B312" s="67"/>
      <c r="C312" s="67"/>
      <c r="D312" s="67"/>
      <c r="E312" s="67"/>
      <c r="F312" s="76"/>
      <c r="G312" s="76"/>
    </row>
    <row r="313" spans="2:7" ht="35.1" customHeight="1" x14ac:dyDescent="0.3">
      <c r="B313" s="67"/>
      <c r="C313" s="67"/>
      <c r="D313" s="67"/>
      <c r="E313" s="67"/>
      <c r="F313" s="76"/>
      <c r="G313" s="76"/>
    </row>
    <row r="314" spans="2:7" ht="35.1" customHeight="1" x14ac:dyDescent="0.3">
      <c r="B314" s="67"/>
      <c r="C314" s="67"/>
      <c r="D314" s="67"/>
      <c r="E314" s="67"/>
      <c r="F314" s="76"/>
      <c r="G314" s="76"/>
    </row>
    <row r="315" spans="2:7" ht="35.1" customHeight="1" x14ac:dyDescent="0.3">
      <c r="B315" s="67"/>
      <c r="C315" s="67"/>
      <c r="D315" s="67"/>
      <c r="E315" s="67"/>
      <c r="F315" s="76"/>
      <c r="G315" s="76"/>
    </row>
    <row r="316" spans="2:7" ht="35.1" customHeight="1" x14ac:dyDescent="0.3">
      <c r="B316" s="67"/>
      <c r="C316" s="67"/>
      <c r="D316" s="67"/>
      <c r="E316" s="67"/>
      <c r="F316" s="76"/>
      <c r="G316" s="76"/>
    </row>
    <row r="317" spans="2:7" ht="35.1" customHeight="1" x14ac:dyDescent="0.3">
      <c r="B317" s="67"/>
      <c r="C317" s="67"/>
      <c r="D317" s="67"/>
      <c r="E317" s="67"/>
      <c r="F317" s="76"/>
      <c r="G317" s="76"/>
    </row>
    <row r="318" spans="2:7" ht="35.1" customHeight="1" x14ac:dyDescent="0.3">
      <c r="B318" s="67"/>
      <c r="C318" s="67"/>
      <c r="D318" s="67"/>
      <c r="E318" s="67"/>
      <c r="F318" s="76"/>
      <c r="G318" s="76"/>
    </row>
    <row r="319" spans="2:7" ht="35.1" customHeight="1" x14ac:dyDescent="0.3">
      <c r="B319" s="67"/>
      <c r="C319" s="67"/>
      <c r="D319" s="67"/>
      <c r="E319" s="67"/>
      <c r="F319" s="76"/>
      <c r="G319" s="76"/>
    </row>
    <row r="320" spans="2:7" ht="35.1" customHeight="1" x14ac:dyDescent="0.3">
      <c r="B320" s="67"/>
      <c r="C320" s="67"/>
      <c r="D320" s="67"/>
      <c r="E320" s="67"/>
      <c r="F320" s="76"/>
      <c r="G320" s="76"/>
    </row>
    <row r="321" spans="2:7" ht="35.1" customHeight="1" x14ac:dyDescent="0.3">
      <c r="B321" s="67"/>
      <c r="C321" s="67"/>
      <c r="D321" s="67"/>
      <c r="E321" s="67"/>
      <c r="F321" s="76"/>
      <c r="G321" s="76"/>
    </row>
    <row r="322" spans="2:7" ht="35.1" customHeight="1" x14ac:dyDescent="0.3">
      <c r="B322" s="67"/>
      <c r="C322" s="67"/>
      <c r="D322" s="67"/>
      <c r="E322" s="67"/>
      <c r="F322" s="76"/>
      <c r="G322" s="76"/>
    </row>
    <row r="323" spans="2:7" ht="35.1" customHeight="1" x14ac:dyDescent="0.3">
      <c r="B323" s="67"/>
      <c r="C323" s="67"/>
      <c r="D323" s="67"/>
      <c r="E323" s="67"/>
      <c r="F323" s="76"/>
      <c r="G323" s="76"/>
    </row>
    <row r="324" spans="2:7" ht="35.1" customHeight="1" x14ac:dyDescent="0.3">
      <c r="B324" s="67"/>
      <c r="C324" s="67"/>
      <c r="D324" s="67"/>
      <c r="E324" s="67"/>
      <c r="F324" s="76"/>
      <c r="G324" s="76"/>
    </row>
    <row r="325" spans="2:7" ht="35.1" customHeight="1" x14ac:dyDescent="0.3">
      <c r="B325" s="67"/>
      <c r="C325" s="67"/>
      <c r="D325" s="67"/>
      <c r="E325" s="67"/>
      <c r="F325" s="76"/>
      <c r="G325" s="76"/>
    </row>
    <row r="326" spans="2:7" ht="35.1" customHeight="1" x14ac:dyDescent="0.3">
      <c r="B326" s="67"/>
      <c r="C326" s="67"/>
      <c r="D326" s="67"/>
      <c r="E326" s="67"/>
      <c r="F326" s="76"/>
      <c r="G326" s="76"/>
    </row>
    <row r="327" spans="2:7" ht="35.1" customHeight="1" x14ac:dyDescent="0.3">
      <c r="B327" s="67"/>
      <c r="C327" s="67"/>
      <c r="D327" s="67"/>
      <c r="E327" s="67"/>
      <c r="F327" s="76"/>
      <c r="G327" s="76"/>
    </row>
    <row r="328" spans="2:7" ht="35.1" customHeight="1" x14ac:dyDescent="0.3">
      <c r="B328" s="67"/>
      <c r="C328" s="67"/>
      <c r="D328" s="67"/>
      <c r="E328" s="67"/>
      <c r="F328" s="76"/>
      <c r="G328" s="76"/>
    </row>
    <row r="329" spans="2:7" ht="35.1" customHeight="1" x14ac:dyDescent="0.3">
      <c r="B329" s="67"/>
      <c r="C329" s="67"/>
      <c r="D329" s="67"/>
      <c r="E329" s="67"/>
      <c r="F329" s="76"/>
      <c r="G329" s="76"/>
    </row>
    <row r="330" spans="2:7" ht="35.1" customHeight="1" x14ac:dyDescent="0.3">
      <c r="B330" s="67"/>
      <c r="C330" s="67"/>
      <c r="D330" s="67"/>
      <c r="E330" s="67"/>
      <c r="F330" s="76"/>
      <c r="G330" s="76"/>
    </row>
    <row r="331" spans="2:7" ht="35.1" customHeight="1" x14ac:dyDescent="0.3">
      <c r="B331" s="67"/>
      <c r="C331" s="67"/>
      <c r="D331" s="67"/>
      <c r="E331" s="67"/>
      <c r="F331" s="76"/>
      <c r="G331" s="76"/>
    </row>
    <row r="332" spans="2:7" ht="35.1" customHeight="1" x14ac:dyDescent="0.3">
      <c r="B332" s="67"/>
      <c r="C332" s="67"/>
      <c r="D332" s="67"/>
      <c r="E332" s="67"/>
      <c r="F332" s="76"/>
      <c r="G332" s="76"/>
    </row>
    <row r="333" spans="2:7" ht="35.1" customHeight="1" x14ac:dyDescent="0.3">
      <c r="B333" s="67"/>
      <c r="C333" s="67"/>
      <c r="D333" s="67"/>
      <c r="E333" s="67"/>
      <c r="F333" s="76"/>
      <c r="G333" s="76"/>
    </row>
    <row r="334" spans="2:7" ht="35.1" customHeight="1" x14ac:dyDescent="0.3">
      <c r="B334" s="67"/>
      <c r="C334" s="67"/>
      <c r="D334" s="67"/>
      <c r="E334" s="67"/>
      <c r="F334" s="76"/>
      <c r="G334" s="76"/>
    </row>
    <row r="335" spans="2:7" ht="35.1" customHeight="1" x14ac:dyDescent="0.3">
      <c r="B335" s="67"/>
      <c r="C335" s="67"/>
      <c r="D335" s="67"/>
      <c r="E335" s="67"/>
      <c r="F335" s="76"/>
      <c r="G335" s="76"/>
    </row>
    <row r="336" spans="2:7" ht="35.1" customHeight="1" x14ac:dyDescent="0.3">
      <c r="B336" s="67"/>
      <c r="C336" s="67"/>
      <c r="D336" s="67"/>
      <c r="E336" s="67"/>
      <c r="F336" s="76"/>
      <c r="G336" s="76"/>
    </row>
    <row r="337" spans="2:7" ht="35.1" customHeight="1" x14ac:dyDescent="0.3">
      <c r="B337" s="67"/>
      <c r="C337" s="67"/>
      <c r="D337" s="67"/>
      <c r="E337" s="67"/>
      <c r="F337" s="76"/>
      <c r="G337" s="76"/>
    </row>
    <row r="338" spans="2:7" ht="35.1" customHeight="1" x14ac:dyDescent="0.3">
      <c r="B338" s="67"/>
      <c r="C338" s="67"/>
      <c r="D338" s="67"/>
      <c r="E338" s="67"/>
      <c r="F338" s="76"/>
      <c r="G338" s="76"/>
    </row>
    <row r="339" spans="2:7" ht="35.1" customHeight="1" x14ac:dyDescent="0.3">
      <c r="B339" s="67"/>
      <c r="C339" s="67"/>
      <c r="D339" s="67"/>
      <c r="E339" s="67"/>
      <c r="F339" s="76"/>
      <c r="G339" s="76"/>
    </row>
    <row r="340" spans="2:7" ht="35.1" customHeight="1" x14ac:dyDescent="0.3">
      <c r="B340" s="67"/>
      <c r="C340" s="67"/>
      <c r="D340" s="67"/>
      <c r="E340" s="67"/>
      <c r="F340" s="76"/>
      <c r="G340" s="76"/>
    </row>
    <row r="341" spans="2:7" ht="35.1" customHeight="1" x14ac:dyDescent="0.3">
      <c r="B341" s="67"/>
      <c r="C341" s="67"/>
      <c r="D341" s="67"/>
      <c r="E341" s="67"/>
      <c r="F341" s="76"/>
      <c r="G341" s="76"/>
    </row>
    <row r="342" spans="2:7" ht="35.1" customHeight="1" x14ac:dyDescent="0.3">
      <c r="B342" s="67"/>
      <c r="C342" s="67"/>
      <c r="D342" s="67"/>
      <c r="E342" s="67"/>
      <c r="F342" s="76"/>
      <c r="G342" s="76"/>
    </row>
    <row r="343" spans="2:7" ht="35.1" customHeight="1" x14ac:dyDescent="0.3">
      <c r="B343" s="67"/>
      <c r="C343" s="67"/>
      <c r="D343" s="67"/>
      <c r="E343" s="67"/>
      <c r="F343" s="76"/>
      <c r="G343" s="76"/>
    </row>
    <row r="344" spans="2:7" ht="35.1" customHeight="1" x14ac:dyDescent="0.3">
      <c r="B344" s="67"/>
      <c r="C344" s="67"/>
      <c r="D344" s="67"/>
      <c r="E344" s="67"/>
      <c r="F344" s="76"/>
      <c r="G344" s="76"/>
    </row>
    <row r="345" spans="2:7" ht="35.1" customHeight="1" x14ac:dyDescent="0.3">
      <c r="B345" s="67"/>
      <c r="C345" s="67"/>
      <c r="D345" s="67"/>
      <c r="E345" s="67"/>
      <c r="F345" s="76"/>
      <c r="G345" s="76"/>
    </row>
    <row r="346" spans="2:7" ht="35.1" customHeight="1" x14ac:dyDescent="0.3">
      <c r="B346" s="67"/>
      <c r="C346" s="67"/>
      <c r="D346" s="67"/>
      <c r="E346" s="67"/>
      <c r="F346" s="76"/>
      <c r="G346" s="76"/>
    </row>
    <row r="347" spans="2:7" ht="35.1" customHeight="1" x14ac:dyDescent="0.3">
      <c r="B347" s="67"/>
      <c r="C347" s="67"/>
      <c r="D347" s="67"/>
      <c r="E347" s="67"/>
      <c r="F347" s="76"/>
      <c r="G347" s="76"/>
    </row>
    <row r="348" spans="2:7" ht="35.1" customHeight="1" x14ac:dyDescent="0.3">
      <c r="B348" s="67"/>
      <c r="C348" s="67"/>
      <c r="D348" s="67"/>
      <c r="E348" s="67"/>
      <c r="F348" s="76"/>
      <c r="G348" s="76"/>
    </row>
    <row r="349" spans="2:7" ht="35.1" customHeight="1" x14ac:dyDescent="0.3">
      <c r="B349" s="67"/>
      <c r="C349" s="67"/>
      <c r="D349" s="67"/>
      <c r="E349" s="67"/>
      <c r="F349" s="76"/>
      <c r="G349" s="76"/>
    </row>
    <row r="350" spans="2:7" ht="35.1" customHeight="1" x14ac:dyDescent="0.3">
      <c r="B350" s="67"/>
      <c r="C350" s="67"/>
      <c r="D350" s="67"/>
      <c r="E350" s="67"/>
      <c r="F350" s="76"/>
      <c r="G350" s="76"/>
    </row>
    <row r="351" spans="2:7" ht="35.1" customHeight="1" x14ac:dyDescent="0.3">
      <c r="B351" s="67"/>
      <c r="C351" s="67"/>
      <c r="D351" s="67"/>
      <c r="E351" s="67"/>
      <c r="F351" s="76"/>
      <c r="G351" s="76"/>
    </row>
    <row r="352" spans="2:7" ht="35.1" customHeight="1" x14ac:dyDescent="0.3">
      <c r="B352" s="67"/>
      <c r="C352" s="67"/>
      <c r="D352" s="67"/>
      <c r="E352" s="67"/>
      <c r="F352" s="76"/>
      <c r="G352" s="76"/>
    </row>
    <row r="353" spans="2:7" ht="35.1" customHeight="1" x14ac:dyDescent="0.3">
      <c r="B353" s="67"/>
      <c r="C353" s="67"/>
      <c r="D353" s="67"/>
      <c r="E353" s="67"/>
      <c r="F353" s="76"/>
      <c r="G353" s="76"/>
    </row>
    <row r="354" spans="2:7" ht="35.1" customHeight="1" x14ac:dyDescent="0.3">
      <c r="B354" s="67"/>
      <c r="C354" s="67"/>
      <c r="D354" s="67"/>
      <c r="E354" s="67"/>
      <c r="F354" s="76"/>
      <c r="G354" s="76"/>
    </row>
    <row r="355" spans="2:7" ht="35.1" customHeight="1" x14ac:dyDescent="0.3">
      <c r="B355" s="67"/>
      <c r="C355" s="67"/>
      <c r="D355" s="67"/>
      <c r="E355" s="67"/>
      <c r="F355" s="76"/>
      <c r="G355" s="76"/>
    </row>
    <row r="356" spans="2:7" ht="35.1" customHeight="1" x14ac:dyDescent="0.3">
      <c r="B356" s="67"/>
      <c r="C356" s="67"/>
      <c r="D356" s="67"/>
      <c r="E356" s="67"/>
      <c r="F356" s="76"/>
      <c r="G356" s="76"/>
    </row>
    <row r="357" spans="2:7" ht="35.1" customHeight="1" x14ac:dyDescent="0.3">
      <c r="B357" s="67"/>
      <c r="C357" s="67"/>
      <c r="D357" s="67"/>
      <c r="E357" s="67"/>
      <c r="F357" s="76"/>
      <c r="G357" s="76"/>
    </row>
    <row r="358" spans="2:7" ht="35.1" customHeight="1" x14ac:dyDescent="0.3">
      <c r="B358" s="67"/>
      <c r="C358" s="67"/>
      <c r="D358" s="67"/>
      <c r="E358" s="67"/>
      <c r="F358" s="76"/>
      <c r="G358" s="76"/>
    </row>
    <row r="359" spans="2:7" ht="35.1" customHeight="1" x14ac:dyDescent="0.3">
      <c r="B359" s="67"/>
      <c r="C359" s="67"/>
      <c r="D359" s="67"/>
      <c r="E359" s="67"/>
      <c r="F359" s="76"/>
      <c r="G359" s="76"/>
    </row>
    <row r="360" spans="2:7" ht="35.1" customHeight="1" x14ac:dyDescent="0.3">
      <c r="B360" s="67"/>
      <c r="C360" s="67"/>
      <c r="D360" s="67"/>
      <c r="E360" s="67"/>
      <c r="F360" s="76"/>
      <c r="G360" s="76"/>
    </row>
    <row r="361" spans="2:7" ht="35.1" customHeight="1" x14ac:dyDescent="0.3">
      <c r="B361" s="67"/>
      <c r="C361" s="67"/>
      <c r="D361" s="67"/>
      <c r="E361" s="67"/>
      <c r="F361" s="76"/>
      <c r="G361" s="76"/>
    </row>
    <row r="362" spans="2:7" ht="35.1" customHeight="1" x14ac:dyDescent="0.3">
      <c r="B362" s="67"/>
      <c r="C362" s="67"/>
      <c r="D362" s="67"/>
      <c r="E362" s="67"/>
      <c r="F362" s="76"/>
      <c r="G362" s="76"/>
    </row>
    <row r="363" spans="2:7" ht="35.1" customHeight="1" x14ac:dyDescent="0.3">
      <c r="B363" s="67"/>
      <c r="C363" s="67"/>
      <c r="D363" s="67"/>
      <c r="E363" s="67"/>
      <c r="F363" s="76"/>
      <c r="G363" s="76"/>
    </row>
    <row r="364" spans="2:7" ht="35.1" customHeight="1" x14ac:dyDescent="0.3">
      <c r="B364" s="67"/>
      <c r="C364" s="67"/>
      <c r="D364" s="67"/>
      <c r="E364" s="67"/>
      <c r="F364" s="76"/>
      <c r="G364" s="76"/>
    </row>
    <row r="365" spans="2:7" ht="35.1" customHeight="1" x14ac:dyDescent="0.3">
      <c r="B365" s="67"/>
      <c r="C365" s="67"/>
      <c r="D365" s="67"/>
      <c r="E365" s="67"/>
      <c r="F365" s="76"/>
      <c r="G365" s="76"/>
    </row>
    <row r="366" spans="2:7" ht="35.1" customHeight="1" x14ac:dyDescent="0.3">
      <c r="B366" s="67"/>
      <c r="C366" s="67"/>
      <c r="D366" s="67"/>
      <c r="E366" s="67"/>
      <c r="F366" s="76"/>
      <c r="G366" s="76"/>
    </row>
    <row r="367" spans="2:7" ht="35.1" customHeight="1" x14ac:dyDescent="0.3">
      <c r="B367" s="67"/>
      <c r="C367" s="67"/>
      <c r="D367" s="67"/>
      <c r="E367" s="67"/>
      <c r="F367" s="76"/>
      <c r="G367" s="76"/>
    </row>
    <row r="368" spans="2:7" ht="35.1" customHeight="1" x14ac:dyDescent="0.3">
      <c r="B368" s="67"/>
      <c r="C368" s="67"/>
      <c r="D368" s="67"/>
      <c r="E368" s="67"/>
      <c r="F368" s="76"/>
      <c r="G368" s="76"/>
    </row>
    <row r="369" spans="2:7" ht="35.1" customHeight="1" x14ac:dyDescent="0.3">
      <c r="B369" s="67"/>
      <c r="C369" s="67"/>
      <c r="D369" s="67"/>
      <c r="E369" s="67"/>
      <c r="F369" s="76"/>
      <c r="G369" s="76"/>
    </row>
    <row r="370" spans="2:7" ht="35.1" customHeight="1" x14ac:dyDescent="0.3">
      <c r="B370" s="67"/>
      <c r="C370" s="67"/>
      <c r="D370" s="67"/>
      <c r="E370" s="67"/>
      <c r="F370" s="76"/>
      <c r="G370" s="76"/>
    </row>
    <row r="371" spans="2:7" ht="35.1" customHeight="1" x14ac:dyDescent="0.3">
      <c r="B371" s="67"/>
      <c r="C371" s="67"/>
      <c r="D371" s="67"/>
      <c r="E371" s="67"/>
      <c r="F371" s="76"/>
      <c r="G371" s="76"/>
    </row>
    <row r="372" spans="2:7" ht="35.1" customHeight="1" x14ac:dyDescent="0.3">
      <c r="B372" s="67"/>
      <c r="C372" s="67"/>
      <c r="D372" s="67"/>
      <c r="E372" s="67"/>
      <c r="F372" s="76"/>
      <c r="G372" s="76"/>
    </row>
    <row r="373" spans="2:7" ht="35.1" customHeight="1" x14ac:dyDescent="0.3">
      <c r="B373" s="67"/>
      <c r="C373" s="67"/>
      <c r="D373" s="67"/>
      <c r="E373" s="67"/>
      <c r="F373" s="76"/>
      <c r="G373" s="76"/>
    </row>
    <row r="374" spans="2:7" ht="35.1" customHeight="1" x14ac:dyDescent="0.3">
      <c r="B374" s="67"/>
      <c r="C374" s="67"/>
      <c r="D374" s="67"/>
      <c r="E374" s="67"/>
      <c r="F374" s="76"/>
      <c r="G374" s="76"/>
    </row>
    <row r="375" spans="2:7" ht="35.1" customHeight="1" x14ac:dyDescent="0.3">
      <c r="B375" s="67"/>
      <c r="C375" s="67"/>
      <c r="D375" s="67"/>
      <c r="E375" s="67"/>
      <c r="F375" s="76"/>
      <c r="G375" s="76"/>
    </row>
    <row r="376" spans="2:7" ht="35.1" customHeight="1" x14ac:dyDescent="0.3">
      <c r="B376" s="67"/>
      <c r="C376" s="67"/>
      <c r="D376" s="67"/>
      <c r="E376" s="67"/>
      <c r="F376" s="76"/>
      <c r="G376" s="76"/>
    </row>
    <row r="377" spans="2:7" ht="35.1" customHeight="1" x14ac:dyDescent="0.3">
      <c r="B377" s="67"/>
      <c r="C377" s="67"/>
      <c r="D377" s="67"/>
      <c r="E377" s="67"/>
      <c r="F377" s="76"/>
      <c r="G377" s="76"/>
    </row>
    <row r="378" spans="2:7" ht="35.1" customHeight="1" x14ac:dyDescent="0.3">
      <c r="B378" s="67"/>
      <c r="C378" s="67"/>
      <c r="D378" s="67"/>
      <c r="E378" s="67"/>
      <c r="F378" s="76"/>
      <c r="G378" s="76"/>
    </row>
    <row r="379" spans="2:7" ht="35.1" customHeight="1" x14ac:dyDescent="0.3">
      <c r="B379" s="67"/>
      <c r="C379" s="67"/>
      <c r="D379" s="67"/>
      <c r="E379" s="67"/>
      <c r="F379" s="76"/>
      <c r="G379" s="76"/>
    </row>
    <row r="380" spans="2:7" ht="35.1" customHeight="1" x14ac:dyDescent="0.3">
      <c r="B380" s="67"/>
      <c r="C380" s="67"/>
      <c r="D380" s="67"/>
      <c r="E380" s="67"/>
      <c r="F380" s="76"/>
      <c r="G380" s="76"/>
    </row>
    <row r="381" spans="2:7" ht="35.1" customHeight="1" x14ac:dyDescent="0.3">
      <c r="B381" s="67"/>
      <c r="C381" s="67"/>
      <c r="D381" s="67"/>
      <c r="E381" s="67"/>
      <c r="F381" s="76"/>
      <c r="G381" s="76"/>
    </row>
    <row r="382" spans="2:7" ht="35.1" customHeight="1" x14ac:dyDescent="0.3">
      <c r="B382" s="67"/>
      <c r="C382" s="67"/>
      <c r="D382" s="67"/>
      <c r="E382" s="67"/>
      <c r="F382" s="76"/>
      <c r="G382" s="76"/>
    </row>
    <row r="383" spans="2:7" ht="35.1" customHeight="1" x14ac:dyDescent="0.3">
      <c r="B383" s="67"/>
      <c r="C383" s="67"/>
      <c r="D383" s="67"/>
      <c r="E383" s="67"/>
      <c r="F383" s="76"/>
      <c r="G383" s="76"/>
    </row>
    <row r="384" spans="2:7" ht="35.1" customHeight="1" x14ac:dyDescent="0.3">
      <c r="B384" s="67"/>
      <c r="C384" s="67"/>
      <c r="D384" s="67"/>
      <c r="E384" s="67"/>
      <c r="F384" s="76"/>
      <c r="G384" s="76"/>
    </row>
    <row r="385" spans="2:7" ht="35.1" customHeight="1" x14ac:dyDescent="0.3">
      <c r="B385" s="67"/>
      <c r="C385" s="67"/>
      <c r="D385" s="67"/>
      <c r="E385" s="67"/>
      <c r="F385" s="76"/>
      <c r="G385" s="76"/>
    </row>
    <row r="386" spans="2:7" ht="35.1" customHeight="1" x14ac:dyDescent="0.3">
      <c r="B386" s="67"/>
      <c r="C386" s="67"/>
      <c r="D386" s="67"/>
      <c r="E386" s="67"/>
      <c r="F386" s="76"/>
      <c r="G386" s="76"/>
    </row>
    <row r="387" spans="2:7" ht="35.1" customHeight="1" x14ac:dyDescent="0.3">
      <c r="B387" s="67"/>
      <c r="C387" s="67"/>
      <c r="D387" s="67"/>
      <c r="E387" s="67"/>
      <c r="F387" s="76"/>
      <c r="G387" s="76"/>
    </row>
    <row r="388" spans="2:7" ht="35.1" customHeight="1" x14ac:dyDescent="0.3">
      <c r="B388" s="67"/>
      <c r="C388" s="67"/>
      <c r="D388" s="67"/>
      <c r="E388" s="67"/>
      <c r="F388" s="76"/>
      <c r="G388" s="76"/>
    </row>
    <row r="389" spans="2:7" ht="35.1" customHeight="1" x14ac:dyDescent="0.3">
      <c r="B389" s="67"/>
      <c r="C389" s="67"/>
      <c r="D389" s="67"/>
      <c r="E389" s="67"/>
      <c r="F389" s="76"/>
      <c r="G389" s="76"/>
    </row>
    <row r="390" spans="2:7" ht="35.1" customHeight="1" x14ac:dyDescent="0.3">
      <c r="B390" s="67"/>
      <c r="C390" s="67"/>
      <c r="D390" s="67"/>
      <c r="E390" s="67"/>
      <c r="F390" s="76"/>
      <c r="G390" s="76"/>
    </row>
    <row r="391" spans="2:7" ht="35.1" customHeight="1" x14ac:dyDescent="0.3">
      <c r="B391" s="67"/>
      <c r="C391" s="67"/>
      <c r="D391" s="67"/>
      <c r="E391" s="67"/>
      <c r="F391" s="76"/>
      <c r="G391" s="76"/>
    </row>
    <row r="392" spans="2:7" ht="35.1" customHeight="1" x14ac:dyDescent="0.3">
      <c r="B392" s="67"/>
      <c r="C392" s="67"/>
      <c r="D392" s="67"/>
      <c r="E392" s="67"/>
      <c r="F392" s="76"/>
      <c r="G392" s="76"/>
    </row>
    <row r="393" spans="2:7" ht="35.1" customHeight="1" x14ac:dyDescent="0.3">
      <c r="B393" s="67"/>
      <c r="C393" s="67"/>
      <c r="D393" s="67"/>
      <c r="E393" s="67"/>
      <c r="F393" s="76"/>
      <c r="G393" s="76"/>
    </row>
    <row r="394" spans="2:7" ht="35.1" customHeight="1" x14ac:dyDescent="0.3">
      <c r="B394" s="67"/>
      <c r="C394" s="67"/>
      <c r="D394" s="67"/>
      <c r="E394" s="67"/>
      <c r="F394" s="76"/>
      <c r="G394" s="76"/>
    </row>
    <row r="395" spans="2:7" ht="35.1" customHeight="1" x14ac:dyDescent="0.3">
      <c r="B395" s="67"/>
      <c r="C395" s="67"/>
      <c r="D395" s="67"/>
      <c r="E395" s="67"/>
      <c r="F395" s="76"/>
      <c r="G395" s="76"/>
    </row>
    <row r="396" spans="2:7" ht="35.1" customHeight="1" x14ac:dyDescent="0.3">
      <c r="B396" s="67"/>
      <c r="C396" s="67"/>
      <c r="D396" s="67"/>
      <c r="E396" s="67"/>
      <c r="F396" s="76"/>
      <c r="G396" s="76"/>
    </row>
    <row r="397" spans="2:7" ht="35.1" customHeight="1" x14ac:dyDescent="0.3">
      <c r="B397" s="67"/>
      <c r="C397" s="67"/>
      <c r="D397" s="67"/>
      <c r="E397" s="67"/>
      <c r="F397" s="76"/>
      <c r="G397" s="76"/>
    </row>
    <row r="398" spans="2:7" ht="35.1" customHeight="1" x14ac:dyDescent="0.3">
      <c r="B398" s="67"/>
      <c r="C398" s="67"/>
      <c r="D398" s="67"/>
      <c r="E398" s="67"/>
      <c r="F398" s="76"/>
      <c r="G398" s="76"/>
    </row>
    <row r="399" spans="2:7" ht="35.1" customHeight="1" x14ac:dyDescent="0.3">
      <c r="B399" s="67"/>
      <c r="C399" s="67"/>
      <c r="D399" s="67"/>
      <c r="E399" s="67"/>
      <c r="F399" s="76"/>
      <c r="G399" s="76"/>
    </row>
    <row r="400" spans="2:7" ht="35.1" customHeight="1" x14ac:dyDescent="0.3">
      <c r="B400" s="67"/>
      <c r="C400" s="67"/>
      <c r="D400" s="67"/>
      <c r="E400" s="67"/>
      <c r="F400" s="76"/>
      <c r="G400" s="76"/>
    </row>
    <row r="401" spans="2:7" ht="35.1" customHeight="1" x14ac:dyDescent="0.3">
      <c r="B401" s="67"/>
      <c r="C401" s="67"/>
      <c r="D401" s="67"/>
      <c r="E401" s="67"/>
      <c r="F401" s="76"/>
      <c r="G401" s="76"/>
    </row>
    <row r="402" spans="2:7" ht="35.1" customHeight="1" x14ac:dyDescent="0.3">
      <c r="B402" s="67"/>
      <c r="C402" s="67"/>
      <c r="D402" s="67"/>
      <c r="E402" s="67"/>
      <c r="F402" s="76"/>
      <c r="G402" s="76"/>
    </row>
    <row r="403" spans="2:7" ht="35.1" customHeight="1" x14ac:dyDescent="0.3">
      <c r="B403" s="67"/>
      <c r="C403" s="67"/>
      <c r="D403" s="67"/>
      <c r="E403" s="67"/>
      <c r="F403" s="76"/>
      <c r="G403" s="76"/>
    </row>
    <row r="404" spans="2:7" ht="35.1" customHeight="1" x14ac:dyDescent="0.3">
      <c r="B404" s="67"/>
      <c r="C404" s="67"/>
      <c r="D404" s="67"/>
      <c r="E404" s="67"/>
      <c r="F404" s="76"/>
      <c r="G404" s="76"/>
    </row>
    <row r="405" spans="2:7" ht="35.1" customHeight="1" x14ac:dyDescent="0.3">
      <c r="B405" s="67"/>
      <c r="C405" s="67"/>
      <c r="D405" s="67"/>
      <c r="E405" s="67"/>
      <c r="F405" s="76"/>
      <c r="G405" s="76"/>
    </row>
    <row r="406" spans="2:7" ht="35.1" customHeight="1" x14ac:dyDescent="0.3">
      <c r="B406" s="67"/>
      <c r="C406" s="67"/>
      <c r="D406" s="67"/>
      <c r="E406" s="67"/>
      <c r="F406" s="76"/>
      <c r="G406" s="76"/>
    </row>
    <row r="407" spans="2:7" ht="35.1" customHeight="1" x14ac:dyDescent="0.3">
      <c r="B407" s="67"/>
      <c r="C407" s="67"/>
      <c r="D407" s="67"/>
      <c r="E407" s="67"/>
      <c r="F407" s="76"/>
      <c r="G407" s="76"/>
    </row>
    <row r="408" spans="2:7" ht="35.1" customHeight="1" x14ac:dyDescent="0.3">
      <c r="B408" s="67"/>
      <c r="C408" s="67"/>
      <c r="D408" s="67"/>
      <c r="E408" s="67"/>
      <c r="F408" s="76"/>
      <c r="G408" s="76"/>
    </row>
    <row r="409" spans="2:7" ht="35.1" customHeight="1" x14ac:dyDescent="0.3">
      <c r="B409" s="67"/>
      <c r="C409" s="67"/>
      <c r="D409" s="67"/>
      <c r="E409" s="67"/>
      <c r="F409" s="76"/>
      <c r="G409" s="76"/>
    </row>
    <row r="410" spans="2:7" ht="35.1" customHeight="1" x14ac:dyDescent="0.3">
      <c r="B410" s="67"/>
      <c r="C410" s="67"/>
      <c r="D410" s="67"/>
      <c r="E410" s="67"/>
      <c r="F410" s="76"/>
      <c r="G410" s="76"/>
    </row>
    <row r="411" spans="2:7" ht="35.1" customHeight="1" x14ac:dyDescent="0.3">
      <c r="B411" s="67"/>
      <c r="C411" s="67"/>
      <c r="D411" s="67"/>
      <c r="E411" s="67"/>
      <c r="F411" s="76"/>
      <c r="G411" s="76"/>
    </row>
    <row r="412" spans="2:7" ht="35.1" customHeight="1" x14ac:dyDescent="0.3">
      <c r="B412" s="67"/>
      <c r="C412" s="67"/>
      <c r="D412" s="67"/>
      <c r="E412" s="67"/>
      <c r="F412" s="76"/>
      <c r="G412" s="76"/>
    </row>
    <row r="413" spans="2:7" ht="35.1" customHeight="1" x14ac:dyDescent="0.3">
      <c r="B413" s="67"/>
      <c r="C413" s="67"/>
      <c r="D413" s="67"/>
      <c r="E413" s="67"/>
      <c r="F413" s="76"/>
      <c r="G413" s="76"/>
    </row>
    <row r="414" spans="2:7" ht="35.1" customHeight="1" x14ac:dyDescent="0.3"/>
    <row r="415" spans="2:7" ht="35.1" customHeight="1" x14ac:dyDescent="0.3"/>
    <row r="416" spans="2:7" ht="35.1" customHeight="1" x14ac:dyDescent="0.3"/>
    <row r="417" ht="35.1" customHeight="1" x14ac:dyDescent="0.3"/>
    <row r="418" ht="35.1" customHeight="1" x14ac:dyDescent="0.3"/>
    <row r="419" ht="35.1" customHeight="1" x14ac:dyDescent="0.3"/>
    <row r="420" ht="35.1" customHeight="1" x14ac:dyDescent="0.3"/>
    <row r="421" ht="35.1" customHeight="1" x14ac:dyDescent="0.3"/>
    <row r="422" ht="35.1" customHeight="1" x14ac:dyDescent="0.3"/>
    <row r="423" ht="35.1" customHeight="1" x14ac:dyDescent="0.3"/>
    <row r="424" ht="35.1" customHeight="1" x14ac:dyDescent="0.3"/>
    <row r="425" ht="35.1" customHeight="1" x14ac:dyDescent="0.3"/>
    <row r="426" ht="35.1" customHeight="1" x14ac:dyDescent="0.3"/>
    <row r="427" ht="35.1" customHeight="1" x14ac:dyDescent="0.3"/>
    <row r="428" ht="35.1" customHeight="1" x14ac:dyDescent="0.3"/>
    <row r="429" ht="35.1" customHeight="1" x14ac:dyDescent="0.3"/>
    <row r="430" ht="35.1" customHeight="1" x14ac:dyDescent="0.3"/>
    <row r="431" ht="35.1" customHeight="1" x14ac:dyDescent="0.3"/>
    <row r="432" ht="35.1" customHeight="1" x14ac:dyDescent="0.3"/>
    <row r="433" ht="35.1" customHeight="1" x14ac:dyDescent="0.3"/>
    <row r="434" ht="35.1" customHeight="1" x14ac:dyDescent="0.3"/>
    <row r="435" ht="35.1" customHeight="1" x14ac:dyDescent="0.3"/>
    <row r="436" ht="35.1" customHeight="1" x14ac:dyDescent="0.3"/>
    <row r="437" ht="35.1" customHeight="1" x14ac:dyDescent="0.3"/>
    <row r="438" ht="35.1" customHeight="1" x14ac:dyDescent="0.3"/>
    <row r="439" ht="35.1" customHeight="1" x14ac:dyDescent="0.3"/>
    <row r="440" ht="35.1" customHeight="1" x14ac:dyDescent="0.3"/>
    <row r="441" ht="35.1" customHeight="1" x14ac:dyDescent="0.3"/>
    <row r="442" ht="35.1" customHeight="1" x14ac:dyDescent="0.3"/>
    <row r="443" ht="35.1" customHeight="1" x14ac:dyDescent="0.3"/>
    <row r="444" ht="35.1" customHeight="1" x14ac:dyDescent="0.3"/>
    <row r="445" ht="35.1" customHeight="1" x14ac:dyDescent="0.3"/>
    <row r="446" ht="35.1" customHeight="1" x14ac:dyDescent="0.3"/>
    <row r="447" ht="35.1" customHeight="1" x14ac:dyDescent="0.3"/>
    <row r="448" ht="35.1" customHeight="1" x14ac:dyDescent="0.3"/>
    <row r="449" ht="35.1" customHeight="1" x14ac:dyDescent="0.3"/>
    <row r="450" ht="35.1" customHeight="1" x14ac:dyDescent="0.3"/>
    <row r="451" ht="35.1" customHeight="1" x14ac:dyDescent="0.3"/>
    <row r="452" ht="35.1" customHeight="1" x14ac:dyDescent="0.3"/>
    <row r="453" ht="35.1" customHeight="1" x14ac:dyDescent="0.3"/>
    <row r="454" ht="35.1" customHeight="1" x14ac:dyDescent="0.3"/>
    <row r="455" ht="35.1" customHeight="1" x14ac:dyDescent="0.3"/>
    <row r="456" ht="35.1" customHeight="1" x14ac:dyDescent="0.3"/>
    <row r="457" ht="35.1" customHeight="1" x14ac:dyDescent="0.3"/>
    <row r="458" ht="35.1" customHeight="1" x14ac:dyDescent="0.3"/>
    <row r="459" ht="35.1" customHeight="1" x14ac:dyDescent="0.3"/>
    <row r="460" ht="35.1" customHeight="1" x14ac:dyDescent="0.3"/>
    <row r="461" ht="35.1" customHeight="1" x14ac:dyDescent="0.3"/>
    <row r="462" ht="35.1" customHeight="1" x14ac:dyDescent="0.3"/>
    <row r="463" ht="35.1" customHeight="1" x14ac:dyDescent="0.3"/>
    <row r="464" ht="35.1" customHeight="1" x14ac:dyDescent="0.3"/>
    <row r="465" ht="35.1" customHeight="1" x14ac:dyDescent="0.3"/>
    <row r="466" ht="35.1" customHeight="1" x14ac:dyDescent="0.3"/>
    <row r="467" ht="35.1" customHeight="1" x14ac:dyDescent="0.3"/>
    <row r="468" ht="35.1" customHeight="1" x14ac:dyDescent="0.3"/>
    <row r="469" ht="35.1" customHeight="1" x14ac:dyDescent="0.3"/>
    <row r="470" ht="35.1" customHeight="1" x14ac:dyDescent="0.3"/>
    <row r="471" ht="35.1" customHeight="1" x14ac:dyDescent="0.3"/>
    <row r="472" ht="35.1" customHeight="1" x14ac:dyDescent="0.3"/>
    <row r="473" ht="35.1" customHeight="1" x14ac:dyDescent="0.3"/>
    <row r="474" ht="35.1" customHeight="1" x14ac:dyDescent="0.3"/>
    <row r="475" ht="35.1" customHeight="1" x14ac:dyDescent="0.3"/>
    <row r="476" ht="35.1" customHeight="1" x14ac:dyDescent="0.3"/>
    <row r="477" ht="35.1" customHeight="1" x14ac:dyDescent="0.3"/>
    <row r="478" ht="35.1" customHeight="1" x14ac:dyDescent="0.3"/>
    <row r="479" ht="35.1" customHeight="1" x14ac:dyDescent="0.3"/>
    <row r="480" ht="35.1" customHeight="1" x14ac:dyDescent="0.3"/>
    <row r="481" ht="35.1" customHeight="1" x14ac:dyDescent="0.3"/>
    <row r="482" ht="35.1" customHeight="1" x14ac:dyDescent="0.3"/>
    <row r="483" ht="35.1" customHeight="1" x14ac:dyDescent="0.3"/>
    <row r="484" ht="35.1" customHeight="1" x14ac:dyDescent="0.3"/>
    <row r="485" ht="35.1" customHeight="1" x14ac:dyDescent="0.3"/>
    <row r="486" ht="35.1" customHeight="1" x14ac:dyDescent="0.3"/>
    <row r="487" ht="35.1" customHeight="1" x14ac:dyDescent="0.3"/>
    <row r="488" ht="35.1" customHeight="1" x14ac:dyDescent="0.3"/>
    <row r="489" ht="35.1" customHeight="1" x14ac:dyDescent="0.3"/>
    <row r="490" ht="35.1" customHeight="1" x14ac:dyDescent="0.3"/>
    <row r="491" ht="35.1" customHeight="1" x14ac:dyDescent="0.3"/>
    <row r="492" ht="35.1" customHeight="1" x14ac:dyDescent="0.3"/>
    <row r="493" ht="35.1" customHeight="1" x14ac:dyDescent="0.3"/>
    <row r="494" ht="35.1" customHeight="1" x14ac:dyDescent="0.3"/>
    <row r="495" ht="35.1" customHeight="1" x14ac:dyDescent="0.3"/>
    <row r="496" ht="35.1" customHeight="1" x14ac:dyDescent="0.3"/>
    <row r="497" ht="35.1" customHeight="1" x14ac:dyDescent="0.3"/>
    <row r="498" ht="35.1" customHeight="1" x14ac:dyDescent="0.3"/>
    <row r="499" ht="35.1" customHeight="1" x14ac:dyDescent="0.3"/>
    <row r="500" ht="35.1" customHeight="1" x14ac:dyDescent="0.3"/>
    <row r="501" ht="35.1" customHeight="1" x14ac:dyDescent="0.3"/>
    <row r="502" ht="35.1" customHeight="1" x14ac:dyDescent="0.3"/>
    <row r="503" ht="35.1" customHeight="1" x14ac:dyDescent="0.3"/>
    <row r="504" ht="35.1" customHeight="1" x14ac:dyDescent="0.3"/>
    <row r="505" ht="35.1" customHeight="1" x14ac:dyDescent="0.3"/>
    <row r="506" ht="35.1" customHeight="1" x14ac:dyDescent="0.3"/>
    <row r="507" ht="35.1" customHeight="1" x14ac:dyDescent="0.3"/>
    <row r="508" ht="35.1" customHeight="1" x14ac:dyDescent="0.3"/>
    <row r="509" ht="35.1" customHeight="1" x14ac:dyDescent="0.3"/>
    <row r="510" ht="35.1" customHeight="1" x14ac:dyDescent="0.3"/>
    <row r="511" ht="35.1" customHeight="1" x14ac:dyDescent="0.3"/>
    <row r="512" ht="35.1" customHeight="1" x14ac:dyDescent="0.3"/>
    <row r="513" ht="35.1" customHeight="1" x14ac:dyDescent="0.3"/>
    <row r="514" ht="35.1" customHeight="1" x14ac:dyDescent="0.3"/>
    <row r="515" ht="35.1" customHeight="1" x14ac:dyDescent="0.3"/>
    <row r="516" ht="35.1" customHeight="1" x14ac:dyDescent="0.3"/>
    <row r="517" ht="35.1" customHeight="1" x14ac:dyDescent="0.3"/>
    <row r="518" ht="35.1" customHeight="1" x14ac:dyDescent="0.3"/>
    <row r="519" ht="35.1" customHeight="1" x14ac:dyDescent="0.3"/>
    <row r="520" ht="35.1" customHeight="1" x14ac:dyDescent="0.3"/>
    <row r="521" ht="35.1" customHeight="1" x14ac:dyDescent="0.3"/>
    <row r="522" ht="35.1" customHeight="1" x14ac:dyDescent="0.3"/>
    <row r="523" ht="35.1" customHeight="1" x14ac:dyDescent="0.3"/>
    <row r="524" ht="35.1" customHeight="1" x14ac:dyDescent="0.3"/>
    <row r="525" ht="35.1" customHeight="1" x14ac:dyDescent="0.3"/>
    <row r="526" ht="35.1" customHeight="1" x14ac:dyDescent="0.3"/>
    <row r="527" ht="35.1" customHeight="1" x14ac:dyDescent="0.3"/>
    <row r="528" ht="35.1" customHeight="1" x14ac:dyDescent="0.3"/>
    <row r="529" ht="35.1" customHeight="1" x14ac:dyDescent="0.3"/>
  </sheetData>
  <autoFilter ref="C4:G216">
    <filterColumn colId="1">
      <filters blank="1">
        <filter val="Advertising Expenses"/>
        <filter val="Bank Charges"/>
        <filter val="Cash at Bank ( CB-US$ )"/>
        <filter val="Exchange A/C"/>
        <filter val="Office Renovation Charges"/>
        <filter val="Office Rental Charges"/>
        <filter val="Other Fees and Charges"/>
        <filter val="Paid Up Capital"/>
        <filter val="Prepaid ( Office Staff )"/>
        <filter val="Prepaid Deposit ( Others )"/>
        <filter val="Salary and Bonus"/>
        <filter val="Software Installation"/>
        <filter val="Transfer Account ( Cash &amp; Bank )"/>
      </filters>
    </filterColumn>
  </autoFilter>
  <mergeCells count="4">
    <mergeCell ref="A1:G1"/>
    <mergeCell ref="A2:G2"/>
    <mergeCell ref="I4:L4"/>
    <mergeCell ref="F3:G3"/>
  </mergeCells>
  <pageMargins left="0.4" right="0" top="0" bottom="0" header="0.31496062992125984" footer="0.31496062992125984"/>
  <pageSetup paperSize="9" scale="85" orientation="landscape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N79"/>
  <sheetViews>
    <sheetView showGridLines="0" workbookViewId="0">
      <pane ySplit="4" topLeftCell="A57" activePane="bottomLeft" state="frozen"/>
      <selection pane="bottomLeft" activeCell="E78" sqref="E78"/>
    </sheetView>
  </sheetViews>
  <sheetFormatPr defaultColWidth="12.6640625" defaultRowHeight="13.2" x14ac:dyDescent="0.25"/>
  <cols>
    <col min="1" max="1" width="10.88671875" style="33" customWidth="1"/>
    <col min="2" max="2" width="37.109375" style="33" customWidth="1"/>
    <col min="3" max="8" width="12.6640625" style="33" customWidth="1"/>
    <col min="9" max="9" width="13.5546875" style="33" customWidth="1"/>
    <col min="10" max="11" width="9.109375" style="33" customWidth="1"/>
    <col min="12" max="12" width="15.5546875" style="33" customWidth="1"/>
    <col min="13" max="251" width="9.109375" style="33" customWidth="1"/>
    <col min="252" max="252" width="28" style="33" customWidth="1"/>
    <col min="253" max="16384" width="12.6640625" style="33"/>
  </cols>
  <sheetData>
    <row r="1" spans="1:14" ht="24.9" customHeight="1" x14ac:dyDescent="0.3">
      <c r="A1" s="463" t="str">
        <f>'Cash Trial'!A1:H1</f>
        <v>LEAD GENERATION CO.,LTD</v>
      </c>
      <c r="B1" s="463"/>
      <c r="C1" s="463"/>
      <c r="D1" s="463"/>
      <c r="E1" s="463"/>
      <c r="F1" s="463"/>
      <c r="G1" s="463"/>
      <c r="H1" s="463"/>
    </row>
    <row r="2" spans="1:14" ht="30" customHeight="1" thickBot="1" x14ac:dyDescent="0.3">
      <c r="A2" s="462" t="s">
        <v>188</v>
      </c>
      <c r="B2" s="462"/>
      <c r="C2" s="462"/>
      <c r="D2" s="462"/>
      <c r="E2" s="462"/>
      <c r="F2" s="462"/>
      <c r="G2" s="462"/>
      <c r="H2" s="462"/>
    </row>
    <row r="3" spans="1:14" ht="20.100000000000001" customHeight="1" x14ac:dyDescent="0.25">
      <c r="A3" s="476" t="s">
        <v>63</v>
      </c>
      <c r="B3" s="466" t="s">
        <v>74</v>
      </c>
      <c r="C3" s="468" t="s">
        <v>75</v>
      </c>
      <c r="D3" s="468"/>
      <c r="E3" s="472" t="s">
        <v>102</v>
      </c>
      <c r="F3" s="473"/>
      <c r="G3" s="474" t="s">
        <v>103</v>
      </c>
      <c r="H3" s="475"/>
      <c r="I3" s="33">
        <v>1</v>
      </c>
    </row>
    <row r="4" spans="1:14" ht="20.100000000000001" customHeight="1" x14ac:dyDescent="0.25">
      <c r="A4" s="477"/>
      <c r="B4" s="467"/>
      <c r="C4" s="156" t="s">
        <v>66</v>
      </c>
      <c r="D4" s="158" t="s">
        <v>70</v>
      </c>
      <c r="E4" s="160" t="s">
        <v>66</v>
      </c>
      <c r="F4" s="160" t="s">
        <v>70</v>
      </c>
      <c r="G4" s="161" t="s">
        <v>66</v>
      </c>
      <c r="H4" s="162" t="s">
        <v>70</v>
      </c>
      <c r="I4" s="33">
        <v>1</v>
      </c>
    </row>
    <row r="5" spans="1:14" ht="30" hidden="1" customHeight="1" x14ac:dyDescent="0.25">
      <c r="A5" s="122">
        <v>111101</v>
      </c>
      <c r="B5" s="127" t="s">
        <v>113</v>
      </c>
      <c r="C5" s="157">
        <f>'Cash Trial'!C5</f>
        <v>0</v>
      </c>
      <c r="D5" s="159"/>
      <c r="E5" s="167"/>
      <c r="F5" s="167"/>
      <c r="G5" s="165">
        <f t="shared" ref="G5:H7" si="0">C5/$D$75+E5</f>
        <v>0</v>
      </c>
      <c r="H5" s="166">
        <f t="shared" si="0"/>
        <v>0</v>
      </c>
      <c r="I5" s="34">
        <f>SUM(C5:H5)</f>
        <v>0</v>
      </c>
      <c r="J5" s="143">
        <v>1</v>
      </c>
    </row>
    <row r="6" spans="1:14" ht="30" customHeight="1" x14ac:dyDescent="0.25">
      <c r="A6" s="122">
        <v>111102</v>
      </c>
      <c r="B6" s="127" t="s">
        <v>117</v>
      </c>
      <c r="C6" s="157">
        <f>'Cash Trial'!C6</f>
        <v>2635556</v>
      </c>
      <c r="D6" s="159"/>
      <c r="E6" s="167">
        <f>'Cash Book-USD'!H75</f>
        <v>412</v>
      </c>
      <c r="F6" s="167"/>
      <c r="G6" s="165">
        <f t="shared" si="0"/>
        <v>2561.7194127243065</v>
      </c>
      <c r="H6" s="166">
        <f t="shared" si="0"/>
        <v>0</v>
      </c>
      <c r="I6" s="34">
        <f t="shared" ref="I6:I69" si="1">SUM(C6:H6)</f>
        <v>2638529.7194127245</v>
      </c>
      <c r="J6" s="143">
        <v>2</v>
      </c>
    </row>
    <row r="7" spans="1:14" ht="30" customHeight="1" x14ac:dyDescent="0.25">
      <c r="A7" s="122">
        <v>111103</v>
      </c>
      <c r="B7" s="127" t="s">
        <v>118</v>
      </c>
      <c r="C7" s="157">
        <f>'Cash Trial'!C7+'JV-MMK'!K8</f>
        <v>0</v>
      </c>
      <c r="D7" s="159">
        <f>'Cash Trial'!D7+'JV-MMK'!L8</f>
        <v>0</v>
      </c>
      <c r="E7" s="167">
        <f>'Cash Trial'!E7+'JV-USD'!K8</f>
        <v>4215</v>
      </c>
      <c r="F7" s="167">
        <f>'Cash Trial'!F7+'JV-USD'!L8</f>
        <v>4215</v>
      </c>
      <c r="G7" s="165">
        <f t="shared" si="0"/>
        <v>4215</v>
      </c>
      <c r="H7" s="166">
        <f t="shared" si="0"/>
        <v>4215</v>
      </c>
      <c r="I7" s="34">
        <f t="shared" si="1"/>
        <v>16860</v>
      </c>
      <c r="J7" s="143">
        <v>3</v>
      </c>
    </row>
    <row r="8" spans="1:14" ht="30" customHeight="1" x14ac:dyDescent="0.25">
      <c r="A8" s="122">
        <v>111201</v>
      </c>
      <c r="B8" s="410" t="s">
        <v>205</v>
      </c>
      <c r="C8" s="157">
        <f>'Cash Trial'!C8+'JV-MMK'!K9</f>
        <v>72204558</v>
      </c>
      <c r="D8" s="159">
        <f>'Cash Trial'!D8+'JV-MMK'!L9</f>
        <v>70732784</v>
      </c>
      <c r="E8" s="167">
        <f>'Cash Trial'!E8+'JV-USD'!K9</f>
        <v>0</v>
      </c>
      <c r="F8" s="167">
        <f>'Cash Trial'!F8+'JV-USD'!L9</f>
        <v>0</v>
      </c>
      <c r="G8" s="165">
        <f t="shared" ref="G8:G73" si="2">C8/$D$75+E8</f>
        <v>58894.419249592167</v>
      </c>
      <c r="H8" s="166">
        <f t="shared" ref="H8:H73" si="3">D8/$D$75+F8</f>
        <v>57693.951060358893</v>
      </c>
      <c r="I8" s="34">
        <f t="shared" si="1"/>
        <v>143053930.37030995</v>
      </c>
      <c r="J8" s="143">
        <v>4</v>
      </c>
    </row>
    <row r="9" spans="1:14" ht="30" customHeight="1" x14ac:dyDescent="0.25">
      <c r="A9" s="122">
        <v>111202</v>
      </c>
      <c r="B9" s="410" t="s">
        <v>192</v>
      </c>
      <c r="C9" s="157">
        <f>'Cash Trial'!C9+'JV-MMK'!K10</f>
        <v>0</v>
      </c>
      <c r="D9" s="159">
        <f>'Cash Trial'!D9+'JV-MMK'!L10</f>
        <v>0</v>
      </c>
      <c r="E9" s="167">
        <f>'Cash Trial'!E9+'JV-USD'!K10</f>
        <v>70900</v>
      </c>
      <c r="F9" s="167">
        <f>'Cash Trial'!F9+'JV-USD'!L10</f>
        <v>61215.9</v>
      </c>
      <c r="G9" s="165">
        <f t="shared" si="2"/>
        <v>70900</v>
      </c>
      <c r="H9" s="166">
        <f t="shared" si="3"/>
        <v>61215.9</v>
      </c>
      <c r="I9" s="34">
        <f t="shared" si="1"/>
        <v>264231.8</v>
      </c>
      <c r="J9" s="143">
        <v>5</v>
      </c>
      <c r="N9" s="33">
        <f>35000+5000+3500+70000+0</f>
        <v>113500</v>
      </c>
    </row>
    <row r="10" spans="1:14" ht="30" hidden="1" customHeight="1" x14ac:dyDescent="0.25">
      <c r="A10" s="122">
        <v>111203</v>
      </c>
      <c r="B10" s="127" t="s">
        <v>18</v>
      </c>
      <c r="C10" s="157">
        <f>'Cash Trial'!C10+'JV-MMK'!K11</f>
        <v>0</v>
      </c>
      <c r="D10" s="159">
        <f>'Cash Trial'!D10+'JV-MMK'!L11</f>
        <v>0</v>
      </c>
      <c r="E10" s="167">
        <f>'Cash Trial'!E10+'JV-USD'!K11</f>
        <v>0</v>
      </c>
      <c r="F10" s="167">
        <f>'Cash Trial'!F10+'JV-USD'!L11</f>
        <v>0</v>
      </c>
      <c r="G10" s="165">
        <f t="shared" si="2"/>
        <v>0</v>
      </c>
      <c r="H10" s="166">
        <f t="shared" si="3"/>
        <v>0</v>
      </c>
      <c r="I10" s="34">
        <f t="shared" si="1"/>
        <v>0</v>
      </c>
      <c r="J10" s="143">
        <v>6</v>
      </c>
      <c r="L10" s="396"/>
    </row>
    <row r="11" spans="1:14" ht="30" hidden="1" customHeight="1" x14ac:dyDescent="0.25">
      <c r="A11" s="122">
        <v>111204</v>
      </c>
      <c r="B11" s="127" t="s">
        <v>19</v>
      </c>
      <c r="C11" s="157">
        <f>'Cash Trial'!C11+'JV-MMK'!K12</f>
        <v>0</v>
      </c>
      <c r="D11" s="159">
        <f>'Cash Trial'!D11+'JV-MMK'!L12</f>
        <v>0</v>
      </c>
      <c r="E11" s="167">
        <f>'Cash Trial'!E11+'JV-USD'!K12</f>
        <v>0</v>
      </c>
      <c r="F11" s="167">
        <f>'Cash Trial'!F11+'JV-USD'!L12</f>
        <v>0</v>
      </c>
      <c r="G11" s="165">
        <f t="shared" si="2"/>
        <v>0</v>
      </c>
      <c r="H11" s="166">
        <f t="shared" si="3"/>
        <v>0</v>
      </c>
      <c r="I11" s="34">
        <f t="shared" si="1"/>
        <v>0</v>
      </c>
      <c r="J11" s="143">
        <v>7</v>
      </c>
    </row>
    <row r="12" spans="1:14" ht="30" customHeight="1" x14ac:dyDescent="0.25">
      <c r="A12" s="122">
        <v>111301</v>
      </c>
      <c r="B12" s="127" t="s">
        <v>248</v>
      </c>
      <c r="C12" s="157">
        <f>'Cash Trial'!C12+'JV-MMK'!K13</f>
        <v>3320450</v>
      </c>
      <c r="D12" s="159">
        <f>'Cash Trial'!D12+'JV-MMK'!L13</f>
        <v>675000</v>
      </c>
      <c r="E12" s="167">
        <f>'Cash Trial'!E12+'JV-USD'!K13</f>
        <v>1575</v>
      </c>
      <c r="F12" s="167">
        <f>'Cash Trial'!F12+'JV-USD'!L13</f>
        <v>1575</v>
      </c>
      <c r="G12" s="165">
        <f t="shared" si="2"/>
        <v>4283.3605220228383</v>
      </c>
      <c r="H12" s="166">
        <f t="shared" si="3"/>
        <v>2125.5709624796086</v>
      </c>
      <c r="I12" s="34">
        <f t="shared" si="1"/>
        <v>4005008.9314845027</v>
      </c>
      <c r="J12" s="143">
        <v>8</v>
      </c>
    </row>
    <row r="13" spans="1:14" ht="30" customHeight="1" x14ac:dyDescent="0.25">
      <c r="A13" s="122">
        <v>111302</v>
      </c>
      <c r="B13" s="410" t="s">
        <v>432</v>
      </c>
      <c r="C13" s="157">
        <f>'Cash Trial'!C13+'JV-MMK'!K14</f>
        <v>2851200</v>
      </c>
      <c r="D13" s="159">
        <f>'Cash Trial'!D13+'JV-MMK'!L14</f>
        <v>700000</v>
      </c>
      <c r="E13" s="167">
        <f>'Cash Trial'!E13+'JV-USD'!K14</f>
        <v>640</v>
      </c>
      <c r="F13" s="167">
        <f>'Cash Trial'!F13+'JV-USD'!L14</f>
        <v>0</v>
      </c>
      <c r="G13" s="165">
        <f t="shared" si="2"/>
        <v>2965.611745513866</v>
      </c>
      <c r="H13" s="166">
        <f t="shared" si="3"/>
        <v>570.96247960848291</v>
      </c>
      <c r="I13" s="34">
        <f t="shared" si="1"/>
        <v>3555376.5742251226</v>
      </c>
      <c r="J13" s="143">
        <v>9</v>
      </c>
    </row>
    <row r="14" spans="1:14" ht="30" hidden="1" customHeight="1" x14ac:dyDescent="0.25">
      <c r="A14" s="122">
        <v>111401</v>
      </c>
      <c r="B14" s="127" t="s">
        <v>14</v>
      </c>
      <c r="C14" s="157">
        <f>'Cash Trial'!C14+'JV-MMK'!K15</f>
        <v>0</v>
      </c>
      <c r="D14" s="159">
        <f>'Cash Trial'!D14+'JV-MMK'!L15</f>
        <v>0</v>
      </c>
      <c r="E14" s="167">
        <f>'Cash Trial'!E14+'JV-USD'!K15</f>
        <v>0</v>
      </c>
      <c r="F14" s="167">
        <f>'Cash Trial'!F14+'JV-USD'!L15</f>
        <v>0</v>
      </c>
      <c r="G14" s="165">
        <f t="shared" si="2"/>
        <v>0</v>
      </c>
      <c r="H14" s="166">
        <f t="shared" si="3"/>
        <v>0</v>
      </c>
      <c r="I14" s="34">
        <f t="shared" si="1"/>
        <v>0</v>
      </c>
      <c r="J14" s="143">
        <v>10</v>
      </c>
    </row>
    <row r="15" spans="1:14" ht="30" hidden="1" customHeight="1" x14ac:dyDescent="0.25">
      <c r="A15" s="122">
        <v>111402</v>
      </c>
      <c r="B15" s="127" t="s">
        <v>161</v>
      </c>
      <c r="C15" s="157">
        <f>'Cash Trial'!C15+'JV-MMK'!K16</f>
        <v>0</v>
      </c>
      <c r="D15" s="159">
        <f>'Cash Trial'!D15+'JV-MMK'!L16</f>
        <v>0</v>
      </c>
      <c r="E15" s="167">
        <f>'Cash Trial'!E15+'JV-USD'!K16</f>
        <v>0</v>
      </c>
      <c r="F15" s="167">
        <f>'Cash Trial'!F15+'JV-USD'!L16</f>
        <v>0</v>
      </c>
      <c r="G15" s="165">
        <f t="shared" si="2"/>
        <v>0</v>
      </c>
      <c r="H15" s="166">
        <f t="shared" si="3"/>
        <v>0</v>
      </c>
      <c r="I15" s="34">
        <f t="shared" si="1"/>
        <v>0</v>
      </c>
      <c r="J15" s="143">
        <v>11</v>
      </c>
    </row>
    <row r="16" spans="1:14" ht="30" hidden="1" customHeight="1" x14ac:dyDescent="0.25">
      <c r="A16" s="122">
        <v>111501</v>
      </c>
      <c r="B16" s="127" t="s">
        <v>15</v>
      </c>
      <c r="C16" s="157">
        <f>'Cash Trial'!C16+'JV-MMK'!K17</f>
        <v>0</v>
      </c>
      <c r="D16" s="159">
        <f>'Cash Trial'!D16+'JV-MMK'!L17</f>
        <v>0</v>
      </c>
      <c r="E16" s="167">
        <f>'Cash Trial'!E16+'JV-USD'!K17</f>
        <v>0</v>
      </c>
      <c r="F16" s="167">
        <f>'Cash Trial'!F16+'JV-USD'!L17</f>
        <v>0</v>
      </c>
      <c r="G16" s="165">
        <f t="shared" si="2"/>
        <v>0</v>
      </c>
      <c r="H16" s="166">
        <f t="shared" si="3"/>
        <v>0</v>
      </c>
      <c r="I16" s="34">
        <f t="shared" si="1"/>
        <v>0</v>
      </c>
      <c r="J16" s="143">
        <v>12</v>
      </c>
    </row>
    <row r="17" spans="1:12" ht="30" hidden="1" customHeight="1" x14ac:dyDescent="0.25">
      <c r="A17" s="122">
        <v>111601</v>
      </c>
      <c r="B17" s="127" t="s">
        <v>1</v>
      </c>
      <c r="C17" s="157">
        <f>'Cash Trial'!C17+'JV-MMK'!K18</f>
        <v>0</v>
      </c>
      <c r="D17" s="159">
        <f>'Cash Trial'!D17+'JV-MMK'!L18</f>
        <v>0</v>
      </c>
      <c r="E17" s="167">
        <f>'Cash Trial'!E17+'JV-USD'!K18</f>
        <v>0</v>
      </c>
      <c r="F17" s="167">
        <f>'Cash Trial'!F17+'JV-USD'!L18</f>
        <v>0</v>
      </c>
      <c r="G17" s="165">
        <f t="shared" si="2"/>
        <v>0</v>
      </c>
      <c r="H17" s="166">
        <f t="shared" si="3"/>
        <v>0</v>
      </c>
      <c r="I17" s="34">
        <f t="shared" si="1"/>
        <v>0</v>
      </c>
      <c r="J17" s="143">
        <v>13</v>
      </c>
    </row>
    <row r="18" spans="1:12" ht="30" hidden="1" customHeight="1" x14ac:dyDescent="0.25">
      <c r="A18" s="122">
        <v>291101</v>
      </c>
      <c r="B18" s="127" t="s">
        <v>2</v>
      </c>
      <c r="C18" s="157">
        <f>'Cash Trial'!C18+'JV-MMK'!K19</f>
        <v>0</v>
      </c>
      <c r="D18" s="159">
        <f>'Cash Trial'!D18+'JV-MMK'!L19</f>
        <v>0</v>
      </c>
      <c r="E18" s="167">
        <f>'Cash Trial'!E18+'JV-USD'!K19</f>
        <v>0</v>
      </c>
      <c r="F18" s="167">
        <f>'Cash Trial'!F18+'JV-USD'!L19</f>
        <v>0</v>
      </c>
      <c r="G18" s="165">
        <f t="shared" si="2"/>
        <v>0</v>
      </c>
      <c r="H18" s="166">
        <f t="shared" si="3"/>
        <v>0</v>
      </c>
      <c r="I18" s="34">
        <f t="shared" si="1"/>
        <v>0</v>
      </c>
      <c r="J18" s="143">
        <v>14</v>
      </c>
    </row>
    <row r="19" spans="1:12" ht="30" customHeight="1" x14ac:dyDescent="0.25">
      <c r="A19" s="122">
        <v>291102</v>
      </c>
      <c r="B19" s="127" t="s">
        <v>16</v>
      </c>
      <c r="C19" s="157">
        <f>'Cash Trial'!C19+'JV-MMK'!K20</f>
        <v>567000</v>
      </c>
      <c r="D19" s="159">
        <f>'Cash Trial'!D19+'JV-MMK'!L20</f>
        <v>0</v>
      </c>
      <c r="E19" s="167">
        <f>'Cash Trial'!E19+'JV-USD'!K20</f>
        <v>0</v>
      </c>
      <c r="F19" s="167">
        <f>'Cash Trial'!F19+'JV-USD'!L20</f>
        <v>0</v>
      </c>
      <c r="G19" s="165">
        <f t="shared" si="2"/>
        <v>462.47960848287113</v>
      </c>
      <c r="H19" s="166">
        <f t="shared" si="3"/>
        <v>0</v>
      </c>
      <c r="I19" s="34">
        <f t="shared" si="1"/>
        <v>567462.47960848291</v>
      </c>
      <c r="J19" s="143">
        <v>15</v>
      </c>
    </row>
    <row r="20" spans="1:12" ht="30" customHeight="1" x14ac:dyDescent="0.25">
      <c r="A20" s="122">
        <v>291103</v>
      </c>
      <c r="B20" s="127" t="s">
        <v>3</v>
      </c>
      <c r="C20" s="157">
        <f>'Cash Trial'!C20+'JV-MMK'!K21</f>
        <v>4545500</v>
      </c>
      <c r="D20" s="159">
        <f>'Cash Trial'!D20+'JV-MMK'!L21</f>
        <v>0</v>
      </c>
      <c r="E20" s="167">
        <f>'Cash Trial'!E20+'JV-USD'!K21</f>
        <v>0</v>
      </c>
      <c r="F20" s="167">
        <f>'Cash Trial'!F20+'JV-USD'!L21</f>
        <v>0</v>
      </c>
      <c r="G20" s="165">
        <f t="shared" si="2"/>
        <v>3707.5856443719413</v>
      </c>
      <c r="H20" s="166">
        <f t="shared" si="3"/>
        <v>0</v>
      </c>
      <c r="I20" s="34">
        <f t="shared" si="1"/>
        <v>4549207.5856443718</v>
      </c>
      <c r="J20" s="143">
        <v>16</v>
      </c>
    </row>
    <row r="21" spans="1:12" ht="30" customHeight="1" x14ac:dyDescent="0.25">
      <c r="A21" s="122">
        <v>291104</v>
      </c>
      <c r="B21" s="127" t="s">
        <v>193</v>
      </c>
      <c r="C21" s="157">
        <f>'Cash Trial'!C21+'JV-MMK'!K22</f>
        <v>0</v>
      </c>
      <c r="D21" s="159">
        <f>'Cash Trial'!D21+'JV-MMK'!L22</f>
        <v>0</v>
      </c>
      <c r="E21" s="167">
        <f>'Cash Trial'!E21+'JV-USD'!K22</f>
        <v>3500</v>
      </c>
      <c r="F21" s="167">
        <f>'Cash Trial'!F21+'JV-USD'!L22</f>
        <v>0</v>
      </c>
      <c r="G21" s="165">
        <f t="shared" si="2"/>
        <v>3500</v>
      </c>
      <c r="H21" s="166">
        <f t="shared" si="3"/>
        <v>0</v>
      </c>
      <c r="I21" s="34">
        <f t="shared" si="1"/>
        <v>7000</v>
      </c>
      <c r="J21" s="143">
        <v>17</v>
      </c>
    </row>
    <row r="22" spans="1:12" ht="30" hidden="1" customHeight="1" x14ac:dyDescent="0.25">
      <c r="A22" s="122">
        <v>294101</v>
      </c>
      <c r="B22" s="127" t="s">
        <v>4</v>
      </c>
      <c r="C22" s="157">
        <f>'Cash Trial'!C22+'JV-MMK'!K23</f>
        <v>0</v>
      </c>
      <c r="D22" s="159">
        <f>'Cash Trial'!D22+'JV-MMK'!L23</f>
        <v>0</v>
      </c>
      <c r="E22" s="167">
        <f>'Cash Trial'!E22+'JV-USD'!K23</f>
        <v>0</v>
      </c>
      <c r="F22" s="167">
        <f>'Cash Trial'!F22+'JV-USD'!L23</f>
        <v>0</v>
      </c>
      <c r="G22" s="165">
        <f t="shared" si="2"/>
        <v>0</v>
      </c>
      <c r="H22" s="166">
        <f t="shared" si="3"/>
        <v>0</v>
      </c>
      <c r="I22" s="34">
        <f t="shared" si="1"/>
        <v>0</v>
      </c>
      <c r="J22" s="143">
        <v>18</v>
      </c>
    </row>
    <row r="23" spans="1:12" ht="30" hidden="1" customHeight="1" x14ac:dyDescent="0.25">
      <c r="A23" s="122">
        <v>294102</v>
      </c>
      <c r="B23" s="127" t="s">
        <v>17</v>
      </c>
      <c r="C23" s="157">
        <f>'Cash Trial'!C23+'JV-MMK'!K24</f>
        <v>0</v>
      </c>
      <c r="D23" s="159">
        <f>'Cash Trial'!D23+'JV-MMK'!L24</f>
        <v>0</v>
      </c>
      <c r="E23" s="167">
        <f>'Cash Trial'!E23+'JV-USD'!K24</f>
        <v>0</v>
      </c>
      <c r="F23" s="167">
        <f>'Cash Trial'!F23+'JV-USD'!L24</f>
        <v>0</v>
      </c>
      <c r="G23" s="165">
        <f t="shared" si="2"/>
        <v>0</v>
      </c>
      <c r="H23" s="166">
        <f t="shared" si="3"/>
        <v>0</v>
      </c>
      <c r="I23" s="34">
        <f t="shared" si="1"/>
        <v>0</v>
      </c>
      <c r="J23" s="143">
        <v>19</v>
      </c>
    </row>
    <row r="24" spans="1:12" ht="30" hidden="1" customHeight="1" x14ac:dyDescent="0.25">
      <c r="A24" s="122">
        <v>294103</v>
      </c>
      <c r="B24" s="127" t="s">
        <v>5</v>
      </c>
      <c r="C24" s="157">
        <f>'Cash Trial'!C24+'JV-MMK'!K25</f>
        <v>0</v>
      </c>
      <c r="D24" s="159">
        <f>'Cash Trial'!D24+'JV-MMK'!L25</f>
        <v>0</v>
      </c>
      <c r="E24" s="167">
        <f>'Cash Trial'!E24+'JV-USD'!K25</f>
        <v>0</v>
      </c>
      <c r="F24" s="167">
        <f>'Cash Trial'!F24+'JV-USD'!L25</f>
        <v>0</v>
      </c>
      <c r="G24" s="165">
        <f t="shared" si="2"/>
        <v>0</v>
      </c>
      <c r="H24" s="166">
        <f t="shared" si="3"/>
        <v>0</v>
      </c>
      <c r="I24" s="34">
        <f t="shared" si="1"/>
        <v>0</v>
      </c>
      <c r="J24" s="143">
        <v>20</v>
      </c>
    </row>
    <row r="25" spans="1:12" ht="30" hidden="1" customHeight="1" x14ac:dyDescent="0.25">
      <c r="A25" s="122">
        <v>294104</v>
      </c>
      <c r="B25" s="127" t="s">
        <v>95</v>
      </c>
      <c r="C25" s="157">
        <f>'Cash Trial'!C25+'JV-MMK'!K26</f>
        <v>0</v>
      </c>
      <c r="D25" s="159">
        <f>'Cash Trial'!D25+'JV-MMK'!L26</f>
        <v>0</v>
      </c>
      <c r="E25" s="167">
        <f>'Cash Trial'!E25+'JV-USD'!K26</f>
        <v>0</v>
      </c>
      <c r="F25" s="167">
        <f>'Cash Trial'!F25+'JV-USD'!L26</f>
        <v>0</v>
      </c>
      <c r="G25" s="165">
        <f t="shared" si="2"/>
        <v>0</v>
      </c>
      <c r="H25" s="166">
        <f t="shared" si="3"/>
        <v>0</v>
      </c>
      <c r="I25" s="34">
        <f t="shared" si="1"/>
        <v>0</v>
      </c>
      <c r="J25" s="143">
        <v>21</v>
      </c>
    </row>
    <row r="26" spans="1:12" ht="30" hidden="1" customHeight="1" x14ac:dyDescent="0.25">
      <c r="A26" s="122">
        <v>321101</v>
      </c>
      <c r="B26" s="127" t="s">
        <v>21</v>
      </c>
      <c r="C26" s="157">
        <f>'Cash Trial'!C26+'JV-MMK'!K27</f>
        <v>0</v>
      </c>
      <c r="D26" s="159">
        <f>'Cash Trial'!D26+'JV-MMK'!L27</f>
        <v>0</v>
      </c>
      <c r="E26" s="167">
        <f>'Cash Trial'!E26+'JV-USD'!K27</f>
        <v>0</v>
      </c>
      <c r="F26" s="167">
        <f>'Cash Trial'!F26+'JV-USD'!L27</f>
        <v>0</v>
      </c>
      <c r="G26" s="165">
        <f t="shared" si="2"/>
        <v>0</v>
      </c>
      <c r="H26" s="166">
        <f t="shared" si="3"/>
        <v>0</v>
      </c>
      <c r="I26" s="34">
        <f t="shared" si="1"/>
        <v>0</v>
      </c>
      <c r="J26" s="143">
        <v>22</v>
      </c>
    </row>
    <row r="27" spans="1:12" ht="30" hidden="1" customHeight="1" x14ac:dyDescent="0.25">
      <c r="A27" s="122">
        <v>321201</v>
      </c>
      <c r="B27" s="127" t="s">
        <v>22</v>
      </c>
      <c r="C27" s="157">
        <f>'Cash Trial'!C27+'JV-MMK'!K28</f>
        <v>0</v>
      </c>
      <c r="D27" s="159">
        <f>'Cash Trial'!D27+'JV-MMK'!L28</f>
        <v>0</v>
      </c>
      <c r="E27" s="167">
        <f>'Cash Trial'!E27+'JV-USD'!K28</f>
        <v>0</v>
      </c>
      <c r="F27" s="167">
        <f>'Cash Trial'!F27+'JV-USD'!L28</f>
        <v>0</v>
      </c>
      <c r="G27" s="165">
        <f t="shared" si="2"/>
        <v>0</v>
      </c>
      <c r="H27" s="166">
        <f t="shared" si="3"/>
        <v>0</v>
      </c>
      <c r="I27" s="34">
        <f t="shared" si="1"/>
        <v>0</v>
      </c>
      <c r="J27" s="143">
        <v>23</v>
      </c>
      <c r="L27" s="396">
        <f>+H27-G27</f>
        <v>0</v>
      </c>
    </row>
    <row r="28" spans="1:12" ht="30" hidden="1" customHeight="1" x14ac:dyDescent="0.25">
      <c r="A28" s="122">
        <v>321301</v>
      </c>
      <c r="B28" s="127" t="s">
        <v>23</v>
      </c>
      <c r="C28" s="157">
        <f>'Cash Trial'!C28+'JV-MMK'!K29</f>
        <v>0</v>
      </c>
      <c r="D28" s="159">
        <f>'Cash Trial'!D28+'JV-MMK'!L29</f>
        <v>0</v>
      </c>
      <c r="E28" s="167">
        <f>'Cash Trial'!E28+'JV-USD'!K29</f>
        <v>0</v>
      </c>
      <c r="F28" s="167">
        <f>'Cash Trial'!F28+'JV-USD'!L29</f>
        <v>0</v>
      </c>
      <c r="G28" s="165">
        <f t="shared" si="2"/>
        <v>0</v>
      </c>
      <c r="H28" s="166">
        <f t="shared" si="3"/>
        <v>0</v>
      </c>
      <c r="I28" s="34">
        <f t="shared" si="1"/>
        <v>0</v>
      </c>
      <c r="J28" s="143">
        <v>24</v>
      </c>
    </row>
    <row r="29" spans="1:12" ht="30" hidden="1" customHeight="1" x14ac:dyDescent="0.25">
      <c r="A29" s="122">
        <v>321302</v>
      </c>
      <c r="B29" s="127" t="s">
        <v>24</v>
      </c>
      <c r="C29" s="157">
        <f>'Cash Trial'!C29+'JV-MMK'!K30</f>
        <v>0</v>
      </c>
      <c r="D29" s="159">
        <f>'Cash Trial'!D29+'JV-MMK'!L30</f>
        <v>0</v>
      </c>
      <c r="E29" s="167">
        <f>'Cash Trial'!E29+'JV-USD'!K30</f>
        <v>0</v>
      </c>
      <c r="F29" s="167">
        <f>'Cash Trial'!F29+'JV-USD'!L30</f>
        <v>0</v>
      </c>
      <c r="G29" s="165">
        <f t="shared" si="2"/>
        <v>0</v>
      </c>
      <c r="H29" s="166">
        <f t="shared" si="3"/>
        <v>0</v>
      </c>
      <c r="I29" s="34">
        <f t="shared" si="1"/>
        <v>0</v>
      </c>
      <c r="J29" s="143">
        <v>25</v>
      </c>
    </row>
    <row r="30" spans="1:12" ht="30" hidden="1" customHeight="1" x14ac:dyDescent="0.25">
      <c r="A30" s="122">
        <v>321303</v>
      </c>
      <c r="B30" s="127" t="s">
        <v>159</v>
      </c>
      <c r="C30" s="157">
        <f>'Cash Trial'!C30+'JV-MMK'!K31</f>
        <v>0</v>
      </c>
      <c r="D30" s="159">
        <f>'Cash Trial'!D30+'JV-MMK'!L31</f>
        <v>0</v>
      </c>
      <c r="E30" s="167">
        <f>'Cash Trial'!E30+'JV-USD'!K31</f>
        <v>0</v>
      </c>
      <c r="F30" s="167">
        <f>'Cash Trial'!F30+'JV-USD'!L31</f>
        <v>0</v>
      </c>
      <c r="G30" s="165">
        <f t="shared" si="2"/>
        <v>0</v>
      </c>
      <c r="H30" s="166">
        <f t="shared" si="3"/>
        <v>0</v>
      </c>
      <c r="I30" s="34">
        <f t="shared" si="1"/>
        <v>0</v>
      </c>
      <c r="J30" s="143">
        <v>26</v>
      </c>
    </row>
    <row r="31" spans="1:12" ht="30" customHeight="1" x14ac:dyDescent="0.25">
      <c r="A31" s="122">
        <v>401101</v>
      </c>
      <c r="B31" s="127" t="s">
        <v>223</v>
      </c>
      <c r="C31" s="157">
        <f>'Cash Trial'!C31+'JV-MMK'!K32</f>
        <v>0</v>
      </c>
      <c r="D31" s="159">
        <f>'Cash Trial'!D31+'JV-MMK'!L32</f>
        <v>36107000</v>
      </c>
      <c r="E31" s="167">
        <f>'Cash Trial'!E31+'JV-USD'!K32</f>
        <v>0</v>
      </c>
      <c r="F31" s="167">
        <f>'Cash Trial'!F31+'JV-USD'!L32</f>
        <v>69500</v>
      </c>
      <c r="G31" s="165">
        <f t="shared" si="2"/>
        <v>0</v>
      </c>
      <c r="H31" s="166">
        <f t="shared" si="3"/>
        <v>98951.060358890696</v>
      </c>
      <c r="I31" s="34">
        <f t="shared" si="1"/>
        <v>36275451.060358889</v>
      </c>
      <c r="J31" s="143">
        <v>27</v>
      </c>
    </row>
    <row r="32" spans="1:12" ht="30" hidden="1" customHeight="1" x14ac:dyDescent="0.25">
      <c r="A32" s="122">
        <v>401201</v>
      </c>
      <c r="B32" s="127" t="s">
        <v>25</v>
      </c>
      <c r="C32" s="157">
        <f>'Cash Trial'!C32+'JV-MMK'!K33</f>
        <v>0</v>
      </c>
      <c r="D32" s="159">
        <f>'Cash Trial'!D32+'JV-MMK'!L33</f>
        <v>0</v>
      </c>
      <c r="E32" s="167">
        <f>'Cash Trial'!E32+'JV-USD'!K33</f>
        <v>0</v>
      </c>
      <c r="F32" s="167">
        <f>'Cash Trial'!F32+'JV-USD'!L33</f>
        <v>0</v>
      </c>
      <c r="G32" s="165">
        <f t="shared" si="2"/>
        <v>0</v>
      </c>
      <c r="H32" s="166">
        <f t="shared" si="3"/>
        <v>0</v>
      </c>
      <c r="I32" s="34">
        <f t="shared" si="1"/>
        <v>0</v>
      </c>
      <c r="J32" s="143">
        <v>28</v>
      </c>
    </row>
    <row r="33" spans="1:10" ht="30" hidden="1" customHeight="1" x14ac:dyDescent="0.25">
      <c r="A33" s="122">
        <v>401301</v>
      </c>
      <c r="B33" s="127" t="s">
        <v>26</v>
      </c>
      <c r="C33" s="157">
        <f>'Cash Trial'!C33+'JV-MMK'!K34</f>
        <v>0</v>
      </c>
      <c r="D33" s="159">
        <f>'Cash Trial'!D33+'JV-MMK'!L34</f>
        <v>0</v>
      </c>
      <c r="E33" s="167">
        <f>'Cash Trial'!E33+'JV-USD'!K34</f>
        <v>0</v>
      </c>
      <c r="F33" s="167">
        <f>'Cash Trial'!F33+'JV-USD'!L34</f>
        <v>0</v>
      </c>
      <c r="G33" s="165">
        <f t="shared" si="2"/>
        <v>0</v>
      </c>
      <c r="H33" s="166">
        <f t="shared" si="3"/>
        <v>0</v>
      </c>
      <c r="I33" s="34">
        <f t="shared" si="1"/>
        <v>0</v>
      </c>
      <c r="J33" s="143">
        <v>29</v>
      </c>
    </row>
    <row r="34" spans="1:10" ht="30" hidden="1" customHeight="1" x14ac:dyDescent="0.25">
      <c r="A34" s="122">
        <v>401401</v>
      </c>
      <c r="B34" s="127" t="s">
        <v>27</v>
      </c>
      <c r="C34" s="157">
        <f>'Cash Trial'!C34+'JV-MMK'!K35</f>
        <v>0</v>
      </c>
      <c r="D34" s="159">
        <f>'Cash Trial'!D34+'JV-MMK'!L35</f>
        <v>0</v>
      </c>
      <c r="E34" s="167">
        <f>'Cash Trial'!E34+'JV-USD'!K35</f>
        <v>0</v>
      </c>
      <c r="F34" s="167">
        <f>'Cash Trial'!F34+'JV-USD'!L35</f>
        <v>0</v>
      </c>
      <c r="G34" s="165">
        <f t="shared" si="2"/>
        <v>0</v>
      </c>
      <c r="H34" s="166">
        <f t="shared" si="3"/>
        <v>0</v>
      </c>
      <c r="I34" s="34">
        <f t="shared" si="1"/>
        <v>0</v>
      </c>
      <c r="J34" s="143">
        <v>30</v>
      </c>
    </row>
    <row r="35" spans="1:10" ht="30" customHeight="1" x14ac:dyDescent="0.25">
      <c r="A35" s="122">
        <v>401402</v>
      </c>
      <c r="B35" s="127" t="s">
        <v>106</v>
      </c>
      <c r="C35" s="157">
        <f>'Cash Trial'!C35+'JV-MMK'!K36</f>
        <v>0</v>
      </c>
      <c r="D35" s="159">
        <f>'Cash Trial'!D35+'JV-MMK'!L36</f>
        <v>61997695</v>
      </c>
      <c r="E35" s="167">
        <f>'Cash Trial'!E35+'JV-USD'!K36</f>
        <v>45325</v>
      </c>
      <c r="F35" s="167">
        <f>'Cash Trial'!F35+'JV-USD'!L36</f>
        <v>0</v>
      </c>
      <c r="G35" s="165">
        <f t="shared" si="2"/>
        <v>45325</v>
      </c>
      <c r="H35" s="166">
        <f t="shared" si="3"/>
        <v>50569.082381729204</v>
      </c>
      <c r="I35" s="34">
        <f t="shared" si="1"/>
        <v>62138914.082381733</v>
      </c>
      <c r="J35" s="143">
        <v>31</v>
      </c>
    </row>
    <row r="36" spans="1:10" ht="30" hidden="1" customHeight="1" x14ac:dyDescent="0.25">
      <c r="A36" s="122">
        <v>401403</v>
      </c>
      <c r="B36" s="127" t="s">
        <v>116</v>
      </c>
      <c r="C36" s="157">
        <f>'Cash Trial'!C36+'JV-MMK'!K37</f>
        <v>0</v>
      </c>
      <c r="D36" s="159">
        <f>'Cash Trial'!D36+'JV-MMK'!L37</f>
        <v>0</v>
      </c>
      <c r="E36" s="167">
        <f>'Cash Trial'!E36+'JV-USD'!K37</f>
        <v>0</v>
      </c>
      <c r="F36" s="167">
        <f>'Cash Trial'!F36+'JV-USD'!L37</f>
        <v>0</v>
      </c>
      <c r="G36" s="165">
        <f t="shared" si="2"/>
        <v>0</v>
      </c>
      <c r="H36" s="166">
        <f t="shared" si="3"/>
        <v>0</v>
      </c>
      <c r="I36" s="34">
        <f t="shared" si="1"/>
        <v>0</v>
      </c>
      <c r="J36" s="143">
        <v>32</v>
      </c>
    </row>
    <row r="37" spans="1:10" ht="30" hidden="1" customHeight="1" x14ac:dyDescent="0.25">
      <c r="A37" s="122">
        <v>514101</v>
      </c>
      <c r="B37" s="127" t="s">
        <v>28</v>
      </c>
      <c r="C37" s="157">
        <f>'Cash Trial'!C37+'JV-MMK'!K38</f>
        <v>0</v>
      </c>
      <c r="D37" s="159">
        <f>'Cash Trial'!D37+'JV-MMK'!L38</f>
        <v>0</v>
      </c>
      <c r="E37" s="167">
        <f>'Cash Trial'!E37+'JV-USD'!K38</f>
        <v>0</v>
      </c>
      <c r="F37" s="167">
        <f>'Cash Trial'!F37+'JV-USD'!L38</f>
        <v>0</v>
      </c>
      <c r="G37" s="165">
        <f t="shared" si="2"/>
        <v>0</v>
      </c>
      <c r="H37" s="166">
        <f t="shared" si="3"/>
        <v>0</v>
      </c>
      <c r="I37" s="34">
        <f t="shared" si="1"/>
        <v>0</v>
      </c>
      <c r="J37" s="143">
        <v>33</v>
      </c>
    </row>
    <row r="38" spans="1:10" ht="30" hidden="1" customHeight="1" x14ac:dyDescent="0.25">
      <c r="A38" s="122">
        <v>611101</v>
      </c>
      <c r="B38" s="127" t="s">
        <v>29</v>
      </c>
      <c r="C38" s="157">
        <f>'Cash Trial'!C38+'JV-MMK'!K39</f>
        <v>0</v>
      </c>
      <c r="D38" s="159">
        <f>'Cash Trial'!D38+'JV-MMK'!L39</f>
        <v>0</v>
      </c>
      <c r="E38" s="167">
        <f>'Cash Trial'!E38+'JV-USD'!K39</f>
        <v>0</v>
      </c>
      <c r="F38" s="167">
        <f>'Cash Trial'!F38+'JV-USD'!L39</f>
        <v>0</v>
      </c>
      <c r="G38" s="165">
        <f t="shared" si="2"/>
        <v>0</v>
      </c>
      <c r="H38" s="166">
        <f t="shared" si="3"/>
        <v>0</v>
      </c>
      <c r="I38" s="34">
        <f t="shared" si="1"/>
        <v>0</v>
      </c>
      <c r="J38" s="143">
        <v>34</v>
      </c>
    </row>
    <row r="39" spans="1:10" ht="30" customHeight="1" x14ac:dyDescent="0.25">
      <c r="A39" s="122">
        <v>612101</v>
      </c>
      <c r="B39" s="127" t="s">
        <v>30</v>
      </c>
      <c r="C39" s="157">
        <f>'Cash Trial'!C39+'JV-MMK'!K40</f>
        <v>55143637</v>
      </c>
      <c r="D39" s="159">
        <f>'Cash Trial'!D39+'JV-MMK'!L40</f>
        <v>0</v>
      </c>
      <c r="E39" s="167">
        <f>'Cash Trial'!E39+'JV-USD'!K40</f>
        <v>1000</v>
      </c>
      <c r="F39" s="167">
        <f>'Cash Trial'!F39+'JV-USD'!L40</f>
        <v>0</v>
      </c>
      <c r="G39" s="165">
        <f t="shared" si="2"/>
        <v>45978.496737357258</v>
      </c>
      <c r="H39" s="166">
        <f t="shared" si="3"/>
        <v>0</v>
      </c>
      <c r="I39" s="34">
        <f t="shared" si="1"/>
        <v>55190615.496737361</v>
      </c>
      <c r="J39" s="143">
        <v>35</v>
      </c>
    </row>
    <row r="40" spans="1:10" ht="30" hidden="1" customHeight="1" x14ac:dyDescent="0.25">
      <c r="A40" s="122">
        <v>612102</v>
      </c>
      <c r="B40" s="127" t="s">
        <v>54</v>
      </c>
      <c r="C40" s="157">
        <f>'Cash Trial'!C40+'JV-MMK'!K41</f>
        <v>0</v>
      </c>
      <c r="D40" s="159">
        <f>'Cash Trial'!D40+'JV-MMK'!L41</f>
        <v>0</v>
      </c>
      <c r="E40" s="167">
        <f>'Cash Trial'!E40+'JV-USD'!K41</f>
        <v>0</v>
      </c>
      <c r="F40" s="167">
        <f>'Cash Trial'!F40+'JV-USD'!L41</f>
        <v>0</v>
      </c>
      <c r="G40" s="165">
        <f t="shared" si="2"/>
        <v>0</v>
      </c>
      <c r="H40" s="166">
        <f t="shared" si="3"/>
        <v>0</v>
      </c>
      <c r="I40" s="34">
        <f t="shared" si="1"/>
        <v>0</v>
      </c>
      <c r="J40" s="143">
        <v>36</v>
      </c>
    </row>
    <row r="41" spans="1:10" ht="30" customHeight="1" x14ac:dyDescent="0.25">
      <c r="A41" s="122">
        <v>612103</v>
      </c>
      <c r="B41" s="127" t="s">
        <v>31</v>
      </c>
      <c r="C41" s="157">
        <f>'Cash Trial'!C41+'JV-MMK'!K42</f>
        <v>16397734</v>
      </c>
      <c r="D41" s="159">
        <f>'Cash Trial'!D41+'JV-MMK'!L42</f>
        <v>0</v>
      </c>
      <c r="E41" s="167">
        <f>'Cash Trial'!E41+'JV-USD'!K42</f>
        <v>6973</v>
      </c>
      <c r="F41" s="167">
        <f>'Cash Trial'!F41+'JV-USD'!L42</f>
        <v>250</v>
      </c>
      <c r="G41" s="165">
        <f t="shared" si="2"/>
        <v>20347.98694942904</v>
      </c>
      <c r="H41" s="166">
        <f t="shared" si="3"/>
        <v>250</v>
      </c>
      <c r="I41" s="34">
        <f t="shared" si="1"/>
        <v>16425554.986949429</v>
      </c>
      <c r="J41" s="143">
        <v>37</v>
      </c>
    </row>
    <row r="42" spans="1:10" ht="30" customHeight="1" x14ac:dyDescent="0.25">
      <c r="A42" s="122">
        <v>612104</v>
      </c>
      <c r="B42" s="127" t="s">
        <v>32</v>
      </c>
      <c r="C42" s="157">
        <f>'Cash Trial'!C42+'JV-MMK'!K43</f>
        <v>1746500</v>
      </c>
      <c r="D42" s="159">
        <f>'Cash Trial'!D42+'JV-MMK'!L43</f>
        <v>0</v>
      </c>
      <c r="E42" s="167">
        <f>'Cash Trial'!E42+'JV-USD'!K43</f>
        <v>0</v>
      </c>
      <c r="F42" s="167">
        <f>'Cash Trial'!F42+'JV-USD'!L43</f>
        <v>0</v>
      </c>
      <c r="G42" s="165">
        <f t="shared" si="2"/>
        <v>1424.5513866231647</v>
      </c>
      <c r="H42" s="166">
        <f t="shared" si="3"/>
        <v>0</v>
      </c>
      <c r="I42" s="34">
        <f t="shared" si="1"/>
        <v>1747924.5513866232</v>
      </c>
      <c r="J42" s="143">
        <v>38</v>
      </c>
    </row>
    <row r="43" spans="1:10" ht="30" customHeight="1" x14ac:dyDescent="0.25">
      <c r="A43" s="122">
        <v>612105</v>
      </c>
      <c r="B43" s="127" t="s">
        <v>33</v>
      </c>
      <c r="C43" s="157">
        <f>'Cash Trial'!C43+'JV-MMK'!K44</f>
        <v>1376500</v>
      </c>
      <c r="D43" s="159">
        <f>'Cash Trial'!D43+'JV-MMK'!L44</f>
        <v>100</v>
      </c>
      <c r="E43" s="167">
        <f>'Cash Trial'!E43+'JV-USD'!K44</f>
        <v>0</v>
      </c>
      <c r="F43" s="167">
        <f>'Cash Trial'!F43+'JV-USD'!L44</f>
        <v>0</v>
      </c>
      <c r="G43" s="165">
        <f t="shared" si="2"/>
        <v>1122.7569331158238</v>
      </c>
      <c r="H43" s="166">
        <f t="shared" si="3"/>
        <v>8.1566068515497553E-2</v>
      </c>
      <c r="I43" s="34">
        <f t="shared" si="1"/>
        <v>1377722.8384991845</v>
      </c>
      <c r="J43" s="143">
        <v>39</v>
      </c>
    </row>
    <row r="44" spans="1:10" ht="30" customHeight="1" x14ac:dyDescent="0.25">
      <c r="A44" s="122">
        <v>612106</v>
      </c>
      <c r="B44" s="127" t="s">
        <v>34</v>
      </c>
      <c r="C44" s="157">
        <f>'Cash Trial'!C44+'JV-MMK'!K45</f>
        <v>640710</v>
      </c>
      <c r="D44" s="159">
        <f>'Cash Trial'!D44+'JV-MMK'!L45</f>
        <v>0</v>
      </c>
      <c r="E44" s="167">
        <f>'Cash Trial'!E44+'JV-USD'!K45</f>
        <v>610</v>
      </c>
      <c r="F44" s="167">
        <f>'Cash Trial'!F44+'JV-USD'!L45</f>
        <v>0</v>
      </c>
      <c r="G44" s="165">
        <f t="shared" si="2"/>
        <v>1132.6019575856444</v>
      </c>
      <c r="H44" s="166">
        <f t="shared" si="3"/>
        <v>0</v>
      </c>
      <c r="I44" s="34">
        <f t="shared" si="1"/>
        <v>642452.60195758566</v>
      </c>
      <c r="J44" s="143">
        <v>40</v>
      </c>
    </row>
    <row r="45" spans="1:10" ht="30" customHeight="1" x14ac:dyDescent="0.25">
      <c r="A45" s="122">
        <v>612107</v>
      </c>
      <c r="B45" s="127" t="s">
        <v>281</v>
      </c>
      <c r="C45" s="157">
        <f>'Cash Trial'!C45+'JV-MMK'!K46</f>
        <v>1922830</v>
      </c>
      <c r="D45" s="159">
        <f>'Cash Trial'!D45+'JV-MMK'!L46</f>
        <v>0</v>
      </c>
      <c r="E45" s="167">
        <f>'Cash Trial'!E45+'JV-USD'!K46</f>
        <v>215</v>
      </c>
      <c r="F45" s="167">
        <f>'Cash Trial'!F45+'JV-USD'!L46</f>
        <v>0</v>
      </c>
      <c r="G45" s="165">
        <f t="shared" si="2"/>
        <v>1783.3768352365416</v>
      </c>
      <c r="H45" s="166">
        <f t="shared" si="3"/>
        <v>0</v>
      </c>
      <c r="I45" s="34">
        <f t="shared" si="1"/>
        <v>1924828.3768352366</v>
      </c>
      <c r="J45" s="143">
        <v>41</v>
      </c>
    </row>
    <row r="46" spans="1:10" ht="30" customHeight="1" x14ac:dyDescent="0.25">
      <c r="A46" s="122">
        <v>612108</v>
      </c>
      <c r="B46" s="127" t="s">
        <v>10</v>
      </c>
      <c r="C46" s="157">
        <f>'Cash Trial'!C46+'JV-MMK'!K47</f>
        <v>2011500</v>
      </c>
      <c r="D46" s="159">
        <f>'Cash Trial'!D46+'JV-MMK'!L47</f>
        <v>0</v>
      </c>
      <c r="E46" s="167">
        <f>'Cash Trial'!E46+'JV-USD'!K47</f>
        <v>0</v>
      </c>
      <c r="F46" s="167">
        <f>'Cash Trial'!F46+'JV-USD'!L47</f>
        <v>0</v>
      </c>
      <c r="G46" s="165">
        <f t="shared" si="2"/>
        <v>1640.7014681892333</v>
      </c>
      <c r="H46" s="166">
        <f t="shared" si="3"/>
        <v>0</v>
      </c>
      <c r="I46" s="34">
        <f t="shared" si="1"/>
        <v>2013140.7014681892</v>
      </c>
      <c r="J46" s="143">
        <v>42</v>
      </c>
    </row>
    <row r="47" spans="1:10" ht="30" hidden="1" customHeight="1" x14ac:dyDescent="0.25">
      <c r="A47" s="122">
        <v>612109</v>
      </c>
      <c r="B47" s="127" t="s">
        <v>47</v>
      </c>
      <c r="C47" s="157">
        <f>'Cash Trial'!C47+'JV-MMK'!K48</f>
        <v>0</v>
      </c>
      <c r="D47" s="159">
        <f>'Cash Trial'!D47+'JV-MMK'!L48</f>
        <v>0</v>
      </c>
      <c r="E47" s="167">
        <f>'Cash Trial'!E47+'JV-USD'!K48</f>
        <v>0</v>
      </c>
      <c r="F47" s="167">
        <f>'Cash Trial'!F47+'JV-USD'!L48</f>
        <v>0</v>
      </c>
      <c r="G47" s="165">
        <f t="shared" si="2"/>
        <v>0</v>
      </c>
      <c r="H47" s="166">
        <f t="shared" si="3"/>
        <v>0</v>
      </c>
      <c r="I47" s="34">
        <f t="shared" si="1"/>
        <v>0</v>
      </c>
      <c r="J47" s="143">
        <v>43</v>
      </c>
    </row>
    <row r="48" spans="1:10" ht="30" hidden="1" customHeight="1" x14ac:dyDescent="0.25">
      <c r="A48" s="122">
        <v>612110</v>
      </c>
      <c r="B48" s="127" t="s">
        <v>36</v>
      </c>
      <c r="C48" s="157">
        <f>'Cash Trial'!C48+'JV-MMK'!K49</f>
        <v>0</v>
      </c>
      <c r="D48" s="159">
        <f>'Cash Trial'!D48+'JV-MMK'!L49</f>
        <v>0</v>
      </c>
      <c r="E48" s="167">
        <f>'Cash Trial'!E48+'JV-USD'!K49</f>
        <v>0</v>
      </c>
      <c r="F48" s="167">
        <f>'Cash Trial'!F48+'JV-USD'!L49</f>
        <v>0</v>
      </c>
      <c r="G48" s="165">
        <f t="shared" si="2"/>
        <v>0</v>
      </c>
      <c r="H48" s="166">
        <f t="shared" si="3"/>
        <v>0</v>
      </c>
      <c r="I48" s="34">
        <f t="shared" si="1"/>
        <v>0</v>
      </c>
      <c r="J48" s="143">
        <v>44</v>
      </c>
    </row>
    <row r="49" spans="1:10" ht="30" hidden="1" customHeight="1" x14ac:dyDescent="0.25">
      <c r="A49" s="122">
        <v>612111</v>
      </c>
      <c r="B49" s="127" t="s">
        <v>37</v>
      </c>
      <c r="C49" s="157">
        <f>'Cash Trial'!C49+'JV-MMK'!K50</f>
        <v>0</v>
      </c>
      <c r="D49" s="159">
        <f>'Cash Trial'!D49+'JV-MMK'!L50</f>
        <v>0</v>
      </c>
      <c r="E49" s="167">
        <f>'Cash Trial'!E49+'JV-USD'!K50</f>
        <v>0</v>
      </c>
      <c r="F49" s="167">
        <f>'Cash Trial'!F49+'JV-USD'!L50</f>
        <v>0</v>
      </c>
      <c r="G49" s="165">
        <f t="shared" si="2"/>
        <v>0</v>
      </c>
      <c r="H49" s="166">
        <f t="shared" si="3"/>
        <v>0</v>
      </c>
      <c r="I49" s="34">
        <f t="shared" si="1"/>
        <v>0</v>
      </c>
      <c r="J49" s="143">
        <v>45</v>
      </c>
    </row>
    <row r="50" spans="1:10" ht="30" customHeight="1" x14ac:dyDescent="0.25">
      <c r="A50" s="122">
        <v>612112</v>
      </c>
      <c r="B50" s="127" t="s">
        <v>38</v>
      </c>
      <c r="C50" s="157">
        <f>'Cash Trial'!C50+'JV-MMK'!K51</f>
        <v>50000</v>
      </c>
      <c r="D50" s="159">
        <f>'Cash Trial'!D50+'JV-MMK'!L51</f>
        <v>0</v>
      </c>
      <c r="E50" s="167">
        <f>'Cash Trial'!E50+'JV-USD'!K51</f>
        <v>0</v>
      </c>
      <c r="F50" s="167">
        <f>'Cash Trial'!F50+'JV-USD'!L51</f>
        <v>0</v>
      </c>
      <c r="G50" s="165">
        <f t="shared" si="2"/>
        <v>40.783034257748774</v>
      </c>
      <c r="H50" s="166">
        <f t="shared" si="3"/>
        <v>0</v>
      </c>
      <c r="I50" s="34">
        <f t="shared" si="1"/>
        <v>50040.783034257751</v>
      </c>
      <c r="J50" s="143">
        <v>46</v>
      </c>
    </row>
    <row r="51" spans="1:10" ht="30" customHeight="1" x14ac:dyDescent="0.25">
      <c r="A51" s="122">
        <v>612113</v>
      </c>
      <c r="B51" s="127" t="s">
        <v>39</v>
      </c>
      <c r="C51" s="157">
        <f>'Cash Trial'!C51+'JV-MMK'!K52</f>
        <v>254700</v>
      </c>
      <c r="D51" s="159">
        <f>'Cash Trial'!D51+'JV-MMK'!L52</f>
        <v>0</v>
      </c>
      <c r="E51" s="167">
        <f>'Cash Trial'!E51+'JV-USD'!K52</f>
        <v>0</v>
      </c>
      <c r="F51" s="167">
        <f>'Cash Trial'!F51+'JV-USD'!L52</f>
        <v>0</v>
      </c>
      <c r="G51" s="165">
        <f t="shared" si="2"/>
        <v>207.74877650897227</v>
      </c>
      <c r="H51" s="166">
        <f t="shared" si="3"/>
        <v>0</v>
      </c>
      <c r="I51" s="34">
        <f t="shared" si="1"/>
        <v>254907.74877650896</v>
      </c>
      <c r="J51" s="143">
        <v>47</v>
      </c>
    </row>
    <row r="52" spans="1:10" ht="30" hidden="1" customHeight="1" x14ac:dyDescent="0.25">
      <c r="A52" s="122">
        <v>612114</v>
      </c>
      <c r="B52" s="127" t="s">
        <v>40</v>
      </c>
      <c r="C52" s="157">
        <f>'Cash Trial'!C52+'JV-MMK'!K53</f>
        <v>0</v>
      </c>
      <c r="D52" s="159">
        <f>'Cash Trial'!D52+'JV-MMK'!L53</f>
        <v>0</v>
      </c>
      <c r="E52" s="167">
        <f>'Cash Trial'!E52+'JV-USD'!K53</f>
        <v>0</v>
      </c>
      <c r="F52" s="167">
        <f>'Cash Trial'!F52+'JV-USD'!L53</f>
        <v>0</v>
      </c>
      <c r="G52" s="165">
        <f t="shared" si="2"/>
        <v>0</v>
      </c>
      <c r="H52" s="166">
        <f t="shared" si="3"/>
        <v>0</v>
      </c>
      <c r="I52" s="34">
        <f t="shared" si="1"/>
        <v>0</v>
      </c>
      <c r="J52" s="143">
        <v>48</v>
      </c>
    </row>
    <row r="53" spans="1:10" ht="30" customHeight="1" x14ac:dyDescent="0.25">
      <c r="A53" s="122">
        <v>612115</v>
      </c>
      <c r="B53" s="127" t="s">
        <v>41</v>
      </c>
      <c r="C53" s="157">
        <f>'Cash Trial'!C53+'JV-MMK'!K54</f>
        <v>51165</v>
      </c>
      <c r="D53" s="159">
        <f>'Cash Trial'!D53+'JV-MMK'!L54</f>
        <v>0</v>
      </c>
      <c r="E53" s="167">
        <f>'Cash Trial'!E53+'JV-USD'!K54</f>
        <v>0</v>
      </c>
      <c r="F53" s="167">
        <f>'Cash Trial'!F53+'JV-USD'!L54</f>
        <v>0</v>
      </c>
      <c r="G53" s="165">
        <f t="shared" si="2"/>
        <v>41.733278955954326</v>
      </c>
      <c r="H53" s="166">
        <f t="shared" si="3"/>
        <v>0</v>
      </c>
      <c r="I53" s="34">
        <f t="shared" si="1"/>
        <v>51206.733278955951</v>
      </c>
      <c r="J53" s="143">
        <v>49</v>
      </c>
    </row>
    <row r="54" spans="1:10" ht="30" hidden="1" customHeight="1" x14ac:dyDescent="0.25">
      <c r="A54" s="122">
        <v>612116</v>
      </c>
      <c r="B54" s="127" t="s">
        <v>42</v>
      </c>
      <c r="C54" s="157">
        <f>'Cash Trial'!C54+'JV-MMK'!K55</f>
        <v>0</v>
      </c>
      <c r="D54" s="159">
        <f>'Cash Trial'!D54+'JV-MMK'!L55</f>
        <v>0</v>
      </c>
      <c r="E54" s="167">
        <f>'Cash Trial'!E54+'JV-USD'!K55</f>
        <v>0</v>
      </c>
      <c r="F54" s="167">
        <f>'Cash Trial'!F54+'JV-USD'!L55</f>
        <v>0</v>
      </c>
      <c r="G54" s="165">
        <f t="shared" si="2"/>
        <v>0</v>
      </c>
      <c r="H54" s="166">
        <f t="shared" si="3"/>
        <v>0</v>
      </c>
      <c r="I54" s="34">
        <f t="shared" si="1"/>
        <v>0</v>
      </c>
      <c r="J54" s="143">
        <v>50</v>
      </c>
    </row>
    <row r="55" spans="1:10" ht="30" customHeight="1" x14ac:dyDescent="0.25">
      <c r="A55" s="122">
        <v>612117</v>
      </c>
      <c r="B55" s="127" t="s">
        <v>43</v>
      </c>
      <c r="C55" s="157">
        <f>'Cash Trial'!C55+'JV-MMK'!K56</f>
        <v>1204400</v>
      </c>
      <c r="D55" s="159">
        <f>'Cash Trial'!D55+'JV-MMK'!L56</f>
        <v>0</v>
      </c>
      <c r="E55" s="167">
        <f>'Cash Trial'!E55+'JV-USD'!K56</f>
        <v>0</v>
      </c>
      <c r="F55" s="167">
        <f>'Cash Trial'!F55+'JV-USD'!L56</f>
        <v>0</v>
      </c>
      <c r="G55" s="165">
        <f t="shared" si="2"/>
        <v>982.38172920065256</v>
      </c>
      <c r="H55" s="166">
        <f t="shared" si="3"/>
        <v>0</v>
      </c>
      <c r="I55" s="34">
        <f t="shared" si="1"/>
        <v>1205382.3817292007</v>
      </c>
      <c r="J55" s="143">
        <v>51</v>
      </c>
    </row>
    <row r="56" spans="1:10" ht="30" hidden="1" customHeight="1" x14ac:dyDescent="0.25">
      <c r="A56" s="122">
        <v>612118</v>
      </c>
      <c r="B56" s="127" t="s">
        <v>44</v>
      </c>
      <c r="C56" s="157">
        <f>'Cash Trial'!C56+'JV-MMK'!K57</f>
        <v>0</v>
      </c>
      <c r="D56" s="159">
        <f>'Cash Trial'!D56+'JV-MMK'!L57</f>
        <v>0</v>
      </c>
      <c r="E56" s="167">
        <f>'Cash Trial'!E56+'JV-USD'!K57</f>
        <v>0</v>
      </c>
      <c r="F56" s="167">
        <f>'Cash Trial'!F56+'JV-USD'!L57</f>
        <v>0</v>
      </c>
      <c r="G56" s="165">
        <f t="shared" si="2"/>
        <v>0</v>
      </c>
      <c r="H56" s="166">
        <f t="shared" si="3"/>
        <v>0</v>
      </c>
      <c r="I56" s="34">
        <f t="shared" si="1"/>
        <v>0</v>
      </c>
      <c r="J56" s="143">
        <v>52</v>
      </c>
    </row>
    <row r="57" spans="1:10" ht="30" customHeight="1" x14ac:dyDescent="0.25">
      <c r="A57" s="122">
        <v>612119</v>
      </c>
      <c r="B57" s="127" t="s">
        <v>45</v>
      </c>
      <c r="C57" s="157">
        <f>'Cash Trial'!C57+'JV-MMK'!K58</f>
        <v>2083314</v>
      </c>
      <c r="D57" s="159">
        <f>'Cash Trial'!D57+'JV-MMK'!L58</f>
        <v>0</v>
      </c>
      <c r="E57" s="167">
        <f>'Cash Trial'!E57+'JV-USD'!K58</f>
        <v>250</v>
      </c>
      <c r="F57" s="167">
        <f>'Cash Trial'!F57+'JV-USD'!L58</f>
        <v>0</v>
      </c>
      <c r="G57" s="165">
        <f t="shared" si="2"/>
        <v>1949.2773246329527</v>
      </c>
      <c r="H57" s="166">
        <f t="shared" si="3"/>
        <v>0</v>
      </c>
      <c r="I57" s="34">
        <f t="shared" si="1"/>
        <v>2085513.277324633</v>
      </c>
      <c r="J57" s="143">
        <v>53</v>
      </c>
    </row>
    <row r="58" spans="1:10" ht="30" hidden="1" customHeight="1" x14ac:dyDescent="0.25">
      <c r="A58" s="122">
        <v>612120</v>
      </c>
      <c r="B58" s="127" t="s">
        <v>46</v>
      </c>
      <c r="C58" s="157">
        <f>'Cash Trial'!C58+'JV-MMK'!K59</f>
        <v>0</v>
      </c>
      <c r="D58" s="159">
        <f>'Cash Trial'!D58+'JV-MMK'!L59</f>
        <v>0</v>
      </c>
      <c r="E58" s="167">
        <f>'Cash Trial'!E58+'JV-USD'!K59</f>
        <v>0</v>
      </c>
      <c r="F58" s="167">
        <f>'Cash Trial'!F58+'JV-USD'!L59</f>
        <v>0</v>
      </c>
      <c r="G58" s="165">
        <f t="shared" si="2"/>
        <v>0</v>
      </c>
      <c r="H58" s="166">
        <f t="shared" si="3"/>
        <v>0</v>
      </c>
      <c r="I58" s="34">
        <f t="shared" si="1"/>
        <v>0</v>
      </c>
      <c r="J58" s="143">
        <v>54</v>
      </c>
    </row>
    <row r="59" spans="1:10" ht="30" customHeight="1" x14ac:dyDescent="0.25">
      <c r="A59" s="122">
        <v>612121</v>
      </c>
      <c r="B59" s="127" t="s">
        <v>48</v>
      </c>
      <c r="C59" s="157">
        <f>'Cash Trial'!C59+'JV-MMK'!K60</f>
        <v>133600</v>
      </c>
      <c r="D59" s="159">
        <f>'Cash Trial'!D59+'JV-MMK'!L60</f>
        <v>0</v>
      </c>
      <c r="E59" s="167">
        <f>'Cash Trial'!E59+'JV-USD'!K60</f>
        <v>0</v>
      </c>
      <c r="F59" s="167">
        <f>'Cash Trial'!F59+'JV-USD'!L60</f>
        <v>0</v>
      </c>
      <c r="G59" s="165">
        <f t="shared" si="2"/>
        <v>108.97226753670473</v>
      </c>
      <c r="H59" s="166">
        <f t="shared" si="3"/>
        <v>0</v>
      </c>
      <c r="I59" s="34">
        <f t="shared" si="1"/>
        <v>133708.97226753671</v>
      </c>
      <c r="J59" s="143">
        <v>55</v>
      </c>
    </row>
    <row r="60" spans="1:10" ht="30" customHeight="1" x14ac:dyDescent="0.25">
      <c r="A60" s="122">
        <v>612122</v>
      </c>
      <c r="B60" s="127" t="s">
        <v>49</v>
      </c>
      <c r="C60" s="157">
        <f>'Cash Trial'!C60+'JV-MMK'!K61</f>
        <v>925</v>
      </c>
      <c r="D60" s="159">
        <f>'Cash Trial'!D60+'JV-MMK'!L61</f>
        <v>0</v>
      </c>
      <c r="E60" s="167">
        <f>'Cash Trial'!E60+'JV-USD'!K61</f>
        <v>40.9</v>
      </c>
      <c r="F60" s="167">
        <f>'Cash Trial'!F60+'JV-USD'!L61</f>
        <v>0</v>
      </c>
      <c r="G60" s="165">
        <f t="shared" si="2"/>
        <v>41.654486133768351</v>
      </c>
      <c r="H60" s="166">
        <f t="shared" si="3"/>
        <v>0</v>
      </c>
      <c r="I60" s="34">
        <f t="shared" si="1"/>
        <v>1007.5544861337684</v>
      </c>
      <c r="J60" s="143">
        <v>56</v>
      </c>
    </row>
    <row r="61" spans="1:10" ht="30" hidden="1" customHeight="1" x14ac:dyDescent="0.25">
      <c r="A61" s="122">
        <v>612123</v>
      </c>
      <c r="B61" s="127" t="s">
        <v>50</v>
      </c>
      <c r="C61" s="157">
        <f>'Cash Trial'!C61+'JV-MMK'!K62</f>
        <v>0</v>
      </c>
      <c r="D61" s="159">
        <f>'Cash Trial'!D61+'JV-MMK'!L62</f>
        <v>0</v>
      </c>
      <c r="E61" s="167">
        <f>'Cash Trial'!E61+'JV-USD'!K62</f>
        <v>0</v>
      </c>
      <c r="F61" s="167">
        <f>'Cash Trial'!F61+'JV-USD'!L62</f>
        <v>0</v>
      </c>
      <c r="G61" s="165">
        <f t="shared" si="2"/>
        <v>0</v>
      </c>
      <c r="H61" s="166">
        <f t="shared" si="3"/>
        <v>0</v>
      </c>
      <c r="I61" s="34">
        <f t="shared" si="1"/>
        <v>0</v>
      </c>
      <c r="J61" s="143">
        <v>57</v>
      </c>
    </row>
    <row r="62" spans="1:10" ht="30" hidden="1" customHeight="1" x14ac:dyDescent="0.25">
      <c r="A62" s="122">
        <v>612124</v>
      </c>
      <c r="B62" s="127" t="s">
        <v>51</v>
      </c>
      <c r="C62" s="157">
        <f>'Cash Trial'!C62+'JV-MMK'!K63</f>
        <v>0</v>
      </c>
      <c r="D62" s="159">
        <f>'Cash Trial'!D62+'JV-MMK'!L63</f>
        <v>0</v>
      </c>
      <c r="E62" s="167">
        <f>'Cash Trial'!E62+'JV-USD'!K63</f>
        <v>0</v>
      </c>
      <c r="F62" s="167">
        <f>'Cash Trial'!F62+'JV-USD'!L63</f>
        <v>0</v>
      </c>
      <c r="G62" s="165">
        <f t="shared" si="2"/>
        <v>0</v>
      </c>
      <c r="H62" s="166">
        <f t="shared" si="3"/>
        <v>0</v>
      </c>
      <c r="I62" s="34">
        <f t="shared" si="1"/>
        <v>0</v>
      </c>
      <c r="J62" s="143">
        <v>58</v>
      </c>
    </row>
    <row r="63" spans="1:10" ht="30" hidden="1" customHeight="1" x14ac:dyDescent="0.25">
      <c r="A63" s="122">
        <v>612125</v>
      </c>
      <c r="B63" s="127" t="s">
        <v>52</v>
      </c>
      <c r="C63" s="157">
        <f>'Cash Trial'!C63+'JV-MMK'!K64</f>
        <v>0</v>
      </c>
      <c r="D63" s="159">
        <f>'Cash Trial'!D63+'JV-MMK'!L64</f>
        <v>0</v>
      </c>
      <c r="E63" s="167">
        <f>'Cash Trial'!E63+'JV-USD'!K64</f>
        <v>0</v>
      </c>
      <c r="F63" s="167">
        <f>'Cash Trial'!F63+'JV-USD'!L64</f>
        <v>0</v>
      </c>
      <c r="G63" s="165">
        <f t="shared" si="2"/>
        <v>0</v>
      </c>
      <c r="H63" s="166">
        <f t="shared" si="3"/>
        <v>0</v>
      </c>
      <c r="I63" s="34">
        <f t="shared" si="1"/>
        <v>0</v>
      </c>
      <c r="J63" s="143">
        <v>59</v>
      </c>
    </row>
    <row r="64" spans="1:10" ht="30" customHeight="1" x14ac:dyDescent="0.25">
      <c r="A64" s="122">
        <v>612126</v>
      </c>
      <c r="B64" s="127" t="s">
        <v>53</v>
      </c>
      <c r="C64" s="157">
        <f>'Cash Trial'!C64+'JV-MMK'!K65</f>
        <v>700000</v>
      </c>
      <c r="D64" s="159">
        <f>'Cash Trial'!D64+'JV-MMK'!L65</f>
        <v>0</v>
      </c>
      <c r="E64" s="167">
        <f>'Cash Trial'!E64+'JV-USD'!K65</f>
        <v>1100</v>
      </c>
      <c r="F64" s="167">
        <f>'Cash Trial'!F64+'JV-USD'!L65</f>
        <v>0</v>
      </c>
      <c r="G64" s="165">
        <f t="shared" si="2"/>
        <v>1670.9624796084829</v>
      </c>
      <c r="H64" s="166">
        <f t="shared" si="3"/>
        <v>0</v>
      </c>
      <c r="I64" s="34">
        <f t="shared" si="1"/>
        <v>702770.96247960848</v>
      </c>
      <c r="J64" s="143">
        <v>60</v>
      </c>
    </row>
    <row r="65" spans="1:10" ht="30" hidden="1" customHeight="1" x14ac:dyDescent="0.25">
      <c r="A65" s="122">
        <v>612127</v>
      </c>
      <c r="B65" s="127" t="s">
        <v>55</v>
      </c>
      <c r="C65" s="157">
        <f>'Cash Trial'!C65+'JV-MMK'!K66</f>
        <v>0</v>
      </c>
      <c r="D65" s="159">
        <f>'Cash Trial'!D65+'JV-MMK'!L66</f>
        <v>0</v>
      </c>
      <c r="E65" s="167">
        <f>'Cash Trial'!E65+'JV-USD'!K66</f>
        <v>0</v>
      </c>
      <c r="F65" s="167">
        <f>'Cash Trial'!F65+'JV-USD'!L66</f>
        <v>0</v>
      </c>
      <c r="G65" s="165">
        <f t="shared" si="2"/>
        <v>0</v>
      </c>
      <c r="H65" s="166">
        <f t="shared" si="3"/>
        <v>0</v>
      </c>
      <c r="I65" s="34">
        <f t="shared" si="1"/>
        <v>0</v>
      </c>
      <c r="J65" s="143">
        <v>61</v>
      </c>
    </row>
    <row r="66" spans="1:10" ht="30" customHeight="1" thickBot="1" x14ac:dyDescent="0.3">
      <c r="A66" s="122">
        <v>612128</v>
      </c>
      <c r="B66" s="127" t="s">
        <v>259</v>
      </c>
      <c r="C66" s="157">
        <f>'Cash Trial'!C66+'JV-MMK'!K67</f>
        <v>370800</v>
      </c>
      <c r="D66" s="159">
        <f>'Cash Trial'!D66+'JV-MMK'!L67</f>
        <v>0</v>
      </c>
      <c r="E66" s="167">
        <f>'Cash Trial'!E66+'JV-USD'!K67</f>
        <v>0</v>
      </c>
      <c r="F66" s="167">
        <f>'Cash Trial'!F66+'JV-USD'!L67</f>
        <v>0</v>
      </c>
      <c r="G66" s="165">
        <f t="shared" si="2"/>
        <v>302.4469820554649</v>
      </c>
      <c r="H66" s="166">
        <f t="shared" si="3"/>
        <v>0</v>
      </c>
      <c r="I66" s="34">
        <f t="shared" si="1"/>
        <v>371102.44698205544</v>
      </c>
      <c r="J66" s="143">
        <v>62</v>
      </c>
    </row>
    <row r="67" spans="1:10" ht="30" hidden="1" customHeight="1" x14ac:dyDescent="0.25">
      <c r="A67" s="122">
        <v>612129</v>
      </c>
      <c r="B67" s="127" t="s">
        <v>57</v>
      </c>
      <c r="C67" s="157">
        <f>'Cash Trial'!C67+'JV-MMK'!K68</f>
        <v>0</v>
      </c>
      <c r="D67" s="159">
        <f>'Cash Trial'!D67+'JV-MMK'!L68</f>
        <v>0</v>
      </c>
      <c r="E67" s="167">
        <f>'Cash Trial'!E67+'JV-USD'!K68</f>
        <v>0</v>
      </c>
      <c r="F67" s="167">
        <f>'Cash Trial'!F67+'JV-USD'!L68</f>
        <v>0</v>
      </c>
      <c r="G67" s="165">
        <f t="shared" si="2"/>
        <v>0</v>
      </c>
      <c r="H67" s="166">
        <f t="shared" si="3"/>
        <v>0</v>
      </c>
      <c r="I67" s="34">
        <f t="shared" si="1"/>
        <v>0</v>
      </c>
      <c r="J67" s="143">
        <v>63</v>
      </c>
    </row>
    <row r="68" spans="1:10" ht="30" hidden="1" customHeight="1" x14ac:dyDescent="0.25">
      <c r="A68" s="122">
        <v>612210</v>
      </c>
      <c r="B68" s="127" t="s">
        <v>58</v>
      </c>
      <c r="C68" s="157">
        <f>'Cash Trial'!C68+'JV-MMK'!K69</f>
        <v>0</v>
      </c>
      <c r="D68" s="159">
        <f>'Cash Trial'!D68+'JV-MMK'!L69</f>
        <v>0</v>
      </c>
      <c r="E68" s="167">
        <f>'Cash Trial'!E68+'JV-USD'!K69</f>
        <v>0</v>
      </c>
      <c r="F68" s="167">
        <f>'Cash Trial'!F68+'JV-USD'!L69</f>
        <v>0</v>
      </c>
      <c r="G68" s="165">
        <f t="shared" si="2"/>
        <v>0</v>
      </c>
      <c r="H68" s="166">
        <f t="shared" si="3"/>
        <v>0</v>
      </c>
      <c r="I68" s="34">
        <f t="shared" si="1"/>
        <v>0</v>
      </c>
      <c r="J68" s="143">
        <v>64</v>
      </c>
    </row>
    <row r="69" spans="1:10" ht="30" hidden="1" customHeight="1" x14ac:dyDescent="0.25">
      <c r="A69" s="122">
        <v>612211</v>
      </c>
      <c r="B69" s="127" t="s">
        <v>59</v>
      </c>
      <c r="C69" s="157">
        <f>'Cash Trial'!C69+'JV-MMK'!K70</f>
        <v>0</v>
      </c>
      <c r="D69" s="159">
        <f>'Cash Trial'!D69+'JV-MMK'!L70</f>
        <v>0</v>
      </c>
      <c r="E69" s="167">
        <f>'Cash Trial'!E69+'JV-USD'!K70</f>
        <v>0</v>
      </c>
      <c r="F69" s="167">
        <f>'Cash Trial'!F69+'JV-USD'!L70</f>
        <v>0</v>
      </c>
      <c r="G69" s="165">
        <f t="shared" si="2"/>
        <v>0</v>
      </c>
      <c r="H69" s="166">
        <f t="shared" si="3"/>
        <v>0</v>
      </c>
      <c r="I69" s="34">
        <f t="shared" si="1"/>
        <v>0</v>
      </c>
      <c r="J69" s="143">
        <v>65</v>
      </c>
    </row>
    <row r="70" spans="1:10" ht="30" hidden="1" customHeight="1" x14ac:dyDescent="0.25">
      <c r="A70" s="122">
        <v>612212</v>
      </c>
      <c r="B70" s="127" t="s">
        <v>60</v>
      </c>
      <c r="C70" s="157">
        <f>'Cash Trial'!C70+'JV-MMK'!K71</f>
        <v>0</v>
      </c>
      <c r="D70" s="159">
        <f>'Cash Trial'!D70+'JV-MMK'!L71</f>
        <v>0</v>
      </c>
      <c r="E70" s="167">
        <f>'Cash Trial'!E70+'JV-USD'!K71</f>
        <v>0</v>
      </c>
      <c r="F70" s="167">
        <f>'Cash Trial'!F70+'JV-USD'!L71</f>
        <v>0</v>
      </c>
      <c r="G70" s="165">
        <f t="shared" si="2"/>
        <v>0</v>
      </c>
      <c r="H70" s="166">
        <f t="shared" si="3"/>
        <v>0</v>
      </c>
      <c r="I70" s="34">
        <f t="shared" ref="I70:I73" si="4">SUM(C70:H70)</f>
        <v>0</v>
      </c>
      <c r="J70" s="143">
        <v>66</v>
      </c>
    </row>
    <row r="71" spans="1:10" ht="30" hidden="1" customHeight="1" x14ac:dyDescent="0.25">
      <c r="A71" s="122">
        <v>612213</v>
      </c>
      <c r="B71" s="127" t="s">
        <v>96</v>
      </c>
      <c r="C71" s="157">
        <f>'Cash Trial'!C71+'JV-MMK'!K72</f>
        <v>0</v>
      </c>
      <c r="D71" s="159">
        <f>'Cash Trial'!D71+'JV-MMK'!L72</f>
        <v>0</v>
      </c>
      <c r="E71" s="167">
        <f>'Cash Trial'!E71+'JV-USD'!K72</f>
        <v>0</v>
      </c>
      <c r="F71" s="167">
        <f>'Cash Trial'!F71+'JV-USD'!L72</f>
        <v>0</v>
      </c>
      <c r="G71" s="165">
        <f t="shared" si="2"/>
        <v>0</v>
      </c>
      <c r="H71" s="166">
        <f t="shared" si="3"/>
        <v>0</v>
      </c>
      <c r="I71" s="34">
        <f t="shared" si="4"/>
        <v>0</v>
      </c>
      <c r="J71" s="143">
        <v>67</v>
      </c>
    </row>
    <row r="72" spans="1:10" ht="30" hidden="1" customHeight="1" x14ac:dyDescent="0.25">
      <c r="A72" s="122">
        <v>612214</v>
      </c>
      <c r="B72" s="127" t="s">
        <v>94</v>
      </c>
      <c r="C72" s="157">
        <f>'Cash Trial'!C72+'JV-MMK'!K73</f>
        <v>0</v>
      </c>
      <c r="D72" s="159">
        <f>'Cash Trial'!D72+'JV-MMK'!L73</f>
        <v>0</v>
      </c>
      <c r="E72" s="167">
        <f>'Cash Trial'!E72+'JV-USD'!K73</f>
        <v>0</v>
      </c>
      <c r="F72" s="167">
        <f>'Cash Trial'!F72+'JV-USD'!L73</f>
        <v>0</v>
      </c>
      <c r="G72" s="165">
        <f t="shared" si="2"/>
        <v>0</v>
      </c>
      <c r="H72" s="166">
        <f t="shared" si="3"/>
        <v>0</v>
      </c>
      <c r="I72" s="34">
        <f t="shared" si="4"/>
        <v>0</v>
      </c>
      <c r="J72" s="143">
        <v>68</v>
      </c>
    </row>
    <row r="73" spans="1:10" ht="30" hidden="1" customHeight="1" thickBot="1" x14ac:dyDescent="0.3">
      <c r="A73" s="192">
        <v>612215</v>
      </c>
      <c r="B73" s="191" t="s">
        <v>120</v>
      </c>
      <c r="C73" s="189">
        <f>'Cash Trial'!C73+'JV-MMK'!K74</f>
        <v>0</v>
      </c>
      <c r="D73" s="188">
        <f>'Cash Trial'!D73+'JV-MMK'!L74</f>
        <v>0</v>
      </c>
      <c r="E73" s="371">
        <f>'Cash Trial'!E73+'JV-USD'!K74</f>
        <v>0</v>
      </c>
      <c r="F73" s="371">
        <f>'Cash Trial'!F73+'JV-USD'!L74</f>
        <v>0</v>
      </c>
      <c r="G73" s="165">
        <f t="shared" si="2"/>
        <v>0</v>
      </c>
      <c r="H73" s="166">
        <f t="shared" si="3"/>
        <v>0</v>
      </c>
      <c r="I73" s="34">
        <f t="shared" si="4"/>
        <v>0</v>
      </c>
      <c r="J73" s="143">
        <v>69</v>
      </c>
    </row>
    <row r="74" spans="1:10" ht="30" customHeight="1" thickBot="1" x14ac:dyDescent="0.3">
      <c r="A74" s="35"/>
      <c r="B74" s="130" t="s">
        <v>76</v>
      </c>
      <c r="C74" s="163">
        <f>SUM(C5:C73)</f>
        <v>170212579</v>
      </c>
      <c r="D74" s="164">
        <f>SUM(D5:D73)</f>
        <v>170212579</v>
      </c>
      <c r="E74" s="369">
        <f t="shared" ref="E74:H74" si="5">SUM(E5:E72)</f>
        <v>136755.9</v>
      </c>
      <c r="F74" s="369">
        <f t="shared" si="5"/>
        <v>136755.9</v>
      </c>
      <c r="G74" s="369">
        <f t="shared" si="5"/>
        <v>275591.6088091355</v>
      </c>
      <c r="H74" s="370">
        <f t="shared" si="5"/>
        <v>275591.60880913539</v>
      </c>
      <c r="I74" s="143">
        <v>1</v>
      </c>
    </row>
    <row r="75" spans="1:10" ht="24.9" customHeight="1" thickTop="1" x14ac:dyDescent="0.25">
      <c r="A75" s="131" t="str">
        <f>'Cash Trial'!A76</f>
        <v>Exchange Rate for 1-06-2015 to 31-05-2016 is 1,226 mmk/Per USD</v>
      </c>
      <c r="B75" s="36"/>
      <c r="C75" s="37"/>
      <c r="D75" s="132">
        <f>'Cash Trial'!D76</f>
        <v>1226</v>
      </c>
      <c r="E75" s="38"/>
      <c r="F75" s="38"/>
      <c r="G75" s="38"/>
      <c r="H75" s="38"/>
    </row>
    <row r="76" spans="1:10" ht="24.9" customHeight="1" x14ac:dyDescent="0.25">
      <c r="B76" s="36"/>
      <c r="C76" s="39"/>
      <c r="D76" s="205">
        <f>C74-D74</f>
        <v>0</v>
      </c>
      <c r="E76" s="37"/>
      <c r="F76" s="206">
        <f>E74-F74</f>
        <v>0</v>
      </c>
      <c r="G76" s="37"/>
      <c r="H76" s="207">
        <f>G74-H74</f>
        <v>0</v>
      </c>
    </row>
    <row r="77" spans="1:10" ht="24.9" customHeight="1" x14ac:dyDescent="0.25">
      <c r="B77" s="40"/>
      <c r="C77" s="41"/>
      <c r="D77" s="41"/>
      <c r="E77" s="180"/>
      <c r="F77" s="41"/>
      <c r="G77" s="41"/>
      <c r="H77" s="41"/>
    </row>
    <row r="78" spans="1:10" ht="24.9" customHeight="1" x14ac:dyDescent="0.25">
      <c r="B78" s="42"/>
      <c r="C78" s="43"/>
      <c r="D78" s="44"/>
      <c r="E78" s="44"/>
      <c r="F78" s="44"/>
      <c r="G78" s="44"/>
      <c r="H78" s="44"/>
    </row>
    <row r="79" spans="1:10" ht="24.9" customHeight="1" x14ac:dyDescent="0.25"/>
  </sheetData>
  <autoFilter ref="A3:I76">
    <filterColumn colId="2" showButton="0"/>
    <filterColumn colId="4" showButton="0"/>
    <filterColumn colId="6" showButton="0"/>
    <filterColumn colId="8">
      <filters blank="1">
        <filter val="1"/>
        <filter val="1,008"/>
        <filter val="1,205,382"/>
        <filter val="1,377,723"/>
        <filter val="1,747,925"/>
        <filter val="1,924,828"/>
        <filter val="133,709"/>
        <filter val="143,053,930"/>
        <filter val="16,425,555"/>
        <filter val="16,860"/>
        <filter val="2,013,141"/>
        <filter val="2,085,513"/>
        <filter val="2,638,530"/>
        <filter val="254,908"/>
        <filter val="264,232"/>
        <filter val="3,555,377"/>
        <filter val="36,275,451"/>
        <filter val="371,102"/>
        <filter val="4,005,009"/>
        <filter val="4,549,208"/>
        <filter val="50,041"/>
        <filter val="51,207"/>
        <filter val="55,190,615"/>
        <filter val="567,462"/>
        <filter val="62,138,914"/>
        <filter val="642,453"/>
        <filter val="7,000"/>
        <filter val="702,771"/>
      </filters>
    </filterColumn>
  </autoFilter>
  <mergeCells count="7">
    <mergeCell ref="A1:H1"/>
    <mergeCell ref="A2:H2"/>
    <mergeCell ref="E3:F3"/>
    <mergeCell ref="G3:H3"/>
    <mergeCell ref="A3:A4"/>
    <mergeCell ref="B3:B4"/>
    <mergeCell ref="C3:D3"/>
  </mergeCells>
  <pageMargins left="0.19685039370078741" right="0" top="3.937007874015748E-2" bottom="3.937007874015748E-2" header="0.51181102362204722" footer="0.51181102362204722"/>
  <pageSetup paperSize="9" scale="8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opLeftCell="A22" workbookViewId="0">
      <selection activeCell="D59" sqref="D59"/>
    </sheetView>
  </sheetViews>
  <sheetFormatPr defaultColWidth="27.33203125" defaultRowHeight="13.2" x14ac:dyDescent="0.25"/>
  <cols>
    <col min="1" max="1" width="42.6640625" style="286" customWidth="1"/>
    <col min="2" max="3" width="15.6640625" style="286" customWidth="1"/>
    <col min="4" max="4" width="19.88671875" style="286" customWidth="1"/>
    <col min="5" max="16384" width="27.33203125" style="286"/>
  </cols>
  <sheetData>
    <row r="1" spans="1:4" ht="27.9" customHeight="1" x14ac:dyDescent="0.25">
      <c r="A1" s="303" t="s">
        <v>136</v>
      </c>
    </row>
    <row r="2" spans="1:4" ht="27.9" customHeight="1" x14ac:dyDescent="0.25">
      <c r="A2" s="478" t="s">
        <v>137</v>
      </c>
      <c r="B2" s="478"/>
      <c r="C2" s="478"/>
      <c r="D2" s="478"/>
    </row>
    <row r="3" spans="1:4" ht="27.9" customHeight="1" x14ac:dyDescent="0.25">
      <c r="A3" s="288"/>
      <c r="B3" s="292" t="s">
        <v>78</v>
      </c>
      <c r="C3" s="292" t="s">
        <v>102</v>
      </c>
      <c r="D3" s="292" t="s">
        <v>103</v>
      </c>
    </row>
    <row r="4" spans="1:4" ht="24.9" customHeight="1" x14ac:dyDescent="0.25">
      <c r="A4" s="293" t="s">
        <v>8</v>
      </c>
      <c r="B4" s="291"/>
      <c r="C4" s="291"/>
      <c r="D4" s="291"/>
    </row>
    <row r="5" spans="1:4" ht="20.100000000000001" customHeight="1" x14ac:dyDescent="0.25">
      <c r="A5" s="296" t="s">
        <v>28</v>
      </c>
      <c r="B5" s="299">
        <v>110239640</v>
      </c>
      <c r="C5" s="298">
        <v>0</v>
      </c>
      <c r="D5" s="299">
        <v>107341.42161635832</v>
      </c>
    </row>
    <row r="6" spans="1:4" ht="20.100000000000001" customHeight="1" x14ac:dyDescent="0.25">
      <c r="A6" s="295" t="s">
        <v>93</v>
      </c>
      <c r="B6" s="297">
        <v>0</v>
      </c>
      <c r="C6" s="297">
        <v>0</v>
      </c>
      <c r="D6" s="297">
        <v>0</v>
      </c>
    </row>
    <row r="7" spans="1:4" ht="24.9" customHeight="1" x14ac:dyDescent="0.25">
      <c r="A7" s="294" t="s">
        <v>80</v>
      </c>
      <c r="B7" s="300">
        <v>110239640</v>
      </c>
      <c r="C7" s="300">
        <v>0</v>
      </c>
      <c r="D7" s="300">
        <v>107341.42161635832</v>
      </c>
    </row>
    <row r="8" spans="1:4" ht="20.100000000000001" customHeight="1" x14ac:dyDescent="0.25">
      <c r="A8" s="302" t="s">
        <v>81</v>
      </c>
      <c r="B8" s="289"/>
      <c r="C8" s="289"/>
      <c r="D8" s="289"/>
    </row>
    <row r="9" spans="1:4" ht="20.100000000000001" hidden="1" customHeight="1" x14ac:dyDescent="0.25">
      <c r="A9" s="296" t="s">
        <v>29</v>
      </c>
      <c r="B9" s="301">
        <v>0</v>
      </c>
      <c r="C9" s="301">
        <v>0</v>
      </c>
      <c r="D9" s="301">
        <v>0</v>
      </c>
    </row>
    <row r="10" spans="1:4" ht="20.100000000000001" customHeight="1" x14ac:dyDescent="0.25">
      <c r="A10" s="296" t="s">
        <v>30</v>
      </c>
      <c r="B10" s="301">
        <v>116970000</v>
      </c>
      <c r="C10" s="301">
        <v>0</v>
      </c>
      <c r="D10" s="301">
        <v>113894.83933787732</v>
      </c>
    </row>
    <row r="11" spans="1:4" ht="20.100000000000001" customHeight="1" x14ac:dyDescent="0.25">
      <c r="A11" s="296" t="s">
        <v>47</v>
      </c>
      <c r="B11" s="301">
        <v>75724017</v>
      </c>
      <c r="C11" s="301">
        <v>2700</v>
      </c>
      <c r="D11" s="301">
        <v>73733.220058422594</v>
      </c>
    </row>
    <row r="12" spans="1:4" ht="20.100000000000001" customHeight="1" x14ac:dyDescent="0.25">
      <c r="A12" s="296" t="s">
        <v>31</v>
      </c>
      <c r="B12" s="301">
        <v>21875000</v>
      </c>
      <c r="C12" s="301">
        <v>14437</v>
      </c>
      <c r="D12" s="301">
        <v>21299.902629016553</v>
      </c>
    </row>
    <row r="13" spans="1:4" ht="20.100000000000001" customHeight="1" x14ac:dyDescent="0.25">
      <c r="A13" s="296" t="s">
        <v>10</v>
      </c>
      <c r="B13" s="301">
        <v>3151582</v>
      </c>
      <c r="C13" s="301">
        <v>618</v>
      </c>
      <c r="D13" s="301">
        <v>3068.7263875365143</v>
      </c>
    </row>
    <row r="14" spans="1:4" ht="20.100000000000001" customHeight="1" x14ac:dyDescent="0.25">
      <c r="A14" s="296" t="s">
        <v>33</v>
      </c>
      <c r="B14" s="301">
        <v>2195455</v>
      </c>
      <c r="C14" s="301">
        <v>28</v>
      </c>
      <c r="D14" s="301">
        <v>2137.7361246348587</v>
      </c>
    </row>
    <row r="15" spans="1:4" ht="20.100000000000001" customHeight="1" x14ac:dyDescent="0.25">
      <c r="A15" s="296" t="s">
        <v>94</v>
      </c>
      <c r="B15" s="301">
        <v>2156400</v>
      </c>
      <c r="C15" s="301">
        <v>0</v>
      </c>
      <c r="D15" s="301">
        <v>2099.7078870496593</v>
      </c>
    </row>
    <row r="16" spans="1:4" ht="20.100000000000001" customHeight="1" x14ac:dyDescent="0.25">
      <c r="A16" s="296" t="s">
        <v>45</v>
      </c>
      <c r="B16" s="301">
        <v>1180000</v>
      </c>
      <c r="C16" s="301">
        <v>0</v>
      </c>
      <c r="D16" s="301">
        <v>1148.9776046738073</v>
      </c>
    </row>
    <row r="17" spans="1:4" ht="20.100000000000001" customHeight="1" x14ac:dyDescent="0.25">
      <c r="A17" s="296" t="s">
        <v>44</v>
      </c>
      <c r="B17" s="301">
        <v>897960</v>
      </c>
      <c r="C17" s="301">
        <v>0</v>
      </c>
      <c r="D17" s="301">
        <v>874.35248296007785</v>
      </c>
    </row>
    <row r="18" spans="1:4" ht="20.100000000000001" customHeight="1" x14ac:dyDescent="0.25">
      <c r="A18" s="296" t="s">
        <v>41</v>
      </c>
      <c r="B18" s="301">
        <v>720070</v>
      </c>
      <c r="C18" s="301">
        <v>0</v>
      </c>
      <c r="D18" s="301">
        <v>701.13924050632909</v>
      </c>
    </row>
    <row r="19" spans="1:4" ht="20.100000000000001" customHeight="1" x14ac:dyDescent="0.25">
      <c r="A19" s="296" t="s">
        <v>32</v>
      </c>
      <c r="B19" s="301">
        <v>705810</v>
      </c>
      <c r="C19" s="301">
        <v>0</v>
      </c>
      <c r="D19" s="301">
        <v>687.25413826679653</v>
      </c>
    </row>
    <row r="20" spans="1:4" ht="20.100000000000001" customHeight="1" x14ac:dyDescent="0.25">
      <c r="A20" s="296" t="s">
        <v>55</v>
      </c>
      <c r="B20" s="301">
        <v>615200</v>
      </c>
      <c r="C20" s="301">
        <v>0</v>
      </c>
      <c r="D20" s="301">
        <v>599.02629016553067</v>
      </c>
    </row>
    <row r="21" spans="1:4" ht="20.100000000000001" customHeight="1" x14ac:dyDescent="0.25">
      <c r="A21" s="296" t="s">
        <v>51</v>
      </c>
      <c r="B21" s="301">
        <v>460022</v>
      </c>
      <c r="C21" s="301">
        <v>0</v>
      </c>
      <c r="D21" s="301">
        <v>447.92794547224929</v>
      </c>
    </row>
    <row r="22" spans="1:4" ht="20.100000000000001" customHeight="1" x14ac:dyDescent="0.25">
      <c r="A22" s="296" t="s">
        <v>50</v>
      </c>
      <c r="B22" s="301">
        <v>266500</v>
      </c>
      <c r="C22" s="301">
        <v>0</v>
      </c>
      <c r="D22" s="301">
        <v>259.49367088607596</v>
      </c>
    </row>
    <row r="23" spans="1:4" ht="20.100000000000001" customHeight="1" x14ac:dyDescent="0.25">
      <c r="A23" s="296" t="s">
        <v>52</v>
      </c>
      <c r="B23" s="301">
        <v>224700</v>
      </c>
      <c r="C23" s="301">
        <v>0</v>
      </c>
      <c r="D23" s="301">
        <v>218.79259980525802</v>
      </c>
    </row>
    <row r="24" spans="1:4" ht="20.100000000000001" customHeight="1" x14ac:dyDescent="0.25">
      <c r="A24" s="296" t="s">
        <v>43</v>
      </c>
      <c r="B24" s="301">
        <v>192768</v>
      </c>
      <c r="C24" s="301">
        <v>0</v>
      </c>
      <c r="D24" s="301">
        <v>187.70009737098346</v>
      </c>
    </row>
    <row r="25" spans="1:4" ht="20.100000000000001" customHeight="1" x14ac:dyDescent="0.25">
      <c r="A25" s="296" t="s">
        <v>39</v>
      </c>
      <c r="B25" s="301">
        <v>150680</v>
      </c>
      <c r="C25" s="301">
        <v>0</v>
      </c>
      <c r="D25" s="301">
        <v>146.71859785783838</v>
      </c>
    </row>
    <row r="26" spans="1:4" ht="20.100000000000001" customHeight="1" x14ac:dyDescent="0.25">
      <c r="A26" s="296" t="s">
        <v>42</v>
      </c>
      <c r="B26" s="301">
        <v>87525</v>
      </c>
      <c r="C26" s="301">
        <v>0</v>
      </c>
      <c r="D26" s="301">
        <v>85.223953261927946</v>
      </c>
    </row>
    <row r="27" spans="1:4" ht="20.100000000000001" customHeight="1" x14ac:dyDescent="0.25">
      <c r="A27" s="296" t="s">
        <v>48</v>
      </c>
      <c r="B27" s="301">
        <v>58893</v>
      </c>
      <c r="C27" s="301">
        <v>0</v>
      </c>
      <c r="D27" s="301">
        <v>57.344693281402144</v>
      </c>
    </row>
    <row r="28" spans="1:4" ht="20.100000000000001" customHeight="1" x14ac:dyDescent="0.25">
      <c r="A28" s="296" t="s">
        <v>57</v>
      </c>
      <c r="B28" s="301">
        <v>47000</v>
      </c>
      <c r="C28" s="301">
        <v>0</v>
      </c>
      <c r="D28" s="301">
        <v>45.764362220058423</v>
      </c>
    </row>
    <row r="29" spans="1:4" ht="20.100000000000001" customHeight="1" x14ac:dyDescent="0.25">
      <c r="A29" s="296" t="s">
        <v>56</v>
      </c>
      <c r="B29" s="301">
        <v>4200</v>
      </c>
      <c r="C29" s="301">
        <v>0</v>
      </c>
      <c r="D29" s="301">
        <v>4.089581304771178</v>
      </c>
    </row>
    <row r="30" spans="1:4" ht="20.100000000000001" customHeight="1" x14ac:dyDescent="0.25">
      <c r="A30" s="296" t="s">
        <v>49</v>
      </c>
      <c r="B30" s="301">
        <v>2625</v>
      </c>
      <c r="C30" s="301">
        <v>49.9</v>
      </c>
      <c r="D30" s="301">
        <v>2.5559883154819865</v>
      </c>
    </row>
    <row r="31" spans="1:4" ht="20.100000000000001" hidden="1" customHeight="1" x14ac:dyDescent="0.25">
      <c r="A31" s="296" t="s">
        <v>54</v>
      </c>
      <c r="B31" s="301">
        <v>0</v>
      </c>
      <c r="C31" s="301">
        <v>0</v>
      </c>
      <c r="D31" s="301">
        <v>0</v>
      </c>
    </row>
    <row r="32" spans="1:4" ht="20.100000000000001" hidden="1" customHeight="1" x14ac:dyDescent="0.25">
      <c r="A32" s="296" t="s">
        <v>34</v>
      </c>
      <c r="B32" s="301">
        <v>0</v>
      </c>
      <c r="C32" s="301">
        <v>0</v>
      </c>
      <c r="D32" s="301">
        <v>0</v>
      </c>
    </row>
    <row r="33" spans="1:4" ht="20.100000000000001" hidden="1" customHeight="1" x14ac:dyDescent="0.25">
      <c r="A33" s="296" t="s">
        <v>35</v>
      </c>
      <c r="B33" s="301">
        <v>0</v>
      </c>
      <c r="C33" s="301">
        <v>0</v>
      </c>
      <c r="D33" s="301">
        <v>0</v>
      </c>
    </row>
    <row r="34" spans="1:4" ht="20.100000000000001" hidden="1" customHeight="1" x14ac:dyDescent="0.25">
      <c r="A34" s="296" t="s">
        <v>36</v>
      </c>
      <c r="B34" s="301">
        <v>0</v>
      </c>
      <c r="C34" s="301">
        <v>0</v>
      </c>
      <c r="D34" s="301">
        <v>0</v>
      </c>
    </row>
    <row r="35" spans="1:4" ht="20.100000000000001" hidden="1" customHeight="1" x14ac:dyDescent="0.25">
      <c r="A35" s="296" t="s">
        <v>37</v>
      </c>
      <c r="B35" s="301">
        <v>0</v>
      </c>
      <c r="C35" s="301">
        <v>0</v>
      </c>
      <c r="D35" s="301">
        <v>0</v>
      </c>
    </row>
    <row r="36" spans="1:4" ht="20.100000000000001" customHeight="1" x14ac:dyDescent="0.25">
      <c r="A36" s="296" t="s">
        <v>38</v>
      </c>
      <c r="B36" s="301">
        <v>0</v>
      </c>
      <c r="C36" s="301">
        <v>200</v>
      </c>
      <c r="D36" s="301">
        <v>0</v>
      </c>
    </row>
    <row r="37" spans="1:4" ht="20.100000000000001" hidden="1" customHeight="1" x14ac:dyDescent="0.25">
      <c r="A37" s="296" t="s">
        <v>40</v>
      </c>
      <c r="B37" s="301">
        <v>0</v>
      </c>
      <c r="C37" s="301">
        <v>0</v>
      </c>
      <c r="D37" s="301">
        <v>0</v>
      </c>
    </row>
    <row r="38" spans="1:4" ht="20.100000000000001" hidden="1" customHeight="1" x14ac:dyDescent="0.25">
      <c r="A38" s="296" t="s">
        <v>46</v>
      </c>
      <c r="B38" s="301">
        <v>0</v>
      </c>
      <c r="C38" s="301">
        <v>0</v>
      </c>
      <c r="D38" s="301">
        <v>0</v>
      </c>
    </row>
    <row r="39" spans="1:4" ht="20.100000000000001" hidden="1" customHeight="1" x14ac:dyDescent="0.25">
      <c r="A39" s="296" t="s">
        <v>53</v>
      </c>
      <c r="B39" s="301">
        <v>0</v>
      </c>
      <c r="C39" s="301">
        <v>0</v>
      </c>
      <c r="D39" s="301">
        <v>0</v>
      </c>
    </row>
    <row r="40" spans="1:4" ht="20.100000000000001" customHeight="1" x14ac:dyDescent="0.25">
      <c r="A40" s="296" t="s">
        <v>58</v>
      </c>
      <c r="B40" s="301">
        <v>0</v>
      </c>
      <c r="C40" s="301">
        <v>43.6</v>
      </c>
      <c r="D40" s="301">
        <v>0</v>
      </c>
    </row>
    <row r="41" spans="1:4" ht="20.100000000000001" customHeight="1" x14ac:dyDescent="0.25">
      <c r="A41" s="296" t="s">
        <v>59</v>
      </c>
      <c r="B41" s="301">
        <v>0</v>
      </c>
      <c r="C41" s="301">
        <v>87.5</v>
      </c>
      <c r="D41" s="301">
        <v>0</v>
      </c>
    </row>
    <row r="42" spans="1:4" ht="20.100000000000001" customHeight="1" x14ac:dyDescent="0.25">
      <c r="A42" s="296" t="s">
        <v>60</v>
      </c>
      <c r="B42" s="301">
        <v>0</v>
      </c>
      <c r="C42" s="301">
        <v>1583.4</v>
      </c>
      <c r="D42" s="301">
        <v>0</v>
      </c>
    </row>
    <row r="43" spans="1:4" ht="20.100000000000001" customHeight="1" x14ac:dyDescent="0.25">
      <c r="A43" s="296" t="s">
        <v>96</v>
      </c>
      <c r="B43" s="301">
        <v>0</v>
      </c>
      <c r="C43" s="301">
        <v>264.63</v>
      </c>
      <c r="D43" s="301">
        <v>0</v>
      </c>
    </row>
    <row r="44" spans="1:4" ht="20.100000000000001" hidden="1" customHeight="1" x14ac:dyDescent="0.25">
      <c r="A44" s="296" t="s">
        <v>120</v>
      </c>
      <c r="B44" s="301">
        <v>0</v>
      </c>
      <c r="C44" s="301">
        <v>0</v>
      </c>
      <c r="D44" s="301">
        <v>0</v>
      </c>
    </row>
    <row r="45" spans="1:4" ht="20.100000000000001" customHeight="1" x14ac:dyDescent="0.25">
      <c r="A45" s="290"/>
      <c r="B45" s="290"/>
      <c r="C45" s="290"/>
      <c r="D45" s="290"/>
    </row>
    <row r="46" spans="1:4" ht="20.100000000000001" customHeight="1" x14ac:dyDescent="0.25">
      <c r="A46" s="304" t="s">
        <v>82</v>
      </c>
      <c r="B46" s="305">
        <v>227686407</v>
      </c>
      <c r="C46" s="305">
        <v>20012.030000000002</v>
      </c>
      <c r="D46" s="305">
        <v>241712.52367088606</v>
      </c>
    </row>
    <row r="47" spans="1:4" ht="20.100000000000001" customHeight="1" x14ac:dyDescent="0.25">
      <c r="A47" s="288"/>
      <c r="B47" s="288"/>
      <c r="C47" s="288"/>
      <c r="D47" s="288"/>
    </row>
    <row r="48" spans="1:4" ht="20.100000000000001" customHeight="1" x14ac:dyDescent="0.25">
      <c r="A48" s="304" t="s">
        <v>83</v>
      </c>
      <c r="B48" s="308">
        <v>-117446767</v>
      </c>
      <c r="C48" s="308">
        <v>-20012.030000000002</v>
      </c>
      <c r="D48" s="308">
        <v>-134371.10205452773</v>
      </c>
    </row>
    <row r="49" spans="1:9" ht="20.100000000000001" customHeight="1" x14ac:dyDescent="0.25"/>
    <row r="50" spans="1:9" ht="20.100000000000001" customHeight="1" x14ac:dyDescent="0.25">
      <c r="A50" s="287" t="s">
        <v>97</v>
      </c>
      <c r="I50" s="286">
        <v>20085.783836416747</v>
      </c>
    </row>
    <row r="51" spans="1:9" x14ac:dyDescent="0.25">
      <c r="I51" s="286">
        <v>18298</v>
      </c>
    </row>
  </sheetData>
  <mergeCells count="1">
    <mergeCell ref="A2:D2"/>
  </mergeCells>
  <pageMargins left="0.25" right="0.25" top="0.25" bottom="0.2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J54"/>
  <sheetViews>
    <sheetView showGridLines="0" workbookViewId="0">
      <pane ySplit="3" topLeftCell="A28" activePane="bottomLeft" state="frozen"/>
      <selection pane="bottomLeft" activeCell="D48" sqref="D48"/>
    </sheetView>
  </sheetViews>
  <sheetFormatPr defaultRowHeight="14.4" x14ac:dyDescent="0.3"/>
  <cols>
    <col min="1" max="1" width="42.6640625" customWidth="1"/>
    <col min="2" max="3" width="15.6640625" customWidth="1"/>
    <col min="4" max="4" width="19.88671875" customWidth="1"/>
    <col min="5" max="5" width="15.5546875" customWidth="1"/>
    <col min="10" max="10" width="11.88671875" customWidth="1"/>
  </cols>
  <sheetData>
    <row r="1" spans="1:7" ht="27.9" customHeight="1" x14ac:dyDescent="0.3">
      <c r="A1" s="479" t="str">
        <f>'Cash Trial'!A1:H1</f>
        <v>LEAD GENERATION CO.,LTD</v>
      </c>
      <c r="B1" s="479"/>
      <c r="C1" s="479"/>
      <c r="D1" s="479"/>
      <c r="E1" s="77"/>
      <c r="F1" s="77"/>
    </row>
    <row r="2" spans="1:7" ht="27.9" customHeight="1" x14ac:dyDescent="0.3">
      <c r="A2" s="407" t="s">
        <v>190</v>
      </c>
      <c r="B2" s="79"/>
      <c r="C2" s="79"/>
      <c r="D2" s="79"/>
      <c r="E2" s="79"/>
      <c r="F2" s="79"/>
      <c r="G2" s="67"/>
    </row>
    <row r="3" spans="1:7" ht="30" customHeight="1" x14ac:dyDescent="0.3">
      <c r="A3" s="80"/>
      <c r="B3" s="81" t="s">
        <v>78</v>
      </c>
      <c r="C3" s="168" t="s">
        <v>102</v>
      </c>
      <c r="D3" s="82" t="s">
        <v>103</v>
      </c>
      <c r="E3" s="83"/>
      <c r="F3" s="83"/>
      <c r="G3" s="67"/>
    </row>
    <row r="4" spans="1:7" ht="20.100000000000001" customHeight="1" x14ac:dyDescent="0.3">
      <c r="A4" s="84" t="s">
        <v>8</v>
      </c>
      <c r="B4" s="379"/>
      <c r="C4" s="85"/>
      <c r="D4" s="85"/>
      <c r="E4" s="86">
        <v>1</v>
      </c>
      <c r="F4" s="86"/>
    </row>
    <row r="5" spans="1:7" ht="20.100000000000001" hidden="1" customHeight="1" x14ac:dyDescent="0.3">
      <c r="A5" s="119" t="s">
        <v>28</v>
      </c>
      <c r="B5" s="380">
        <f>'Trial balance'!D37-'Trial balance'!C37</f>
        <v>0</v>
      </c>
      <c r="C5" s="315">
        <f>'Trial balance'!F37-'Trial balance'!E37</f>
        <v>0</v>
      </c>
      <c r="D5" s="316">
        <f>B5/$B$51+C5</f>
        <v>0</v>
      </c>
      <c r="E5" s="307">
        <f>SUM(B5:D5)</f>
        <v>0</v>
      </c>
      <c r="F5" s="86"/>
    </row>
    <row r="6" spans="1:7" ht="20.100000000000001" hidden="1" customHeight="1" x14ac:dyDescent="0.3">
      <c r="A6" s="119" t="s">
        <v>93</v>
      </c>
      <c r="B6" s="87">
        <f>'Trial balance'!C26-'Trial balance'!D26</f>
        <v>0</v>
      </c>
      <c r="C6" s="169">
        <v>0</v>
      </c>
      <c r="D6" s="306">
        <f>B6/$B$51+C6</f>
        <v>0</v>
      </c>
      <c r="E6" s="86">
        <f>SUM(B6:D6)</f>
        <v>0</v>
      </c>
      <c r="F6" s="86"/>
    </row>
    <row r="7" spans="1:7" ht="24.9" customHeight="1" x14ac:dyDescent="0.3">
      <c r="A7" s="88" t="s">
        <v>80</v>
      </c>
      <c r="B7" s="381">
        <f>B5-B6</f>
        <v>0</v>
      </c>
      <c r="C7" s="317">
        <f>SUM(C5:C6)</f>
        <v>0</v>
      </c>
      <c r="D7" s="318">
        <f>SUM(D5:D6)</f>
        <v>0</v>
      </c>
      <c r="E7" s="86">
        <v>2</v>
      </c>
      <c r="F7" s="86"/>
    </row>
    <row r="8" spans="1:7" ht="20.100000000000001" customHeight="1" x14ac:dyDescent="0.3">
      <c r="A8" s="89" t="s">
        <v>81</v>
      </c>
      <c r="B8" s="382"/>
      <c r="C8" s="319"/>
      <c r="D8" s="320"/>
      <c r="E8" s="86">
        <v>3</v>
      </c>
      <c r="F8" s="86"/>
    </row>
    <row r="9" spans="1:7" ht="20.100000000000001" hidden="1" customHeight="1" x14ac:dyDescent="0.3">
      <c r="A9" s="90" t="s">
        <v>29</v>
      </c>
      <c r="B9" s="368">
        <f>'Trial balance'!C38-'Trial balance'!D38</f>
        <v>0</v>
      </c>
      <c r="C9" s="367">
        <f>'Trial balance'!E38-'Trial balance'!F38</f>
        <v>0</v>
      </c>
      <c r="D9" s="366">
        <f>B9/$B$51+C9</f>
        <v>0</v>
      </c>
      <c r="E9" s="86">
        <f>SUM(B9:D9)</f>
        <v>0</v>
      </c>
      <c r="F9" s="86"/>
    </row>
    <row r="10" spans="1:7" ht="20.100000000000001" customHeight="1" x14ac:dyDescent="0.3">
      <c r="A10" s="90" t="s">
        <v>30</v>
      </c>
      <c r="B10" s="380">
        <f>'Trial balance'!C39-'Trial balance'!D39</f>
        <v>55143637</v>
      </c>
      <c r="C10" s="418">
        <f>'Trial balance'!E39-'Trial balance'!F39</f>
        <v>1000</v>
      </c>
      <c r="D10" s="366">
        <f t="shared" ref="D10:D44" si="0">B10/$B$51+C10</f>
        <v>45978.496737357258</v>
      </c>
      <c r="E10" s="86">
        <f t="shared" ref="E10:E44" si="1">SUM(B10:D10)</f>
        <v>55190615.496737361</v>
      </c>
      <c r="F10" s="86"/>
    </row>
    <row r="11" spans="1:7" ht="20.100000000000001" hidden="1" customHeight="1" x14ac:dyDescent="0.3">
      <c r="A11" s="90" t="s">
        <v>54</v>
      </c>
      <c r="B11" s="87">
        <f>'Trial balance'!C40-'Trial balance'!D40</f>
        <v>0</v>
      </c>
      <c r="C11" s="169">
        <f>'Trial balance'!E40-'Trial balance'!F40</f>
        <v>0</v>
      </c>
      <c r="D11" s="366">
        <f t="shared" si="0"/>
        <v>0</v>
      </c>
      <c r="E11" s="86">
        <f t="shared" si="1"/>
        <v>0</v>
      </c>
      <c r="F11" s="86"/>
    </row>
    <row r="12" spans="1:7" ht="20.100000000000001" customHeight="1" x14ac:dyDescent="0.3">
      <c r="A12" s="90" t="s">
        <v>31</v>
      </c>
      <c r="B12" s="380">
        <f>'Trial balance'!C41-'Trial balance'!D41</f>
        <v>16397734</v>
      </c>
      <c r="C12" s="321">
        <f>'Trial balance'!E41-'Trial balance'!F41</f>
        <v>6723</v>
      </c>
      <c r="D12" s="366">
        <f t="shared" si="0"/>
        <v>20097.98694942904</v>
      </c>
      <c r="E12" s="86">
        <f t="shared" si="1"/>
        <v>16424554.986949429</v>
      </c>
      <c r="F12" s="86"/>
    </row>
    <row r="13" spans="1:7" ht="20.100000000000001" customHeight="1" x14ac:dyDescent="0.3">
      <c r="A13" s="90" t="s">
        <v>32</v>
      </c>
      <c r="B13" s="380">
        <f>'Trial balance'!C42-'Trial balance'!D42</f>
        <v>1746500</v>
      </c>
      <c r="C13" s="321">
        <f>'Trial balance'!E42-'Trial balance'!F42</f>
        <v>0</v>
      </c>
      <c r="D13" s="366">
        <f t="shared" si="0"/>
        <v>1424.5513866231647</v>
      </c>
      <c r="E13" s="86">
        <f t="shared" si="1"/>
        <v>1747924.5513866232</v>
      </c>
      <c r="F13" s="86"/>
    </row>
    <row r="14" spans="1:7" ht="20.100000000000001" customHeight="1" x14ac:dyDescent="0.3">
      <c r="A14" s="90" t="s">
        <v>33</v>
      </c>
      <c r="B14" s="380">
        <f>'Trial balance'!C43-'Trial balance'!D43</f>
        <v>1376400</v>
      </c>
      <c r="C14" s="321">
        <f>'Trial balance'!E43-'Trial balance'!F43</f>
        <v>0</v>
      </c>
      <c r="D14" s="366">
        <f t="shared" si="0"/>
        <v>1122.6753670473083</v>
      </c>
      <c r="E14" s="86">
        <f t="shared" si="1"/>
        <v>1377522.6753670473</v>
      </c>
      <c r="F14" s="86"/>
    </row>
    <row r="15" spans="1:7" ht="20.100000000000001" customHeight="1" x14ac:dyDescent="0.3">
      <c r="A15" s="90" t="s">
        <v>34</v>
      </c>
      <c r="B15" s="87">
        <f>'Trial balance'!C44-'Trial balance'!D44</f>
        <v>640710</v>
      </c>
      <c r="C15" s="169">
        <f>'Trial balance'!E44-'Trial balance'!F44</f>
        <v>610</v>
      </c>
      <c r="D15" s="366">
        <f t="shared" si="0"/>
        <v>1132.6019575856444</v>
      </c>
      <c r="E15" s="86">
        <f t="shared" si="1"/>
        <v>642452.60195758566</v>
      </c>
      <c r="F15" s="86"/>
    </row>
    <row r="16" spans="1:7" ht="20.100000000000001" customHeight="1" x14ac:dyDescent="0.3">
      <c r="A16" s="90" t="s">
        <v>281</v>
      </c>
      <c r="B16" s="87">
        <f>'Trial balance'!C45-'Trial balance'!D45</f>
        <v>1922830</v>
      </c>
      <c r="C16" s="169">
        <f>'Trial balance'!E45-'Trial balance'!F45</f>
        <v>215</v>
      </c>
      <c r="D16" s="366">
        <f t="shared" si="0"/>
        <v>1783.3768352365416</v>
      </c>
      <c r="E16" s="86">
        <f t="shared" si="1"/>
        <v>1924828.3768352366</v>
      </c>
      <c r="F16" s="86"/>
    </row>
    <row r="17" spans="1:6" ht="20.100000000000001" customHeight="1" x14ac:dyDescent="0.3">
      <c r="A17" s="90" t="s">
        <v>10</v>
      </c>
      <c r="B17" s="380">
        <f>'Trial balance'!C46-'Trial balance'!D46</f>
        <v>2011500</v>
      </c>
      <c r="C17" s="321">
        <f>'Trial balance'!E46-'Trial balance'!F46</f>
        <v>0</v>
      </c>
      <c r="D17" s="366">
        <f t="shared" si="0"/>
        <v>1640.7014681892333</v>
      </c>
      <c r="E17" s="86">
        <f t="shared" si="1"/>
        <v>2013140.7014681892</v>
      </c>
      <c r="F17" s="86"/>
    </row>
    <row r="18" spans="1:6" ht="20.100000000000001" hidden="1" customHeight="1" x14ac:dyDescent="0.3">
      <c r="A18" s="90" t="s">
        <v>47</v>
      </c>
      <c r="B18" s="380">
        <f>'Trial balance'!C47-'Trial balance'!D47</f>
        <v>0</v>
      </c>
      <c r="C18" s="322">
        <f>'Trial balance'!E47-'Trial balance'!F47</f>
        <v>0</v>
      </c>
      <c r="D18" s="366">
        <f t="shared" si="0"/>
        <v>0</v>
      </c>
      <c r="E18" s="86">
        <f t="shared" si="1"/>
        <v>0</v>
      </c>
      <c r="F18" s="86"/>
    </row>
    <row r="19" spans="1:6" ht="20.100000000000001" hidden="1" customHeight="1" x14ac:dyDescent="0.3">
      <c r="A19" s="90" t="s">
        <v>36</v>
      </c>
      <c r="B19" s="383">
        <f>'Trial balance'!C48-'Trial balance'!D48</f>
        <v>0</v>
      </c>
      <c r="C19" s="321">
        <f>'Trial balance'!E48-'Trial balance'!F48</f>
        <v>0</v>
      </c>
      <c r="D19" s="366">
        <f t="shared" si="0"/>
        <v>0</v>
      </c>
      <c r="E19" s="86">
        <f t="shared" si="1"/>
        <v>0</v>
      </c>
      <c r="F19" s="86"/>
    </row>
    <row r="20" spans="1:6" ht="20.100000000000001" hidden="1" customHeight="1" x14ac:dyDescent="0.3">
      <c r="A20" s="90" t="s">
        <v>37</v>
      </c>
      <c r="B20" s="87">
        <f>'Trial balance'!C49-'Trial balance'!D49</f>
        <v>0</v>
      </c>
      <c r="C20" s="169">
        <f>'Trial balance'!E49-'Trial balance'!F49</f>
        <v>0</v>
      </c>
      <c r="D20" s="366">
        <f t="shared" si="0"/>
        <v>0</v>
      </c>
      <c r="E20" s="86">
        <f t="shared" si="1"/>
        <v>0</v>
      </c>
      <c r="F20" s="86"/>
    </row>
    <row r="21" spans="1:6" ht="20.100000000000001" customHeight="1" x14ac:dyDescent="0.3">
      <c r="A21" s="90" t="s">
        <v>38</v>
      </c>
      <c r="B21" s="312">
        <f>'Trial balance'!C50-'Trial balance'!D50</f>
        <v>50000</v>
      </c>
      <c r="C21" s="321">
        <f>'Trial balance'!E50-'Trial balance'!F50</f>
        <v>0</v>
      </c>
      <c r="D21" s="366">
        <f t="shared" si="0"/>
        <v>40.783034257748774</v>
      </c>
      <c r="E21" s="86">
        <f t="shared" si="1"/>
        <v>50040.783034257751</v>
      </c>
      <c r="F21" s="86"/>
    </row>
    <row r="22" spans="1:6" ht="20.100000000000001" customHeight="1" x14ac:dyDescent="0.3">
      <c r="A22" s="90" t="s">
        <v>39</v>
      </c>
      <c r="B22" s="380">
        <f>'Trial balance'!C51-'Trial balance'!D51</f>
        <v>254700</v>
      </c>
      <c r="C22" s="321">
        <f>'Trial balance'!E51-'Trial balance'!F51</f>
        <v>0</v>
      </c>
      <c r="D22" s="366">
        <f t="shared" si="0"/>
        <v>207.74877650897227</v>
      </c>
      <c r="E22" s="86">
        <f t="shared" si="1"/>
        <v>254907.74877650896</v>
      </c>
      <c r="F22" s="86"/>
    </row>
    <row r="23" spans="1:6" ht="20.100000000000001" hidden="1" customHeight="1" x14ac:dyDescent="0.3">
      <c r="A23" s="90" t="s">
        <v>40</v>
      </c>
      <c r="B23" s="87">
        <f>'Trial balance'!C52-'Trial balance'!D52</f>
        <v>0</v>
      </c>
      <c r="C23" s="169">
        <f>'Trial balance'!E52-'Trial balance'!F52</f>
        <v>0</v>
      </c>
      <c r="D23" s="366">
        <f t="shared" si="0"/>
        <v>0</v>
      </c>
      <c r="E23" s="86">
        <f t="shared" si="1"/>
        <v>0</v>
      </c>
      <c r="F23" s="86"/>
    </row>
    <row r="24" spans="1:6" ht="20.100000000000001" customHeight="1" x14ac:dyDescent="0.3">
      <c r="A24" s="90" t="s">
        <v>41</v>
      </c>
      <c r="B24" s="380">
        <f>'Trial balance'!C53-'Trial balance'!D53</f>
        <v>51165</v>
      </c>
      <c r="C24" s="321">
        <f>'Trial balance'!E53-'Trial balance'!F53</f>
        <v>0</v>
      </c>
      <c r="D24" s="366">
        <f t="shared" si="0"/>
        <v>41.733278955954326</v>
      </c>
      <c r="E24" s="86">
        <f t="shared" si="1"/>
        <v>51206.733278955951</v>
      </c>
      <c r="F24" s="86"/>
    </row>
    <row r="25" spans="1:6" ht="20.100000000000001" hidden="1" customHeight="1" x14ac:dyDescent="0.3">
      <c r="A25" s="90" t="s">
        <v>42</v>
      </c>
      <c r="B25" s="311">
        <f>'Trial balance'!C54-'Trial balance'!D54</f>
        <v>0</v>
      </c>
      <c r="C25" s="321">
        <f>'Trial balance'!E54-'Trial balance'!F54</f>
        <v>0</v>
      </c>
      <c r="D25" s="366">
        <f t="shared" si="0"/>
        <v>0</v>
      </c>
      <c r="E25" s="86">
        <f t="shared" si="1"/>
        <v>0</v>
      </c>
      <c r="F25" s="86"/>
    </row>
    <row r="26" spans="1:6" ht="20.100000000000001" customHeight="1" x14ac:dyDescent="0.3">
      <c r="A26" s="90" t="s">
        <v>43</v>
      </c>
      <c r="B26" s="380">
        <f>'Trial balance'!C55-'Trial balance'!D55</f>
        <v>1204400</v>
      </c>
      <c r="C26" s="321">
        <f>'Trial balance'!E55-'Trial balance'!F55</f>
        <v>0</v>
      </c>
      <c r="D26" s="366">
        <f t="shared" si="0"/>
        <v>982.38172920065256</v>
      </c>
      <c r="E26" s="86">
        <f t="shared" si="1"/>
        <v>1205382.3817292007</v>
      </c>
      <c r="F26" s="86"/>
    </row>
    <row r="27" spans="1:6" ht="20.100000000000001" hidden="1" customHeight="1" x14ac:dyDescent="0.3">
      <c r="A27" s="90" t="s">
        <v>44</v>
      </c>
      <c r="B27" s="380">
        <f>'Trial balance'!C56-'Trial balance'!D56</f>
        <v>0</v>
      </c>
      <c r="C27" s="321">
        <f>'Trial balance'!E56-'Trial balance'!F56</f>
        <v>0</v>
      </c>
      <c r="D27" s="366">
        <f t="shared" si="0"/>
        <v>0</v>
      </c>
      <c r="E27" s="86">
        <f t="shared" si="1"/>
        <v>0</v>
      </c>
      <c r="F27" s="86"/>
    </row>
    <row r="28" spans="1:6" ht="20.100000000000001" customHeight="1" x14ac:dyDescent="0.3">
      <c r="A28" s="90" t="s">
        <v>45</v>
      </c>
      <c r="B28" s="311">
        <f>'Trial balance'!C57-'Trial balance'!D57</f>
        <v>2083314</v>
      </c>
      <c r="C28" s="321">
        <f>'Trial balance'!E57-'Trial balance'!F57</f>
        <v>250</v>
      </c>
      <c r="D28" s="366">
        <f t="shared" si="0"/>
        <v>1949.2773246329527</v>
      </c>
      <c r="E28" s="86">
        <f t="shared" si="1"/>
        <v>2085513.277324633</v>
      </c>
      <c r="F28" s="86"/>
    </row>
    <row r="29" spans="1:6" ht="20.100000000000001" hidden="1" customHeight="1" x14ac:dyDescent="0.3">
      <c r="A29" s="90" t="s">
        <v>46</v>
      </c>
      <c r="B29" s="383">
        <f>'Trial balance'!C58-'Trial balance'!D58</f>
        <v>0</v>
      </c>
      <c r="C29" s="321">
        <f>'Trial balance'!E58-'Trial balance'!F58</f>
        <v>0</v>
      </c>
      <c r="D29" s="366">
        <f t="shared" si="0"/>
        <v>0</v>
      </c>
      <c r="E29" s="86">
        <f t="shared" si="1"/>
        <v>0</v>
      </c>
      <c r="F29" s="86"/>
    </row>
    <row r="30" spans="1:6" ht="20.100000000000001" customHeight="1" x14ac:dyDescent="0.3">
      <c r="A30" s="90" t="s">
        <v>48</v>
      </c>
      <c r="B30" s="311">
        <f>'Trial balance'!C59-'Trial balance'!D59</f>
        <v>133600</v>
      </c>
      <c r="C30" s="321">
        <f>'Trial balance'!E59-'Trial balance'!F59</f>
        <v>0</v>
      </c>
      <c r="D30" s="366">
        <f t="shared" si="0"/>
        <v>108.97226753670473</v>
      </c>
      <c r="E30" s="86">
        <f t="shared" si="1"/>
        <v>133708.97226753671</v>
      </c>
      <c r="F30" s="86"/>
    </row>
    <row r="31" spans="1:6" ht="20.100000000000001" customHeight="1" x14ac:dyDescent="0.3">
      <c r="A31" s="90" t="s">
        <v>49</v>
      </c>
      <c r="B31" s="311">
        <f>'Trial balance'!C60-'Trial balance'!D60</f>
        <v>925</v>
      </c>
      <c r="C31" s="321">
        <f>'Trial balance'!E60-'Trial balance'!F60</f>
        <v>40.9</v>
      </c>
      <c r="D31" s="366">
        <f t="shared" si="0"/>
        <v>41.654486133768351</v>
      </c>
      <c r="E31" s="86">
        <f t="shared" si="1"/>
        <v>1007.5544861337684</v>
      </c>
      <c r="F31" s="86"/>
    </row>
    <row r="32" spans="1:6" ht="20.100000000000001" hidden="1" customHeight="1" x14ac:dyDescent="0.3">
      <c r="A32" s="90" t="s">
        <v>50</v>
      </c>
      <c r="B32" s="311">
        <f>'Trial balance'!C61-'Trial balance'!D61</f>
        <v>0</v>
      </c>
      <c r="C32" s="321">
        <f>'Trial balance'!E61-'Trial balance'!F61</f>
        <v>0</v>
      </c>
      <c r="D32" s="366">
        <f t="shared" si="0"/>
        <v>0</v>
      </c>
      <c r="E32" s="86">
        <f t="shared" si="1"/>
        <v>0</v>
      </c>
      <c r="F32" s="86"/>
    </row>
    <row r="33" spans="1:6" ht="20.100000000000001" hidden="1" customHeight="1" x14ac:dyDescent="0.3">
      <c r="A33" s="90" t="s">
        <v>51</v>
      </c>
      <c r="B33" s="311">
        <f>'Trial balance'!C62-'Trial balance'!D62</f>
        <v>0</v>
      </c>
      <c r="C33" s="321">
        <f>'Trial balance'!E62-'Trial balance'!F62</f>
        <v>0</v>
      </c>
      <c r="D33" s="366">
        <f t="shared" si="0"/>
        <v>0</v>
      </c>
      <c r="E33" s="86">
        <f t="shared" si="1"/>
        <v>0</v>
      </c>
      <c r="F33" s="86"/>
    </row>
    <row r="34" spans="1:6" ht="20.100000000000001" hidden="1" customHeight="1" x14ac:dyDescent="0.3">
      <c r="A34" s="90" t="s">
        <v>52</v>
      </c>
      <c r="B34" s="311">
        <f>'Trial balance'!C63-'Trial balance'!D63</f>
        <v>0</v>
      </c>
      <c r="C34" s="321">
        <f>'Trial balance'!E63-'Trial balance'!F63</f>
        <v>0</v>
      </c>
      <c r="D34" s="366">
        <f t="shared" si="0"/>
        <v>0</v>
      </c>
      <c r="E34" s="86">
        <f t="shared" si="1"/>
        <v>0</v>
      </c>
      <c r="F34" s="86"/>
    </row>
    <row r="35" spans="1:6" ht="20.100000000000001" customHeight="1" x14ac:dyDescent="0.3">
      <c r="A35" s="90" t="s">
        <v>53</v>
      </c>
      <c r="B35" s="383">
        <f>'Trial balance'!C64-'Trial balance'!D64</f>
        <v>700000</v>
      </c>
      <c r="C35" s="321">
        <f>'Trial balance'!E64-'Trial balance'!F64</f>
        <v>1100</v>
      </c>
      <c r="D35" s="366">
        <f t="shared" si="0"/>
        <v>1670.9624796084829</v>
      </c>
      <c r="E35" s="86">
        <f t="shared" si="1"/>
        <v>702770.96247960848</v>
      </c>
      <c r="F35" s="86"/>
    </row>
    <row r="36" spans="1:6" ht="20.100000000000001" hidden="1" customHeight="1" x14ac:dyDescent="0.3">
      <c r="A36" s="90" t="s">
        <v>55</v>
      </c>
      <c r="B36" s="380">
        <f>'Trial balance'!C65-'Trial balance'!D65</f>
        <v>0</v>
      </c>
      <c r="C36" s="321">
        <f>'Trial balance'!E65-'Trial balance'!F65</f>
        <v>0</v>
      </c>
      <c r="D36" s="366">
        <f t="shared" si="0"/>
        <v>0</v>
      </c>
      <c r="E36" s="86">
        <f t="shared" si="1"/>
        <v>0</v>
      </c>
      <c r="F36" s="86"/>
    </row>
    <row r="37" spans="1:6" ht="20.100000000000001" customHeight="1" x14ac:dyDescent="0.3">
      <c r="A37" s="90" t="s">
        <v>259</v>
      </c>
      <c r="B37" s="311">
        <f>'Trial balance'!C66-'Trial balance'!D66</f>
        <v>370800</v>
      </c>
      <c r="C37" s="321">
        <f>'Trial balance'!E66-'Trial balance'!F66</f>
        <v>0</v>
      </c>
      <c r="D37" s="366">
        <f t="shared" si="0"/>
        <v>302.4469820554649</v>
      </c>
      <c r="E37" s="86">
        <f t="shared" si="1"/>
        <v>371102.44698205544</v>
      </c>
      <c r="F37" s="86"/>
    </row>
    <row r="38" spans="1:6" ht="20.100000000000001" hidden="1" customHeight="1" x14ac:dyDescent="0.3">
      <c r="A38" s="90" t="s">
        <v>57</v>
      </c>
      <c r="B38" s="380">
        <f>'Trial balance'!C67-'Trial balance'!D67</f>
        <v>0</v>
      </c>
      <c r="C38" s="321">
        <f>'Trial balance'!E67-'Trial balance'!F67</f>
        <v>0</v>
      </c>
      <c r="D38" s="366">
        <f t="shared" si="0"/>
        <v>0</v>
      </c>
      <c r="E38" s="86">
        <f t="shared" si="1"/>
        <v>0</v>
      </c>
      <c r="F38" s="86"/>
    </row>
    <row r="39" spans="1:6" ht="20.100000000000001" hidden="1" customHeight="1" x14ac:dyDescent="0.3">
      <c r="A39" s="90" t="s">
        <v>58</v>
      </c>
      <c r="B39" s="384">
        <f>'Trial balance'!C68-'Trial balance'!D68</f>
        <v>0</v>
      </c>
      <c r="C39" s="323">
        <f>'Trial balance'!E68-'Trial balance'!F68</f>
        <v>0</v>
      </c>
      <c r="D39" s="366">
        <f t="shared" si="0"/>
        <v>0</v>
      </c>
      <c r="E39" s="86">
        <f t="shared" si="1"/>
        <v>0</v>
      </c>
      <c r="F39" s="86"/>
    </row>
    <row r="40" spans="1:6" ht="20.100000000000001" hidden="1" customHeight="1" x14ac:dyDescent="0.3">
      <c r="A40" s="90" t="s">
        <v>59</v>
      </c>
      <c r="B40" s="312">
        <f>'Trial balance'!C69-'Trial balance'!D69</f>
        <v>0</v>
      </c>
      <c r="C40" s="323">
        <f>'Trial balance'!E69-'Trial balance'!F69</f>
        <v>0</v>
      </c>
      <c r="D40" s="366">
        <f t="shared" si="0"/>
        <v>0</v>
      </c>
      <c r="E40" s="86">
        <f t="shared" si="1"/>
        <v>0</v>
      </c>
      <c r="F40" s="86"/>
    </row>
    <row r="41" spans="1:6" ht="20.100000000000001" hidden="1" customHeight="1" x14ac:dyDescent="0.3">
      <c r="A41" s="90" t="s">
        <v>60</v>
      </c>
      <c r="B41" s="384">
        <f>'Trial balance'!C70-'Trial balance'!D70</f>
        <v>0</v>
      </c>
      <c r="C41" s="323">
        <f>'Trial balance'!E70-'Trial balance'!F70</f>
        <v>0</v>
      </c>
      <c r="D41" s="366">
        <f t="shared" si="0"/>
        <v>0</v>
      </c>
      <c r="E41" s="86">
        <f t="shared" si="1"/>
        <v>0</v>
      </c>
      <c r="F41" s="86"/>
    </row>
    <row r="42" spans="1:6" ht="20.100000000000001" hidden="1" customHeight="1" x14ac:dyDescent="0.3">
      <c r="A42" s="124" t="s">
        <v>96</v>
      </c>
      <c r="B42" s="384">
        <f>'Trial balance'!C71-'Trial balance'!D71</f>
        <v>0</v>
      </c>
      <c r="C42" s="323">
        <f>'Trial balance'!E71-'Trial balance'!F71</f>
        <v>0</v>
      </c>
      <c r="D42" s="366">
        <f t="shared" si="0"/>
        <v>0</v>
      </c>
      <c r="E42" s="86">
        <f t="shared" si="1"/>
        <v>0</v>
      </c>
      <c r="F42" s="86"/>
    </row>
    <row r="43" spans="1:6" ht="20.100000000000001" hidden="1" customHeight="1" x14ac:dyDescent="0.3">
      <c r="A43" s="90" t="s">
        <v>94</v>
      </c>
      <c r="B43" s="380">
        <f>'Trial balance'!C72-'Trial balance'!D72</f>
        <v>0</v>
      </c>
      <c r="C43" s="321">
        <f>'Trial balance'!E72-'Trial balance'!F72</f>
        <v>0</v>
      </c>
      <c r="D43" s="366">
        <f t="shared" si="0"/>
        <v>0</v>
      </c>
      <c r="E43" s="86">
        <f t="shared" si="1"/>
        <v>0</v>
      </c>
      <c r="F43" s="86"/>
    </row>
    <row r="44" spans="1:6" s="198" customFormat="1" ht="20.100000000000001" hidden="1" customHeight="1" x14ac:dyDescent="0.3">
      <c r="A44" s="124" t="s">
        <v>120</v>
      </c>
      <c r="B44" s="87">
        <f>'Trial balance'!C73-'Trial balance'!D73</f>
        <v>0</v>
      </c>
      <c r="C44" s="169">
        <f>'Trial balance'!E73-'Trial balance'!F73</f>
        <v>0</v>
      </c>
      <c r="D44" s="366">
        <f t="shared" si="0"/>
        <v>0</v>
      </c>
      <c r="E44" s="86">
        <f t="shared" si="1"/>
        <v>0</v>
      </c>
      <c r="F44" s="86"/>
    </row>
    <row r="45" spans="1:6" ht="9.9" customHeight="1" x14ac:dyDescent="0.3">
      <c r="A45" s="120"/>
      <c r="B45" s="313"/>
      <c r="C45" s="324"/>
      <c r="D45" s="325"/>
      <c r="E45" s="86">
        <v>1</v>
      </c>
      <c r="F45" s="86"/>
    </row>
    <row r="46" spans="1:6" ht="24.9" customHeight="1" x14ac:dyDescent="0.3">
      <c r="A46" s="88" t="s">
        <v>82</v>
      </c>
      <c r="B46" s="385">
        <f>SUM(B9:B45)</f>
        <v>84088215</v>
      </c>
      <c r="C46" s="326">
        <f>SUM(C9:C45)</f>
        <v>9938.9</v>
      </c>
      <c r="D46" s="318">
        <f>SUM(D9:D44)</f>
        <v>78526.351060358924</v>
      </c>
      <c r="E46" s="86">
        <v>4</v>
      </c>
      <c r="F46" s="86"/>
    </row>
    <row r="47" spans="1:6" ht="3.75" customHeight="1" thickBot="1" x14ac:dyDescent="0.35">
      <c r="A47" s="91"/>
      <c r="B47" s="314"/>
      <c r="C47" s="327"/>
      <c r="D47" s="328"/>
      <c r="E47" s="86">
        <v>1</v>
      </c>
      <c r="F47" s="86"/>
    </row>
    <row r="48" spans="1:6" ht="24.9" customHeight="1" thickBot="1" x14ac:dyDescent="0.35">
      <c r="A48" s="92" t="s">
        <v>162</v>
      </c>
      <c r="B48" s="386">
        <f>B7-B46</f>
        <v>-84088215</v>
      </c>
      <c r="C48" s="387">
        <f>C7-C46</f>
        <v>-9938.9</v>
      </c>
      <c r="D48" s="387">
        <f>D7-D46</f>
        <v>-78526.351060358924</v>
      </c>
      <c r="E48" s="86">
        <v>6</v>
      </c>
      <c r="F48" s="86"/>
    </row>
    <row r="49" spans="1:10" ht="20.100000000000001" customHeight="1" thickTop="1" x14ac:dyDescent="0.3">
      <c r="E49" s="173">
        <v>1</v>
      </c>
    </row>
    <row r="50" spans="1:10" ht="20.100000000000001" customHeight="1" x14ac:dyDescent="0.3">
      <c r="A50" s="93" t="str">
        <f>'Cash Trial'!A76</f>
        <v>Exchange Rate for 1-06-2015 to 31-05-2016 is 1,226 mmk/Per USD</v>
      </c>
      <c r="E50" s="173">
        <v>1</v>
      </c>
      <c r="J50">
        <f>20628100/1027</f>
        <v>20085.783836416747</v>
      </c>
    </row>
    <row r="51" spans="1:10" ht="20.100000000000001" customHeight="1" x14ac:dyDescent="0.3">
      <c r="A51" s="93"/>
      <c r="B51" s="406">
        <f>'Cash Trial'!D76</f>
        <v>1226</v>
      </c>
      <c r="C51" s="394"/>
      <c r="E51" s="173">
        <v>1</v>
      </c>
      <c r="J51">
        <f>60000-21616-20086</f>
        <v>18298</v>
      </c>
    </row>
    <row r="52" spans="1:10" ht="20.100000000000001" customHeight="1" x14ac:dyDescent="0.3"/>
    <row r="54" spans="1:10" x14ac:dyDescent="0.3">
      <c r="D54" s="309"/>
    </row>
  </sheetData>
  <autoFilter ref="A3:E51">
    <filterColumn colId="4">
      <filters>
        <filter val="1"/>
        <filter val="1007.554486"/>
        <filter val="1205382.382"/>
        <filter val="133708.9723"/>
        <filter val="1377522.675"/>
        <filter val="16424554.99"/>
        <filter val="1747924.551"/>
        <filter val="1924828.377"/>
        <filter val="2"/>
        <filter val="2013140.701"/>
        <filter val="2085513.277"/>
        <filter val="254907.7488"/>
        <filter val="3"/>
        <filter val="371102.447"/>
        <filter val="4"/>
        <filter val="50040.78303"/>
        <filter val="51206.73328"/>
        <filter val="55190615.5"/>
        <filter val="6"/>
        <filter val="642452.602"/>
        <filter val="702770.9625"/>
      </filters>
    </filterColumn>
  </autoFilter>
  <mergeCells count="1">
    <mergeCell ref="A1:D1"/>
  </mergeCells>
  <pageMargins left="0.59055118110236227" right="0.39370078740157483" top="0.19685039370078741" bottom="0.11811023622047245" header="0.31496062992125984" footer="0.31496062992125984"/>
  <pageSetup paperSize="9" scale="9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59"/>
  <sheetViews>
    <sheetView showGridLines="0" topLeftCell="A39" zoomScaleSheetLayoutView="85" workbookViewId="0">
      <selection activeCell="A63" sqref="A63"/>
    </sheetView>
  </sheetViews>
  <sheetFormatPr defaultColWidth="9.109375" defaultRowHeight="18" customHeight="1" x14ac:dyDescent="0.3"/>
  <cols>
    <col min="1" max="1" width="37.88671875" style="117" customWidth="1"/>
    <col min="2" max="2" width="17.88671875" style="116" customWidth="1"/>
    <col min="3" max="3" width="20.109375" style="116" customWidth="1"/>
    <col min="4" max="4" width="15" style="116" customWidth="1"/>
    <col min="5" max="5" width="15.88671875" style="116" customWidth="1"/>
    <col min="6" max="6" width="15" style="116" customWidth="1"/>
    <col min="7" max="7" width="15.88671875" style="116" customWidth="1"/>
    <col min="8" max="8" width="14.33203125" style="95" customWidth="1"/>
    <col min="9" max="9" width="9.109375" style="95"/>
    <col min="10" max="10" width="10.5546875" style="95" bestFit="1" customWidth="1"/>
    <col min="11" max="16384" width="9.109375" style="95"/>
  </cols>
  <sheetData>
    <row r="1" spans="1:8" ht="27.9" customHeight="1" x14ac:dyDescent="0.3">
      <c r="A1" s="479" t="str">
        <f>'Income Statement'!A1:D1</f>
        <v>LEAD GENERATION CO.,LTD</v>
      </c>
      <c r="B1" s="479"/>
      <c r="C1" s="479"/>
      <c r="D1" s="125"/>
      <c r="E1" s="125"/>
      <c r="F1" s="94"/>
      <c r="G1" s="94"/>
    </row>
    <row r="2" spans="1:8" ht="27.9" customHeight="1" x14ac:dyDescent="0.3">
      <c r="A2" s="408" t="s">
        <v>191</v>
      </c>
      <c r="B2" s="78"/>
      <c r="C2" s="78"/>
      <c r="D2" s="78"/>
      <c r="E2" s="78"/>
      <c r="F2" s="78"/>
      <c r="G2" s="78"/>
    </row>
    <row r="3" spans="1:8" ht="34.5" customHeight="1" x14ac:dyDescent="0.3">
      <c r="A3" s="96" t="s">
        <v>65</v>
      </c>
      <c r="B3" s="480" t="s">
        <v>84</v>
      </c>
      <c r="C3" s="481"/>
      <c r="D3" s="480" t="s">
        <v>102</v>
      </c>
      <c r="E3" s="481"/>
      <c r="F3" s="480" t="s">
        <v>79</v>
      </c>
      <c r="G3" s="481"/>
      <c r="H3" s="97"/>
    </row>
    <row r="4" spans="1:8" ht="18" customHeight="1" x14ac:dyDescent="0.3">
      <c r="A4" s="98" t="s">
        <v>85</v>
      </c>
      <c r="B4" s="99"/>
      <c r="C4" s="100"/>
      <c r="D4" s="172"/>
      <c r="E4" s="170"/>
      <c r="F4" s="101"/>
      <c r="G4" s="99"/>
      <c r="H4" s="95">
        <v>1</v>
      </c>
    </row>
    <row r="5" spans="1:8" ht="18" customHeight="1" x14ac:dyDescent="0.3">
      <c r="A5" s="102" t="s">
        <v>7</v>
      </c>
      <c r="B5" s="103"/>
      <c r="C5" s="104"/>
      <c r="D5" s="103"/>
      <c r="E5" s="171"/>
      <c r="F5" s="105"/>
      <c r="G5" s="103"/>
      <c r="H5" s="95">
        <v>2</v>
      </c>
    </row>
    <row r="6" spans="1:8" ht="18" customHeight="1" x14ac:dyDescent="0.3">
      <c r="A6" s="106" t="s">
        <v>223</v>
      </c>
      <c r="B6" s="329"/>
      <c r="C6" s="330">
        <f>'Trial balance'!D31-'Trial balance'!C31</f>
        <v>36107000</v>
      </c>
      <c r="D6" s="329"/>
      <c r="E6" s="178">
        <f>'Trial balance'!F31-'Trial balance'!E31</f>
        <v>69500</v>
      </c>
      <c r="F6" s="331"/>
      <c r="G6" s="175">
        <f>C6/$B$59+E6</f>
        <v>98951.060358890696</v>
      </c>
      <c r="H6" s="107">
        <f>SUM(B6:G6)</f>
        <v>36275451.060358889</v>
      </c>
    </row>
    <row r="7" spans="1:8" ht="18" hidden="1" customHeight="1" x14ac:dyDescent="0.3">
      <c r="A7" s="106" t="s">
        <v>25</v>
      </c>
      <c r="B7" s="103"/>
      <c r="C7" s="104">
        <f>'Trial balance'!D32-'Trial balance'!C32</f>
        <v>0</v>
      </c>
      <c r="D7" s="103"/>
      <c r="E7" s="178">
        <f>'Trial balance'!F32-'Trial balance'!E32</f>
        <v>0</v>
      </c>
      <c r="F7" s="105"/>
      <c r="G7" s="175">
        <f t="shared" ref="G7:G13" si="0">C7/$B$59+E7</f>
        <v>0</v>
      </c>
      <c r="H7" s="107">
        <f t="shared" ref="H7:H13" si="1">SUM(B7:G7)</f>
        <v>0</v>
      </c>
    </row>
    <row r="8" spans="1:8" ht="18" hidden="1" customHeight="1" x14ac:dyDescent="0.3">
      <c r="A8" s="106" t="s">
        <v>26</v>
      </c>
      <c r="B8" s="103"/>
      <c r="C8" s="104">
        <f>-('Trial balance'!C33-'Trial balance'!D33)</f>
        <v>0</v>
      </c>
      <c r="D8" s="103"/>
      <c r="E8" s="174">
        <f>'Trial balance'!E33-'Trial balance'!F33</f>
        <v>0</v>
      </c>
      <c r="F8" s="105"/>
      <c r="G8" s="175">
        <f t="shared" si="0"/>
        <v>0</v>
      </c>
      <c r="H8" s="107">
        <f t="shared" si="1"/>
        <v>0</v>
      </c>
    </row>
    <row r="9" spans="1:8" ht="18" customHeight="1" x14ac:dyDescent="0.3">
      <c r="A9" s="106" t="s">
        <v>106</v>
      </c>
      <c r="B9" s="329"/>
      <c r="C9" s="104">
        <f>'Trial balance'!D35-'Trial balance'!C35</f>
        <v>61997695</v>
      </c>
      <c r="D9" s="329"/>
      <c r="E9" s="358">
        <f>'Trial balance'!F35-'Trial balance'!E35</f>
        <v>-45325</v>
      </c>
      <c r="F9" s="331"/>
      <c r="G9" s="358">
        <f t="shared" si="0"/>
        <v>5244.0823817292039</v>
      </c>
      <c r="H9" s="107">
        <f t="shared" si="1"/>
        <v>61957614.082381733</v>
      </c>
    </row>
    <row r="10" spans="1:8" ht="18" hidden="1" customHeight="1" x14ac:dyDescent="0.3">
      <c r="A10" s="106" t="s">
        <v>116</v>
      </c>
      <c r="B10" s="329"/>
      <c r="C10" s="357">
        <f>'Trial balance'!D36-'Trial balance'!C36</f>
        <v>0</v>
      </c>
      <c r="D10" s="329"/>
      <c r="E10" s="178">
        <f>'Trial balance'!F36-'Trial balance'!E36</f>
        <v>0</v>
      </c>
      <c r="F10" s="331"/>
      <c r="G10" s="358">
        <f t="shared" si="0"/>
        <v>0</v>
      </c>
      <c r="H10" s="107">
        <f t="shared" si="1"/>
        <v>0</v>
      </c>
    </row>
    <row r="11" spans="1:8" ht="18" customHeight="1" x14ac:dyDescent="0.3">
      <c r="A11" s="411" t="s">
        <v>519</v>
      </c>
      <c r="B11" s="388">
        <f>'Income Statement'!B48</f>
        <v>-84088215</v>
      </c>
      <c r="C11" s="330"/>
      <c r="D11" s="358">
        <f>'Income Statement'!C48</f>
        <v>-9938.9</v>
      </c>
      <c r="E11" s="334"/>
      <c r="F11" s="358">
        <f>B11/$B$59+D11</f>
        <v>-78526.35106035888</v>
      </c>
      <c r="G11" s="175">
        <f t="shared" si="0"/>
        <v>0</v>
      </c>
      <c r="H11" s="107">
        <f t="shared" si="1"/>
        <v>-84176680.251060367</v>
      </c>
    </row>
    <row r="12" spans="1:8" ht="18" hidden="1" customHeight="1" x14ac:dyDescent="0.3">
      <c r="A12" s="106" t="s">
        <v>27</v>
      </c>
      <c r="B12" s="388">
        <f>'Trial balance'!D34-'Trial balance'!C34</f>
        <v>0</v>
      </c>
      <c r="C12" s="330"/>
      <c r="D12" s="358">
        <f>'Trial balance'!F34-'Trial balance'!E34</f>
        <v>0</v>
      </c>
      <c r="E12" s="334"/>
      <c r="F12" s="358">
        <f>B12/$B$59+D12</f>
        <v>0</v>
      </c>
      <c r="G12" s="175">
        <f t="shared" si="0"/>
        <v>0</v>
      </c>
      <c r="H12" s="107">
        <f t="shared" si="1"/>
        <v>0</v>
      </c>
    </row>
    <row r="13" spans="1:8" ht="18" customHeight="1" x14ac:dyDescent="0.3">
      <c r="A13" s="106" t="s">
        <v>86</v>
      </c>
      <c r="B13" s="329"/>
      <c r="C13" s="388">
        <f>SUM(B11:B12)</f>
        <v>-84088215</v>
      </c>
      <c r="D13" s="333"/>
      <c r="E13" s="358">
        <f>SUM(D11:D12)</f>
        <v>-9938.9</v>
      </c>
      <c r="F13" s="331"/>
      <c r="G13" s="358">
        <f t="shared" si="0"/>
        <v>-78526.35106035888</v>
      </c>
      <c r="H13" s="107">
        <f t="shared" si="1"/>
        <v>-84176680.251060367</v>
      </c>
    </row>
    <row r="14" spans="1:8" ht="21.9" customHeight="1" x14ac:dyDescent="0.3">
      <c r="A14" s="360" t="s">
        <v>73</v>
      </c>
      <c r="B14" s="361"/>
      <c r="C14" s="397">
        <f>SUM(C6:C13)</f>
        <v>14016480</v>
      </c>
      <c r="D14" s="362"/>
      <c r="E14" s="359">
        <f>SUM(E6:E13)</f>
        <v>14236.1</v>
      </c>
      <c r="F14" s="363"/>
      <c r="G14" s="359">
        <f>SUM(G6:G13)</f>
        <v>25668.791680261013</v>
      </c>
      <c r="H14" s="95">
        <v>4</v>
      </c>
    </row>
    <row r="15" spans="1:8" ht="18" customHeight="1" x14ac:dyDescent="0.3">
      <c r="A15" s="106"/>
      <c r="B15" s="329"/>
      <c r="C15" s="330"/>
      <c r="D15" s="329"/>
      <c r="E15" s="330"/>
      <c r="F15" s="335"/>
      <c r="G15" s="335"/>
      <c r="H15" s="95">
        <v>5</v>
      </c>
    </row>
    <row r="16" spans="1:8" ht="18" customHeight="1" thickBot="1" x14ac:dyDescent="0.35">
      <c r="A16" s="102" t="s">
        <v>20</v>
      </c>
      <c r="B16" s="329"/>
      <c r="C16" s="330"/>
      <c r="D16" s="329"/>
      <c r="E16" s="330"/>
      <c r="F16" s="329"/>
      <c r="G16" s="329"/>
      <c r="H16" s="95">
        <v>6</v>
      </c>
    </row>
    <row r="17" spans="1:10" ht="18" hidden="1" customHeight="1" x14ac:dyDescent="0.3">
      <c r="A17" s="106" t="s">
        <v>21</v>
      </c>
      <c r="B17" s="329"/>
      <c r="C17" s="330">
        <f>'Trial balance'!D26-'Trial balance'!C26</f>
        <v>0</v>
      </c>
      <c r="D17" s="329"/>
      <c r="E17" s="391">
        <f>'Trial balance'!F26-'Trial balance'!E26</f>
        <v>0</v>
      </c>
      <c r="F17" s="329"/>
      <c r="G17" s="175">
        <f>C17/$B$59+E17</f>
        <v>0</v>
      </c>
      <c r="H17" s="107">
        <f t="shared" ref="H17:H23" si="2">SUM(B17:G17)</f>
        <v>0</v>
      </c>
    </row>
    <row r="18" spans="1:10" ht="18" hidden="1" customHeight="1" x14ac:dyDescent="0.3">
      <c r="A18" s="106" t="s">
        <v>22</v>
      </c>
      <c r="B18" s="329"/>
      <c r="C18" s="389">
        <f>'Trial balance'!D27-'Trial balance'!C27</f>
        <v>0</v>
      </c>
      <c r="D18" s="329"/>
      <c r="E18" s="336">
        <f>'Trial balance'!F27-'Trial balance'!E27</f>
        <v>0</v>
      </c>
      <c r="F18" s="329"/>
      <c r="G18" s="175">
        <f>C18/$B$59+E18</f>
        <v>0</v>
      </c>
      <c r="H18" s="107">
        <f t="shared" si="2"/>
        <v>0</v>
      </c>
    </row>
    <row r="19" spans="1:10" ht="18" hidden="1" customHeight="1" x14ac:dyDescent="0.3">
      <c r="A19" s="106" t="s">
        <v>23</v>
      </c>
      <c r="B19" s="329"/>
      <c r="C19" s="330">
        <f>'Trial balance'!D28-'Trial balance'!C28</f>
        <v>0</v>
      </c>
      <c r="D19" s="329"/>
      <c r="E19" s="336">
        <f>'Trial balance'!F28-'Trial balance'!E28</f>
        <v>0</v>
      </c>
      <c r="F19" s="337"/>
      <c r="G19" s="175">
        <f t="shared" ref="G19:G21" si="3">C19/$B$59+E19</f>
        <v>0</v>
      </c>
      <c r="H19" s="107">
        <f t="shared" si="2"/>
        <v>0</v>
      </c>
    </row>
    <row r="20" spans="1:10" ht="18" hidden="1" customHeight="1" x14ac:dyDescent="0.3">
      <c r="A20" s="106" t="s">
        <v>24</v>
      </c>
      <c r="B20" s="329"/>
      <c r="C20" s="330">
        <f>'Trial balance'!D29-'Trial balance'!C29</f>
        <v>0</v>
      </c>
      <c r="D20" s="329"/>
      <c r="E20" s="336">
        <f>'Trial balance'!F29-'Trial balance'!E29</f>
        <v>0</v>
      </c>
      <c r="F20" s="337"/>
      <c r="G20" s="175">
        <f t="shared" si="3"/>
        <v>0</v>
      </c>
      <c r="H20" s="107">
        <f t="shared" si="2"/>
        <v>0</v>
      </c>
    </row>
    <row r="21" spans="1:10" ht="18" hidden="1" customHeight="1" x14ac:dyDescent="0.3">
      <c r="A21" s="106" t="s">
        <v>159</v>
      </c>
      <c r="B21" s="103"/>
      <c r="C21" s="104">
        <f>'Trial balance'!D30-'Trial balance'!C30</f>
        <v>0</v>
      </c>
      <c r="D21" s="103"/>
      <c r="E21" s="285">
        <f>'Trial balance'!F30-'Trial balance'!E30</f>
        <v>0</v>
      </c>
      <c r="F21" s="108"/>
      <c r="G21" s="175">
        <f t="shared" si="3"/>
        <v>0</v>
      </c>
      <c r="H21" s="107">
        <f t="shared" si="2"/>
        <v>0</v>
      </c>
      <c r="I21" s="95">
        <f>409850/350</f>
        <v>1171</v>
      </c>
      <c r="J21" s="95">
        <f>1190*350</f>
        <v>416500</v>
      </c>
    </row>
    <row r="22" spans="1:10" ht="21.9" hidden="1" customHeight="1" thickBot="1" x14ac:dyDescent="0.35">
      <c r="A22" s="109" t="s">
        <v>87</v>
      </c>
      <c r="B22" s="338"/>
      <c r="C22" s="390">
        <f>SUM(C17:C21)</f>
        <v>0</v>
      </c>
      <c r="D22" s="335"/>
      <c r="E22" s="339">
        <f>SUM(E17:E21)</f>
        <v>0</v>
      </c>
      <c r="F22" s="338"/>
      <c r="G22" s="340">
        <f>SUM(G17:G21)</f>
        <v>0</v>
      </c>
      <c r="H22" s="107">
        <f t="shared" si="2"/>
        <v>0</v>
      </c>
      <c r="J22" s="107">
        <f>1171-1190</f>
        <v>-19</v>
      </c>
    </row>
    <row r="23" spans="1:10" ht="24.9" customHeight="1" thickBot="1" x14ac:dyDescent="0.35">
      <c r="A23" s="110" t="s">
        <v>88</v>
      </c>
      <c r="B23" s="341"/>
      <c r="C23" s="342">
        <f>C14+C22</f>
        <v>14016480</v>
      </c>
      <c r="D23" s="342"/>
      <c r="E23" s="343">
        <f>E14+E22</f>
        <v>14236.1</v>
      </c>
      <c r="F23" s="342"/>
      <c r="G23" s="344">
        <f>G14+G22</f>
        <v>25668.791680261013</v>
      </c>
      <c r="H23" s="107">
        <f t="shared" si="2"/>
        <v>14056384.891680261</v>
      </c>
      <c r="J23" s="95">
        <f>19*350</f>
        <v>6650</v>
      </c>
    </row>
    <row r="24" spans="1:10" ht="18" customHeight="1" thickTop="1" x14ac:dyDescent="0.3">
      <c r="A24" s="106"/>
      <c r="B24" s="329"/>
      <c r="C24" s="330"/>
      <c r="D24" s="329"/>
      <c r="E24" s="330"/>
      <c r="F24" s="329"/>
      <c r="G24" s="329"/>
      <c r="H24" s="95">
        <v>7</v>
      </c>
    </row>
    <row r="25" spans="1:10" ht="18" customHeight="1" x14ac:dyDescent="0.3">
      <c r="A25" s="111" t="s">
        <v>0</v>
      </c>
      <c r="B25" s="329"/>
      <c r="C25" s="330"/>
      <c r="D25" s="329"/>
      <c r="E25" s="330"/>
      <c r="F25" s="329"/>
      <c r="G25" s="329"/>
      <c r="H25" s="95">
        <v>8</v>
      </c>
    </row>
    <row r="26" spans="1:10" ht="18" customHeight="1" x14ac:dyDescent="0.3">
      <c r="A26" s="102" t="s">
        <v>89</v>
      </c>
      <c r="B26" s="329"/>
      <c r="C26" s="330"/>
      <c r="D26" s="329"/>
      <c r="E26" s="330"/>
      <c r="F26" s="329"/>
      <c r="G26" s="329"/>
      <c r="H26" s="95">
        <v>9</v>
      </c>
    </row>
    <row r="27" spans="1:10" ht="18" hidden="1" customHeight="1" x14ac:dyDescent="0.3">
      <c r="A27" s="106" t="s">
        <v>2</v>
      </c>
      <c r="B27" s="337">
        <f>'Trial balance'!C18-'Trial balance'!D18</f>
        <v>0</v>
      </c>
      <c r="C27" s="330"/>
      <c r="D27" s="126">
        <f>'Trial balance'!E18-'Trial balance'!F18</f>
        <v>0</v>
      </c>
      <c r="E27" s="330"/>
      <c r="F27" s="332">
        <f>B27/$B$59+D27</f>
        <v>0</v>
      </c>
      <c r="G27" s="329"/>
      <c r="H27" s="107">
        <f t="shared" ref="H27:H56" si="4">SUM(B27:G27)</f>
        <v>0</v>
      </c>
    </row>
    <row r="28" spans="1:10" ht="18" hidden="1" customHeight="1" x14ac:dyDescent="0.3">
      <c r="A28" s="106" t="s">
        <v>110</v>
      </c>
      <c r="B28" s="345">
        <f>-('Trial balance'!D22-'Trial balance'!C22)</f>
        <v>0</v>
      </c>
      <c r="C28" s="330"/>
      <c r="D28" s="356">
        <f>-('Trial balance'!F22-'Trial balance'!E22)</f>
        <v>0</v>
      </c>
      <c r="E28" s="330"/>
      <c r="F28" s="356">
        <f>B28/$B$59+D28</f>
        <v>0</v>
      </c>
      <c r="G28" s="329"/>
      <c r="H28" s="107">
        <f t="shared" si="4"/>
        <v>0</v>
      </c>
    </row>
    <row r="29" spans="1:10" ht="18" hidden="1" customHeight="1" x14ac:dyDescent="0.3">
      <c r="A29" s="102"/>
      <c r="B29" s="329"/>
      <c r="C29" s="346">
        <f>SUM(B27:B28)</f>
        <v>0</v>
      </c>
      <c r="D29" s="347"/>
      <c r="E29" s="346">
        <f>SUM(D27:D28)</f>
        <v>0</v>
      </c>
      <c r="F29" s="347"/>
      <c r="G29" s="175">
        <f>SUM(F27:F28)</f>
        <v>0</v>
      </c>
      <c r="H29" s="107">
        <f t="shared" si="4"/>
        <v>0</v>
      </c>
    </row>
    <row r="30" spans="1:10" ht="18" customHeight="1" x14ac:dyDescent="0.3">
      <c r="A30" s="106" t="s">
        <v>16</v>
      </c>
      <c r="B30" s="337">
        <f>'Trial balance'!C19-'Trial balance'!D19</f>
        <v>567000</v>
      </c>
      <c r="C30" s="330"/>
      <c r="D30" s="126">
        <f>'Trial balance'!E19-'Trial balance'!F19</f>
        <v>0</v>
      </c>
      <c r="E30" s="330"/>
      <c r="F30" s="332">
        <f>B30/$B$59+D30</f>
        <v>462.47960848287113</v>
      </c>
      <c r="G30" s="329"/>
      <c r="H30" s="107">
        <f t="shared" si="4"/>
        <v>567462.47960848291</v>
      </c>
    </row>
    <row r="31" spans="1:10" ht="18" hidden="1" customHeight="1" x14ac:dyDescent="0.3">
      <c r="A31" s="106" t="s">
        <v>111</v>
      </c>
      <c r="B31" s="345">
        <f>-('Trial balance'!D23-'Trial balance'!C23)</f>
        <v>0</v>
      </c>
      <c r="C31" s="330"/>
      <c r="D31" s="356">
        <f>-('Trial balance'!F23-'Trial balance'!E23)</f>
        <v>0</v>
      </c>
      <c r="E31" s="330"/>
      <c r="F31" s="356">
        <f>B31/$B$59+D31</f>
        <v>0</v>
      </c>
      <c r="G31" s="329"/>
      <c r="H31" s="107">
        <f t="shared" si="4"/>
        <v>0</v>
      </c>
    </row>
    <row r="32" spans="1:10" ht="18" customHeight="1" x14ac:dyDescent="0.3">
      <c r="A32" s="106"/>
      <c r="B32" s="329"/>
      <c r="C32" s="346">
        <f>SUM(B30:B31)</f>
        <v>567000</v>
      </c>
      <c r="D32" s="347"/>
      <c r="E32" s="346">
        <f>SUM(D30:D31)</f>
        <v>0</v>
      </c>
      <c r="F32" s="347"/>
      <c r="G32" s="175">
        <f>SUM(F30:F31)</f>
        <v>462.47960848287113</v>
      </c>
      <c r="H32" s="107">
        <f t="shared" si="4"/>
        <v>567462.47960848291</v>
      </c>
    </row>
    <row r="33" spans="1:10" ht="18" customHeight="1" x14ac:dyDescent="0.3">
      <c r="A33" s="106" t="s">
        <v>3</v>
      </c>
      <c r="B33" s="329">
        <f>'Trial balance'!C20-'Trial balance'!D20</f>
        <v>4545500</v>
      </c>
      <c r="C33" s="330"/>
      <c r="D33" s="126">
        <f>'Trial balance'!E20-'Trial balance'!F20</f>
        <v>0</v>
      </c>
      <c r="E33" s="330"/>
      <c r="F33" s="332">
        <f>B33/$B$59+D33</f>
        <v>3707.5856443719413</v>
      </c>
      <c r="G33" s="329"/>
      <c r="H33" s="107">
        <f t="shared" si="4"/>
        <v>4549207.5856443718</v>
      </c>
    </row>
    <row r="34" spans="1:10" ht="18" hidden="1" customHeight="1" x14ac:dyDescent="0.3">
      <c r="A34" s="106" t="s">
        <v>112</v>
      </c>
      <c r="B34" s="345">
        <f>-('Trial balance'!D24-'Trial balance'!C24)</f>
        <v>0</v>
      </c>
      <c r="C34" s="330"/>
      <c r="D34" s="356">
        <f>-('Trial balance'!F24-'Trial balance'!E24)</f>
        <v>0</v>
      </c>
      <c r="E34" s="330"/>
      <c r="F34" s="356">
        <f>B34/$B$59+D34</f>
        <v>0</v>
      </c>
      <c r="G34" s="329"/>
      <c r="H34" s="107">
        <f t="shared" si="4"/>
        <v>0</v>
      </c>
    </row>
    <row r="35" spans="1:10" ht="18" customHeight="1" x14ac:dyDescent="0.3">
      <c r="A35" s="102"/>
      <c r="B35" s="329"/>
      <c r="C35" s="346">
        <f>SUM(B33:B34)</f>
        <v>4545500</v>
      </c>
      <c r="D35" s="347"/>
      <c r="E35" s="346">
        <f>SUM(D33:D34)</f>
        <v>0</v>
      </c>
      <c r="F35" s="347"/>
      <c r="G35" s="175">
        <f>SUM(F33:F34)</f>
        <v>3707.5856443719413</v>
      </c>
      <c r="H35" s="107">
        <f t="shared" si="4"/>
        <v>4549207.5856443718</v>
      </c>
    </row>
    <row r="36" spans="1:10" ht="18" customHeight="1" x14ac:dyDescent="0.3">
      <c r="A36" s="106" t="s">
        <v>193</v>
      </c>
      <c r="B36" s="329">
        <f>'Trial balance'!C21-'Trial balance'!D21</f>
        <v>0</v>
      </c>
      <c r="C36" s="346"/>
      <c r="D36" s="347">
        <f>'Trial balance'!E21-'Trial balance'!F21</f>
        <v>3500</v>
      </c>
      <c r="E36" s="346"/>
      <c r="F36" s="332">
        <f>B36/$B$59+D36</f>
        <v>3500</v>
      </c>
      <c r="G36" s="347"/>
      <c r="H36" s="107">
        <f t="shared" si="4"/>
        <v>7000</v>
      </c>
    </row>
    <row r="37" spans="1:10" ht="18" customHeight="1" x14ac:dyDescent="0.3">
      <c r="A37" s="411" t="s">
        <v>194</v>
      </c>
      <c r="B37" s="345">
        <f>-('Trial balance'!D25-'Trial balance'!C25)</f>
        <v>0</v>
      </c>
      <c r="C37" s="346"/>
      <c r="D37" s="356">
        <f>-('Trial balance'!F25-'Trial balance'!E25)</f>
        <v>0</v>
      </c>
      <c r="E37" s="346"/>
      <c r="F37" s="356">
        <f>B37/$B$59+D37</f>
        <v>0</v>
      </c>
      <c r="G37" s="347"/>
      <c r="H37" s="107">
        <v>1</v>
      </c>
    </row>
    <row r="38" spans="1:10" ht="18" customHeight="1" x14ac:dyDescent="0.3">
      <c r="A38" s="102"/>
      <c r="B38" s="329"/>
      <c r="C38" s="346">
        <f>SUM(B36:B37)</f>
        <v>0</v>
      </c>
      <c r="D38" s="347"/>
      <c r="E38" s="348">
        <f>SUM(D36:D37)</f>
        <v>3500</v>
      </c>
      <c r="F38" s="347"/>
      <c r="G38" s="175">
        <f>SUM(F36:F37)</f>
        <v>3500</v>
      </c>
      <c r="H38" s="107">
        <f t="shared" si="4"/>
        <v>7000</v>
      </c>
    </row>
    <row r="39" spans="1:10" ht="21.9" customHeight="1" x14ac:dyDescent="0.3">
      <c r="A39" s="106"/>
      <c r="B39" s="329"/>
      <c r="C39" s="349">
        <f>SUM(C27:C38)</f>
        <v>5112500</v>
      </c>
      <c r="D39" s="329"/>
      <c r="E39" s="350">
        <f>SUM(E27:E38)</f>
        <v>3500</v>
      </c>
      <c r="F39" s="329"/>
      <c r="G39" s="351">
        <f>SUM(G27:G38)</f>
        <v>7670.0652528548126</v>
      </c>
      <c r="H39" s="107">
        <f t="shared" si="4"/>
        <v>5123670.0652528545</v>
      </c>
    </row>
    <row r="40" spans="1:10" ht="18" customHeight="1" x14ac:dyDescent="0.3">
      <c r="A40" s="102" t="s">
        <v>11</v>
      </c>
      <c r="B40" s="329"/>
      <c r="C40" s="330"/>
      <c r="D40" s="329"/>
      <c r="E40" s="330"/>
      <c r="F40" s="329"/>
      <c r="G40" s="329"/>
      <c r="H40" s="95">
        <v>10</v>
      </c>
      <c r="J40" s="95">
        <f>43350694-1424383</f>
        <v>41926311</v>
      </c>
    </row>
    <row r="41" spans="1:10" ht="18" hidden="1" customHeight="1" x14ac:dyDescent="0.3">
      <c r="A41" s="106" t="s">
        <v>122</v>
      </c>
      <c r="B41" s="108">
        <f>'Trial balance'!C5</f>
        <v>0</v>
      </c>
      <c r="C41" s="330"/>
      <c r="D41" s="126"/>
      <c r="E41" s="330"/>
      <c r="F41" s="332">
        <f>B41/$B$59+D41</f>
        <v>0</v>
      </c>
      <c r="G41" s="175"/>
      <c r="H41" s="107">
        <f t="shared" si="4"/>
        <v>0</v>
      </c>
    </row>
    <row r="42" spans="1:10" ht="18" customHeight="1" x14ac:dyDescent="0.3">
      <c r="A42" s="106" t="s">
        <v>117</v>
      </c>
      <c r="B42" s="108">
        <f>'Trial balance'!C6</f>
        <v>2635556</v>
      </c>
      <c r="C42" s="330"/>
      <c r="D42" s="126">
        <f>'Trial balance'!E6</f>
        <v>412</v>
      </c>
      <c r="E42" s="330"/>
      <c r="F42" s="332">
        <f>B42/$B$59+D42</f>
        <v>2561.7194127243065</v>
      </c>
      <c r="G42" s="175"/>
      <c r="H42" s="107">
        <f t="shared" si="4"/>
        <v>2638529.7194127245</v>
      </c>
    </row>
    <row r="43" spans="1:10" ht="18" hidden="1" customHeight="1" x14ac:dyDescent="0.3">
      <c r="A43" s="106" t="s">
        <v>118</v>
      </c>
      <c r="B43" s="108">
        <f>'Trial balance'!C7-'Trial balance'!D7</f>
        <v>0</v>
      </c>
      <c r="C43" s="104"/>
      <c r="D43" s="176">
        <f>'Trial balance'!E7-'Trial balance'!F7</f>
        <v>0</v>
      </c>
      <c r="E43" s="104"/>
      <c r="F43" s="283">
        <f>B43/$B$59+D43</f>
        <v>0</v>
      </c>
      <c r="G43" s="284"/>
      <c r="H43" s="107">
        <f t="shared" si="4"/>
        <v>0</v>
      </c>
    </row>
    <row r="44" spans="1:10" ht="18" customHeight="1" x14ac:dyDescent="0.3">
      <c r="A44" s="411" t="s">
        <v>205</v>
      </c>
      <c r="B44" s="108">
        <f>'Trial balance'!C8-'Trial balance'!D8</f>
        <v>1471774</v>
      </c>
      <c r="C44" s="330"/>
      <c r="D44" s="126">
        <f>'Trial balance'!E8-'Trial balance'!F8</f>
        <v>0</v>
      </c>
      <c r="E44" s="330"/>
      <c r="F44" s="332">
        <f t="shared" ref="F44:F53" si="5">B44/$B$59+D44</f>
        <v>1200.468189233279</v>
      </c>
      <c r="G44" s="175"/>
      <c r="H44" s="107">
        <f t="shared" si="4"/>
        <v>1472974.4681892332</v>
      </c>
    </row>
    <row r="45" spans="1:10" ht="18" customHeight="1" x14ac:dyDescent="0.3">
      <c r="A45" s="411" t="s">
        <v>192</v>
      </c>
      <c r="B45" s="337">
        <f>'Trial balance'!C9-'Trial balance'!D9</f>
        <v>0</v>
      </c>
      <c r="C45" s="330"/>
      <c r="D45" s="365">
        <f>'Trial balance'!E9-'Trial balance'!F9</f>
        <v>9684.0999999999985</v>
      </c>
      <c r="E45" s="330"/>
      <c r="F45" s="332">
        <f t="shared" si="5"/>
        <v>9684.0999999999985</v>
      </c>
      <c r="G45" s="175"/>
      <c r="H45" s="107">
        <f t="shared" si="4"/>
        <v>19368.199999999997</v>
      </c>
    </row>
    <row r="46" spans="1:10" ht="18" hidden="1" customHeight="1" x14ac:dyDescent="0.3">
      <c r="A46" s="106" t="s">
        <v>18</v>
      </c>
      <c r="B46" s="337">
        <f>'Trial balance'!C10-'Trial balance'!D10</f>
        <v>0</v>
      </c>
      <c r="C46" s="330"/>
      <c r="D46" s="365">
        <f>'Trial balance'!E10-'Trial balance'!F10</f>
        <v>0</v>
      </c>
      <c r="E46" s="330"/>
      <c r="F46" s="332">
        <f t="shared" si="5"/>
        <v>0</v>
      </c>
      <c r="G46" s="175"/>
      <c r="H46" s="107">
        <f t="shared" si="4"/>
        <v>0</v>
      </c>
    </row>
    <row r="47" spans="1:10" ht="18" hidden="1" customHeight="1" x14ac:dyDescent="0.3">
      <c r="A47" s="106" t="s">
        <v>19</v>
      </c>
      <c r="B47" s="337">
        <f>'Trial balance'!C11-'Trial balance'!D11</f>
        <v>0</v>
      </c>
      <c r="C47" s="330"/>
      <c r="D47" s="365">
        <f>'Trial balance'!E11-'Trial balance'!F11</f>
        <v>0</v>
      </c>
      <c r="E47" s="330"/>
      <c r="F47" s="332">
        <f t="shared" si="5"/>
        <v>0</v>
      </c>
      <c r="G47" s="175"/>
      <c r="H47" s="107">
        <f t="shared" si="4"/>
        <v>0</v>
      </c>
    </row>
    <row r="48" spans="1:10" ht="18" customHeight="1" x14ac:dyDescent="0.3">
      <c r="A48" s="106" t="s">
        <v>248</v>
      </c>
      <c r="B48" s="108">
        <f>'Trial balance'!C12-'Trial balance'!D12</f>
        <v>2645450</v>
      </c>
      <c r="C48" s="104"/>
      <c r="D48" s="126">
        <f>'Trial balance'!E12-'Trial balance'!F12</f>
        <v>0</v>
      </c>
      <c r="E48" s="104"/>
      <c r="F48" s="177">
        <f t="shared" si="5"/>
        <v>2157.7895595432301</v>
      </c>
      <c r="G48" s="175"/>
      <c r="H48" s="107">
        <f t="shared" si="4"/>
        <v>2647607.7895595431</v>
      </c>
    </row>
    <row r="49" spans="1:14" ht="18" customHeight="1" x14ac:dyDescent="0.3">
      <c r="A49" s="411" t="s">
        <v>432</v>
      </c>
      <c r="B49" s="337">
        <f>'Trial balance'!C13-'Trial balance'!D13</f>
        <v>2151200</v>
      </c>
      <c r="C49" s="330"/>
      <c r="D49" s="126">
        <f>'Trial balance'!E13-'Trial balance'!F13</f>
        <v>640</v>
      </c>
      <c r="E49" s="330"/>
      <c r="F49" s="332">
        <f t="shared" si="5"/>
        <v>2394.6492659053833</v>
      </c>
      <c r="G49" s="175"/>
      <c r="H49" s="107">
        <f t="shared" si="4"/>
        <v>2154234.6492659054</v>
      </c>
    </row>
    <row r="50" spans="1:14" ht="18" hidden="1" customHeight="1" x14ac:dyDescent="0.3">
      <c r="A50" s="106" t="s">
        <v>14</v>
      </c>
      <c r="B50" s="337">
        <f>'Trial balance'!C14-'Trial balance'!D14</f>
        <v>0</v>
      </c>
      <c r="C50" s="330"/>
      <c r="D50" s="126">
        <f>'Trial balance'!E14-'Trial balance'!F14</f>
        <v>0</v>
      </c>
      <c r="E50" s="330"/>
      <c r="F50" s="332">
        <f t="shared" si="5"/>
        <v>0</v>
      </c>
      <c r="G50" s="175"/>
      <c r="H50" s="107">
        <f t="shared" si="4"/>
        <v>0</v>
      </c>
    </row>
    <row r="51" spans="1:14" ht="18" hidden="1" customHeight="1" x14ac:dyDescent="0.3">
      <c r="A51" s="106" t="s">
        <v>161</v>
      </c>
      <c r="B51" s="337">
        <f>'Trial balance'!C15-'Trial balance'!D15</f>
        <v>0</v>
      </c>
      <c r="C51" s="330"/>
      <c r="D51" s="126">
        <f>'Trial balance'!E15-'Trial balance'!F15</f>
        <v>0</v>
      </c>
      <c r="E51" s="330"/>
      <c r="F51" s="332">
        <f t="shared" si="5"/>
        <v>0</v>
      </c>
      <c r="G51" s="175"/>
      <c r="H51" s="107">
        <f t="shared" si="4"/>
        <v>0</v>
      </c>
    </row>
    <row r="52" spans="1:14" ht="18" hidden="1" customHeight="1" x14ac:dyDescent="0.3">
      <c r="A52" s="106" t="s">
        <v>15</v>
      </c>
      <c r="B52" s="108">
        <f>'Trial balance'!C16-'Trial balance'!D16</f>
        <v>0</v>
      </c>
      <c r="C52" s="104"/>
      <c r="D52" s="103">
        <f>'Trial balance'!E16-'Trial balance'!F16</f>
        <v>0</v>
      </c>
      <c r="E52" s="104"/>
      <c r="F52" s="177">
        <f t="shared" si="5"/>
        <v>0</v>
      </c>
      <c r="G52" s="175"/>
      <c r="H52" s="107">
        <f t="shared" si="4"/>
        <v>0</v>
      </c>
    </row>
    <row r="53" spans="1:14" ht="18" hidden="1" customHeight="1" x14ac:dyDescent="0.3">
      <c r="A53" s="106" t="s">
        <v>1</v>
      </c>
      <c r="B53" s="108">
        <f>'Trial balance'!C17-'Trial balance'!D17</f>
        <v>0</v>
      </c>
      <c r="C53" s="330"/>
      <c r="D53" s="126">
        <f>'Trial balance'!E17-'Trial balance'!F17</f>
        <v>0</v>
      </c>
      <c r="E53" s="330"/>
      <c r="F53" s="332">
        <f t="shared" si="5"/>
        <v>0</v>
      </c>
      <c r="G53" s="175"/>
      <c r="H53" s="107">
        <f t="shared" si="4"/>
        <v>0</v>
      </c>
      <c r="N53" s="95">
        <f>23787424-21298211</f>
        <v>2489213</v>
      </c>
    </row>
    <row r="54" spans="1:14" ht="18" customHeight="1" x14ac:dyDescent="0.3">
      <c r="A54" s="106"/>
      <c r="B54" s="329"/>
      <c r="C54" s="104">
        <f>SUM(B41:B53)</f>
        <v>8903980</v>
      </c>
      <c r="D54" s="329"/>
      <c r="E54" s="352">
        <f>SUM(D41:D54)</f>
        <v>10736.099999999999</v>
      </c>
      <c r="F54" s="329"/>
      <c r="G54" s="353">
        <f>SUM(F41:F53)</f>
        <v>17998.7264274062</v>
      </c>
      <c r="H54" s="107">
        <f t="shared" si="4"/>
        <v>8932714.8264274057</v>
      </c>
    </row>
    <row r="55" spans="1:14" ht="21.9" customHeight="1" thickBot="1" x14ac:dyDescent="0.35">
      <c r="A55" s="106" t="s">
        <v>90</v>
      </c>
      <c r="B55" s="329"/>
      <c r="C55" s="398">
        <f>C54</f>
        <v>8903980</v>
      </c>
      <c r="D55" s="329"/>
      <c r="E55" s="336">
        <f>E54</f>
        <v>10736.099999999999</v>
      </c>
      <c r="F55" s="329"/>
      <c r="G55" s="354">
        <f>G54</f>
        <v>17998.7264274062</v>
      </c>
      <c r="H55" s="107">
        <f t="shared" si="4"/>
        <v>8932714.8264274057</v>
      </c>
    </row>
    <row r="56" spans="1:14" ht="24.9" customHeight="1" thickBot="1" x14ac:dyDescent="0.35">
      <c r="A56" s="110" t="s">
        <v>91</v>
      </c>
      <c r="B56" s="341"/>
      <c r="C56" s="355">
        <f>C39+C55</f>
        <v>14016480</v>
      </c>
      <c r="D56" s="342"/>
      <c r="E56" s="343">
        <f>E39+E55</f>
        <v>14236.099999999999</v>
      </c>
      <c r="F56" s="342"/>
      <c r="G56" s="344">
        <f>G39+G55</f>
        <v>25668.791680261013</v>
      </c>
      <c r="H56" s="107">
        <f t="shared" si="4"/>
        <v>14056384.891680261</v>
      </c>
    </row>
    <row r="57" spans="1:14" ht="18" customHeight="1" thickTop="1" x14ac:dyDescent="0.3">
      <c r="A57" s="112"/>
      <c r="B57" s="113"/>
      <c r="C57" s="114">
        <f>C23-C56</f>
        <v>0</v>
      </c>
      <c r="D57" s="114"/>
      <c r="E57" s="208">
        <f>E23-E56</f>
        <v>0</v>
      </c>
      <c r="F57" s="114"/>
      <c r="G57" s="209">
        <f>G23-G56</f>
        <v>0</v>
      </c>
      <c r="H57" s="115">
        <v>1</v>
      </c>
    </row>
    <row r="58" spans="1:14" ht="18" customHeight="1" x14ac:dyDescent="0.3">
      <c r="A58" s="93" t="str">
        <f>'Cash Trial'!A76</f>
        <v>Exchange Rate for 1-06-2015 to 31-05-2016 is 1,226 mmk/Per USD</v>
      </c>
    </row>
    <row r="59" spans="1:14" ht="18" customHeight="1" x14ac:dyDescent="0.3">
      <c r="B59" s="395">
        <f>'Cash Trial'!D76</f>
        <v>1226</v>
      </c>
    </row>
  </sheetData>
  <autoFilter ref="A3:H59">
    <filterColumn colId="1" showButton="0"/>
    <filterColumn colId="7">
      <filters blank="1">
        <filter val="1"/>
        <filter val="1,415,933"/>
        <filter val="-1,594"/>
        <filter val="1.00"/>
        <filter val="10"/>
        <filter val="-13,296,262"/>
        <filter val="2"/>
        <filter val="2,647,608"/>
        <filter val="-3,410,074"/>
        <filter val="4"/>
        <filter val="4,549,208"/>
        <filter val="5"/>
        <filter val="5,123,670"/>
        <filter val="55,987,741"/>
        <filter val="567,462"/>
        <filter val="-59,496,815"/>
        <filter val="6"/>
        <filter val="7"/>
        <filter val="7,000"/>
        <filter val="700,571"/>
        <filter val="8"/>
        <filter val="-8,533,744"/>
        <filter val="9"/>
        <filter val="99,000"/>
      </filters>
    </filterColumn>
  </autoFilter>
  <mergeCells count="4">
    <mergeCell ref="A1:C1"/>
    <mergeCell ref="B3:C3"/>
    <mergeCell ref="F3:G3"/>
    <mergeCell ref="D3:E3"/>
  </mergeCells>
  <pageMargins left="0.196850393700787" right="0.196850393700787" top="0.196850393700787" bottom="0.196850393700787" header="0.31496062992126" footer="0.31496062992126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pane ySplit="3" topLeftCell="A4" activePane="bottomLeft" state="frozen"/>
      <selection pane="bottomLeft" activeCell="E7" sqref="E7"/>
    </sheetView>
  </sheetViews>
  <sheetFormatPr defaultRowHeight="14.4" x14ac:dyDescent="0.3"/>
  <cols>
    <col min="1" max="1" width="12" style="198" customWidth="1"/>
    <col min="2" max="2" width="43.44140625" style="198" customWidth="1"/>
    <col min="3" max="3" width="15.88671875" customWidth="1"/>
    <col min="4" max="4" width="16.44140625" customWidth="1"/>
    <col min="5" max="5" width="7.6640625" style="198" customWidth="1"/>
    <col min="6" max="8" width="16.44140625" customWidth="1"/>
  </cols>
  <sheetData>
    <row r="1" spans="1:10" s="198" customFormat="1" ht="24.9" customHeight="1" x14ac:dyDescent="0.3">
      <c r="A1" s="484" t="str">
        <f>'Trial balance'!A1:H1</f>
        <v>LEAD GENERATION CO.,LTD</v>
      </c>
      <c r="B1" s="484"/>
      <c r="C1" s="484"/>
      <c r="D1" s="484"/>
      <c r="E1" s="484"/>
      <c r="F1" s="484"/>
      <c r="G1" s="484"/>
      <c r="H1" s="484"/>
    </row>
    <row r="2" spans="1:10" s="198" customFormat="1" ht="24.9" customHeight="1" thickBot="1" x14ac:dyDescent="0.35">
      <c r="A2" s="485" t="s">
        <v>164</v>
      </c>
      <c r="B2" s="485"/>
      <c r="C2" s="485"/>
      <c r="D2" s="485"/>
      <c r="E2" s="485"/>
      <c r="F2" s="485"/>
      <c r="G2" s="485"/>
      <c r="H2" s="485"/>
    </row>
    <row r="3" spans="1:10" ht="36" customHeight="1" x14ac:dyDescent="0.3">
      <c r="A3" s="212" t="s">
        <v>61</v>
      </c>
      <c r="B3" s="213" t="s">
        <v>125</v>
      </c>
      <c r="C3" s="214" t="s">
        <v>144</v>
      </c>
      <c r="D3" s="214" t="s">
        <v>180</v>
      </c>
      <c r="E3" s="214" t="s">
        <v>123</v>
      </c>
      <c r="F3" s="214" t="s">
        <v>181</v>
      </c>
      <c r="G3" s="214" t="s">
        <v>182</v>
      </c>
      <c r="H3" s="215" t="s">
        <v>124</v>
      </c>
    </row>
    <row r="4" spans="1:10" ht="24.9" customHeight="1" x14ac:dyDescent="0.3">
      <c r="A4" s="486" t="s">
        <v>126</v>
      </c>
      <c r="B4" s="487"/>
      <c r="C4" s="123"/>
      <c r="D4" s="123"/>
      <c r="E4" s="123"/>
      <c r="F4" s="123"/>
      <c r="G4" s="123"/>
      <c r="H4" s="211"/>
    </row>
    <row r="5" spans="1:10" s="198" customFormat="1" ht="20.100000000000001" customHeight="1" x14ac:dyDescent="0.3">
      <c r="A5" s="216">
        <v>41365</v>
      </c>
      <c r="B5" s="217" t="s">
        <v>127</v>
      </c>
      <c r="C5" s="218">
        <v>477.3</v>
      </c>
      <c r="D5" s="218">
        <v>95.45</v>
      </c>
      <c r="E5" s="227">
        <v>0.1</v>
      </c>
      <c r="F5" s="218">
        <f>ROUND((C5*E5)/4,2)</f>
        <v>11.93</v>
      </c>
      <c r="G5" s="218">
        <f>D5+F5</f>
        <v>107.38</v>
      </c>
      <c r="H5" s="228">
        <f>C5-G5</f>
        <v>369.92</v>
      </c>
    </row>
    <row r="6" spans="1:10" s="198" customFormat="1" ht="20.100000000000001" customHeight="1" x14ac:dyDescent="0.3">
      <c r="A6" s="216">
        <v>41415</v>
      </c>
      <c r="B6" s="217" t="s">
        <v>128</v>
      </c>
      <c r="C6" s="218">
        <v>88</v>
      </c>
      <c r="D6" s="218">
        <v>17.599999999999998</v>
      </c>
      <c r="E6" s="227">
        <v>0.1</v>
      </c>
      <c r="F6" s="218">
        <f t="shared" ref="F6:F12" si="0">ROUND((C6*E6)/4,2)</f>
        <v>2.2000000000000002</v>
      </c>
      <c r="G6" s="218">
        <f t="shared" ref="G6:G12" si="1">D6+F6</f>
        <v>19.799999999999997</v>
      </c>
      <c r="H6" s="228">
        <f t="shared" ref="H6:H12" si="2">C6-G6</f>
        <v>68.2</v>
      </c>
    </row>
    <row r="7" spans="1:10" s="198" customFormat="1" ht="20.100000000000001" customHeight="1" x14ac:dyDescent="0.3">
      <c r="A7" s="216">
        <v>41494</v>
      </c>
      <c r="B7" s="217" t="s">
        <v>129</v>
      </c>
      <c r="C7" s="218">
        <v>146</v>
      </c>
      <c r="D7" s="218">
        <v>29.199999999999996</v>
      </c>
      <c r="E7" s="227">
        <v>0.1</v>
      </c>
      <c r="F7" s="218">
        <f t="shared" si="0"/>
        <v>3.65</v>
      </c>
      <c r="G7" s="218">
        <f t="shared" si="1"/>
        <v>32.849999999999994</v>
      </c>
      <c r="H7" s="228">
        <f t="shared" si="2"/>
        <v>113.15</v>
      </c>
    </row>
    <row r="8" spans="1:10" s="198" customFormat="1" ht="20.100000000000001" customHeight="1" x14ac:dyDescent="0.3">
      <c r="A8" s="216">
        <v>41513</v>
      </c>
      <c r="B8" s="217" t="s">
        <v>130</v>
      </c>
      <c r="C8" s="218">
        <v>156</v>
      </c>
      <c r="D8" s="218">
        <v>31.199999999999996</v>
      </c>
      <c r="E8" s="227">
        <v>0.1</v>
      </c>
      <c r="F8" s="218">
        <f t="shared" si="0"/>
        <v>3.9</v>
      </c>
      <c r="G8" s="218">
        <f t="shared" si="1"/>
        <v>35.099999999999994</v>
      </c>
      <c r="H8" s="228">
        <f t="shared" si="2"/>
        <v>120.9</v>
      </c>
    </row>
    <row r="9" spans="1:10" s="198" customFormat="1" ht="20.100000000000001" customHeight="1" x14ac:dyDescent="0.3">
      <c r="A9" s="216">
        <v>41549</v>
      </c>
      <c r="B9" s="217" t="s">
        <v>129</v>
      </c>
      <c r="C9" s="218">
        <v>146</v>
      </c>
      <c r="D9" s="218">
        <v>29.199999999999996</v>
      </c>
      <c r="E9" s="227">
        <v>0.1</v>
      </c>
      <c r="F9" s="218">
        <f t="shared" si="0"/>
        <v>3.65</v>
      </c>
      <c r="G9" s="218">
        <f t="shared" si="1"/>
        <v>32.849999999999994</v>
      </c>
      <c r="H9" s="228">
        <f t="shared" si="2"/>
        <v>113.15</v>
      </c>
    </row>
    <row r="10" spans="1:10" s="198" customFormat="1" ht="20.100000000000001" customHeight="1" x14ac:dyDescent="0.3">
      <c r="A10" s="216">
        <v>41597</v>
      </c>
      <c r="B10" s="217" t="s">
        <v>131</v>
      </c>
      <c r="C10" s="218">
        <v>135</v>
      </c>
      <c r="D10" s="218">
        <v>27.02</v>
      </c>
      <c r="E10" s="227">
        <v>0.1</v>
      </c>
      <c r="F10" s="218">
        <f t="shared" si="0"/>
        <v>3.38</v>
      </c>
      <c r="G10" s="218">
        <f t="shared" si="1"/>
        <v>30.4</v>
      </c>
      <c r="H10" s="228">
        <f t="shared" si="2"/>
        <v>104.6</v>
      </c>
    </row>
    <row r="11" spans="1:10" s="198" customFormat="1" ht="20.100000000000001" customHeight="1" x14ac:dyDescent="0.3">
      <c r="A11" s="216">
        <v>41307</v>
      </c>
      <c r="B11" s="217" t="s">
        <v>132</v>
      </c>
      <c r="C11" s="218">
        <v>1259</v>
      </c>
      <c r="D11" s="218">
        <v>251.82</v>
      </c>
      <c r="E11" s="227">
        <v>0.1</v>
      </c>
      <c r="F11" s="218">
        <f t="shared" si="0"/>
        <v>31.48</v>
      </c>
      <c r="G11" s="218">
        <f t="shared" si="1"/>
        <v>283.3</v>
      </c>
      <c r="H11" s="228">
        <f t="shared" si="2"/>
        <v>975.7</v>
      </c>
    </row>
    <row r="12" spans="1:10" s="198" customFormat="1" ht="20.100000000000001" customHeight="1" thickBot="1" x14ac:dyDescent="0.35">
      <c r="A12" s="219">
        <v>41697</v>
      </c>
      <c r="B12" s="220" t="s">
        <v>133</v>
      </c>
      <c r="C12" s="221">
        <v>239</v>
      </c>
      <c r="D12" s="221">
        <f>47.79-0.01</f>
        <v>47.78</v>
      </c>
      <c r="E12" s="227">
        <v>0.1</v>
      </c>
      <c r="F12" s="218">
        <f t="shared" si="0"/>
        <v>5.98</v>
      </c>
      <c r="G12" s="218">
        <f t="shared" si="1"/>
        <v>53.760000000000005</v>
      </c>
      <c r="H12" s="228">
        <f t="shared" si="2"/>
        <v>185.24</v>
      </c>
    </row>
    <row r="13" spans="1:10" ht="24.9" customHeight="1" thickBot="1" x14ac:dyDescent="0.35">
      <c r="A13" s="224"/>
      <c r="B13" s="226" t="s">
        <v>73</v>
      </c>
      <c r="C13" s="374">
        <f>SUM(C5:C12)</f>
        <v>2646.3</v>
      </c>
      <c r="D13" s="374">
        <f>SUM(D5:D12)</f>
        <v>529.27</v>
      </c>
      <c r="E13" s="225"/>
      <c r="F13" s="374">
        <f>SUM(F5:F12)</f>
        <v>66.17</v>
      </c>
      <c r="G13" s="374">
        <f>SUM(G5:G12)</f>
        <v>595.43999999999994</v>
      </c>
      <c r="H13" s="373">
        <f>SUM(H5:H12)</f>
        <v>2050.8599999999997</v>
      </c>
      <c r="I13" s="255"/>
      <c r="J13" s="255"/>
    </row>
    <row r="14" spans="1:10" s="198" customFormat="1" ht="6" customHeight="1" thickBot="1" x14ac:dyDescent="0.35">
      <c r="A14" s="229"/>
      <c r="B14" s="229"/>
      <c r="C14" s="229"/>
      <c r="D14" s="229"/>
      <c r="E14" s="229"/>
      <c r="F14" s="229"/>
      <c r="G14" s="230"/>
      <c r="H14" s="229"/>
    </row>
    <row r="15" spans="1:10" ht="20.100000000000001" customHeight="1" x14ac:dyDescent="0.3">
      <c r="A15" s="488" t="s">
        <v>134</v>
      </c>
      <c r="B15" s="489"/>
      <c r="C15" s="231"/>
      <c r="D15" s="231"/>
      <c r="E15" s="231"/>
      <c r="F15" s="231"/>
      <c r="G15" s="232"/>
      <c r="H15" s="233"/>
    </row>
    <row r="16" spans="1:10" ht="20.100000000000001" customHeight="1" x14ac:dyDescent="0.3">
      <c r="A16" s="216">
        <v>41365</v>
      </c>
      <c r="B16" s="217" t="s">
        <v>135</v>
      </c>
      <c r="C16" s="218">
        <v>1289</v>
      </c>
      <c r="D16" s="218">
        <v>674.67000000000007</v>
      </c>
      <c r="E16" s="227">
        <v>0.2</v>
      </c>
      <c r="F16" s="218">
        <f t="shared" ref="F16:F22" si="3">ROUND((C16*E16)/4,2)</f>
        <v>64.45</v>
      </c>
      <c r="G16" s="218">
        <f>D16+F16</f>
        <v>739.12000000000012</v>
      </c>
      <c r="H16" s="228">
        <f t="shared" ref="H16:H22" si="4">C16-G16</f>
        <v>549.87999999999988</v>
      </c>
    </row>
    <row r="17" spans="1:10" ht="20.100000000000001" customHeight="1" x14ac:dyDescent="0.3">
      <c r="A17" s="216">
        <v>41782</v>
      </c>
      <c r="B17" s="217" t="s">
        <v>143</v>
      </c>
      <c r="C17" s="218">
        <v>389</v>
      </c>
      <c r="D17" s="218">
        <v>203.59999999999997</v>
      </c>
      <c r="E17" s="227">
        <v>0.2</v>
      </c>
      <c r="F17" s="218">
        <f t="shared" si="3"/>
        <v>19.45</v>
      </c>
      <c r="G17" s="218">
        <f t="shared" ref="G17:G22" si="5">D17+F17</f>
        <v>223.04999999999995</v>
      </c>
      <c r="H17" s="228">
        <f t="shared" si="4"/>
        <v>165.95000000000005</v>
      </c>
    </row>
    <row r="18" spans="1:10" ht="20.100000000000001" customHeight="1" x14ac:dyDescent="0.3">
      <c r="A18" s="216">
        <v>41430</v>
      </c>
      <c r="B18" s="217" t="s">
        <v>145</v>
      </c>
      <c r="C18" s="218">
        <v>302</v>
      </c>
      <c r="D18" s="218">
        <v>158.07</v>
      </c>
      <c r="E18" s="227">
        <v>0.2</v>
      </c>
      <c r="F18" s="218">
        <f t="shared" si="3"/>
        <v>15.1</v>
      </c>
      <c r="G18" s="218">
        <f t="shared" si="5"/>
        <v>173.17</v>
      </c>
      <c r="H18" s="228">
        <f t="shared" si="4"/>
        <v>128.83000000000001</v>
      </c>
    </row>
    <row r="19" spans="1:10" s="198" customFormat="1" ht="20.100000000000001" customHeight="1" x14ac:dyDescent="0.3">
      <c r="A19" s="216">
        <v>41467</v>
      </c>
      <c r="B19" s="217" t="s">
        <v>146</v>
      </c>
      <c r="C19" s="218">
        <v>265</v>
      </c>
      <c r="D19" s="218">
        <v>138.69999999999999</v>
      </c>
      <c r="E19" s="227">
        <v>0.2</v>
      </c>
      <c r="F19" s="218">
        <f t="shared" si="3"/>
        <v>13.25</v>
      </c>
      <c r="G19" s="218">
        <f t="shared" si="5"/>
        <v>151.94999999999999</v>
      </c>
      <c r="H19" s="228">
        <f t="shared" si="4"/>
        <v>113.05000000000001</v>
      </c>
    </row>
    <row r="20" spans="1:10" s="198" customFormat="1" ht="20.100000000000001" customHeight="1" x14ac:dyDescent="0.3">
      <c r="A20" s="216">
        <v>41589</v>
      </c>
      <c r="B20" s="217" t="s">
        <v>147</v>
      </c>
      <c r="C20" s="218">
        <v>3635</v>
      </c>
      <c r="D20" s="218">
        <v>1902.58</v>
      </c>
      <c r="E20" s="227">
        <v>0.2</v>
      </c>
      <c r="F20" s="218">
        <f t="shared" si="3"/>
        <v>181.75</v>
      </c>
      <c r="G20" s="218">
        <f t="shared" si="5"/>
        <v>2084.33</v>
      </c>
      <c r="H20" s="228">
        <f t="shared" si="4"/>
        <v>1550.67</v>
      </c>
    </row>
    <row r="21" spans="1:10" s="198" customFormat="1" ht="20.100000000000001" customHeight="1" x14ac:dyDescent="0.3">
      <c r="A21" s="216">
        <v>41610</v>
      </c>
      <c r="B21" s="217" t="s">
        <v>148</v>
      </c>
      <c r="C21" s="218">
        <v>1205</v>
      </c>
      <c r="D21" s="218">
        <v>630.70000000000005</v>
      </c>
      <c r="E21" s="227">
        <v>0.2</v>
      </c>
      <c r="F21" s="218">
        <f t="shared" si="3"/>
        <v>60.25</v>
      </c>
      <c r="G21" s="218">
        <f t="shared" si="5"/>
        <v>690.95</v>
      </c>
      <c r="H21" s="228">
        <f t="shared" si="4"/>
        <v>514.04999999999995</v>
      </c>
    </row>
    <row r="22" spans="1:10" s="198" customFormat="1" ht="20.100000000000001" customHeight="1" thickBot="1" x14ac:dyDescent="0.35">
      <c r="A22" s="216">
        <v>41647</v>
      </c>
      <c r="B22" s="217" t="s">
        <v>149</v>
      </c>
      <c r="C22" s="218">
        <v>832</v>
      </c>
      <c r="D22" s="218">
        <v>435.48000000000008</v>
      </c>
      <c r="E22" s="227">
        <v>0.2</v>
      </c>
      <c r="F22" s="218">
        <f t="shared" si="3"/>
        <v>41.6</v>
      </c>
      <c r="G22" s="218">
        <f t="shared" si="5"/>
        <v>477.0800000000001</v>
      </c>
      <c r="H22" s="228">
        <f t="shared" si="4"/>
        <v>354.9199999999999</v>
      </c>
    </row>
    <row r="23" spans="1:10" s="198" customFormat="1" ht="24.9" customHeight="1" thickBot="1" x14ac:dyDescent="0.35">
      <c r="A23" s="224"/>
      <c r="B23" s="226" t="s">
        <v>73</v>
      </c>
      <c r="C23" s="374">
        <f>SUM(C16:C22)</f>
        <v>7917</v>
      </c>
      <c r="D23" s="374">
        <f>SUM(D16:D22)</f>
        <v>4143.8</v>
      </c>
      <c r="E23" s="375"/>
      <c r="F23" s="374">
        <f>SUM(F16:F22)</f>
        <v>395.85</v>
      </c>
      <c r="G23" s="374">
        <f>SUM(G16:G22)</f>
        <v>4539.6499999999996</v>
      </c>
      <c r="H23" s="373">
        <f>SUM(H16:H22)</f>
        <v>3377.3500000000004</v>
      </c>
      <c r="J23" s="255"/>
    </row>
    <row r="24" spans="1:10" s="198" customFormat="1" ht="6" customHeight="1" thickBot="1" x14ac:dyDescent="0.35">
      <c r="A24" s="229"/>
      <c r="B24" s="229"/>
      <c r="C24" s="229"/>
      <c r="D24" s="229"/>
      <c r="E24" s="234"/>
      <c r="F24" s="229"/>
      <c r="G24" s="230"/>
      <c r="H24" s="229"/>
    </row>
    <row r="25" spans="1:10" s="198" customFormat="1" ht="20.100000000000001" customHeight="1" x14ac:dyDescent="0.3">
      <c r="A25" s="488" t="s">
        <v>150</v>
      </c>
      <c r="B25" s="489"/>
      <c r="C25" s="231"/>
      <c r="D25" s="231"/>
      <c r="E25" s="235"/>
      <c r="F25" s="231"/>
      <c r="G25" s="232"/>
      <c r="H25" s="233"/>
    </row>
    <row r="26" spans="1:10" s="198" customFormat="1" ht="20.100000000000001" customHeight="1" x14ac:dyDescent="0.3">
      <c r="A26" s="216">
        <v>41452</v>
      </c>
      <c r="B26" s="217" t="s">
        <v>151</v>
      </c>
      <c r="C26" s="218">
        <v>560</v>
      </c>
      <c r="D26" s="218">
        <v>73.97999999999999</v>
      </c>
      <c r="E26" s="227">
        <v>0.05</v>
      </c>
      <c r="F26" s="218">
        <f>ROUND((C26*E26)/4,2)</f>
        <v>7</v>
      </c>
      <c r="G26" s="218">
        <f t="shared" ref="G26:G28" si="6">D26+F26</f>
        <v>80.97999999999999</v>
      </c>
      <c r="H26" s="228">
        <f t="shared" ref="H26" si="7">C26-G26</f>
        <v>479.02</v>
      </c>
    </row>
    <row r="27" spans="1:10" ht="20.100000000000001" customHeight="1" x14ac:dyDescent="0.3">
      <c r="A27" s="216">
        <v>41583</v>
      </c>
      <c r="B27" s="217" t="s">
        <v>152</v>
      </c>
      <c r="C27" s="218">
        <v>117</v>
      </c>
      <c r="D27" s="218">
        <v>15.45</v>
      </c>
      <c r="E27" s="227">
        <v>0.05</v>
      </c>
      <c r="F27" s="218">
        <f t="shared" ref="F27:F28" si="8">ROUND((C27*E27)/4,2)</f>
        <v>1.46</v>
      </c>
      <c r="G27" s="218">
        <f t="shared" si="6"/>
        <v>16.91</v>
      </c>
      <c r="H27" s="228">
        <f t="shared" ref="H27:H28" si="9">C27-G27</f>
        <v>100.09</v>
      </c>
    </row>
    <row r="28" spans="1:10" ht="20.100000000000001" customHeight="1" thickBot="1" x14ac:dyDescent="0.35">
      <c r="A28" s="216">
        <v>41663</v>
      </c>
      <c r="B28" s="217" t="s">
        <v>153</v>
      </c>
      <c r="C28" s="218">
        <v>195</v>
      </c>
      <c r="D28" s="218">
        <v>25.77</v>
      </c>
      <c r="E28" s="227">
        <v>0.05</v>
      </c>
      <c r="F28" s="218">
        <f t="shared" si="8"/>
        <v>2.44</v>
      </c>
      <c r="G28" s="218">
        <f t="shared" si="6"/>
        <v>28.21</v>
      </c>
      <c r="H28" s="228">
        <f t="shared" si="9"/>
        <v>166.79</v>
      </c>
    </row>
    <row r="29" spans="1:10" ht="24.9" customHeight="1" thickBot="1" x14ac:dyDescent="0.35">
      <c r="A29" s="224"/>
      <c r="B29" s="226" t="s">
        <v>73</v>
      </c>
      <c r="C29" s="374">
        <f>SUM(C26:C28)</f>
        <v>872</v>
      </c>
      <c r="D29" s="374">
        <f>SUM(D26:D28)</f>
        <v>115.19999999999999</v>
      </c>
      <c r="E29" s="375"/>
      <c r="F29" s="374">
        <f>SUM(F26:F28)</f>
        <v>10.9</v>
      </c>
      <c r="G29" s="374">
        <f>SUM(G26:G28)</f>
        <v>126.1</v>
      </c>
      <c r="H29" s="373">
        <f>SUM(H26:H28)</f>
        <v>745.9</v>
      </c>
      <c r="J29" s="255"/>
    </row>
    <row r="30" spans="1:10" ht="6" customHeight="1" thickBot="1" x14ac:dyDescent="0.35">
      <c r="A30" s="236"/>
      <c r="B30" s="236"/>
      <c r="C30" s="236"/>
      <c r="D30" s="236"/>
      <c r="E30" s="237"/>
      <c r="F30" s="236"/>
      <c r="G30" s="238"/>
      <c r="H30" s="236"/>
    </row>
    <row r="31" spans="1:10" s="198" customFormat="1" ht="20.100000000000001" customHeight="1" x14ac:dyDescent="0.3">
      <c r="A31" s="482" t="s">
        <v>154</v>
      </c>
      <c r="B31" s="483"/>
      <c r="C31" s="222"/>
      <c r="D31" s="222"/>
      <c r="E31" s="222"/>
      <c r="F31" s="222"/>
      <c r="G31" s="222"/>
      <c r="H31" s="223"/>
    </row>
    <row r="32" spans="1:10" s="198" customFormat="1" ht="20.100000000000001" customHeight="1" x14ac:dyDescent="0.3">
      <c r="A32" s="216">
        <v>41495</v>
      </c>
      <c r="B32" s="217" t="s">
        <v>155</v>
      </c>
      <c r="C32" s="218">
        <v>125</v>
      </c>
      <c r="D32" s="218">
        <v>29.73</v>
      </c>
      <c r="E32" s="227">
        <v>0.1</v>
      </c>
      <c r="F32" s="218">
        <f t="shared" ref="F32:F34" si="10">ROUND((C32*E32)/4,2)</f>
        <v>3.13</v>
      </c>
      <c r="G32" s="218">
        <f t="shared" ref="G32:G35" si="11">D32+F32</f>
        <v>32.86</v>
      </c>
      <c r="H32" s="228">
        <f t="shared" ref="H32:H34" si="12">C32-G32</f>
        <v>92.14</v>
      </c>
    </row>
    <row r="33" spans="1:10" s="198" customFormat="1" ht="20.100000000000001" customHeight="1" x14ac:dyDescent="0.3">
      <c r="A33" s="216">
        <v>41549</v>
      </c>
      <c r="B33" s="217" t="s">
        <v>156</v>
      </c>
      <c r="C33" s="218">
        <v>125</v>
      </c>
      <c r="D33" s="218">
        <f>29.73-0.01</f>
        <v>29.72</v>
      </c>
      <c r="E33" s="227">
        <v>0.1</v>
      </c>
      <c r="F33" s="218">
        <f t="shared" si="10"/>
        <v>3.13</v>
      </c>
      <c r="G33" s="218">
        <f t="shared" si="11"/>
        <v>32.85</v>
      </c>
      <c r="H33" s="228">
        <f t="shared" si="12"/>
        <v>92.15</v>
      </c>
    </row>
    <row r="34" spans="1:10" s="198" customFormat="1" ht="20.100000000000001" customHeight="1" x14ac:dyDescent="0.3">
      <c r="A34" s="216">
        <v>41617</v>
      </c>
      <c r="B34" s="217" t="s">
        <v>157</v>
      </c>
      <c r="C34" s="218">
        <v>358</v>
      </c>
      <c r="D34" s="218">
        <f>85.1-0.01</f>
        <v>85.089999999999989</v>
      </c>
      <c r="E34" s="227">
        <v>0.1</v>
      </c>
      <c r="F34" s="218">
        <f t="shared" si="10"/>
        <v>8.9499999999999993</v>
      </c>
      <c r="G34" s="218">
        <f t="shared" si="11"/>
        <v>94.039999999999992</v>
      </c>
      <c r="H34" s="228">
        <f t="shared" si="12"/>
        <v>263.96000000000004</v>
      </c>
    </row>
    <row r="35" spans="1:10" ht="20.100000000000001" customHeight="1" thickBot="1" x14ac:dyDescent="0.35">
      <c r="A35" s="216">
        <v>41654</v>
      </c>
      <c r="B35" s="217" t="s">
        <v>158</v>
      </c>
      <c r="C35" s="218">
        <v>267</v>
      </c>
      <c r="D35" s="218">
        <f>63.49-0.01</f>
        <v>63.480000000000004</v>
      </c>
      <c r="E35" s="227">
        <v>0.1</v>
      </c>
      <c r="F35" s="218">
        <f>ROUND((C35*E35)/4,2)</f>
        <v>6.68</v>
      </c>
      <c r="G35" s="218">
        <f t="shared" si="11"/>
        <v>70.16</v>
      </c>
      <c r="H35" s="228">
        <f>C35-G35</f>
        <v>196.84</v>
      </c>
    </row>
    <row r="36" spans="1:10" ht="24.9" customHeight="1" thickBot="1" x14ac:dyDescent="0.35">
      <c r="A36" s="224"/>
      <c r="B36" s="226" t="s">
        <v>73</v>
      </c>
      <c r="C36" s="374">
        <f>SUM(C32:C35)</f>
        <v>875</v>
      </c>
      <c r="D36" s="374">
        <f>SUM(D32:D35)</f>
        <v>208.01999999999998</v>
      </c>
      <c r="E36" s="375"/>
      <c r="F36" s="374">
        <f>SUM(F32:F35)</f>
        <v>21.89</v>
      </c>
      <c r="G36" s="374">
        <f>SUM(G32:G35)</f>
        <v>229.91</v>
      </c>
      <c r="H36" s="373">
        <f>SUM(H32:H35)</f>
        <v>645.09</v>
      </c>
      <c r="J36" s="255"/>
    </row>
    <row r="37" spans="1:10" ht="24.9" customHeight="1" thickBot="1" x14ac:dyDescent="0.35">
      <c r="A37" s="239"/>
      <c r="B37" s="240" t="s">
        <v>76</v>
      </c>
      <c r="C37" s="402">
        <f>C36+C29+C23+C13</f>
        <v>12310.3</v>
      </c>
      <c r="D37" s="402">
        <f>D36+D29+D23+D13</f>
        <v>4996.2900000000009</v>
      </c>
      <c r="E37" s="403"/>
      <c r="F37" s="402">
        <f>F36+F29+F23+F13</f>
        <v>494.81000000000006</v>
      </c>
      <c r="G37" s="402">
        <f>G36+G29+G23+G13</f>
        <v>5491.0999999999995</v>
      </c>
      <c r="H37" s="404">
        <f>H36+H29+H23+H13</f>
        <v>6819.2</v>
      </c>
    </row>
    <row r="38" spans="1:10" ht="15" thickTop="1" x14ac:dyDescent="0.3">
      <c r="F38" s="364"/>
      <c r="H38" s="241">
        <f>C37-G37</f>
        <v>6819.2</v>
      </c>
    </row>
  </sheetData>
  <mergeCells count="6">
    <mergeCell ref="A31:B31"/>
    <mergeCell ref="A1:H1"/>
    <mergeCell ref="A2:H2"/>
    <mergeCell ref="A4:B4"/>
    <mergeCell ref="A15:B15"/>
    <mergeCell ref="A25:B25"/>
  </mergeCells>
  <pageMargins left="0.39370078740157483" right="0.19685039370078741" top="0.19685039370078741" bottom="0.19685039370078741" header="0.31496062992125984" footer="0.31496062992125984"/>
  <pageSetup paperSize="9" scale="9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0"/>
  <sheetViews>
    <sheetView showGridLines="0" workbookViewId="0"/>
  </sheetViews>
  <sheetFormatPr defaultRowHeight="21.9" customHeight="1" x14ac:dyDescent="0.3"/>
  <cols>
    <col min="1" max="1" width="18.33203125" style="181" customWidth="1"/>
    <col min="2" max="2" width="16.109375" customWidth="1"/>
    <col min="3" max="3" width="52.33203125" customWidth="1"/>
  </cols>
  <sheetData>
    <row r="1" spans="1:4" ht="21.9" customHeight="1" x14ac:dyDescent="0.3">
      <c r="A1" s="182" t="s">
        <v>11</v>
      </c>
    </row>
    <row r="2" spans="1:4" ht="21.9" customHeight="1" x14ac:dyDescent="0.3">
      <c r="A2" s="181" t="s">
        <v>0</v>
      </c>
      <c r="B2" s="1">
        <v>111101</v>
      </c>
      <c r="C2" t="s">
        <v>113</v>
      </c>
      <c r="D2">
        <v>1</v>
      </c>
    </row>
    <row r="3" spans="1:4" ht="21.9" customHeight="1" x14ac:dyDescent="0.3">
      <c r="A3" s="181" t="s">
        <v>0</v>
      </c>
      <c r="B3" s="1">
        <v>111102</v>
      </c>
      <c r="C3" t="s">
        <v>117</v>
      </c>
      <c r="D3">
        <v>2</v>
      </c>
    </row>
    <row r="4" spans="1:4" ht="21.9" customHeight="1" x14ac:dyDescent="0.3">
      <c r="A4" s="181" t="s">
        <v>0</v>
      </c>
      <c r="B4" s="419">
        <v>111103</v>
      </c>
      <c r="C4" s="421" t="s">
        <v>118</v>
      </c>
      <c r="D4">
        <v>3</v>
      </c>
    </row>
    <row r="5" spans="1:4" ht="21.9" customHeight="1" x14ac:dyDescent="0.3">
      <c r="A5" s="181" t="s">
        <v>0</v>
      </c>
      <c r="B5" s="419">
        <v>111201</v>
      </c>
      <c r="C5" s="420" t="s">
        <v>205</v>
      </c>
      <c r="D5">
        <v>4</v>
      </c>
    </row>
    <row r="6" spans="1:4" ht="21.9" customHeight="1" x14ac:dyDescent="0.3">
      <c r="A6" s="181" t="s">
        <v>0</v>
      </c>
      <c r="B6" s="419">
        <v>111202</v>
      </c>
      <c r="C6" s="420" t="s">
        <v>192</v>
      </c>
      <c r="D6">
        <v>5</v>
      </c>
    </row>
    <row r="7" spans="1:4" ht="21.9" customHeight="1" x14ac:dyDescent="0.3">
      <c r="A7" s="181" t="s">
        <v>0</v>
      </c>
      <c r="B7" s="1">
        <v>111203</v>
      </c>
      <c r="C7" t="s">
        <v>18</v>
      </c>
      <c r="D7">
        <v>6</v>
      </c>
    </row>
    <row r="8" spans="1:4" ht="21.9" customHeight="1" x14ac:dyDescent="0.3">
      <c r="A8" s="181" t="s">
        <v>0</v>
      </c>
      <c r="B8" s="1">
        <v>111204</v>
      </c>
      <c r="C8" t="s">
        <v>19</v>
      </c>
      <c r="D8">
        <v>7</v>
      </c>
    </row>
    <row r="9" spans="1:4" ht="21.9" customHeight="1" x14ac:dyDescent="0.3">
      <c r="A9" s="181" t="s">
        <v>0</v>
      </c>
      <c r="B9" s="419">
        <v>111301</v>
      </c>
      <c r="C9" s="421" t="s">
        <v>248</v>
      </c>
      <c r="D9">
        <v>8</v>
      </c>
    </row>
    <row r="10" spans="1:4" ht="21.9" customHeight="1" x14ac:dyDescent="0.3">
      <c r="A10" s="181" t="s">
        <v>0</v>
      </c>
      <c r="B10" s="419">
        <v>111302</v>
      </c>
      <c r="C10" s="420" t="s">
        <v>432</v>
      </c>
      <c r="D10">
        <v>9</v>
      </c>
    </row>
    <row r="11" spans="1:4" ht="21.9" customHeight="1" x14ac:dyDescent="0.3">
      <c r="A11" s="181" t="s">
        <v>0</v>
      </c>
      <c r="B11" s="1">
        <v>111401</v>
      </c>
      <c r="C11" t="s">
        <v>14</v>
      </c>
      <c r="D11">
        <v>10</v>
      </c>
    </row>
    <row r="12" spans="1:4" s="247" customFormat="1" ht="21.9" customHeight="1" x14ac:dyDescent="0.3">
      <c r="A12" s="181" t="s">
        <v>0</v>
      </c>
      <c r="B12" s="1">
        <v>111402</v>
      </c>
      <c r="C12" s="247" t="s">
        <v>161</v>
      </c>
      <c r="D12" s="247">
        <v>11</v>
      </c>
    </row>
    <row r="13" spans="1:4" ht="21.9" customHeight="1" x14ac:dyDescent="0.3">
      <c r="A13" s="181" t="s">
        <v>0</v>
      </c>
      <c r="B13" s="1">
        <v>111501</v>
      </c>
      <c r="C13" t="s">
        <v>15</v>
      </c>
      <c r="D13">
        <v>12</v>
      </c>
    </row>
    <row r="14" spans="1:4" ht="21.9" customHeight="1" x14ac:dyDescent="0.3">
      <c r="A14" s="181" t="s">
        <v>0</v>
      </c>
      <c r="B14" s="1">
        <v>111601</v>
      </c>
      <c r="C14" t="s">
        <v>1</v>
      </c>
      <c r="D14">
        <v>13</v>
      </c>
    </row>
    <row r="15" spans="1:4" ht="21.9" customHeight="1" x14ac:dyDescent="0.3">
      <c r="B15" s="1"/>
    </row>
    <row r="16" spans="1:4" ht="21.9" customHeight="1" x14ac:dyDescent="0.3">
      <c r="A16" s="182" t="s">
        <v>12</v>
      </c>
    </row>
    <row r="17" spans="1:4" ht="21.9" customHeight="1" x14ac:dyDescent="0.3">
      <c r="A17" s="181" t="s">
        <v>0</v>
      </c>
      <c r="B17" s="1">
        <v>291101</v>
      </c>
      <c r="C17" t="s">
        <v>2</v>
      </c>
      <c r="D17">
        <v>14</v>
      </c>
    </row>
    <row r="18" spans="1:4" ht="21.9" customHeight="1" x14ac:dyDescent="0.3">
      <c r="A18" s="181" t="s">
        <v>0</v>
      </c>
      <c r="B18" s="1">
        <v>291102</v>
      </c>
      <c r="C18" t="s">
        <v>16</v>
      </c>
      <c r="D18">
        <v>15</v>
      </c>
    </row>
    <row r="19" spans="1:4" ht="21.9" customHeight="1" x14ac:dyDescent="0.3">
      <c r="A19" s="181" t="s">
        <v>0</v>
      </c>
      <c r="B19" s="419">
        <v>291103</v>
      </c>
      <c r="C19" s="421" t="s">
        <v>3</v>
      </c>
      <c r="D19" s="247">
        <v>16</v>
      </c>
    </row>
    <row r="20" spans="1:4" ht="21.9" customHeight="1" x14ac:dyDescent="0.3">
      <c r="A20" s="181" t="s">
        <v>0</v>
      </c>
      <c r="B20" s="419">
        <v>291104</v>
      </c>
      <c r="C20" s="421" t="s">
        <v>193</v>
      </c>
      <c r="D20" s="247">
        <v>17</v>
      </c>
    </row>
    <row r="21" spans="1:4" ht="21.9" customHeight="1" x14ac:dyDescent="0.3">
      <c r="A21" s="181" t="s">
        <v>0</v>
      </c>
      <c r="B21" s="1">
        <v>294101</v>
      </c>
      <c r="C21" t="s">
        <v>4</v>
      </c>
      <c r="D21" s="247">
        <v>18</v>
      </c>
    </row>
    <row r="22" spans="1:4" ht="21.9" customHeight="1" x14ac:dyDescent="0.3">
      <c r="A22" s="181" t="s">
        <v>0</v>
      </c>
      <c r="B22" s="1">
        <v>294102</v>
      </c>
      <c r="C22" t="s">
        <v>17</v>
      </c>
      <c r="D22" s="247">
        <v>19</v>
      </c>
    </row>
    <row r="23" spans="1:4" ht="21.9" customHeight="1" x14ac:dyDescent="0.3">
      <c r="A23" s="181" t="s">
        <v>0</v>
      </c>
      <c r="B23" s="1">
        <v>294103</v>
      </c>
      <c r="C23" t="s">
        <v>5</v>
      </c>
      <c r="D23" s="247">
        <v>20</v>
      </c>
    </row>
    <row r="24" spans="1:4" ht="21.9" customHeight="1" x14ac:dyDescent="0.3">
      <c r="A24" s="181" t="s">
        <v>0</v>
      </c>
      <c r="B24" s="1">
        <v>294104</v>
      </c>
      <c r="C24" t="s">
        <v>95</v>
      </c>
      <c r="D24" s="247">
        <v>21</v>
      </c>
    </row>
    <row r="26" spans="1:4" ht="21.9" customHeight="1" x14ac:dyDescent="0.3">
      <c r="A26" s="182" t="s">
        <v>20</v>
      </c>
    </row>
    <row r="27" spans="1:4" ht="21.9" customHeight="1" x14ac:dyDescent="0.3">
      <c r="A27" s="181" t="s">
        <v>6</v>
      </c>
      <c r="B27" s="1">
        <v>321101</v>
      </c>
      <c r="C27" t="s">
        <v>21</v>
      </c>
      <c r="D27">
        <v>22</v>
      </c>
    </row>
    <row r="28" spans="1:4" ht="21.9" customHeight="1" x14ac:dyDescent="0.3">
      <c r="A28" s="181" t="s">
        <v>6</v>
      </c>
      <c r="B28" s="1">
        <v>321201</v>
      </c>
      <c r="C28" t="s">
        <v>22</v>
      </c>
      <c r="D28">
        <v>23</v>
      </c>
    </row>
    <row r="29" spans="1:4" ht="21.9" customHeight="1" x14ac:dyDescent="0.3">
      <c r="A29" s="181" t="s">
        <v>6</v>
      </c>
      <c r="B29" s="1">
        <v>321301</v>
      </c>
      <c r="C29" t="s">
        <v>23</v>
      </c>
      <c r="D29" s="247">
        <v>24</v>
      </c>
    </row>
    <row r="30" spans="1:4" ht="21.9" customHeight="1" x14ac:dyDescent="0.3">
      <c r="A30" s="181" t="s">
        <v>6</v>
      </c>
      <c r="B30" s="1">
        <v>321302</v>
      </c>
      <c r="C30" t="s">
        <v>24</v>
      </c>
      <c r="D30" s="247">
        <v>25</v>
      </c>
    </row>
    <row r="31" spans="1:4" ht="21.9" customHeight="1" x14ac:dyDescent="0.3">
      <c r="A31" s="181" t="s">
        <v>6</v>
      </c>
      <c r="B31" s="1">
        <v>321303</v>
      </c>
      <c r="C31" s="198" t="s">
        <v>159</v>
      </c>
      <c r="D31" s="247">
        <v>26</v>
      </c>
    </row>
    <row r="33" spans="1:4" s="247" customFormat="1" ht="21.9" customHeight="1" x14ac:dyDescent="0.3">
      <c r="A33" s="182" t="s">
        <v>7</v>
      </c>
    </row>
    <row r="34" spans="1:4" ht="21.9" customHeight="1" x14ac:dyDescent="0.3">
      <c r="A34" s="181" t="s">
        <v>7</v>
      </c>
      <c r="B34" s="419">
        <v>401101</v>
      </c>
      <c r="C34" s="421" t="s">
        <v>223</v>
      </c>
      <c r="D34">
        <v>27</v>
      </c>
    </row>
    <row r="35" spans="1:4" ht="21.9" customHeight="1" x14ac:dyDescent="0.3">
      <c r="A35" s="181" t="s">
        <v>7</v>
      </c>
      <c r="B35" s="1">
        <v>401201</v>
      </c>
      <c r="C35" t="s">
        <v>25</v>
      </c>
      <c r="D35">
        <v>28</v>
      </c>
    </row>
    <row r="36" spans="1:4" ht="21.9" customHeight="1" x14ac:dyDescent="0.3">
      <c r="A36" s="181" t="s">
        <v>7</v>
      </c>
      <c r="B36" s="1">
        <v>401301</v>
      </c>
      <c r="C36" t="s">
        <v>26</v>
      </c>
      <c r="D36" s="247">
        <v>29</v>
      </c>
    </row>
    <row r="37" spans="1:4" ht="21.9" customHeight="1" x14ac:dyDescent="0.3">
      <c r="A37" s="181" t="s">
        <v>7</v>
      </c>
      <c r="B37" s="1">
        <v>401401</v>
      </c>
      <c r="C37" t="s">
        <v>27</v>
      </c>
      <c r="D37" s="247">
        <v>30</v>
      </c>
    </row>
    <row r="38" spans="1:4" ht="21.9" customHeight="1" x14ac:dyDescent="0.3">
      <c r="A38" s="181" t="s">
        <v>7</v>
      </c>
      <c r="B38" s="419">
        <v>401402</v>
      </c>
      <c r="C38" s="421" t="s">
        <v>106</v>
      </c>
      <c r="D38" s="247">
        <v>31</v>
      </c>
    </row>
    <row r="39" spans="1:4" ht="21.9" customHeight="1" x14ac:dyDescent="0.3">
      <c r="A39" s="181" t="s">
        <v>7</v>
      </c>
      <c r="B39" s="1">
        <v>401403</v>
      </c>
      <c r="C39" t="s">
        <v>116</v>
      </c>
      <c r="D39" s="247">
        <v>32</v>
      </c>
    </row>
    <row r="40" spans="1:4" ht="21.9" customHeight="1" x14ac:dyDescent="0.3">
      <c r="B40" s="1"/>
    </row>
    <row r="41" spans="1:4" ht="21.9" customHeight="1" x14ac:dyDescent="0.3">
      <c r="B41" s="1"/>
    </row>
    <row r="42" spans="1:4" ht="21.9" customHeight="1" x14ac:dyDescent="0.3">
      <c r="A42" s="182" t="s">
        <v>8</v>
      </c>
    </row>
    <row r="43" spans="1:4" ht="21.9" customHeight="1" x14ac:dyDescent="0.3">
      <c r="A43" s="181" t="s">
        <v>8</v>
      </c>
      <c r="B43" s="1">
        <v>514101</v>
      </c>
      <c r="C43" s="247" t="s">
        <v>28</v>
      </c>
      <c r="D43">
        <v>33</v>
      </c>
    </row>
    <row r="44" spans="1:4" ht="21.9" customHeight="1" x14ac:dyDescent="0.3">
      <c r="A44" s="182" t="s">
        <v>9</v>
      </c>
      <c r="B44" s="1"/>
    </row>
    <row r="45" spans="1:4" ht="21.9" customHeight="1" x14ac:dyDescent="0.3">
      <c r="A45" s="181" t="s">
        <v>9</v>
      </c>
      <c r="B45" s="1">
        <v>611101</v>
      </c>
      <c r="C45" t="s">
        <v>29</v>
      </c>
      <c r="D45">
        <v>34</v>
      </c>
    </row>
    <row r="46" spans="1:4" ht="21.9" customHeight="1" x14ac:dyDescent="0.3">
      <c r="A46" s="181" t="s">
        <v>9</v>
      </c>
      <c r="B46" s="419">
        <v>612101</v>
      </c>
      <c r="C46" s="421" t="s">
        <v>30</v>
      </c>
      <c r="D46">
        <v>35</v>
      </c>
    </row>
    <row r="47" spans="1:4" ht="21.9" customHeight="1" x14ac:dyDescent="0.3">
      <c r="A47" s="181" t="s">
        <v>9</v>
      </c>
      <c r="B47" s="1">
        <v>612102</v>
      </c>
      <c r="C47" t="s">
        <v>54</v>
      </c>
      <c r="D47" s="247">
        <v>36</v>
      </c>
    </row>
    <row r="48" spans="1:4" ht="21.9" customHeight="1" x14ac:dyDescent="0.3">
      <c r="A48" s="181" t="s">
        <v>9</v>
      </c>
      <c r="B48" s="419">
        <v>612103</v>
      </c>
      <c r="C48" s="421" t="s">
        <v>31</v>
      </c>
      <c r="D48" s="247">
        <v>37</v>
      </c>
    </row>
    <row r="49" spans="1:4" ht="21.9" customHeight="1" x14ac:dyDescent="0.3">
      <c r="A49" s="181" t="s">
        <v>9</v>
      </c>
      <c r="B49" s="419">
        <v>612104</v>
      </c>
      <c r="C49" s="421" t="s">
        <v>32</v>
      </c>
      <c r="D49" s="247">
        <v>38</v>
      </c>
    </row>
    <row r="50" spans="1:4" ht="21.9" customHeight="1" x14ac:dyDescent="0.3">
      <c r="A50" s="181" t="s">
        <v>9</v>
      </c>
      <c r="B50" s="419">
        <v>612105</v>
      </c>
      <c r="C50" s="421" t="s">
        <v>33</v>
      </c>
      <c r="D50" s="247">
        <v>39</v>
      </c>
    </row>
    <row r="51" spans="1:4" ht="21.9" customHeight="1" x14ac:dyDescent="0.3">
      <c r="A51" s="181" t="s">
        <v>9</v>
      </c>
      <c r="B51" s="419">
        <v>612106</v>
      </c>
      <c r="C51" s="421" t="s">
        <v>34</v>
      </c>
      <c r="D51" s="247">
        <v>40</v>
      </c>
    </row>
    <row r="52" spans="1:4" ht="21.9" customHeight="1" x14ac:dyDescent="0.3">
      <c r="A52" s="181" t="s">
        <v>9</v>
      </c>
      <c r="B52" s="419">
        <v>612107</v>
      </c>
      <c r="C52" s="420" t="s">
        <v>280</v>
      </c>
      <c r="D52" s="247">
        <v>41</v>
      </c>
    </row>
    <row r="53" spans="1:4" ht="21.9" customHeight="1" x14ac:dyDescent="0.3">
      <c r="A53" s="181" t="s">
        <v>9</v>
      </c>
      <c r="B53" s="1">
        <v>612108</v>
      </c>
      <c r="C53" t="s">
        <v>10</v>
      </c>
      <c r="D53" s="247">
        <v>42</v>
      </c>
    </row>
    <row r="54" spans="1:4" ht="21.9" customHeight="1" x14ac:dyDescent="0.3">
      <c r="A54" s="181" t="s">
        <v>9</v>
      </c>
      <c r="B54" s="1">
        <v>612109</v>
      </c>
      <c r="C54" t="s">
        <v>47</v>
      </c>
      <c r="D54" s="247">
        <v>43</v>
      </c>
    </row>
    <row r="55" spans="1:4" ht="21.9" customHeight="1" x14ac:dyDescent="0.3">
      <c r="A55" s="181" t="s">
        <v>9</v>
      </c>
      <c r="B55" s="1">
        <v>612110</v>
      </c>
      <c r="C55" t="s">
        <v>36</v>
      </c>
      <c r="D55" s="247">
        <v>44</v>
      </c>
    </row>
    <row r="56" spans="1:4" ht="21.9" customHeight="1" x14ac:dyDescent="0.3">
      <c r="A56" s="181" t="s">
        <v>9</v>
      </c>
      <c r="B56" s="1">
        <v>612111</v>
      </c>
      <c r="C56" t="s">
        <v>37</v>
      </c>
      <c r="D56" s="247">
        <v>45</v>
      </c>
    </row>
    <row r="57" spans="1:4" ht="21.9" customHeight="1" x14ac:dyDescent="0.3">
      <c r="A57" s="181" t="s">
        <v>9</v>
      </c>
      <c r="B57" s="1">
        <v>612112</v>
      </c>
      <c r="C57" t="s">
        <v>38</v>
      </c>
      <c r="D57" s="247">
        <v>46</v>
      </c>
    </row>
    <row r="58" spans="1:4" ht="21.9" customHeight="1" x14ac:dyDescent="0.3">
      <c r="A58" s="181" t="s">
        <v>9</v>
      </c>
      <c r="B58" s="1">
        <v>612113</v>
      </c>
      <c r="C58" t="s">
        <v>39</v>
      </c>
      <c r="D58" s="247">
        <v>47</v>
      </c>
    </row>
    <row r="59" spans="1:4" ht="21.9" customHeight="1" x14ac:dyDescent="0.3">
      <c r="A59" s="181" t="s">
        <v>9</v>
      </c>
      <c r="B59" s="1">
        <v>612114</v>
      </c>
      <c r="C59" t="s">
        <v>40</v>
      </c>
      <c r="D59" s="247">
        <v>48</v>
      </c>
    </row>
    <row r="60" spans="1:4" ht="21.9" customHeight="1" x14ac:dyDescent="0.3">
      <c r="A60" s="181" t="s">
        <v>9</v>
      </c>
      <c r="B60" s="419">
        <v>612115</v>
      </c>
      <c r="C60" s="421" t="s">
        <v>41</v>
      </c>
      <c r="D60" s="247">
        <v>49</v>
      </c>
    </row>
    <row r="61" spans="1:4" ht="21.9" customHeight="1" x14ac:dyDescent="0.3">
      <c r="A61" s="181" t="s">
        <v>9</v>
      </c>
      <c r="B61" s="1">
        <v>612116</v>
      </c>
      <c r="C61" t="s">
        <v>42</v>
      </c>
      <c r="D61" s="247">
        <v>50</v>
      </c>
    </row>
    <row r="62" spans="1:4" ht="21.9" customHeight="1" x14ac:dyDescent="0.3">
      <c r="A62" s="181" t="s">
        <v>9</v>
      </c>
      <c r="B62" s="1">
        <v>612117</v>
      </c>
      <c r="C62" t="s">
        <v>43</v>
      </c>
      <c r="D62" s="247">
        <v>51</v>
      </c>
    </row>
    <row r="63" spans="1:4" ht="21.9" customHeight="1" x14ac:dyDescent="0.3">
      <c r="A63" s="181" t="s">
        <v>9</v>
      </c>
      <c r="B63" s="1">
        <v>612118</v>
      </c>
      <c r="C63" t="s">
        <v>44</v>
      </c>
      <c r="D63" s="247">
        <v>52</v>
      </c>
    </row>
    <row r="64" spans="1:4" ht="21.9" customHeight="1" x14ac:dyDescent="0.3">
      <c r="A64" s="181" t="s">
        <v>9</v>
      </c>
      <c r="B64" s="1">
        <v>612119</v>
      </c>
      <c r="C64" t="s">
        <v>45</v>
      </c>
      <c r="D64" s="247">
        <v>53</v>
      </c>
    </row>
    <row r="65" spans="1:4" ht="21.9" customHeight="1" x14ac:dyDescent="0.3">
      <c r="A65" s="181" t="s">
        <v>9</v>
      </c>
      <c r="B65" s="1">
        <v>612120</v>
      </c>
      <c r="C65" t="s">
        <v>46</v>
      </c>
      <c r="D65" s="247">
        <v>54</v>
      </c>
    </row>
    <row r="66" spans="1:4" ht="21.9" customHeight="1" x14ac:dyDescent="0.3">
      <c r="A66" s="181" t="s">
        <v>9</v>
      </c>
      <c r="B66" s="1">
        <v>612121</v>
      </c>
      <c r="C66" t="s">
        <v>48</v>
      </c>
      <c r="D66" s="247">
        <v>55</v>
      </c>
    </row>
    <row r="67" spans="1:4" ht="21.9" customHeight="1" x14ac:dyDescent="0.3">
      <c r="A67" s="181" t="s">
        <v>9</v>
      </c>
      <c r="B67" s="419">
        <v>612122</v>
      </c>
      <c r="C67" s="421" t="s">
        <v>49</v>
      </c>
      <c r="D67" s="247">
        <v>56</v>
      </c>
    </row>
    <row r="68" spans="1:4" ht="21.9" customHeight="1" x14ac:dyDescent="0.3">
      <c r="A68" s="181" t="s">
        <v>9</v>
      </c>
      <c r="B68" s="1">
        <v>612123</v>
      </c>
      <c r="C68" t="s">
        <v>50</v>
      </c>
      <c r="D68" s="247">
        <v>57</v>
      </c>
    </row>
    <row r="69" spans="1:4" ht="21.9" customHeight="1" x14ac:dyDescent="0.3">
      <c r="A69" s="181" t="s">
        <v>9</v>
      </c>
      <c r="B69" s="1">
        <v>612124</v>
      </c>
      <c r="C69" t="s">
        <v>51</v>
      </c>
      <c r="D69" s="247">
        <v>58</v>
      </c>
    </row>
    <row r="70" spans="1:4" ht="21.9" customHeight="1" x14ac:dyDescent="0.3">
      <c r="A70" s="181" t="s">
        <v>9</v>
      </c>
      <c r="B70" s="1">
        <v>612125</v>
      </c>
      <c r="C70" t="s">
        <v>52</v>
      </c>
      <c r="D70" s="247">
        <v>59</v>
      </c>
    </row>
    <row r="71" spans="1:4" ht="21.9" customHeight="1" x14ac:dyDescent="0.3">
      <c r="A71" s="181" t="s">
        <v>9</v>
      </c>
      <c r="B71" s="419">
        <v>612126</v>
      </c>
      <c r="C71" s="421" t="s">
        <v>53</v>
      </c>
      <c r="D71" s="247">
        <v>60</v>
      </c>
    </row>
    <row r="72" spans="1:4" ht="21.9" customHeight="1" x14ac:dyDescent="0.3">
      <c r="A72" s="181" t="s">
        <v>9</v>
      </c>
      <c r="B72" s="1">
        <v>612127</v>
      </c>
      <c r="C72" t="s">
        <v>55</v>
      </c>
      <c r="D72" s="247">
        <v>61</v>
      </c>
    </row>
    <row r="73" spans="1:4" ht="21.9" customHeight="1" x14ac:dyDescent="0.3">
      <c r="A73" s="181" t="s">
        <v>9</v>
      </c>
      <c r="B73" s="419">
        <v>612128</v>
      </c>
      <c r="C73" s="421" t="s">
        <v>259</v>
      </c>
      <c r="D73" s="247">
        <v>62</v>
      </c>
    </row>
    <row r="74" spans="1:4" ht="21.9" customHeight="1" x14ac:dyDescent="0.3">
      <c r="A74" s="181" t="s">
        <v>9</v>
      </c>
      <c r="B74" s="1">
        <v>612129</v>
      </c>
      <c r="C74" t="s">
        <v>57</v>
      </c>
      <c r="D74" s="247">
        <v>63</v>
      </c>
    </row>
    <row r="75" spans="1:4" ht="21.9" customHeight="1" x14ac:dyDescent="0.3">
      <c r="A75" s="181" t="s">
        <v>9</v>
      </c>
      <c r="B75" s="1">
        <v>612210</v>
      </c>
      <c r="C75" t="s">
        <v>58</v>
      </c>
      <c r="D75" s="247">
        <v>64</v>
      </c>
    </row>
    <row r="76" spans="1:4" ht="21.9" customHeight="1" x14ac:dyDescent="0.3">
      <c r="A76" s="181" t="s">
        <v>9</v>
      </c>
      <c r="B76" s="1">
        <v>612211</v>
      </c>
      <c r="C76" t="s">
        <v>59</v>
      </c>
      <c r="D76" s="247">
        <v>65</v>
      </c>
    </row>
    <row r="77" spans="1:4" ht="21.9" customHeight="1" x14ac:dyDescent="0.3">
      <c r="A77" s="181" t="s">
        <v>9</v>
      </c>
      <c r="B77" s="1">
        <v>612212</v>
      </c>
      <c r="C77" t="s">
        <v>60</v>
      </c>
      <c r="D77" s="247">
        <v>66</v>
      </c>
    </row>
    <row r="78" spans="1:4" ht="21.9" customHeight="1" x14ac:dyDescent="0.3">
      <c r="A78" s="181" t="s">
        <v>9</v>
      </c>
      <c r="B78" s="1">
        <v>612213</v>
      </c>
      <c r="C78" t="s">
        <v>96</v>
      </c>
      <c r="D78" s="247">
        <v>67</v>
      </c>
    </row>
    <row r="79" spans="1:4" ht="21.9" customHeight="1" x14ac:dyDescent="0.3">
      <c r="A79" s="181" t="s">
        <v>9</v>
      </c>
      <c r="B79" s="1">
        <v>612214</v>
      </c>
      <c r="C79" t="s">
        <v>94</v>
      </c>
      <c r="D79" s="247">
        <v>68</v>
      </c>
    </row>
    <row r="80" spans="1:4" ht="21.9" customHeight="1" x14ac:dyDescent="0.3">
      <c r="A80" s="181" t="s">
        <v>9</v>
      </c>
      <c r="B80" s="1">
        <v>612215</v>
      </c>
      <c r="C80" t="s">
        <v>119</v>
      </c>
      <c r="D80" s="247">
        <v>69</v>
      </c>
    </row>
  </sheetData>
  <pageMargins left="0.19685039370078741" right="0.19685039370078741" top="0.19685039370078741" bottom="0.19685039370078741" header="0.31496062992125984" footer="0.31496062992125984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44"/>
  <sheetViews>
    <sheetView showGridLines="0" workbookViewId="0">
      <pane ySplit="4" topLeftCell="A117" activePane="bottomLeft" state="frozen"/>
      <selection pane="bottomLeft" activeCell="A143" sqref="A143"/>
    </sheetView>
  </sheetViews>
  <sheetFormatPr defaultRowHeight="14.4" x14ac:dyDescent="0.3"/>
  <cols>
    <col min="1" max="1" width="12.109375" customWidth="1"/>
    <col min="2" max="2" width="15.88671875" customWidth="1"/>
    <col min="3" max="3" width="13" customWidth="1"/>
    <col min="4" max="4" width="31.88671875" customWidth="1"/>
    <col min="5" max="5" width="38" customWidth="1"/>
    <col min="6" max="7" width="12.6640625" customWidth="1"/>
    <col min="8" max="8" width="14.6640625" customWidth="1"/>
    <col min="10" max="10" width="17.44140625" customWidth="1"/>
    <col min="11" max="11" width="55.33203125" customWidth="1"/>
    <col min="12" max="12" width="15.6640625" customWidth="1"/>
    <col min="13" max="13" width="18.5546875" customWidth="1"/>
  </cols>
  <sheetData>
    <row r="1" spans="1:14" ht="24.9" customHeight="1" x14ac:dyDescent="0.35">
      <c r="A1" s="449" t="s">
        <v>189</v>
      </c>
      <c r="B1" s="449"/>
      <c r="C1" s="449"/>
      <c r="D1" s="449"/>
      <c r="E1" s="449"/>
      <c r="F1" s="449"/>
      <c r="G1" s="449"/>
      <c r="H1" s="449"/>
    </row>
    <row r="2" spans="1:14" ht="24.9" customHeight="1" x14ac:dyDescent="0.3">
      <c r="A2" s="450" t="s">
        <v>142</v>
      </c>
      <c r="B2" s="450"/>
      <c r="C2" s="450"/>
      <c r="D2" s="450"/>
      <c r="E2" s="450"/>
      <c r="F2" s="450"/>
      <c r="G2" s="450"/>
      <c r="H2" s="450"/>
    </row>
    <row r="3" spans="1:14" ht="15" thickBot="1" x14ac:dyDescent="0.35">
      <c r="G3" s="452" t="s">
        <v>186</v>
      </c>
      <c r="H3" s="452"/>
    </row>
    <row r="4" spans="1:14" ht="33" customHeight="1" x14ac:dyDescent="0.3">
      <c r="A4" s="3" t="s">
        <v>61</v>
      </c>
      <c r="B4" s="4" t="s">
        <v>62</v>
      </c>
      <c r="C4" s="5" t="s">
        <v>63</v>
      </c>
      <c r="D4" s="4" t="s">
        <v>64</v>
      </c>
      <c r="E4" s="5" t="s">
        <v>65</v>
      </c>
      <c r="F4" s="6" t="s">
        <v>66</v>
      </c>
      <c r="G4" s="7" t="s">
        <v>67</v>
      </c>
      <c r="H4" s="8" t="s">
        <v>68</v>
      </c>
      <c r="J4" s="451" t="s">
        <v>69</v>
      </c>
      <c r="K4" s="451"/>
      <c r="L4" s="451"/>
      <c r="M4" s="451"/>
    </row>
    <row r="5" spans="1:14" ht="30" customHeight="1" x14ac:dyDescent="0.3">
      <c r="A5" s="9"/>
      <c r="B5" s="196"/>
      <c r="C5" s="199"/>
      <c r="D5" s="254"/>
      <c r="E5" s="200"/>
      <c r="F5" s="263">
        <v>0</v>
      </c>
      <c r="G5" s="264"/>
      <c r="H5" s="265">
        <v>0</v>
      </c>
      <c r="L5" s="10" t="s">
        <v>70</v>
      </c>
      <c r="M5" s="11" t="s">
        <v>66</v>
      </c>
    </row>
    <row r="6" spans="1:14" ht="30" customHeight="1" x14ac:dyDescent="0.3">
      <c r="A6" s="414" t="s">
        <v>198</v>
      </c>
      <c r="B6" s="194" t="s">
        <v>200</v>
      </c>
      <c r="C6" s="14">
        <v>401402</v>
      </c>
      <c r="D6" s="254" t="str">
        <f>IFERROR(INDEX('Acc code'!$C$2:$C$80,MATCH(C6,'Acc code'!$B$2:$B$80)),0)</f>
        <v>Exchange A/C</v>
      </c>
      <c r="E6" s="416" t="s">
        <v>201</v>
      </c>
      <c r="F6" s="256">
        <f>1100*1225</f>
        <v>1347500</v>
      </c>
      <c r="G6" s="256"/>
      <c r="H6" s="265">
        <f>H5+F6-G6</f>
        <v>1347500</v>
      </c>
      <c r="J6" s="16">
        <v>111101</v>
      </c>
      <c r="K6" s="17" t="s">
        <v>114</v>
      </c>
      <c r="L6" s="18">
        <f>SUMIF(C:C,"111101",F:F)</f>
        <v>0</v>
      </c>
      <c r="M6" s="18">
        <f>SUMIF(C:C,"111101",G:G)</f>
        <v>0</v>
      </c>
      <c r="N6" s="16">
        <v>1</v>
      </c>
    </row>
    <row r="7" spans="1:14" ht="30" customHeight="1" x14ac:dyDescent="0.3">
      <c r="A7" s="414" t="s">
        <v>198</v>
      </c>
      <c r="B7" s="194" t="s">
        <v>236</v>
      </c>
      <c r="C7" s="248">
        <v>612105</v>
      </c>
      <c r="D7" s="254" t="str">
        <f>IFERROR(INDEX('Acc code'!$C$2:$C$80,MATCH('Cash Book'!C7,'Acc code'!$B$2:$B$80)),0)</f>
        <v>General Expenses</v>
      </c>
      <c r="E7" s="254" t="s">
        <v>237</v>
      </c>
      <c r="F7" s="256"/>
      <c r="G7" s="256">
        <v>1347500</v>
      </c>
      <c r="H7" s="265">
        <f t="shared" ref="H7:H71" si="0">H6+F7-G7</f>
        <v>0</v>
      </c>
      <c r="J7" s="16">
        <v>111102</v>
      </c>
      <c r="K7" s="17" t="s">
        <v>117</v>
      </c>
      <c r="L7" s="18">
        <f>SUMIF(C:C,"111102",F:F)</f>
        <v>0</v>
      </c>
      <c r="M7" s="18">
        <f>SUMIF(C:C,"111102",G:G)</f>
        <v>0</v>
      </c>
      <c r="N7" s="16">
        <v>2</v>
      </c>
    </row>
    <row r="8" spans="1:14" ht="30" customHeight="1" x14ac:dyDescent="0.3">
      <c r="A8" s="414" t="s">
        <v>238</v>
      </c>
      <c r="B8" s="194" t="s">
        <v>239</v>
      </c>
      <c r="C8" s="253">
        <v>612105</v>
      </c>
      <c r="D8" s="254" t="str">
        <f>IFERROR(INDEX('Acc code'!$C$2:$C$80,MATCH('Cash Book'!C8,'Acc code'!$B$2:$B$80)),0)</f>
        <v>General Expenses</v>
      </c>
      <c r="E8" s="254" t="s">
        <v>240</v>
      </c>
      <c r="F8" s="256">
        <v>100</v>
      </c>
      <c r="G8" s="256"/>
      <c r="H8" s="265">
        <f t="shared" si="0"/>
        <v>100</v>
      </c>
      <c r="J8" s="16">
        <v>111103</v>
      </c>
      <c r="K8" s="17" t="s">
        <v>118</v>
      </c>
      <c r="L8" s="18">
        <f>SUMIF(C:C,"111103",F:F)</f>
        <v>0</v>
      </c>
      <c r="M8" s="18">
        <f>SUMIF(C:C,"111103",G:G)</f>
        <v>0</v>
      </c>
      <c r="N8" s="16">
        <v>3</v>
      </c>
    </row>
    <row r="9" spans="1:14" ht="30" customHeight="1" x14ac:dyDescent="0.3">
      <c r="A9" s="414" t="s">
        <v>213</v>
      </c>
      <c r="B9" s="194" t="s">
        <v>241</v>
      </c>
      <c r="C9" s="14">
        <v>111201</v>
      </c>
      <c r="D9" s="254" t="str">
        <f>IFERROR(INDEX('Acc code'!$C$2:$C$80,MATCH('Cash Book'!C9,'Acc code'!$B$2:$B$80)),0)</f>
        <v>Cash at Bank ( CB-Kyats )</v>
      </c>
      <c r="E9" s="254" t="s">
        <v>242</v>
      </c>
      <c r="F9" s="256">
        <v>200000</v>
      </c>
      <c r="G9" s="256"/>
      <c r="H9" s="265">
        <f t="shared" si="0"/>
        <v>200100</v>
      </c>
      <c r="J9" s="16">
        <v>111201</v>
      </c>
      <c r="K9" s="409" t="s">
        <v>205</v>
      </c>
      <c r="L9" s="18">
        <f>SUMIF(C:C,"111201",F:F)</f>
        <v>385400</v>
      </c>
      <c r="M9" s="18">
        <f>SUMIF(C:C,"111201",G:G)</f>
        <v>30192278</v>
      </c>
      <c r="N9" s="16">
        <v>4</v>
      </c>
    </row>
    <row r="10" spans="1:14" ht="30" customHeight="1" x14ac:dyDescent="0.3">
      <c r="A10" s="414" t="s">
        <v>243</v>
      </c>
      <c r="B10" s="194" t="s">
        <v>244</v>
      </c>
      <c r="C10" s="14">
        <v>401402</v>
      </c>
      <c r="D10" s="254" t="str">
        <f>IFERROR(INDEX('Acc code'!$C$2:$C$80,MATCH('Cash Book'!C10,'Acc code'!$B$2:$B$80)),0)</f>
        <v>Exchange A/C</v>
      </c>
      <c r="E10" s="416" t="s">
        <v>245</v>
      </c>
      <c r="F10" s="256">
        <v>124000</v>
      </c>
      <c r="G10" s="256"/>
      <c r="H10" s="265">
        <f t="shared" si="0"/>
        <v>324100</v>
      </c>
      <c r="J10" s="16">
        <v>111202</v>
      </c>
      <c r="K10" s="409" t="s">
        <v>192</v>
      </c>
      <c r="L10" s="18">
        <f>SUMIF(C:C,"111202",F:F)</f>
        <v>0</v>
      </c>
      <c r="M10" s="18">
        <f>SUMIF(C:C,"111202",G:G)</f>
        <v>0</v>
      </c>
      <c r="N10" s="16">
        <v>5</v>
      </c>
    </row>
    <row r="11" spans="1:14" ht="30" customHeight="1" x14ac:dyDescent="0.3">
      <c r="A11" s="428" t="s">
        <v>214</v>
      </c>
      <c r="B11" s="194" t="s">
        <v>246</v>
      </c>
      <c r="C11" s="14">
        <v>111201</v>
      </c>
      <c r="D11" s="254" t="str">
        <f>IFERROR(INDEX('Acc code'!$C$2:$C$80,MATCH('Cash Book'!C11,'Acc code'!$B$2:$B$80)),0)</f>
        <v>Cash at Bank ( CB-Kyats )</v>
      </c>
      <c r="E11" s="254" t="s">
        <v>242</v>
      </c>
      <c r="F11" s="256">
        <v>185400</v>
      </c>
      <c r="G11" s="256"/>
      <c r="H11" s="265">
        <f t="shared" si="0"/>
        <v>509500</v>
      </c>
      <c r="J11" s="16">
        <v>111203</v>
      </c>
      <c r="K11" s="17" t="s">
        <v>18</v>
      </c>
      <c r="L11" s="18">
        <f>SUMIF(C:C,"111203",F:F)</f>
        <v>0</v>
      </c>
      <c r="M11" s="18">
        <f>SUMIF(C:C,"111203",G:G)</f>
        <v>0</v>
      </c>
      <c r="N11" s="16">
        <v>6</v>
      </c>
    </row>
    <row r="12" spans="1:14" ht="30" customHeight="1" x14ac:dyDescent="0.3">
      <c r="A12" s="414" t="s">
        <v>198</v>
      </c>
      <c r="B12" s="194" t="s">
        <v>200</v>
      </c>
      <c r="C12" s="248">
        <v>612104</v>
      </c>
      <c r="D12" s="254" t="str">
        <f>IFERROR(INDEX('Acc code'!$C$2:$C$80,MATCH('Cash Book'!C12,'Acc code'!$B$2:$B$80)),0)</f>
        <v>Travelling Expenses</v>
      </c>
      <c r="E12" s="254" t="s">
        <v>247</v>
      </c>
      <c r="F12" s="256"/>
      <c r="G12" s="256">
        <v>1248000</v>
      </c>
      <c r="H12" s="265">
        <f t="shared" si="0"/>
        <v>-738500</v>
      </c>
      <c r="J12" s="16">
        <v>111204</v>
      </c>
      <c r="K12" s="17" t="s">
        <v>19</v>
      </c>
      <c r="L12" s="18">
        <f>SUMIF(C:C,"111204",F:F)</f>
        <v>0</v>
      </c>
      <c r="M12" s="18">
        <f>SUMIF(C:C,"111204",G:G)</f>
        <v>0</v>
      </c>
      <c r="N12" s="16">
        <v>7</v>
      </c>
    </row>
    <row r="13" spans="1:14" ht="30" customHeight="1" x14ac:dyDescent="0.3">
      <c r="A13" s="414" t="s">
        <v>198</v>
      </c>
      <c r="B13" s="194" t="s">
        <v>249</v>
      </c>
      <c r="C13" s="253">
        <v>111301</v>
      </c>
      <c r="D13" s="254" t="str">
        <f>IFERROR(INDEX('Acc code'!$C$2:$C$80,MATCH('Cash Book'!C13,'Acc code'!$B$2:$B$80)),0)</f>
        <v>Prepaid ( Office Staff )</v>
      </c>
      <c r="E13" s="254" t="s">
        <v>250</v>
      </c>
      <c r="F13" s="256"/>
      <c r="G13" s="256">
        <v>99500</v>
      </c>
      <c r="H13" s="265">
        <f t="shared" si="0"/>
        <v>-838000</v>
      </c>
      <c r="J13" s="16">
        <v>111301</v>
      </c>
      <c r="K13" s="17" t="s">
        <v>248</v>
      </c>
      <c r="L13" s="18">
        <f>SUMIF(C:C,"111301",F:F)</f>
        <v>42000</v>
      </c>
      <c r="M13" s="18">
        <f>SUMIF(C:C,"111301",G:G)</f>
        <v>3320450</v>
      </c>
      <c r="N13" s="16">
        <v>8</v>
      </c>
    </row>
    <row r="14" spans="1:14" ht="30" customHeight="1" x14ac:dyDescent="0.3">
      <c r="A14" s="414" t="s">
        <v>243</v>
      </c>
      <c r="B14" s="194" t="s">
        <v>251</v>
      </c>
      <c r="C14" s="14">
        <v>111301</v>
      </c>
      <c r="D14" s="254" t="str">
        <f>IFERROR(INDEX('Acc code'!$C$2:$C$80,MATCH('Cash Book'!C14,'Acc code'!$B$2:$B$80)),0)</f>
        <v>Prepaid ( Office Staff )</v>
      </c>
      <c r="E14" s="429" t="s">
        <v>252</v>
      </c>
      <c r="F14" s="392"/>
      <c r="G14" s="256">
        <v>200000</v>
      </c>
      <c r="H14" s="265">
        <f t="shared" si="0"/>
        <v>-1038000</v>
      </c>
      <c r="J14" s="16">
        <v>111302</v>
      </c>
      <c r="K14" s="409" t="s">
        <v>432</v>
      </c>
      <c r="L14" s="18">
        <f>SUMIF(C:C,"111302",F:F)</f>
        <v>30000</v>
      </c>
      <c r="M14" s="18">
        <f>SUMIF(C:C,"111302",G:G)</f>
        <v>2151200</v>
      </c>
      <c r="N14" s="16">
        <v>9</v>
      </c>
    </row>
    <row r="15" spans="1:14" ht="30" customHeight="1" x14ac:dyDescent="0.3">
      <c r="A15" s="414" t="s">
        <v>243</v>
      </c>
      <c r="B15" s="194" t="s">
        <v>253</v>
      </c>
      <c r="C15" s="248">
        <v>612115</v>
      </c>
      <c r="D15" s="254" t="str">
        <f>IFERROR(INDEX('Acc code'!$C$2:$C$80,MATCH('Cash Book'!C15,'Acc code'!$B$2:$B$80)),0)</f>
        <v>Entertainment</v>
      </c>
      <c r="E15" s="254" t="s">
        <v>254</v>
      </c>
      <c r="F15" s="256"/>
      <c r="G15" s="256">
        <v>51165</v>
      </c>
      <c r="H15" s="265">
        <f t="shared" si="0"/>
        <v>-1089165</v>
      </c>
      <c r="J15" s="16">
        <v>111401</v>
      </c>
      <c r="K15" s="17" t="s">
        <v>14</v>
      </c>
      <c r="L15" s="18">
        <f>SUMIF(C:C,"111401",F:F)</f>
        <v>0</v>
      </c>
      <c r="M15" s="18">
        <f>SUMIF(C:C,"111401",G:G)</f>
        <v>0</v>
      </c>
      <c r="N15" s="16">
        <v>10</v>
      </c>
    </row>
    <row r="16" spans="1:14" s="247" customFormat="1" ht="30" customHeight="1" x14ac:dyDescent="0.3">
      <c r="A16" s="414" t="s">
        <v>243</v>
      </c>
      <c r="B16" s="194" t="s">
        <v>255</v>
      </c>
      <c r="C16" s="253">
        <v>612104</v>
      </c>
      <c r="D16" s="254" t="str">
        <f>IFERROR(INDEX('Acc code'!$C$2:$C$80,MATCH('Cash Book'!C16,'Acc code'!$B$2:$B$80)),0)</f>
        <v>Travelling Expenses</v>
      </c>
      <c r="E16" s="254" t="s">
        <v>256</v>
      </c>
      <c r="F16" s="256"/>
      <c r="G16" s="256">
        <v>4500</v>
      </c>
      <c r="H16" s="265">
        <f t="shared" si="0"/>
        <v>-1093665</v>
      </c>
      <c r="J16" s="16">
        <v>111402</v>
      </c>
      <c r="K16" s="17" t="s">
        <v>161</v>
      </c>
      <c r="L16" s="18">
        <f>SUMIF(C:C,"111402",F:F)</f>
        <v>0</v>
      </c>
      <c r="M16" s="18">
        <f>SUMIF(C:C,"111402",G:G)</f>
        <v>0</v>
      </c>
      <c r="N16" s="16">
        <v>11</v>
      </c>
    </row>
    <row r="17" spans="1:14" ht="30" customHeight="1" x14ac:dyDescent="0.3">
      <c r="A17" s="428" t="s">
        <v>243</v>
      </c>
      <c r="B17" s="194" t="s">
        <v>257</v>
      </c>
      <c r="C17" s="253">
        <v>612104</v>
      </c>
      <c r="D17" s="254" t="str">
        <f>IFERROR(INDEX('Acc code'!$C$2:$C$80,MATCH('Cash Book'!C17,'Acc code'!$B$2:$B$80)),0)</f>
        <v>Travelling Expenses</v>
      </c>
      <c r="E17" s="429" t="s">
        <v>258</v>
      </c>
      <c r="F17" s="256"/>
      <c r="G17" s="256">
        <v>4000</v>
      </c>
      <c r="H17" s="265">
        <f t="shared" si="0"/>
        <v>-1097665</v>
      </c>
      <c r="J17" s="16">
        <v>111501</v>
      </c>
      <c r="K17" s="17" t="s">
        <v>15</v>
      </c>
      <c r="L17" s="18">
        <f>SUMIF(C:C,"111501",F:F)</f>
        <v>0</v>
      </c>
      <c r="M17" s="18">
        <f>SUMIF(C:C,"111501",G:G)</f>
        <v>0</v>
      </c>
      <c r="N17" s="16">
        <v>12</v>
      </c>
    </row>
    <row r="18" spans="1:14" s="247" customFormat="1" ht="30" customHeight="1" x14ac:dyDescent="0.3">
      <c r="A18" s="414" t="s">
        <v>214</v>
      </c>
      <c r="B18" s="194" t="s">
        <v>260</v>
      </c>
      <c r="C18" s="253">
        <v>612128</v>
      </c>
      <c r="D18" s="254" t="str">
        <f>IFERROR(INDEX('Acc code'!$C$2:$C$80,MATCH('Cash Book'!C18,'Acc code'!$B$2:$B$80)),0)</f>
        <v>Stamp Duty Tax</v>
      </c>
      <c r="E18" s="254" t="s">
        <v>261</v>
      </c>
      <c r="F18" s="256"/>
      <c r="G18" s="256">
        <v>185400</v>
      </c>
      <c r="H18" s="265">
        <f t="shared" si="0"/>
        <v>-1283065</v>
      </c>
      <c r="J18" s="16">
        <v>111601</v>
      </c>
      <c r="K18" s="17" t="s">
        <v>1</v>
      </c>
      <c r="L18" s="18">
        <f>SUMIF(C:C,"111601",F:F)</f>
        <v>0</v>
      </c>
      <c r="M18" s="18">
        <f>SUMIF(C:C,"111601",G:G)</f>
        <v>0</v>
      </c>
      <c r="N18" s="16">
        <v>13</v>
      </c>
    </row>
    <row r="19" spans="1:14" ht="30" customHeight="1" x14ac:dyDescent="0.3">
      <c r="A19" s="414" t="s">
        <v>214</v>
      </c>
      <c r="B19" s="194" t="s">
        <v>262</v>
      </c>
      <c r="C19" s="253">
        <v>612105</v>
      </c>
      <c r="D19" s="254" t="str">
        <f>IFERROR(INDEX('Acc code'!$C$2:$C$80,MATCH('Cash Book'!C19,'Acc code'!$B$2:$B$80)),0)</f>
        <v>General Expenses</v>
      </c>
      <c r="E19" s="254" t="s">
        <v>263</v>
      </c>
      <c r="F19" s="256"/>
      <c r="G19" s="256">
        <v>5000</v>
      </c>
      <c r="H19" s="265">
        <f t="shared" si="0"/>
        <v>-1288065</v>
      </c>
      <c r="J19" s="16">
        <v>291101</v>
      </c>
      <c r="K19" s="17" t="s">
        <v>2</v>
      </c>
      <c r="L19" s="18">
        <f>SUMIF(C:C,"291101",F:F)</f>
        <v>0</v>
      </c>
      <c r="M19" s="18">
        <f>SUMIF(C:C,"291101",G:G)</f>
        <v>0</v>
      </c>
      <c r="N19" s="16">
        <v>14</v>
      </c>
    </row>
    <row r="20" spans="1:14" ht="30" customHeight="1" x14ac:dyDescent="0.3">
      <c r="A20" s="414" t="s">
        <v>214</v>
      </c>
      <c r="B20" s="430" t="s">
        <v>264</v>
      </c>
      <c r="C20" s="253">
        <v>612105</v>
      </c>
      <c r="D20" s="254" t="str">
        <f>IFERROR(INDEX('Acc code'!$C$2:$C$80,MATCH('Cash Book'!C20,'Acc code'!$B$2:$B$80)),0)</f>
        <v>General Expenses</v>
      </c>
      <c r="E20" s="254" t="s">
        <v>263</v>
      </c>
      <c r="F20" s="256"/>
      <c r="G20" s="256">
        <v>18000</v>
      </c>
      <c r="H20" s="265">
        <f t="shared" si="0"/>
        <v>-1306065</v>
      </c>
      <c r="J20" s="16">
        <v>291102</v>
      </c>
      <c r="K20" s="17" t="s">
        <v>16</v>
      </c>
      <c r="L20" s="18">
        <f>SUMIF(C:C,"291102",F:F)</f>
        <v>0</v>
      </c>
      <c r="M20" s="18">
        <f>SUMIF(C:C,"291102",G:G)</f>
        <v>0</v>
      </c>
      <c r="N20" s="16">
        <v>15</v>
      </c>
    </row>
    <row r="21" spans="1:14" ht="30" customHeight="1" x14ac:dyDescent="0.3">
      <c r="A21" s="414" t="s">
        <v>214</v>
      </c>
      <c r="B21" s="194" t="s">
        <v>265</v>
      </c>
      <c r="C21" s="253">
        <v>612104</v>
      </c>
      <c r="D21" s="254" t="str">
        <f>IFERROR(INDEX('Acc code'!$C$2:$C$80,MATCH('Cash Book'!C21,'Acc code'!$B$2:$B$80)),0)</f>
        <v>Travelling Expenses</v>
      </c>
      <c r="E21" s="429" t="s">
        <v>266</v>
      </c>
      <c r="F21" s="256"/>
      <c r="G21" s="256">
        <v>5000</v>
      </c>
      <c r="H21" s="265">
        <f t="shared" si="0"/>
        <v>-1311065</v>
      </c>
      <c r="J21" s="16">
        <v>291103</v>
      </c>
      <c r="K21" s="17" t="s">
        <v>3</v>
      </c>
      <c r="L21" s="18">
        <f>SUMIF(C:C,"291103",F:F)</f>
        <v>0</v>
      </c>
      <c r="M21" s="18">
        <f>SUMIF(C:C,"291103",G:G)</f>
        <v>0</v>
      </c>
      <c r="N21" s="16">
        <v>16</v>
      </c>
    </row>
    <row r="22" spans="1:14" s="247" customFormat="1" ht="30" customHeight="1" x14ac:dyDescent="0.3">
      <c r="A22" s="414" t="s">
        <v>214</v>
      </c>
      <c r="B22" s="430" t="s">
        <v>267</v>
      </c>
      <c r="C22" s="253">
        <v>612104</v>
      </c>
      <c r="D22" s="254" t="str">
        <f>IFERROR(INDEX('Acc code'!$C$2:$C$80,MATCH('Cash Book'!C22,'Acc code'!$B$2:$B$80)),0)</f>
        <v>Travelling Expenses</v>
      </c>
      <c r="E22" s="429" t="s">
        <v>268</v>
      </c>
      <c r="F22" s="256"/>
      <c r="G22" s="256">
        <v>6000</v>
      </c>
      <c r="H22" s="265">
        <f t="shared" si="0"/>
        <v>-1317065</v>
      </c>
      <c r="J22" s="16">
        <v>291104</v>
      </c>
      <c r="K22" s="17" t="s">
        <v>193</v>
      </c>
      <c r="L22" s="18">
        <f>SUMIF(C:C,"291104",F:F)</f>
        <v>0</v>
      </c>
      <c r="M22" s="18">
        <f>SUMIF(C:C,"291104",G:G)</f>
        <v>0</v>
      </c>
      <c r="N22" s="16">
        <v>17</v>
      </c>
    </row>
    <row r="23" spans="1:14" ht="30" customHeight="1" x14ac:dyDescent="0.3">
      <c r="A23" s="414" t="s">
        <v>214</v>
      </c>
      <c r="B23" s="430" t="s">
        <v>269</v>
      </c>
      <c r="C23" s="253">
        <v>612104</v>
      </c>
      <c r="D23" s="254" t="str">
        <f>IFERROR(INDEX('Acc code'!$C$2:$C$80,MATCH('Cash Book'!C23,'Acc code'!$B$2:$B$80)),0)</f>
        <v>Travelling Expenses</v>
      </c>
      <c r="E23" s="429" t="s">
        <v>270</v>
      </c>
      <c r="F23" s="256"/>
      <c r="G23" s="256">
        <v>1500</v>
      </c>
      <c r="H23" s="265">
        <f t="shared" si="0"/>
        <v>-1318565</v>
      </c>
      <c r="J23" s="16">
        <v>294101</v>
      </c>
      <c r="K23" s="17" t="s">
        <v>4</v>
      </c>
      <c r="L23" s="18">
        <f>SUMIF(C:C,"294101",F:F)</f>
        <v>0</v>
      </c>
      <c r="M23" s="18">
        <f>SUMIF(C:C,"294101",G:G)</f>
        <v>0</v>
      </c>
      <c r="N23" s="16">
        <v>18</v>
      </c>
    </row>
    <row r="24" spans="1:14" ht="30" customHeight="1" x14ac:dyDescent="0.3">
      <c r="A24" s="414" t="s">
        <v>217</v>
      </c>
      <c r="B24" s="194" t="s">
        <v>271</v>
      </c>
      <c r="C24" s="253">
        <v>612104</v>
      </c>
      <c r="D24" s="254" t="str">
        <f>IFERROR(INDEX('Acc code'!$C$2:$C$80,MATCH('Cash Book'!C24,'Acc code'!$B$2:$B$80)),0)</f>
        <v>Travelling Expenses</v>
      </c>
      <c r="E24" s="429" t="s">
        <v>272</v>
      </c>
      <c r="F24" s="256"/>
      <c r="G24" s="256">
        <v>5000</v>
      </c>
      <c r="H24" s="265">
        <f t="shared" si="0"/>
        <v>-1323565</v>
      </c>
      <c r="J24" s="16">
        <v>294102</v>
      </c>
      <c r="K24" s="17" t="s">
        <v>17</v>
      </c>
      <c r="L24" s="18">
        <f>SUMIF(C:C,"294102",F:F)</f>
        <v>0</v>
      </c>
      <c r="M24" s="18">
        <f>SUMIF(C:C,"294102",G:G)</f>
        <v>0</v>
      </c>
      <c r="N24" s="16">
        <v>19</v>
      </c>
    </row>
    <row r="25" spans="1:14" ht="30" customHeight="1" x14ac:dyDescent="0.3">
      <c r="A25" s="414" t="s">
        <v>273</v>
      </c>
      <c r="B25" s="194" t="s">
        <v>274</v>
      </c>
      <c r="C25" s="253">
        <v>612104</v>
      </c>
      <c r="D25" s="254" t="str">
        <f>IFERROR(INDEX('Acc code'!$C$2:$C$80,MATCH('Cash Book'!C25,'Acc code'!$B$2:$B$80)),0)</f>
        <v>Travelling Expenses</v>
      </c>
      <c r="E25" s="429" t="s">
        <v>275</v>
      </c>
      <c r="F25" s="256"/>
      <c r="G25" s="256">
        <v>8000</v>
      </c>
      <c r="H25" s="265">
        <f t="shared" si="0"/>
        <v>-1331565</v>
      </c>
      <c r="J25" s="16">
        <v>294103</v>
      </c>
      <c r="K25" s="17" t="s">
        <v>5</v>
      </c>
      <c r="L25" s="18">
        <f>SUMIF(C:C,"294103",F:F)</f>
        <v>0</v>
      </c>
      <c r="M25" s="18">
        <f>SUMIF(C:C,"294103",G:G)</f>
        <v>0</v>
      </c>
      <c r="N25" s="16">
        <v>20</v>
      </c>
    </row>
    <row r="26" spans="1:14" ht="30" customHeight="1" x14ac:dyDescent="0.3">
      <c r="A26" s="414" t="s">
        <v>273</v>
      </c>
      <c r="B26" s="194" t="s">
        <v>276</v>
      </c>
      <c r="C26" s="253">
        <v>612104</v>
      </c>
      <c r="D26" s="254" t="str">
        <f>IFERROR(INDEX('Acc code'!$C$2:$C$80,MATCH('Cash Book'!C26,'Acc code'!$B$2:$B$80)),0)</f>
        <v>Travelling Expenses</v>
      </c>
      <c r="E26" s="429" t="s">
        <v>277</v>
      </c>
      <c r="F26" s="256"/>
      <c r="G26" s="256">
        <v>12000</v>
      </c>
      <c r="H26" s="265">
        <f t="shared" si="0"/>
        <v>-1343565</v>
      </c>
      <c r="J26" s="16">
        <v>294104</v>
      </c>
      <c r="K26" s="17" t="s">
        <v>95</v>
      </c>
      <c r="L26" s="18">
        <f>SUMIF(C:C,"294104",F:F)</f>
        <v>0</v>
      </c>
      <c r="M26" s="18">
        <f>SUMIF(C:C,"294104",G:G)</f>
        <v>0</v>
      </c>
      <c r="N26" s="16">
        <v>21</v>
      </c>
    </row>
    <row r="27" spans="1:14" ht="30" customHeight="1" x14ac:dyDescent="0.3">
      <c r="A27" s="414" t="s">
        <v>293</v>
      </c>
      <c r="B27" s="194" t="s">
        <v>297</v>
      </c>
      <c r="C27" s="253">
        <v>401402</v>
      </c>
      <c r="D27" s="254" t="str">
        <f>IFERROR(INDEX('Acc code'!$C$2:$C$80,MATCH('Cash Book'!C27,'Acc code'!$B$2:$B$80)),0)</f>
        <v>Exchange A/C</v>
      </c>
      <c r="E27" s="254" t="s">
        <v>296</v>
      </c>
      <c r="F27" s="256">
        <f>850*1225</f>
        <v>1041250</v>
      </c>
      <c r="G27" s="256"/>
      <c r="H27" s="265">
        <f t="shared" si="0"/>
        <v>-302315</v>
      </c>
      <c r="J27" s="16">
        <v>321101</v>
      </c>
      <c r="K27" s="17" t="s">
        <v>21</v>
      </c>
      <c r="L27" s="18">
        <f>SUMIF(C:C,"321101",F:F)</f>
        <v>0</v>
      </c>
      <c r="M27" s="18">
        <f>SUMIF(C:C,"321101",G:G)</f>
        <v>0</v>
      </c>
      <c r="N27" s="16">
        <v>22</v>
      </c>
    </row>
    <row r="28" spans="1:14" ht="30" customHeight="1" x14ac:dyDescent="0.3">
      <c r="A28" s="414" t="s">
        <v>302</v>
      </c>
      <c r="B28" s="194" t="s">
        <v>297</v>
      </c>
      <c r="C28" s="253">
        <v>401402</v>
      </c>
      <c r="D28" s="254" t="str">
        <f>IFERROR(INDEX('Acc code'!$C$2:$C$80,MATCH('Cash Book'!C28,'Acc code'!$B$2:$B$80)),0)</f>
        <v>Exchange A/C</v>
      </c>
      <c r="E28" s="429" t="s">
        <v>304</v>
      </c>
      <c r="F28" s="256">
        <f>1215*3160</f>
        <v>3839400</v>
      </c>
      <c r="G28" s="256"/>
      <c r="H28" s="265">
        <f t="shared" si="0"/>
        <v>3537085</v>
      </c>
      <c r="J28" s="16">
        <v>321201</v>
      </c>
      <c r="K28" s="17" t="s">
        <v>22</v>
      </c>
      <c r="L28" s="18">
        <f>SUMIF(C:C,"321201",F:F)</f>
        <v>0</v>
      </c>
      <c r="M28" s="18">
        <f>SUMIF(C:C,"321201",G:G)</f>
        <v>0</v>
      </c>
      <c r="N28" s="16">
        <v>23</v>
      </c>
    </row>
    <row r="29" spans="1:14" ht="30" customHeight="1" x14ac:dyDescent="0.3">
      <c r="A29" s="414" t="s">
        <v>307</v>
      </c>
      <c r="B29" s="194" t="s">
        <v>297</v>
      </c>
      <c r="C29" s="253">
        <v>401402</v>
      </c>
      <c r="D29" s="254" t="str">
        <f>IFERROR(INDEX('Acc code'!$C$2:$C$80,MATCH('Cash Book'!C29,'Acc code'!$B$2:$B$80)),0)</f>
        <v>Exchange A/C</v>
      </c>
      <c r="E29" s="429" t="s">
        <v>310</v>
      </c>
      <c r="F29" s="256">
        <f>1214*1450</f>
        <v>1760300</v>
      </c>
      <c r="G29" s="256"/>
      <c r="H29" s="265">
        <f t="shared" si="0"/>
        <v>5297385</v>
      </c>
      <c r="J29" s="16">
        <v>321301</v>
      </c>
      <c r="K29" s="17" t="s">
        <v>23</v>
      </c>
      <c r="L29" s="18">
        <f>SUMIF(C:C,"321301",F:F)</f>
        <v>0</v>
      </c>
      <c r="M29" s="18">
        <f>SUMIF(C:C,"321301",G:G)</f>
        <v>0</v>
      </c>
      <c r="N29" s="16">
        <v>24</v>
      </c>
    </row>
    <row r="30" spans="1:14" ht="30" customHeight="1" x14ac:dyDescent="0.3">
      <c r="A30" s="414" t="s">
        <v>313</v>
      </c>
      <c r="B30" s="194" t="s">
        <v>297</v>
      </c>
      <c r="C30" s="253">
        <v>401402</v>
      </c>
      <c r="D30" s="254" t="str">
        <f>IFERROR(INDEX('Acc code'!$C$2:$C$80,MATCH('Cash Book'!C30,'Acc code'!$B$2:$B$80)),0)</f>
        <v>Exchange A/C</v>
      </c>
      <c r="E30" s="429" t="s">
        <v>315</v>
      </c>
      <c r="F30" s="256">
        <f>300*1212</f>
        <v>363600</v>
      </c>
      <c r="G30" s="256"/>
      <c r="H30" s="265">
        <f t="shared" si="0"/>
        <v>5660985</v>
      </c>
      <c r="J30" s="16">
        <v>321302</v>
      </c>
      <c r="K30" s="17" t="s">
        <v>24</v>
      </c>
      <c r="L30" s="18">
        <f>SUMIF(C:C,"321302",F:F)</f>
        <v>0</v>
      </c>
      <c r="M30" s="18">
        <f>SUMIF(C:C,"321302",G:G)</f>
        <v>0</v>
      </c>
      <c r="N30" s="16">
        <v>25</v>
      </c>
    </row>
    <row r="31" spans="1:14" ht="30" customHeight="1" x14ac:dyDescent="0.3">
      <c r="A31" s="414" t="s">
        <v>316</v>
      </c>
      <c r="B31" s="194" t="s">
        <v>318</v>
      </c>
      <c r="C31" s="253">
        <v>401402</v>
      </c>
      <c r="D31" s="254" t="str">
        <f>IFERROR(INDEX('Acc code'!$C$2:$C$80,MATCH('Cash Book'!C31,'Acc code'!$B$2:$B$80)),0)</f>
        <v>Exchange A/C</v>
      </c>
      <c r="E31" s="429" t="s">
        <v>319</v>
      </c>
      <c r="F31" s="256">
        <f>13390*1206</f>
        <v>16148340</v>
      </c>
      <c r="G31" s="256"/>
      <c r="H31" s="265">
        <f t="shared" si="0"/>
        <v>21809325</v>
      </c>
      <c r="J31" s="16">
        <v>321303</v>
      </c>
      <c r="K31" s="17" t="s">
        <v>159</v>
      </c>
      <c r="L31" s="18">
        <f>SUMIF(C:C,"321303",F:F)</f>
        <v>0</v>
      </c>
      <c r="M31" s="18">
        <f>SUMIF(C:C,"321303",G:G)</f>
        <v>0</v>
      </c>
      <c r="N31" s="16">
        <v>26</v>
      </c>
    </row>
    <row r="32" spans="1:14" ht="30" customHeight="1" x14ac:dyDescent="0.3">
      <c r="A32" s="414" t="s">
        <v>322</v>
      </c>
      <c r="B32" s="194" t="s">
        <v>325</v>
      </c>
      <c r="C32" s="253">
        <v>401402</v>
      </c>
      <c r="D32" s="254" t="str">
        <f>IFERROR(INDEX('Acc code'!$C$2:$C$80,MATCH('Cash Book'!C32,'Acc code'!$B$2:$B$80)),0)</f>
        <v>Exchange A/C</v>
      </c>
      <c r="E32" s="254" t="s">
        <v>326</v>
      </c>
      <c r="F32" s="256">
        <f>100*1205</f>
        <v>120500</v>
      </c>
      <c r="G32" s="256"/>
      <c r="H32" s="265">
        <f t="shared" si="0"/>
        <v>21929825</v>
      </c>
      <c r="J32" s="16">
        <v>401101</v>
      </c>
      <c r="K32" s="17" t="s">
        <v>223</v>
      </c>
      <c r="L32" s="18">
        <f>SUMIF(C:C,"401101",F:F)</f>
        <v>18486000</v>
      </c>
      <c r="M32" s="18">
        <f>SUMIF(C:C,"401101",G:G)</f>
        <v>0</v>
      </c>
      <c r="N32" s="16">
        <v>27</v>
      </c>
    </row>
    <row r="33" spans="1:14" s="198" customFormat="1" ht="30" customHeight="1" x14ac:dyDescent="0.3">
      <c r="A33" s="414" t="s">
        <v>327</v>
      </c>
      <c r="B33" s="194" t="s">
        <v>329</v>
      </c>
      <c r="C33" s="253">
        <v>401402</v>
      </c>
      <c r="D33" s="254" t="str">
        <f>IFERROR(INDEX('Acc code'!$C$2:$C$80,MATCH('Cash Book'!C33,'Acc code'!$B$2:$B$80)),0)</f>
        <v>Exchange A/C</v>
      </c>
      <c r="E33" s="254" t="s">
        <v>326</v>
      </c>
      <c r="F33" s="256">
        <v>120500</v>
      </c>
      <c r="G33" s="256"/>
      <c r="H33" s="265">
        <f t="shared" si="0"/>
        <v>22050325</v>
      </c>
      <c r="J33" s="16">
        <v>401201</v>
      </c>
      <c r="K33" s="17" t="s">
        <v>25</v>
      </c>
      <c r="L33" s="18">
        <f>SUMIF(C:C,"401201",F:F)</f>
        <v>0</v>
      </c>
      <c r="M33" s="18">
        <f>SUMIF(C:C,"401201",G:G)</f>
        <v>0</v>
      </c>
      <c r="N33" s="16">
        <v>28</v>
      </c>
    </row>
    <row r="34" spans="1:14" ht="30" customHeight="1" x14ac:dyDescent="0.3">
      <c r="A34" s="414" t="s">
        <v>330</v>
      </c>
      <c r="B34" s="194" t="s">
        <v>333</v>
      </c>
      <c r="C34" s="253">
        <v>401402</v>
      </c>
      <c r="D34" s="254" t="str">
        <f>IFERROR(INDEX('Acc code'!$C$2:$C$80,MATCH('Cash Book'!C34,'Acc code'!$B$2:$B$80)),0)</f>
        <v>Exchange A/C</v>
      </c>
      <c r="E34" s="429" t="s">
        <v>334</v>
      </c>
      <c r="F34" s="256">
        <f>25*1195</f>
        <v>29875</v>
      </c>
      <c r="G34" s="256"/>
      <c r="H34" s="265">
        <f t="shared" si="0"/>
        <v>22080200</v>
      </c>
      <c r="J34" s="16">
        <v>401301</v>
      </c>
      <c r="K34" s="17" t="s">
        <v>26</v>
      </c>
      <c r="L34" s="18">
        <f>SUMIF(C:C,"401301",F:F)</f>
        <v>0</v>
      </c>
      <c r="M34" s="18">
        <f>SUMIF(C:C,"401301",G:G)</f>
        <v>0</v>
      </c>
      <c r="N34" s="16">
        <v>29</v>
      </c>
    </row>
    <row r="35" spans="1:14" ht="30" customHeight="1" x14ac:dyDescent="0.3">
      <c r="A35" s="414" t="s">
        <v>293</v>
      </c>
      <c r="B35" s="194" t="s">
        <v>335</v>
      </c>
      <c r="C35" s="253">
        <v>612107</v>
      </c>
      <c r="D35" s="254" t="str">
        <f>IFERROR(INDEX('Acc code'!$C$2:$C$80,MATCH('Cash Book'!C35,'Acc code'!$B$2:$B$80)),0)</f>
        <v xml:space="preserve">Other Fees and Charges </v>
      </c>
      <c r="E35" s="254" t="s">
        <v>263</v>
      </c>
      <c r="F35" s="256"/>
      <c r="G35" s="256">
        <v>5500</v>
      </c>
      <c r="H35" s="265">
        <f t="shared" si="0"/>
        <v>22074700</v>
      </c>
      <c r="J35" s="16">
        <v>401401</v>
      </c>
      <c r="K35" s="17" t="s">
        <v>27</v>
      </c>
      <c r="L35" s="18">
        <f>SUMIF(C:C,"401401",F:F)</f>
        <v>0</v>
      </c>
      <c r="M35" s="18">
        <f>SUMIF(C:C,"401401",G:G)</f>
        <v>0</v>
      </c>
      <c r="N35" s="16">
        <v>30</v>
      </c>
    </row>
    <row r="36" spans="1:14" ht="30" customHeight="1" x14ac:dyDescent="0.3">
      <c r="A36" s="414" t="s">
        <v>336</v>
      </c>
      <c r="B36" s="194" t="s">
        <v>337</v>
      </c>
      <c r="C36" s="253">
        <v>612107</v>
      </c>
      <c r="D36" s="254" t="str">
        <f>IFERROR(INDEX('Acc code'!$C$2:$C$80,MATCH('Cash Book'!C36,'Acc code'!$B$2:$B$80)),0)</f>
        <v xml:space="preserve">Other Fees and Charges </v>
      </c>
      <c r="E36" s="254" t="s">
        <v>263</v>
      </c>
      <c r="F36" s="256"/>
      <c r="G36" s="256">
        <v>5000</v>
      </c>
      <c r="H36" s="265">
        <f t="shared" si="0"/>
        <v>22069700</v>
      </c>
      <c r="J36" s="16">
        <v>401402</v>
      </c>
      <c r="K36" s="17" t="s">
        <v>106</v>
      </c>
      <c r="L36" s="18">
        <f>SUMIF(C:C,"401402",F:F)</f>
        <v>37606415</v>
      </c>
      <c r="M36" s="18">
        <f>SUMIF(C:C,"401402",G:G)</f>
        <v>0</v>
      </c>
      <c r="N36" s="16">
        <v>31</v>
      </c>
    </row>
    <row r="37" spans="1:14" ht="30" customHeight="1" x14ac:dyDescent="0.3">
      <c r="A37" s="414" t="s">
        <v>336</v>
      </c>
      <c r="B37" s="430" t="s">
        <v>338</v>
      </c>
      <c r="C37" s="253">
        <v>111301</v>
      </c>
      <c r="D37" s="254" t="str">
        <f>IFERROR(INDEX('Acc code'!$C$2:$C$80,MATCH('Cash Book'!C37,'Acc code'!$B$2:$B$80)),0)</f>
        <v>Prepaid ( Office Staff )</v>
      </c>
      <c r="E37" s="254" t="s">
        <v>339</v>
      </c>
      <c r="F37" s="256"/>
      <c r="G37" s="256">
        <v>75000</v>
      </c>
      <c r="H37" s="265">
        <f t="shared" si="0"/>
        <v>21994700</v>
      </c>
      <c r="J37" s="16">
        <v>401403</v>
      </c>
      <c r="K37" s="17" t="s">
        <v>116</v>
      </c>
      <c r="L37" s="18">
        <f>SUMIF(C:C,"401403",F:F)</f>
        <v>0</v>
      </c>
      <c r="M37" s="18">
        <f>SUMIF(C:C,"401403",G:G)</f>
        <v>0</v>
      </c>
      <c r="N37" s="16">
        <v>32</v>
      </c>
    </row>
    <row r="38" spans="1:14" ht="30" customHeight="1" x14ac:dyDescent="0.3">
      <c r="A38" s="414" t="s">
        <v>340</v>
      </c>
      <c r="B38" s="194" t="s">
        <v>341</v>
      </c>
      <c r="C38" s="253">
        <v>612105</v>
      </c>
      <c r="D38" s="254" t="str">
        <f>IFERROR(INDEX('Acc code'!$C$2:$C$80,MATCH('Cash Book'!C38,'Acc code'!$B$2:$B$80)),0)</f>
        <v>General Expenses</v>
      </c>
      <c r="E38" s="254" t="s">
        <v>342</v>
      </c>
      <c r="F38" s="256"/>
      <c r="G38" s="256">
        <v>6000</v>
      </c>
      <c r="H38" s="265">
        <f t="shared" si="0"/>
        <v>21988700</v>
      </c>
      <c r="J38" s="16">
        <v>514101</v>
      </c>
      <c r="K38" s="17" t="s">
        <v>28</v>
      </c>
      <c r="L38" s="18">
        <f>SUMIF(C:C,"514101",F:F)</f>
        <v>0</v>
      </c>
      <c r="M38" s="18">
        <f>SUMIF(C:C,"514101",G:G)</f>
        <v>0</v>
      </c>
      <c r="N38" s="16">
        <v>33</v>
      </c>
    </row>
    <row r="39" spans="1:14" ht="30" customHeight="1" x14ac:dyDescent="0.3">
      <c r="A39" s="414" t="s">
        <v>343</v>
      </c>
      <c r="B39" s="194" t="s">
        <v>344</v>
      </c>
      <c r="C39" s="253">
        <v>612113</v>
      </c>
      <c r="D39" s="254" t="str">
        <f>IFERROR(INDEX('Acc code'!$C$2:$C$80,MATCH('Cash Book'!C39,'Acc code'!$B$2:$B$80)),0)</f>
        <v>Office Supply Consumable</v>
      </c>
      <c r="E39" s="254" t="s">
        <v>345</v>
      </c>
      <c r="F39" s="256"/>
      <c r="G39" s="256">
        <v>128700</v>
      </c>
      <c r="H39" s="265">
        <f t="shared" si="0"/>
        <v>21860000</v>
      </c>
      <c r="J39" s="16">
        <v>611101</v>
      </c>
      <c r="K39" s="17" t="s">
        <v>29</v>
      </c>
      <c r="L39" s="18">
        <f>SUMIF(C:C,"611101",F:F)</f>
        <v>0</v>
      </c>
      <c r="M39" s="18">
        <f>SUMIF(C:C,"611101",G:G)</f>
        <v>0</v>
      </c>
      <c r="N39" s="16">
        <v>34</v>
      </c>
    </row>
    <row r="40" spans="1:14" ht="30" customHeight="1" x14ac:dyDescent="0.3">
      <c r="A40" s="414" t="s">
        <v>343</v>
      </c>
      <c r="B40" s="194" t="s">
        <v>346</v>
      </c>
      <c r="C40" s="253">
        <v>612104</v>
      </c>
      <c r="D40" s="254" t="str">
        <f>IFERROR(INDEX('Acc code'!$C$2:$C$80,MATCH('Cash Book'!C40,'Acc code'!$B$2:$B$80)),0)</f>
        <v>Travelling Expenses</v>
      </c>
      <c r="E40" s="254" t="s">
        <v>347</v>
      </c>
      <c r="F40" s="256"/>
      <c r="G40" s="256">
        <v>14000</v>
      </c>
      <c r="H40" s="265">
        <f t="shared" si="0"/>
        <v>21846000</v>
      </c>
      <c r="J40" s="16">
        <v>612101</v>
      </c>
      <c r="K40" s="17" t="s">
        <v>30</v>
      </c>
      <c r="L40" s="18">
        <f>SUMIF(C:C,"612101",F:F)</f>
        <v>0</v>
      </c>
      <c r="M40" s="18">
        <f>SUMIF(C:C,"612101",G:G)</f>
        <v>4845477</v>
      </c>
      <c r="N40" s="16">
        <v>35</v>
      </c>
    </row>
    <row r="41" spans="1:14" ht="30" customHeight="1" x14ac:dyDescent="0.3">
      <c r="A41" s="414" t="s">
        <v>348</v>
      </c>
      <c r="B41" s="194" t="s">
        <v>349</v>
      </c>
      <c r="C41" s="253">
        <v>612104</v>
      </c>
      <c r="D41" s="254" t="str">
        <f>IFERROR(INDEX('Acc code'!$C$2:$C$80,MATCH('Cash Book'!C41,'Acc code'!$B$2:$B$80)),0)</f>
        <v>Travelling Expenses</v>
      </c>
      <c r="E41" s="254" t="s">
        <v>350</v>
      </c>
      <c r="F41" s="256"/>
      <c r="G41" s="256">
        <v>3000</v>
      </c>
      <c r="H41" s="265">
        <f t="shared" si="0"/>
        <v>21843000</v>
      </c>
      <c r="J41" s="16">
        <v>612102</v>
      </c>
      <c r="K41" s="17" t="s">
        <v>54</v>
      </c>
      <c r="L41" s="18">
        <f>SUMIF(C:C,"612102",F:F)</f>
        <v>0</v>
      </c>
      <c r="M41" s="18">
        <f>SUMIF(C:C,"612102",G:G)</f>
        <v>0</v>
      </c>
      <c r="N41" s="16">
        <v>36</v>
      </c>
    </row>
    <row r="42" spans="1:14" ht="30" customHeight="1" x14ac:dyDescent="0.3">
      <c r="A42" s="414" t="s">
        <v>300</v>
      </c>
      <c r="B42" s="194" t="s">
        <v>351</v>
      </c>
      <c r="C42" s="253">
        <v>612104</v>
      </c>
      <c r="D42" s="254" t="str">
        <f>IFERROR(INDEX('Acc code'!$C$2:$C$80,MATCH('Cash Book'!C42,'Acc code'!$B$2:$B$80)),0)</f>
        <v>Travelling Expenses</v>
      </c>
      <c r="E42" s="429" t="s">
        <v>352</v>
      </c>
      <c r="F42" s="256"/>
      <c r="G42" s="256">
        <v>8000</v>
      </c>
      <c r="H42" s="265">
        <f t="shared" si="0"/>
        <v>21835000</v>
      </c>
      <c r="J42" s="16">
        <v>612103</v>
      </c>
      <c r="K42" s="17" t="s">
        <v>31</v>
      </c>
      <c r="L42" s="18">
        <f>SUMIF(C:C,"612103",F:F)</f>
        <v>0</v>
      </c>
      <c r="M42" s="18">
        <f>SUMIF(C:C,"612103",G:G)</f>
        <v>6840000</v>
      </c>
      <c r="N42" s="16">
        <v>37</v>
      </c>
    </row>
    <row r="43" spans="1:14" ht="30" customHeight="1" x14ac:dyDescent="0.3">
      <c r="A43" s="414" t="s">
        <v>300</v>
      </c>
      <c r="B43" s="194" t="s">
        <v>353</v>
      </c>
      <c r="C43" s="253">
        <v>612104</v>
      </c>
      <c r="D43" s="254" t="str">
        <f>IFERROR(INDEX('Acc code'!$C$2:$C$80,MATCH('Cash Book'!C43,'Acc code'!$B$2:$B$80)),0)</f>
        <v>Travelling Expenses</v>
      </c>
      <c r="E43" s="429" t="s">
        <v>354</v>
      </c>
      <c r="F43" s="256"/>
      <c r="G43" s="256">
        <v>4500</v>
      </c>
      <c r="H43" s="265">
        <f t="shared" si="0"/>
        <v>21830500</v>
      </c>
      <c r="J43" s="16">
        <v>612104</v>
      </c>
      <c r="K43" s="17" t="s">
        <v>32</v>
      </c>
      <c r="L43" s="18">
        <f>SUMIF(C:C,"612104",F:F)</f>
        <v>0</v>
      </c>
      <c r="M43" s="18">
        <f>SUMIF(C:C,"612104",G:G)</f>
        <v>1633400</v>
      </c>
      <c r="N43" s="16">
        <v>38</v>
      </c>
    </row>
    <row r="44" spans="1:14" ht="30" customHeight="1" x14ac:dyDescent="0.3">
      <c r="A44" s="414" t="s">
        <v>322</v>
      </c>
      <c r="B44" s="194" t="s">
        <v>355</v>
      </c>
      <c r="C44" s="253">
        <v>612107</v>
      </c>
      <c r="D44" s="254" t="str">
        <f>IFERROR(INDEX('Acc code'!$C$2:$C$80,MATCH('Cash Book'!C44,'Acc code'!$B$2:$B$80)),0)</f>
        <v xml:space="preserve">Other Fees and Charges </v>
      </c>
      <c r="E44" s="254" t="s">
        <v>356</v>
      </c>
      <c r="F44" s="256"/>
      <c r="G44" s="256">
        <v>5000</v>
      </c>
      <c r="H44" s="265">
        <f t="shared" si="0"/>
        <v>21825500</v>
      </c>
      <c r="J44" s="16">
        <v>612105</v>
      </c>
      <c r="K44" s="17" t="s">
        <v>33</v>
      </c>
      <c r="L44" s="18">
        <f>SUMIF(C:C,"612105",F:F)</f>
        <v>100</v>
      </c>
      <c r="M44" s="18">
        <f>SUMIF(C:C,"612105",G:G)</f>
        <v>1376500</v>
      </c>
      <c r="N44" s="16">
        <v>39</v>
      </c>
    </row>
    <row r="45" spans="1:14" ht="30" customHeight="1" x14ac:dyDescent="0.3">
      <c r="A45" s="414" t="s">
        <v>322</v>
      </c>
      <c r="B45" s="194" t="s">
        <v>357</v>
      </c>
      <c r="C45" s="253">
        <v>111301</v>
      </c>
      <c r="D45" s="254" t="str">
        <f>IFERROR(INDEX('Acc code'!$C$2:$C$80,MATCH('Cash Book'!C45,'Acc code'!$B$2:$B$80)),0)</f>
        <v>Prepaid ( Office Staff )</v>
      </c>
      <c r="E45" s="254" t="s">
        <v>358</v>
      </c>
      <c r="F45" s="256"/>
      <c r="G45" s="256">
        <v>50000</v>
      </c>
      <c r="H45" s="265">
        <f t="shared" si="0"/>
        <v>21775500</v>
      </c>
      <c r="J45" s="16">
        <v>612106</v>
      </c>
      <c r="K45" s="17" t="s">
        <v>34</v>
      </c>
      <c r="L45" s="18">
        <f>SUMIF(C:C,"612106",F:F)</f>
        <v>0</v>
      </c>
      <c r="M45" s="18">
        <f>SUMIF(C:C,"612106",G:G)</f>
        <v>0</v>
      </c>
      <c r="N45" s="16">
        <v>40</v>
      </c>
    </row>
    <row r="46" spans="1:14" ht="30" customHeight="1" x14ac:dyDescent="0.3">
      <c r="A46" s="414" t="s">
        <v>322</v>
      </c>
      <c r="B46" s="194" t="s">
        <v>359</v>
      </c>
      <c r="C46" s="253">
        <v>612104</v>
      </c>
      <c r="D46" s="254" t="str">
        <f>IFERROR(INDEX('Acc code'!$C$2:$C$80,MATCH('Cash Book'!C46,'Acc code'!$B$2:$B$80)),0)</f>
        <v>Travelling Expenses</v>
      </c>
      <c r="E46" s="254" t="s">
        <v>360</v>
      </c>
      <c r="F46" s="256"/>
      <c r="G46" s="256">
        <v>8000</v>
      </c>
      <c r="H46" s="265">
        <f t="shared" si="0"/>
        <v>21767500</v>
      </c>
      <c r="J46" s="16">
        <v>612107</v>
      </c>
      <c r="K46" s="17" t="s">
        <v>280</v>
      </c>
      <c r="L46" s="18">
        <f>SUMIF(C:C,"612107",F:F)</f>
        <v>0</v>
      </c>
      <c r="M46" s="18">
        <f>SUMIF(C:C,"612107",G:G)</f>
        <v>603850</v>
      </c>
      <c r="N46" s="16">
        <v>41</v>
      </c>
    </row>
    <row r="47" spans="1:14" ht="30" customHeight="1" x14ac:dyDescent="0.3">
      <c r="A47" s="414" t="s">
        <v>302</v>
      </c>
      <c r="B47" s="194" t="s">
        <v>361</v>
      </c>
      <c r="C47" s="253">
        <v>612108</v>
      </c>
      <c r="D47" s="254" t="str">
        <f>IFERROR(INDEX('Acc code'!$C$2:$C$80,MATCH('Cash Book'!C47,'Acc code'!$B$2:$B$80)),0)</f>
        <v>Communication Expenses</v>
      </c>
      <c r="E47" s="254" t="s">
        <v>362</v>
      </c>
      <c r="F47" s="256"/>
      <c r="G47" s="256">
        <v>4500</v>
      </c>
      <c r="H47" s="265">
        <f t="shared" si="0"/>
        <v>21763000</v>
      </c>
      <c r="J47" s="16">
        <v>612108</v>
      </c>
      <c r="K47" s="17" t="s">
        <v>10</v>
      </c>
      <c r="L47" s="18">
        <f>SUMIF(C:C,"612108",F:F)</f>
        <v>0</v>
      </c>
      <c r="M47" s="18">
        <f>SUMIF(C:C,"612108",G:G)</f>
        <v>4500</v>
      </c>
      <c r="N47" s="16">
        <v>42</v>
      </c>
    </row>
    <row r="48" spans="1:14" ht="30" customHeight="1" x14ac:dyDescent="0.3">
      <c r="A48" s="414" t="s">
        <v>305</v>
      </c>
      <c r="B48" s="194" t="s">
        <v>363</v>
      </c>
      <c r="C48" s="196">
        <v>612121</v>
      </c>
      <c r="D48" s="254" t="str">
        <f>IFERROR(INDEX('Acc code'!$C$2:$C$80,MATCH('Cash Book'!C48,'Acc code'!$B$2:$B$80)),0)</f>
        <v>Courier Fees</v>
      </c>
      <c r="E48" s="254" t="s">
        <v>364</v>
      </c>
      <c r="F48" s="256"/>
      <c r="G48" s="256">
        <v>67000</v>
      </c>
      <c r="H48" s="265">
        <f t="shared" si="0"/>
        <v>21696000</v>
      </c>
      <c r="J48" s="16">
        <v>612109</v>
      </c>
      <c r="K48" s="17" t="s">
        <v>47</v>
      </c>
      <c r="L48" s="18">
        <f>SUMIF(C:C,"612109",F:F)</f>
        <v>0</v>
      </c>
      <c r="M48" s="18">
        <f>SUMIF(C:C,"612109",G:G)</f>
        <v>0</v>
      </c>
      <c r="N48" s="16">
        <v>43</v>
      </c>
    </row>
    <row r="49" spans="1:14" ht="30" customHeight="1" x14ac:dyDescent="0.3">
      <c r="A49" s="414" t="s">
        <v>305</v>
      </c>
      <c r="B49" s="194" t="s">
        <v>365</v>
      </c>
      <c r="C49" s="253">
        <v>111301</v>
      </c>
      <c r="D49" s="254" t="str">
        <f>IFERROR(INDEX('Acc code'!$C$2:$C$80,MATCH('Cash Book'!C49,'Acc code'!$B$2:$B$80)),0)</f>
        <v>Prepaid ( Office Staff )</v>
      </c>
      <c r="E49" s="429" t="s">
        <v>367</v>
      </c>
      <c r="F49" s="256"/>
      <c r="G49" s="256">
        <v>675000</v>
      </c>
      <c r="H49" s="265">
        <f t="shared" si="0"/>
        <v>21021000</v>
      </c>
      <c r="J49" s="16">
        <v>612110</v>
      </c>
      <c r="K49" s="17" t="s">
        <v>36</v>
      </c>
      <c r="L49" s="18">
        <f>SUMIF(C:C,"612110",F:F)</f>
        <v>0</v>
      </c>
      <c r="M49" s="18">
        <f>SUMIF(C:C,"612110",G:G)</f>
        <v>0</v>
      </c>
      <c r="N49" s="16">
        <v>44</v>
      </c>
    </row>
    <row r="50" spans="1:14" ht="30" customHeight="1" x14ac:dyDescent="0.3">
      <c r="A50" s="414" t="s">
        <v>305</v>
      </c>
      <c r="B50" s="194" t="s">
        <v>366</v>
      </c>
      <c r="C50" s="253">
        <v>111301</v>
      </c>
      <c r="D50" s="254" t="str">
        <f>IFERROR(INDEX('Acc code'!$C$2:$C$80,MATCH('Cash Book'!C50,'Acc code'!$B$2:$B$80)),0)</f>
        <v>Prepaid ( Office Staff )</v>
      </c>
      <c r="E50" s="429" t="s">
        <v>368</v>
      </c>
      <c r="F50" s="256">
        <v>42000</v>
      </c>
      <c r="G50" s="256"/>
      <c r="H50" s="265">
        <f t="shared" si="0"/>
        <v>21063000</v>
      </c>
      <c r="J50" s="16">
        <v>612111</v>
      </c>
      <c r="K50" s="17" t="s">
        <v>37</v>
      </c>
      <c r="L50" s="18">
        <f>SUMIF(C:C,"612111",F:F)</f>
        <v>0</v>
      </c>
      <c r="M50" s="18">
        <f>SUMIF(C:C,"612111",G:G)</f>
        <v>0</v>
      </c>
      <c r="N50" s="16">
        <v>45</v>
      </c>
    </row>
    <row r="51" spans="1:14" ht="30" customHeight="1" x14ac:dyDescent="0.3">
      <c r="A51" s="414" t="s">
        <v>373</v>
      </c>
      <c r="B51" s="194" t="s">
        <v>374</v>
      </c>
      <c r="C51" s="253">
        <v>111301</v>
      </c>
      <c r="D51" s="254" t="str">
        <f>IFERROR(INDEX('Acc code'!$C$2:$C$80,MATCH('Cash Book'!C51,'Acc code'!$B$2:$B$80)),0)</f>
        <v>Prepaid ( Office Staff )</v>
      </c>
      <c r="E51" s="254" t="s">
        <v>375</v>
      </c>
      <c r="F51" s="256"/>
      <c r="G51" s="256">
        <v>1330950</v>
      </c>
      <c r="H51" s="265">
        <f t="shared" si="0"/>
        <v>19732050</v>
      </c>
      <c r="J51" s="16">
        <v>612112</v>
      </c>
      <c r="K51" s="17" t="s">
        <v>38</v>
      </c>
      <c r="L51" s="18">
        <f>SUMIF(C:C,"612112",F:F)</f>
        <v>0</v>
      </c>
      <c r="M51" s="18">
        <f>SUMIF(C:C,"612112",G:G)</f>
        <v>50000</v>
      </c>
      <c r="N51" s="16">
        <v>46</v>
      </c>
    </row>
    <row r="52" spans="1:14" ht="30" customHeight="1" x14ac:dyDescent="0.3">
      <c r="A52" s="414" t="s">
        <v>373</v>
      </c>
      <c r="B52" s="194" t="s">
        <v>361</v>
      </c>
      <c r="C52" s="253">
        <v>612112</v>
      </c>
      <c r="D52" s="254" t="str">
        <f>IFERROR(INDEX('Acc code'!$C$2:$C$80,MATCH('Cash Book'!C52,'Acc code'!$B$2:$B$80)),0)</f>
        <v>Auditing Fees</v>
      </c>
      <c r="E52" s="254" t="s">
        <v>376</v>
      </c>
      <c r="F52" s="256"/>
      <c r="G52" s="256">
        <v>50000</v>
      </c>
      <c r="H52" s="265">
        <f t="shared" si="0"/>
        <v>19682050</v>
      </c>
      <c r="J52" s="16">
        <v>612113</v>
      </c>
      <c r="K52" s="17" t="s">
        <v>39</v>
      </c>
      <c r="L52" s="18">
        <f>SUMIF(C:C,"612113",F:F)</f>
        <v>0</v>
      </c>
      <c r="M52" s="18">
        <f>SUMIF(C:C,"612113",G:G)</f>
        <v>188700</v>
      </c>
      <c r="N52" s="16">
        <v>47</v>
      </c>
    </row>
    <row r="53" spans="1:14" ht="30" customHeight="1" x14ac:dyDescent="0.3">
      <c r="A53" s="414" t="s">
        <v>373</v>
      </c>
      <c r="B53" s="194" t="s">
        <v>377</v>
      </c>
      <c r="C53" s="253">
        <v>612104</v>
      </c>
      <c r="D53" s="254" t="str">
        <f>IFERROR(INDEX('Acc code'!$C$2:$C$80,MATCH('Cash Book'!C53,'Acc code'!$B$2:$B$80)),0)</f>
        <v>Travelling Expenses</v>
      </c>
      <c r="E53" s="254" t="s">
        <v>378</v>
      </c>
      <c r="F53" s="256"/>
      <c r="G53" s="256">
        <v>1500</v>
      </c>
      <c r="H53" s="265">
        <f t="shared" si="0"/>
        <v>19680550</v>
      </c>
      <c r="J53" s="16">
        <v>612114</v>
      </c>
      <c r="K53" s="17" t="s">
        <v>40</v>
      </c>
      <c r="L53" s="18">
        <f>SUMIF(C:C,"612114",F:F)</f>
        <v>0</v>
      </c>
      <c r="M53" s="18">
        <f>SUMIF(C:C,"612114",G:G)</f>
        <v>0</v>
      </c>
      <c r="N53" s="16">
        <v>48</v>
      </c>
    </row>
    <row r="54" spans="1:14" ht="30" customHeight="1" x14ac:dyDescent="0.3">
      <c r="A54" s="414" t="s">
        <v>373</v>
      </c>
      <c r="B54" s="194" t="s">
        <v>377</v>
      </c>
      <c r="C54" s="253">
        <v>612117</v>
      </c>
      <c r="D54" s="254" t="str">
        <f>IFERROR(INDEX('Acc code'!$C$2:$C$80,MATCH('Cash Book'!C54,'Acc code'!$B$2:$B$80)),0)</f>
        <v>Printing and Stationery</v>
      </c>
      <c r="E54" s="254" t="s">
        <v>379</v>
      </c>
      <c r="F54" s="256"/>
      <c r="G54" s="256">
        <v>5100</v>
      </c>
      <c r="H54" s="265">
        <f t="shared" si="0"/>
        <v>19675450</v>
      </c>
      <c r="J54" s="16">
        <v>612115</v>
      </c>
      <c r="K54" s="17" t="s">
        <v>41</v>
      </c>
      <c r="L54" s="18">
        <f>SUMIF(C:C,"612115",F:F)</f>
        <v>0</v>
      </c>
      <c r="M54" s="18">
        <f>SUMIF(C:C,"612115",G:G)</f>
        <v>51165</v>
      </c>
      <c r="N54" s="16">
        <v>49</v>
      </c>
    </row>
    <row r="55" spans="1:14" ht="30" customHeight="1" x14ac:dyDescent="0.3">
      <c r="A55" s="414" t="s">
        <v>373</v>
      </c>
      <c r="B55" s="194" t="s">
        <v>380</v>
      </c>
      <c r="C55" s="253">
        <v>612104</v>
      </c>
      <c r="D55" s="254" t="str">
        <f>IFERROR(INDEX('Acc code'!$C$2:$C$80,MATCH('Cash Book'!C55,'Acc code'!$B$2:$B$80)),0)</f>
        <v>Travelling Expenses</v>
      </c>
      <c r="E55" s="254" t="s">
        <v>381</v>
      </c>
      <c r="F55" s="256"/>
      <c r="G55" s="256">
        <v>16800</v>
      </c>
      <c r="H55" s="265">
        <f t="shared" si="0"/>
        <v>19658650</v>
      </c>
      <c r="J55" s="16">
        <v>612116</v>
      </c>
      <c r="K55" s="17" t="s">
        <v>42</v>
      </c>
      <c r="L55" s="18">
        <f>SUMIF(C:C,"612116",F:F)</f>
        <v>0</v>
      </c>
      <c r="M55" s="18">
        <f>SUMIF(C:C,"612116",G:G)</f>
        <v>0</v>
      </c>
      <c r="N55" s="16">
        <v>50</v>
      </c>
    </row>
    <row r="56" spans="1:14" ht="30" customHeight="1" x14ac:dyDescent="0.3">
      <c r="A56" s="414" t="s">
        <v>373</v>
      </c>
      <c r="B56" s="194" t="s">
        <v>382</v>
      </c>
      <c r="C56" s="253">
        <v>612104</v>
      </c>
      <c r="D56" s="254" t="str">
        <f>IFERROR(INDEX('Acc code'!$C$2:$C$80,MATCH('Cash Book'!C56,'Acc code'!$B$2:$B$80)),0)</f>
        <v>Travelling Expenses</v>
      </c>
      <c r="E56" s="429" t="s">
        <v>383</v>
      </c>
      <c r="F56" s="256"/>
      <c r="G56" s="256">
        <v>17500</v>
      </c>
      <c r="H56" s="265">
        <f t="shared" si="0"/>
        <v>19641150</v>
      </c>
      <c r="J56" s="16">
        <v>612117</v>
      </c>
      <c r="K56" s="17" t="s">
        <v>43</v>
      </c>
      <c r="L56" s="18">
        <f>SUMIF(C:C,"612117",F:F)</f>
        <v>0</v>
      </c>
      <c r="M56" s="18">
        <f>SUMIF(C:C,"612117",G:G)</f>
        <v>254400</v>
      </c>
      <c r="N56" s="16">
        <v>51</v>
      </c>
    </row>
    <row r="57" spans="1:14" ht="30" customHeight="1" x14ac:dyDescent="0.3">
      <c r="A57" s="414" t="s">
        <v>373</v>
      </c>
      <c r="B57" s="194" t="s">
        <v>384</v>
      </c>
      <c r="C57" s="253">
        <v>612117</v>
      </c>
      <c r="D57" s="254" t="str">
        <f>IFERROR(INDEX('Acc code'!$C$2:$C$80,MATCH('Cash Book'!C57,'Acc code'!$B$2:$B$80)),0)</f>
        <v>Printing and Stationery</v>
      </c>
      <c r="E57" s="254" t="s">
        <v>385</v>
      </c>
      <c r="F57" s="256"/>
      <c r="G57" s="256">
        <v>5500</v>
      </c>
      <c r="H57" s="265">
        <f t="shared" si="0"/>
        <v>19635650</v>
      </c>
      <c r="J57" s="16">
        <v>612118</v>
      </c>
      <c r="K57" s="17" t="s">
        <v>44</v>
      </c>
      <c r="L57" s="18">
        <f>SUMIF(C:C,"612118",F:F)</f>
        <v>0</v>
      </c>
      <c r="M57" s="18">
        <f>SUMIF(C:C,"612118",G:G)</f>
        <v>0</v>
      </c>
      <c r="N57" s="16">
        <v>52</v>
      </c>
    </row>
    <row r="58" spans="1:14" ht="30" customHeight="1" x14ac:dyDescent="0.3">
      <c r="A58" s="414" t="s">
        <v>327</v>
      </c>
      <c r="B58" s="194" t="s">
        <v>386</v>
      </c>
      <c r="C58" s="196">
        <v>612104</v>
      </c>
      <c r="D58" s="254" t="str">
        <f>IFERROR(INDEX('Acc code'!$C$2:$C$80,MATCH('Cash Book'!C58,'Acc code'!$B$2:$B$80)),0)</f>
        <v>Travelling Expenses</v>
      </c>
      <c r="E58" s="254" t="s">
        <v>387</v>
      </c>
      <c r="F58" s="256"/>
      <c r="G58" s="256">
        <v>5000</v>
      </c>
      <c r="H58" s="265">
        <f t="shared" si="0"/>
        <v>19630650</v>
      </c>
      <c r="J58" s="16">
        <v>612119</v>
      </c>
      <c r="K58" s="17" t="s">
        <v>45</v>
      </c>
      <c r="L58" s="18">
        <f>SUMIF(C:C,"612119",F:F)</f>
        <v>0</v>
      </c>
      <c r="M58" s="18">
        <f>SUMIF(C:C,"612119",G:G)</f>
        <v>2083314</v>
      </c>
      <c r="N58" s="16">
        <v>53</v>
      </c>
    </row>
    <row r="59" spans="1:14" ht="30" customHeight="1" x14ac:dyDescent="0.3">
      <c r="A59" s="414" t="s">
        <v>327</v>
      </c>
      <c r="B59" s="194" t="s">
        <v>388</v>
      </c>
      <c r="C59" s="253">
        <v>612117</v>
      </c>
      <c r="D59" s="254" t="str">
        <f>IFERROR(INDEX('Acc code'!$C$2:$C$80,MATCH('Cash Book'!C59,'Acc code'!$B$2:$B$80)),0)</f>
        <v>Printing and Stationery</v>
      </c>
      <c r="E59" s="254" t="s">
        <v>389</v>
      </c>
      <c r="F59" s="256"/>
      <c r="G59" s="256">
        <v>2800</v>
      </c>
      <c r="H59" s="265">
        <f t="shared" si="0"/>
        <v>19627850</v>
      </c>
      <c r="J59" s="16">
        <v>612120</v>
      </c>
      <c r="K59" s="17" t="s">
        <v>46</v>
      </c>
      <c r="L59" s="18">
        <f>SUMIF(C:C,"612120",F:F)</f>
        <v>0</v>
      </c>
      <c r="M59" s="18">
        <f>SUMIF(C:C,"612120",G:G)</f>
        <v>0</v>
      </c>
      <c r="N59" s="16">
        <v>54</v>
      </c>
    </row>
    <row r="60" spans="1:14" ht="30" customHeight="1" x14ac:dyDescent="0.3">
      <c r="A60" s="414" t="s">
        <v>327</v>
      </c>
      <c r="B60" s="194" t="s">
        <v>390</v>
      </c>
      <c r="C60" s="253">
        <v>612117</v>
      </c>
      <c r="D60" s="254" t="str">
        <f>IFERROR(INDEX('Acc code'!$C$2:$C$80,MATCH('Cash Book'!C60,'Acc code'!$B$2:$B$80)),0)</f>
        <v>Printing and Stationery</v>
      </c>
      <c r="E60" s="254" t="s">
        <v>391</v>
      </c>
      <c r="F60" s="256"/>
      <c r="G60" s="256">
        <v>3500</v>
      </c>
      <c r="H60" s="265">
        <f t="shared" si="0"/>
        <v>19624350</v>
      </c>
      <c r="J60" s="16">
        <v>612121</v>
      </c>
      <c r="K60" s="17" t="s">
        <v>48</v>
      </c>
      <c r="L60" s="18">
        <f>SUMIF(C:C,"612121",F:F)</f>
        <v>0</v>
      </c>
      <c r="M60" s="18">
        <f>SUMIF(C:C,"612121",G:G)</f>
        <v>133600</v>
      </c>
      <c r="N60" s="16">
        <v>55</v>
      </c>
    </row>
    <row r="61" spans="1:14" ht="30" customHeight="1" x14ac:dyDescent="0.3">
      <c r="A61" s="414" t="s">
        <v>327</v>
      </c>
      <c r="B61" s="194" t="s">
        <v>392</v>
      </c>
      <c r="C61" s="253">
        <v>612113</v>
      </c>
      <c r="D61" s="254" t="str">
        <f>IFERROR(INDEX('Acc code'!$C$2:$C$80,MATCH('Cash Book'!C61,'Acc code'!$B$2:$B$80)),0)</f>
        <v>Office Supply Consumable</v>
      </c>
      <c r="E61" s="254" t="s">
        <v>393</v>
      </c>
      <c r="F61" s="256"/>
      <c r="G61" s="256">
        <v>60000</v>
      </c>
      <c r="H61" s="265">
        <f t="shared" si="0"/>
        <v>19564350</v>
      </c>
      <c r="J61" s="16">
        <v>612122</v>
      </c>
      <c r="K61" s="17" t="s">
        <v>49</v>
      </c>
      <c r="L61" s="18">
        <f>SUMIF(C:C,"612122",F:F)</f>
        <v>0</v>
      </c>
      <c r="M61" s="18">
        <f>SUMIF(C:C,"612122",G:G)</f>
        <v>125</v>
      </c>
      <c r="N61" s="16">
        <v>56</v>
      </c>
    </row>
    <row r="62" spans="1:14" ht="30" customHeight="1" x14ac:dyDescent="0.3">
      <c r="A62" s="414" t="s">
        <v>330</v>
      </c>
      <c r="B62" s="194" t="s">
        <v>394</v>
      </c>
      <c r="C62" s="253">
        <v>111301</v>
      </c>
      <c r="D62" s="254" t="str">
        <f>IFERROR(INDEX('Acc code'!$C$2:$C$80,MATCH('Cash Book'!C62,'Acc code'!$B$2:$B$80)),0)</f>
        <v>Prepaid ( Office Staff )</v>
      </c>
      <c r="E62" s="254" t="s">
        <v>395</v>
      </c>
      <c r="F62" s="256"/>
      <c r="G62" s="256">
        <v>40000</v>
      </c>
      <c r="H62" s="265">
        <f t="shared" si="0"/>
        <v>19524350</v>
      </c>
      <c r="J62" s="16">
        <v>612123</v>
      </c>
      <c r="K62" s="17" t="s">
        <v>50</v>
      </c>
      <c r="L62" s="18">
        <f>SUMIF(C:C,"612123",F:F)</f>
        <v>0</v>
      </c>
      <c r="M62" s="18">
        <f>SUMIF(C:C,"612123",G:G)</f>
        <v>0</v>
      </c>
      <c r="N62" s="16">
        <v>57</v>
      </c>
    </row>
    <row r="63" spans="1:14" ht="30" customHeight="1" x14ac:dyDescent="0.3">
      <c r="A63" s="414" t="s">
        <v>330</v>
      </c>
      <c r="B63" s="194" t="s">
        <v>396</v>
      </c>
      <c r="C63" s="196">
        <v>612104</v>
      </c>
      <c r="D63" s="254" t="str">
        <f>IFERROR(INDEX('Acc code'!$C$2:$C$80,MATCH('Cash Book'!C63,'Acc code'!$B$2:$B$80)),0)</f>
        <v>Travelling Expenses</v>
      </c>
      <c r="E63" s="254" t="s">
        <v>397</v>
      </c>
      <c r="F63" s="256"/>
      <c r="G63" s="256">
        <v>8500</v>
      </c>
      <c r="H63" s="265">
        <f t="shared" si="0"/>
        <v>19515850</v>
      </c>
      <c r="J63" s="16">
        <v>612124</v>
      </c>
      <c r="K63" s="17" t="s">
        <v>51</v>
      </c>
      <c r="L63" s="18">
        <f>SUMIF(C:C,"612124",F:F)</f>
        <v>0</v>
      </c>
      <c r="M63" s="18">
        <f>SUMIF(C:C,"612124",G:G)</f>
        <v>0</v>
      </c>
      <c r="N63" s="16">
        <v>58</v>
      </c>
    </row>
    <row r="64" spans="1:14" ht="30" customHeight="1" x14ac:dyDescent="0.3">
      <c r="A64" s="414" t="s">
        <v>330</v>
      </c>
      <c r="B64" s="194" t="s">
        <v>398</v>
      </c>
      <c r="C64" s="196">
        <v>612104</v>
      </c>
      <c r="D64" s="254" t="str">
        <f>IFERROR(INDEX('Acc code'!$C$2:$C$80,MATCH('Cash Book'!C64,'Acc code'!$B$2:$B$80)),0)</f>
        <v>Travelling Expenses</v>
      </c>
      <c r="E64" s="254" t="s">
        <v>399</v>
      </c>
      <c r="F64" s="256"/>
      <c r="G64" s="256">
        <v>16000</v>
      </c>
      <c r="H64" s="265">
        <f t="shared" si="0"/>
        <v>19499850</v>
      </c>
      <c r="J64" s="16">
        <v>612125</v>
      </c>
      <c r="K64" s="17" t="s">
        <v>52</v>
      </c>
      <c r="L64" s="18">
        <f>SUMIF(C:C,"612125",F:F)</f>
        <v>0</v>
      </c>
      <c r="M64" s="18">
        <f>SUMIF(C:C,"612125",G:G)</f>
        <v>0</v>
      </c>
      <c r="N64" s="16">
        <v>59</v>
      </c>
    </row>
    <row r="65" spans="1:14" ht="30" customHeight="1" x14ac:dyDescent="0.3">
      <c r="A65" s="414" t="s">
        <v>330</v>
      </c>
      <c r="B65" s="194" t="s">
        <v>400</v>
      </c>
      <c r="C65" s="196">
        <v>612104</v>
      </c>
      <c r="D65" s="254" t="str">
        <f>IFERROR(INDEX('Acc code'!$C$2:$C$80,MATCH('Cash Book'!C65,'Acc code'!$B$2:$B$80)),0)</f>
        <v>Travelling Expenses</v>
      </c>
      <c r="E65" s="254" t="s">
        <v>399</v>
      </c>
      <c r="F65" s="256"/>
      <c r="G65" s="256">
        <v>22200</v>
      </c>
      <c r="H65" s="265">
        <f t="shared" si="0"/>
        <v>19477650</v>
      </c>
      <c r="J65" s="16">
        <v>612126</v>
      </c>
      <c r="K65" s="17" t="s">
        <v>53</v>
      </c>
      <c r="L65" s="18">
        <f>SUMIF(C:C,"612126",F:F)</f>
        <v>0</v>
      </c>
      <c r="M65" s="18">
        <f>SUMIF(C:C,"612126",G:G)</f>
        <v>0</v>
      </c>
      <c r="N65" s="16">
        <v>60</v>
      </c>
    </row>
    <row r="66" spans="1:14" ht="30" customHeight="1" x14ac:dyDescent="0.3">
      <c r="A66" s="414" t="s">
        <v>307</v>
      </c>
      <c r="B66" s="194" t="s">
        <v>401</v>
      </c>
      <c r="C66" s="253">
        <v>111301</v>
      </c>
      <c r="D66" s="254" t="str">
        <f>IFERROR(INDEX('Acc code'!$C$2:$C$80,MATCH('Cash Book'!C66,'Acc code'!$B$2:$B$80)),0)</f>
        <v>Prepaid ( Office Staff )</v>
      </c>
      <c r="E66" s="254" t="s">
        <v>402</v>
      </c>
      <c r="F66" s="256"/>
      <c r="G66" s="256">
        <v>850000</v>
      </c>
      <c r="H66" s="265">
        <f t="shared" si="0"/>
        <v>18627650</v>
      </c>
      <c r="J66" s="16">
        <v>612127</v>
      </c>
      <c r="K66" s="17" t="s">
        <v>55</v>
      </c>
      <c r="L66" s="18">
        <f>SUMIF(C:C,"612127",F:F)</f>
        <v>0</v>
      </c>
      <c r="M66" s="18">
        <f>SUMIF(C:C,"612127",G:G)</f>
        <v>0</v>
      </c>
      <c r="N66" s="16">
        <v>61</v>
      </c>
    </row>
    <row r="67" spans="1:14" ht="30" customHeight="1" x14ac:dyDescent="0.3">
      <c r="A67" s="414" t="s">
        <v>307</v>
      </c>
      <c r="B67" s="194" t="s">
        <v>403</v>
      </c>
      <c r="C67" s="253">
        <v>612104</v>
      </c>
      <c r="D67" s="254" t="str">
        <f>IFERROR(INDEX('Acc code'!$C$2:$C$80,MATCH('Cash Book'!C67,'Acc code'!$B$2:$B$80)),0)</f>
        <v>Travelling Expenses</v>
      </c>
      <c r="E67" s="254" t="s">
        <v>404</v>
      </c>
      <c r="F67" s="256"/>
      <c r="G67" s="256">
        <v>3000</v>
      </c>
      <c r="H67" s="265">
        <f t="shared" si="0"/>
        <v>18624650</v>
      </c>
      <c r="J67" s="16">
        <v>612128</v>
      </c>
      <c r="K67" s="17" t="s">
        <v>259</v>
      </c>
      <c r="L67" s="18">
        <f>SUMIF(C:C,"612128",F:F)</f>
        <v>0</v>
      </c>
      <c r="M67" s="18">
        <f>SUMIF(C:C,"612128",G:G)</f>
        <v>185400</v>
      </c>
      <c r="N67" s="16">
        <v>62</v>
      </c>
    </row>
    <row r="68" spans="1:14" ht="30" customHeight="1" x14ac:dyDescent="0.3">
      <c r="A68" s="414" t="s">
        <v>307</v>
      </c>
      <c r="B68" s="194" t="s">
        <v>405</v>
      </c>
      <c r="C68" s="253">
        <v>612104</v>
      </c>
      <c r="D68" s="254" t="str">
        <f>IFERROR(INDEX('Acc code'!$C$2:$C$80,MATCH('Cash Book'!C68,'Acc code'!$B$2:$B$80)),0)</f>
        <v>Travelling Expenses</v>
      </c>
      <c r="E68" s="254" t="s">
        <v>406</v>
      </c>
      <c r="F68" s="256"/>
      <c r="G68" s="256">
        <v>1500</v>
      </c>
      <c r="H68" s="265">
        <f t="shared" si="0"/>
        <v>18623150</v>
      </c>
      <c r="J68" s="16">
        <v>612129</v>
      </c>
      <c r="K68" s="17" t="s">
        <v>57</v>
      </c>
      <c r="L68" s="18">
        <f>SUMIF(C:C,"612129",F:F)</f>
        <v>0</v>
      </c>
      <c r="M68" s="18">
        <f>SUMIF(C:C,"612129",G:G)</f>
        <v>0</v>
      </c>
      <c r="N68" s="16">
        <v>63</v>
      </c>
    </row>
    <row r="69" spans="1:14" ht="30" customHeight="1" x14ac:dyDescent="0.3">
      <c r="A69" s="414" t="s">
        <v>307</v>
      </c>
      <c r="B69" s="194" t="s">
        <v>407</v>
      </c>
      <c r="C69" s="253">
        <v>612104</v>
      </c>
      <c r="D69" s="254" t="str">
        <f>IFERROR(INDEX('Acc code'!$C$2:$C$80,MATCH('Cash Book'!C69,'Acc code'!$B$2:$B$80)),0)</f>
        <v>Travelling Expenses</v>
      </c>
      <c r="E69" s="254" t="s">
        <v>408</v>
      </c>
      <c r="F69" s="256"/>
      <c r="G69" s="256">
        <v>5500</v>
      </c>
      <c r="H69" s="265">
        <f t="shared" si="0"/>
        <v>18617650</v>
      </c>
      <c r="J69" s="16">
        <v>612210</v>
      </c>
      <c r="K69" s="17" t="s">
        <v>58</v>
      </c>
      <c r="L69" s="18">
        <f>SUMIF(C:C,"612210",F:F)</f>
        <v>0</v>
      </c>
      <c r="M69" s="18">
        <f>SUMIF(C:C,"612210",G:G)</f>
        <v>0</v>
      </c>
      <c r="N69" s="16">
        <v>64</v>
      </c>
    </row>
    <row r="70" spans="1:14" ht="30" customHeight="1" x14ac:dyDescent="0.3">
      <c r="A70" s="414" t="s">
        <v>307</v>
      </c>
      <c r="B70" s="194" t="s">
        <v>409</v>
      </c>
      <c r="C70" s="253">
        <v>612104</v>
      </c>
      <c r="D70" s="254" t="str">
        <f>IFERROR(INDEX('Acc code'!$C$2:$C$80,MATCH('Cash Book'!C70,'Acc code'!$B$2:$B$80)),0)</f>
        <v>Travelling Expenses</v>
      </c>
      <c r="E70" s="254" t="s">
        <v>399</v>
      </c>
      <c r="F70" s="256"/>
      <c r="G70" s="256">
        <v>20500</v>
      </c>
      <c r="H70" s="265">
        <f t="shared" si="0"/>
        <v>18597150</v>
      </c>
      <c r="J70" s="16">
        <v>612211</v>
      </c>
      <c r="K70" s="17" t="s">
        <v>59</v>
      </c>
      <c r="L70" s="18">
        <f>SUMIF(C:C,"612211",F:F)</f>
        <v>0</v>
      </c>
      <c r="M70" s="18">
        <f>SUMIF(C:C,"612211",G:G)</f>
        <v>0</v>
      </c>
      <c r="N70" s="16">
        <v>65</v>
      </c>
    </row>
    <row r="71" spans="1:14" ht="30" customHeight="1" x14ac:dyDescent="0.3">
      <c r="A71" s="414" t="s">
        <v>307</v>
      </c>
      <c r="B71" s="194" t="s">
        <v>410</v>
      </c>
      <c r="C71" s="253">
        <v>612104</v>
      </c>
      <c r="D71" s="254" t="str">
        <f>IFERROR(INDEX('Acc code'!$C$2:$C$80,MATCH('Cash Book'!C71,'Acc code'!$B$2:$B$80)),0)</f>
        <v>Travelling Expenses</v>
      </c>
      <c r="E71" s="254" t="s">
        <v>411</v>
      </c>
      <c r="F71" s="256"/>
      <c r="G71" s="256">
        <v>31000</v>
      </c>
      <c r="H71" s="265">
        <f t="shared" si="0"/>
        <v>18566150</v>
      </c>
      <c r="J71" s="16">
        <v>612212</v>
      </c>
      <c r="K71" s="17" t="s">
        <v>60</v>
      </c>
      <c r="L71" s="18">
        <f>SUMIF(C:C,"612212",F:F)</f>
        <v>0</v>
      </c>
      <c r="M71" s="18">
        <f>SUMIF(C:C,"612212",G:G)</f>
        <v>0</v>
      </c>
      <c r="N71" s="16">
        <v>66</v>
      </c>
    </row>
    <row r="72" spans="1:14" ht="30" customHeight="1" x14ac:dyDescent="0.3">
      <c r="A72" s="414" t="s">
        <v>307</v>
      </c>
      <c r="B72" s="194" t="s">
        <v>412</v>
      </c>
      <c r="C72" s="253">
        <v>612119</v>
      </c>
      <c r="D72" s="254" t="str">
        <f>IFERROR(INDEX('Acc code'!$C$2:$C$80,MATCH('Cash Book'!C72,'Acc code'!$B$2:$B$80)),0)</f>
        <v>Wages Expenses</v>
      </c>
      <c r="E72" s="254" t="s">
        <v>413</v>
      </c>
      <c r="F72" s="256"/>
      <c r="G72" s="256">
        <v>10000</v>
      </c>
      <c r="H72" s="265">
        <f t="shared" ref="H72:H142" si="1">H71+F72-G72</f>
        <v>18556150</v>
      </c>
      <c r="J72" s="16">
        <v>612213</v>
      </c>
      <c r="K72" s="17" t="s">
        <v>96</v>
      </c>
      <c r="L72" s="18">
        <f>SUMIF(C:C,"612213",F:F)</f>
        <v>0</v>
      </c>
      <c r="M72" s="18">
        <f>SUMIF(C:C,"612213",G:G)</f>
        <v>0</v>
      </c>
      <c r="N72" s="16">
        <v>67</v>
      </c>
    </row>
    <row r="73" spans="1:14" ht="30" customHeight="1" x14ac:dyDescent="0.3">
      <c r="A73" s="414" t="s">
        <v>307</v>
      </c>
      <c r="B73" s="194" t="s">
        <v>414</v>
      </c>
      <c r="C73" s="253">
        <v>612117</v>
      </c>
      <c r="D73" s="254" t="str">
        <f>IFERROR(INDEX('Acc code'!$C$2:$C$80,MATCH('Cash Book'!C73,'Acc code'!$B$2:$B$80)),0)</f>
        <v>Printing and Stationery</v>
      </c>
      <c r="E73" s="429" t="s">
        <v>415</v>
      </c>
      <c r="F73" s="256"/>
      <c r="G73" s="256">
        <v>3000</v>
      </c>
      <c r="H73" s="265">
        <f t="shared" si="1"/>
        <v>18553150</v>
      </c>
      <c r="J73" s="16">
        <v>612214</v>
      </c>
      <c r="K73" s="17" t="s">
        <v>94</v>
      </c>
      <c r="L73" s="18">
        <f>SUMIF(C:C,"612214",F:F)</f>
        <v>0</v>
      </c>
      <c r="M73" s="18">
        <f>SUMIF(C:C,"612214",G:G)</f>
        <v>0</v>
      </c>
      <c r="N73" s="16">
        <v>68</v>
      </c>
    </row>
    <row r="74" spans="1:14" ht="30" customHeight="1" x14ac:dyDescent="0.3">
      <c r="A74" s="414" t="s">
        <v>311</v>
      </c>
      <c r="B74" s="194" t="s">
        <v>416</v>
      </c>
      <c r="C74" s="253">
        <v>612104</v>
      </c>
      <c r="D74" s="254" t="str">
        <f>IFERROR(INDEX('Acc code'!$C$2:$C$80,MATCH('Cash Book'!C74,'Acc code'!$B$2:$B$80)),0)</f>
        <v>Travelling Expenses</v>
      </c>
      <c r="E74" s="254" t="s">
        <v>417</v>
      </c>
      <c r="F74" s="256"/>
      <c r="G74" s="256">
        <v>6400</v>
      </c>
      <c r="H74" s="265">
        <f t="shared" si="1"/>
        <v>18546750</v>
      </c>
      <c r="J74" s="16">
        <v>612215</v>
      </c>
      <c r="K74" s="17" t="s">
        <v>119</v>
      </c>
      <c r="L74" s="18">
        <f>SUMIF(C:C,"612215",F:F)</f>
        <v>0</v>
      </c>
      <c r="M74" s="18">
        <f>SUMIF(C:C,"612215",G:G)</f>
        <v>0</v>
      </c>
      <c r="N74" s="16">
        <v>69</v>
      </c>
    </row>
    <row r="75" spans="1:14" ht="30" customHeight="1" x14ac:dyDescent="0.3">
      <c r="A75" s="414" t="s">
        <v>311</v>
      </c>
      <c r="B75" s="194" t="s">
        <v>418</v>
      </c>
      <c r="C75" s="253">
        <v>612104</v>
      </c>
      <c r="D75" s="254" t="str">
        <f>IFERROR(INDEX('Acc code'!$C$2:$C$80,MATCH('Cash Book'!C75,'Acc code'!$B$2:$B$80)),0)</f>
        <v>Travelling Expenses</v>
      </c>
      <c r="E75" s="254" t="s">
        <v>417</v>
      </c>
      <c r="F75" s="256"/>
      <c r="G75" s="256">
        <v>13000</v>
      </c>
      <c r="H75" s="265">
        <f t="shared" si="1"/>
        <v>18533750</v>
      </c>
    </row>
    <row r="76" spans="1:14" ht="30" customHeight="1" x14ac:dyDescent="0.3">
      <c r="A76" s="414" t="s">
        <v>311</v>
      </c>
      <c r="B76" s="194" t="s">
        <v>419</v>
      </c>
      <c r="C76" s="253">
        <v>612104</v>
      </c>
      <c r="D76" s="254" t="str">
        <f>IFERROR(INDEX('Acc code'!$C$2:$C$80,MATCH('Cash Book'!C76,'Acc code'!$B$2:$B$80)),0)</f>
        <v>Travelling Expenses</v>
      </c>
      <c r="E76" s="254" t="s">
        <v>420</v>
      </c>
      <c r="F76" s="256"/>
      <c r="G76" s="256">
        <v>4000</v>
      </c>
      <c r="H76" s="265">
        <f t="shared" si="1"/>
        <v>18529750</v>
      </c>
    </row>
    <row r="77" spans="1:14" ht="30" customHeight="1" x14ac:dyDescent="0.3">
      <c r="A77" s="414" t="s">
        <v>311</v>
      </c>
      <c r="B77" s="194" t="s">
        <v>421</v>
      </c>
      <c r="C77" s="253">
        <v>612107</v>
      </c>
      <c r="D77" s="254" t="str">
        <f>IFERROR(INDEX('Acc code'!$C$2:$C$80,MATCH('Cash Book'!C77,'Acc code'!$B$2:$B$80)),0)</f>
        <v xml:space="preserve">Other Fees and Charges </v>
      </c>
      <c r="E77" s="254" t="s">
        <v>422</v>
      </c>
      <c r="F77" s="256"/>
      <c r="G77" s="256">
        <v>312500</v>
      </c>
      <c r="H77" s="265">
        <f t="shared" si="1"/>
        <v>18217250</v>
      </c>
      <c r="J77" s="16"/>
      <c r="K77" s="17"/>
      <c r="L77" s="18"/>
      <c r="M77" s="18"/>
    </row>
    <row r="78" spans="1:14" ht="30" customHeight="1" x14ac:dyDescent="0.3">
      <c r="A78" s="414" t="s">
        <v>311</v>
      </c>
      <c r="B78" s="194" t="s">
        <v>423</v>
      </c>
      <c r="C78" s="253">
        <v>612119</v>
      </c>
      <c r="D78" s="254" t="str">
        <f>IFERROR(INDEX('Acc code'!$C$2:$C$80,MATCH('Cash Book'!C78,'Acc code'!$B$2:$B$80)),0)</f>
        <v>Wages Expenses</v>
      </c>
      <c r="E78" s="254" t="s">
        <v>424</v>
      </c>
      <c r="F78" s="256"/>
      <c r="G78" s="256">
        <v>62500</v>
      </c>
      <c r="H78" s="265">
        <f t="shared" si="1"/>
        <v>18154750</v>
      </c>
      <c r="J78" s="16"/>
      <c r="K78" s="17"/>
      <c r="L78" s="18"/>
      <c r="M78" s="18"/>
    </row>
    <row r="79" spans="1:14" ht="30" customHeight="1" x14ac:dyDescent="0.3">
      <c r="A79" s="414" t="s">
        <v>311</v>
      </c>
      <c r="B79" s="194" t="s">
        <v>425</v>
      </c>
      <c r="C79" s="253">
        <v>612119</v>
      </c>
      <c r="D79" s="254" t="str">
        <f>IFERROR(INDEX('Acc code'!$C$2:$C$80,MATCH('Cash Book'!C79,'Acc code'!$B$2:$B$80)),0)</f>
        <v>Wages Expenses</v>
      </c>
      <c r="E79" s="429" t="s">
        <v>426</v>
      </c>
      <c r="F79" s="256"/>
      <c r="G79" s="256">
        <v>62500</v>
      </c>
      <c r="H79" s="265">
        <f t="shared" si="1"/>
        <v>18092250</v>
      </c>
      <c r="J79" s="16"/>
      <c r="K79" s="17"/>
      <c r="L79" s="18"/>
      <c r="M79" s="18"/>
    </row>
    <row r="80" spans="1:14" ht="30" customHeight="1" x14ac:dyDescent="0.3">
      <c r="A80" s="414" t="s">
        <v>311</v>
      </c>
      <c r="B80" s="194" t="s">
        <v>427</v>
      </c>
      <c r="C80" s="253">
        <v>612104</v>
      </c>
      <c r="D80" s="254" t="str">
        <f>IFERROR(INDEX('Acc code'!$C$2:$C$80,MATCH('Cash Book'!C80,'Acc code'!$B$2:$B$80)),0)</f>
        <v>Travelling Expenses</v>
      </c>
      <c r="E80" s="254" t="s">
        <v>428</v>
      </c>
      <c r="F80" s="256"/>
      <c r="G80" s="256">
        <v>5500</v>
      </c>
      <c r="H80" s="265">
        <f t="shared" si="1"/>
        <v>18086750</v>
      </c>
      <c r="J80" s="16"/>
      <c r="K80" s="17"/>
      <c r="L80" s="18"/>
      <c r="M80" s="18"/>
    </row>
    <row r="81" spans="1:13" ht="30" customHeight="1" x14ac:dyDescent="0.3">
      <c r="A81" s="414" t="s">
        <v>311</v>
      </c>
      <c r="B81" s="194" t="s">
        <v>429</v>
      </c>
      <c r="C81" s="253">
        <v>612117</v>
      </c>
      <c r="D81" s="254" t="str">
        <f>IFERROR(INDEX('Acc code'!$C$2:$C$80,MATCH('Cash Book'!C81,'Acc code'!$B$2:$B$80)),0)</f>
        <v>Printing and Stationery</v>
      </c>
      <c r="E81" s="254" t="s">
        <v>430</v>
      </c>
      <c r="F81" s="256"/>
      <c r="G81" s="256">
        <v>500</v>
      </c>
      <c r="H81" s="265">
        <f t="shared" si="1"/>
        <v>18086250</v>
      </c>
      <c r="J81" s="16"/>
      <c r="K81" s="17"/>
      <c r="L81" s="18"/>
      <c r="M81" s="18"/>
    </row>
    <row r="82" spans="1:13" ht="30" customHeight="1" x14ac:dyDescent="0.3">
      <c r="A82" s="414" t="s">
        <v>311</v>
      </c>
      <c r="B82" s="194" t="s">
        <v>429</v>
      </c>
      <c r="C82" s="253">
        <v>612104</v>
      </c>
      <c r="D82" s="254" t="str">
        <f>IFERROR(INDEX('Acc code'!$C$2:$C$80,MATCH('Cash Book'!C82,'Acc code'!$B$2:$B$80)),0)</f>
        <v>Travelling Expenses</v>
      </c>
      <c r="E82" s="254" t="s">
        <v>431</v>
      </c>
      <c r="F82" s="256"/>
      <c r="G82" s="256">
        <v>6000</v>
      </c>
      <c r="H82" s="265">
        <f t="shared" si="1"/>
        <v>18080250</v>
      </c>
      <c r="J82" s="16"/>
      <c r="K82" s="17"/>
      <c r="L82" s="18"/>
      <c r="M82" s="18"/>
    </row>
    <row r="83" spans="1:13" ht="30" customHeight="1" x14ac:dyDescent="0.3">
      <c r="A83" s="414" t="s">
        <v>433</v>
      </c>
      <c r="B83" s="194" t="s">
        <v>434</v>
      </c>
      <c r="C83" s="253">
        <v>111302</v>
      </c>
      <c r="D83" s="254" t="str">
        <f>IFERROR(INDEX('Acc code'!$C$2:$C$80,MATCH('Cash Book'!C83,'Acc code'!$B$2:$B$80)),0)</f>
        <v>Prepaid Deposit ( Others )</v>
      </c>
      <c r="E83" s="254" t="s">
        <v>435</v>
      </c>
      <c r="F83" s="256"/>
      <c r="G83" s="256">
        <v>700000</v>
      </c>
      <c r="H83" s="265">
        <f t="shared" si="1"/>
        <v>17380250</v>
      </c>
      <c r="J83" s="16"/>
      <c r="K83" s="17"/>
      <c r="L83" s="18"/>
      <c r="M83" s="18"/>
    </row>
    <row r="84" spans="1:13" ht="30" customHeight="1" x14ac:dyDescent="0.3">
      <c r="A84" s="414" t="s">
        <v>436</v>
      </c>
      <c r="B84" s="194" t="s">
        <v>437</v>
      </c>
      <c r="C84" s="253">
        <v>612117</v>
      </c>
      <c r="D84" s="254" t="str">
        <f>IFERROR(INDEX('Acc code'!$C$2:$C$80,MATCH('Cash Book'!C84,'Acc code'!$B$2:$B$80)),0)</f>
        <v>Printing and Stationery</v>
      </c>
      <c r="E84" s="254" t="s">
        <v>438</v>
      </c>
      <c r="F84" s="256"/>
      <c r="G84" s="256">
        <v>1500</v>
      </c>
      <c r="H84" s="265">
        <f t="shared" si="1"/>
        <v>17378750</v>
      </c>
      <c r="J84" s="16"/>
      <c r="K84" s="17"/>
      <c r="L84" s="18"/>
      <c r="M84" s="18"/>
    </row>
    <row r="85" spans="1:13" ht="30" customHeight="1" x14ac:dyDescent="0.3">
      <c r="A85" s="414" t="s">
        <v>313</v>
      </c>
      <c r="B85" s="194" t="s">
        <v>439</v>
      </c>
      <c r="C85" s="253">
        <v>612121</v>
      </c>
      <c r="D85" s="254" t="str">
        <f>IFERROR(INDEX('Acc code'!$C$2:$C$80,MATCH('Cash Book'!C85,'Acc code'!$B$2:$B$80)),0)</f>
        <v>Courier Fees</v>
      </c>
      <c r="E85" s="254" t="s">
        <v>364</v>
      </c>
      <c r="F85" s="256"/>
      <c r="G85" s="256">
        <v>66600</v>
      </c>
      <c r="H85" s="265">
        <f t="shared" si="1"/>
        <v>17312150</v>
      </c>
      <c r="J85" s="16"/>
      <c r="K85" s="17"/>
      <c r="L85" s="18"/>
      <c r="M85" s="18"/>
    </row>
    <row r="86" spans="1:13" ht="30" customHeight="1" x14ac:dyDescent="0.3">
      <c r="A86" s="414" t="s">
        <v>313</v>
      </c>
      <c r="B86" s="194" t="s">
        <v>440</v>
      </c>
      <c r="C86" s="253">
        <v>612104</v>
      </c>
      <c r="D86" s="254" t="str">
        <f>IFERROR(INDEX('Acc code'!$C$2:$C$80,MATCH('Cash Book'!C86,'Acc code'!$B$2:$B$80)),0)</f>
        <v>Travelling Expenses</v>
      </c>
      <c r="E86" s="254" t="s">
        <v>441</v>
      </c>
      <c r="F86" s="256"/>
      <c r="G86" s="256">
        <v>6500</v>
      </c>
      <c r="H86" s="265">
        <f t="shared" si="1"/>
        <v>17305650</v>
      </c>
      <c r="J86" s="16"/>
      <c r="K86" s="17"/>
      <c r="L86" s="18"/>
      <c r="M86" s="18"/>
    </row>
    <row r="87" spans="1:13" ht="30" customHeight="1" x14ac:dyDescent="0.3">
      <c r="A87" s="414" t="s">
        <v>313</v>
      </c>
      <c r="B87" s="194" t="s">
        <v>442</v>
      </c>
      <c r="C87" s="253">
        <v>612117</v>
      </c>
      <c r="D87" s="254" t="str">
        <f>IFERROR(INDEX('Acc code'!$C$2:$C$80,MATCH('Cash Book'!C87,'Acc code'!$B$2:$B$80)),0)</f>
        <v>Printing and Stationery</v>
      </c>
      <c r="E87" s="254" t="s">
        <v>443</v>
      </c>
      <c r="F87" s="256"/>
      <c r="G87" s="256">
        <v>4500</v>
      </c>
      <c r="H87" s="265">
        <f t="shared" si="1"/>
        <v>17301150</v>
      </c>
      <c r="J87" s="16"/>
      <c r="K87" s="17"/>
      <c r="L87" s="18"/>
      <c r="M87" s="18"/>
    </row>
    <row r="88" spans="1:13" ht="30" customHeight="1" x14ac:dyDescent="0.3">
      <c r="A88" s="414" t="s">
        <v>313</v>
      </c>
      <c r="B88" s="194" t="s">
        <v>444</v>
      </c>
      <c r="C88" s="253">
        <v>612117</v>
      </c>
      <c r="D88" s="254" t="str">
        <f>IFERROR(INDEX('Acc code'!$C$2:$C$80,MATCH('Cash Book'!C88,'Acc code'!$B$2:$B$80)),0)</f>
        <v>Printing and Stationery</v>
      </c>
      <c r="E88" s="254" t="s">
        <v>445</v>
      </c>
      <c r="F88" s="266"/>
      <c r="G88" s="256">
        <v>120000</v>
      </c>
      <c r="H88" s="265">
        <f t="shared" si="1"/>
        <v>17181150</v>
      </c>
      <c r="J88" s="16"/>
      <c r="K88" s="17"/>
      <c r="L88" s="18"/>
      <c r="M88" s="18"/>
    </row>
    <row r="89" spans="1:13" ht="30" customHeight="1" x14ac:dyDescent="0.3">
      <c r="A89" s="414" t="s">
        <v>313</v>
      </c>
      <c r="B89" s="194" t="s">
        <v>446</v>
      </c>
      <c r="C89" s="253">
        <v>612117</v>
      </c>
      <c r="D89" s="254" t="str">
        <f>IFERROR(INDEX('Acc code'!$C$2:$C$80,MATCH('Cash Book'!C89,'Acc code'!$B$2:$B$80)),0)</f>
        <v>Printing and Stationery</v>
      </c>
      <c r="E89" s="254" t="s">
        <v>445</v>
      </c>
      <c r="F89" s="256"/>
      <c r="G89" s="256">
        <v>60000</v>
      </c>
      <c r="H89" s="265">
        <f t="shared" si="1"/>
        <v>17121150</v>
      </c>
      <c r="J89" s="16"/>
      <c r="K89" s="17"/>
      <c r="L89" s="18"/>
      <c r="M89" s="18"/>
    </row>
    <row r="90" spans="1:13" ht="30" customHeight="1" x14ac:dyDescent="0.3">
      <c r="A90" s="414" t="s">
        <v>313</v>
      </c>
      <c r="B90" s="194" t="s">
        <v>447</v>
      </c>
      <c r="C90" s="253">
        <v>612119</v>
      </c>
      <c r="D90" s="254" t="str">
        <f>IFERROR(INDEX('Acc code'!$C$2:$C$80,MATCH('Cash Book'!C90,'Acc code'!$B$2:$B$80)),0)</f>
        <v>Wages Expenses</v>
      </c>
      <c r="E90" s="254" t="s">
        <v>448</v>
      </c>
      <c r="F90" s="256"/>
      <c r="G90" s="256">
        <v>35000</v>
      </c>
      <c r="H90" s="265">
        <f t="shared" si="1"/>
        <v>17086150</v>
      </c>
      <c r="J90" s="16"/>
      <c r="K90" s="17"/>
      <c r="L90" s="18"/>
      <c r="M90" s="18"/>
    </row>
    <row r="91" spans="1:13" ht="30" customHeight="1" x14ac:dyDescent="0.3">
      <c r="A91" s="414" t="s">
        <v>316</v>
      </c>
      <c r="B91" s="194" t="s">
        <v>449</v>
      </c>
      <c r="C91" s="253">
        <v>612117</v>
      </c>
      <c r="D91" s="254" t="str">
        <f>IFERROR(INDEX('Acc code'!$C$2:$C$80,MATCH('Cash Book'!C91,'Acc code'!$B$2:$B$80)),0)</f>
        <v>Printing and Stationery</v>
      </c>
      <c r="E91" s="254" t="s">
        <v>450</v>
      </c>
      <c r="F91" s="256"/>
      <c r="G91" s="256">
        <v>48000</v>
      </c>
      <c r="H91" s="265">
        <f t="shared" si="1"/>
        <v>17038150</v>
      </c>
      <c r="J91" s="16"/>
      <c r="K91" s="17"/>
      <c r="L91" s="18"/>
      <c r="M91" s="18"/>
    </row>
    <row r="92" spans="1:13" ht="30" customHeight="1" x14ac:dyDescent="0.3">
      <c r="A92" s="414" t="s">
        <v>462</v>
      </c>
      <c r="B92" s="194" t="s">
        <v>463</v>
      </c>
      <c r="C92" s="253">
        <v>612104</v>
      </c>
      <c r="D92" s="254" t="str">
        <f>IFERROR(INDEX('Acc code'!$C$2:$C$80,MATCH('Cash Book'!C92,'Acc code'!$B$2:$B$80)),0)</f>
        <v>Travelling Expenses</v>
      </c>
      <c r="E92" s="429" t="s">
        <v>464</v>
      </c>
      <c r="F92" s="256"/>
      <c r="G92" s="256">
        <v>13000</v>
      </c>
      <c r="H92" s="265">
        <f t="shared" si="1"/>
        <v>17025150</v>
      </c>
      <c r="J92" s="16"/>
      <c r="K92" s="17"/>
      <c r="L92" s="18"/>
      <c r="M92" s="18"/>
    </row>
    <row r="93" spans="1:13" ht="30" customHeight="1" x14ac:dyDescent="0.3">
      <c r="A93" s="414" t="s">
        <v>462</v>
      </c>
      <c r="B93" s="194" t="s">
        <v>465</v>
      </c>
      <c r="C93" s="253">
        <v>612104</v>
      </c>
      <c r="D93" s="254" t="str">
        <f>IFERROR(INDEX('Acc code'!$C$2:$C$80,MATCH('Cash Book'!C93,'Acc code'!$B$2:$B$80)),0)</f>
        <v>Travelling Expenses</v>
      </c>
      <c r="E93" s="254" t="s">
        <v>466</v>
      </c>
      <c r="F93" s="256"/>
      <c r="G93" s="256">
        <v>8000</v>
      </c>
      <c r="H93" s="265">
        <f t="shared" si="1"/>
        <v>17017150</v>
      </c>
      <c r="J93" s="16"/>
      <c r="K93" s="17"/>
      <c r="L93" s="18"/>
      <c r="M93" s="18"/>
    </row>
    <row r="94" spans="1:13" ht="30" customHeight="1" x14ac:dyDescent="0.3">
      <c r="A94" s="414" t="s">
        <v>462</v>
      </c>
      <c r="B94" s="194" t="s">
        <v>467</v>
      </c>
      <c r="C94" s="253">
        <v>612104</v>
      </c>
      <c r="D94" s="254" t="str">
        <f>IFERROR(INDEX('Acc code'!$C$2:$C$80,MATCH('Cash Book'!C94,'Acc code'!$B$2:$B$80)),0)</f>
        <v>Travelling Expenses</v>
      </c>
      <c r="E94" s="429" t="s">
        <v>468</v>
      </c>
      <c r="F94" s="256"/>
      <c r="G94" s="256">
        <v>6000</v>
      </c>
      <c r="H94" s="265">
        <f t="shared" si="1"/>
        <v>17011150</v>
      </c>
      <c r="J94" s="16"/>
      <c r="K94" s="17"/>
      <c r="L94" s="18"/>
      <c r="M94" s="18"/>
    </row>
    <row r="95" spans="1:13" ht="30" customHeight="1" x14ac:dyDescent="0.3">
      <c r="A95" s="414" t="s">
        <v>462</v>
      </c>
      <c r="B95" s="194" t="s">
        <v>469</v>
      </c>
      <c r="C95" s="253">
        <v>612104</v>
      </c>
      <c r="D95" s="254" t="str">
        <f>IFERROR(INDEX('Acc code'!$C$2:$C$80,MATCH('Cash Book'!C95,'Acc code'!$B$2:$B$80)),0)</f>
        <v>Travelling Expenses</v>
      </c>
      <c r="E95" s="254" t="s">
        <v>470</v>
      </c>
      <c r="F95" s="256"/>
      <c r="G95" s="256">
        <v>8000</v>
      </c>
      <c r="H95" s="265">
        <f t="shared" si="1"/>
        <v>17003150</v>
      </c>
      <c r="J95" s="16"/>
      <c r="K95" s="17"/>
      <c r="L95" s="18"/>
      <c r="M95" s="18"/>
    </row>
    <row r="96" spans="1:13" ht="30" customHeight="1" x14ac:dyDescent="0.3">
      <c r="A96" s="414" t="s">
        <v>471</v>
      </c>
      <c r="B96" s="194" t="s">
        <v>472</v>
      </c>
      <c r="C96" s="196">
        <v>612119</v>
      </c>
      <c r="D96" s="254" t="str">
        <f>IFERROR(INDEX('Acc code'!$C$2:$C$80,MATCH('Cash Book'!C96,'Acc code'!$B$2:$B$80)),0)</f>
        <v>Wages Expenses</v>
      </c>
      <c r="E96" s="254" t="s">
        <v>473</v>
      </c>
      <c r="F96" s="256"/>
      <c r="G96" s="256">
        <v>27600</v>
      </c>
      <c r="H96" s="265">
        <f t="shared" si="1"/>
        <v>16975550</v>
      </c>
      <c r="J96" s="16"/>
      <c r="K96" s="17"/>
      <c r="L96" s="18"/>
      <c r="M96" s="18"/>
    </row>
    <row r="97" spans="1:13" ht="30" customHeight="1" x14ac:dyDescent="0.3">
      <c r="A97" s="414" t="s">
        <v>474</v>
      </c>
      <c r="B97" s="194" t="s">
        <v>475</v>
      </c>
      <c r="C97" s="196">
        <v>612119</v>
      </c>
      <c r="D97" s="254" t="str">
        <f>IFERROR(INDEX('Acc code'!$C$2:$C$80,MATCH('Cash Book'!C97,'Acc code'!$B$2:$B$80)),0)</f>
        <v>Wages Expenses</v>
      </c>
      <c r="E97" s="254" t="s">
        <v>476</v>
      </c>
      <c r="F97" s="256"/>
      <c r="G97" s="256">
        <v>1885714</v>
      </c>
      <c r="H97" s="265">
        <f t="shared" si="1"/>
        <v>15089836</v>
      </c>
      <c r="J97" s="16"/>
      <c r="K97" s="17"/>
      <c r="L97" s="18"/>
      <c r="M97" s="18"/>
    </row>
    <row r="98" spans="1:13" ht="30" customHeight="1" x14ac:dyDescent="0.3">
      <c r="A98" s="414" t="s">
        <v>474</v>
      </c>
      <c r="B98" s="194" t="s">
        <v>477</v>
      </c>
      <c r="C98" s="253">
        <v>612101</v>
      </c>
      <c r="D98" s="254" t="str">
        <f>IFERROR(INDEX('Acc code'!$C$2:$C$80,MATCH('Cash Book'!C98,'Acc code'!$B$2:$B$80)),0)</f>
        <v>Salary and Bonus</v>
      </c>
      <c r="E98" s="254" t="s">
        <v>478</v>
      </c>
      <c r="F98" s="256"/>
      <c r="G98" s="256">
        <v>1755000</v>
      </c>
      <c r="H98" s="265">
        <f t="shared" si="1"/>
        <v>13334836</v>
      </c>
      <c r="J98" s="16"/>
      <c r="K98" s="17"/>
      <c r="L98" s="18"/>
      <c r="M98" s="18"/>
    </row>
    <row r="99" spans="1:13" ht="30" customHeight="1" x14ac:dyDescent="0.3">
      <c r="A99" s="414" t="s">
        <v>479</v>
      </c>
      <c r="B99" s="194" t="s">
        <v>481</v>
      </c>
      <c r="C99" s="253">
        <v>401402</v>
      </c>
      <c r="D99" s="254" t="str">
        <f>IFERROR(INDEX('Acc code'!$C$2:$C$80,MATCH('Cash Book'!C99,'Acc code'!$B$2:$B$80)),0)</f>
        <v>Exchange A/C</v>
      </c>
      <c r="E99" s="429" t="s">
        <v>482</v>
      </c>
      <c r="F99" s="256">
        <v>3091600</v>
      </c>
      <c r="G99" s="256"/>
      <c r="H99" s="265">
        <f t="shared" si="1"/>
        <v>16426436</v>
      </c>
      <c r="J99" s="16"/>
      <c r="K99" s="17"/>
      <c r="L99" s="18"/>
      <c r="M99" s="18"/>
    </row>
    <row r="100" spans="1:13" ht="30" customHeight="1" x14ac:dyDescent="0.3">
      <c r="A100" s="414" t="s">
        <v>479</v>
      </c>
      <c r="B100" s="194" t="s">
        <v>490</v>
      </c>
      <c r="C100" s="253">
        <v>111302</v>
      </c>
      <c r="D100" s="254" t="str">
        <f>IFERROR(INDEX('Acc code'!$C$2:$C$80,MATCH('Cash Book'!C100,'Acc code'!$B$2:$B$80)),0)</f>
        <v>Prepaid Deposit ( Others )</v>
      </c>
      <c r="E100" s="254" t="s">
        <v>491</v>
      </c>
      <c r="F100" s="256">
        <v>30000</v>
      </c>
      <c r="G100" s="256"/>
      <c r="H100" s="265">
        <f t="shared" si="1"/>
        <v>16456436</v>
      </c>
      <c r="J100" s="16"/>
      <c r="K100" s="17"/>
      <c r="L100" s="18"/>
      <c r="M100" s="18"/>
    </row>
    <row r="101" spans="1:13" ht="30" customHeight="1" x14ac:dyDescent="0.3">
      <c r="A101" s="417" t="s">
        <v>474</v>
      </c>
      <c r="B101" s="430" t="s">
        <v>497</v>
      </c>
      <c r="C101" s="253">
        <v>401402</v>
      </c>
      <c r="D101" s="254" t="str">
        <f>IFERROR(INDEX('Acc code'!$C$2:$C$80,MATCH('Cash Book'!C101,'Acc code'!$B$2:$B$80)),0)</f>
        <v>Exchange A/C</v>
      </c>
      <c r="E101" s="429" t="s">
        <v>513</v>
      </c>
      <c r="F101" s="256">
        <f>3115*1170</f>
        <v>3644550</v>
      </c>
      <c r="G101" s="256"/>
      <c r="H101" s="265">
        <f t="shared" si="1"/>
        <v>20100986</v>
      </c>
      <c r="J101" s="16"/>
      <c r="K101" s="17"/>
      <c r="L101" s="18"/>
      <c r="M101" s="18"/>
    </row>
    <row r="102" spans="1:13" ht="30" customHeight="1" x14ac:dyDescent="0.3">
      <c r="A102" s="414" t="s">
        <v>479</v>
      </c>
      <c r="B102" s="194" t="s">
        <v>507</v>
      </c>
      <c r="C102" s="253">
        <v>612104</v>
      </c>
      <c r="D102" s="254" t="str">
        <f>IFERROR(INDEX('Acc code'!$C$2:$C$80,MATCH('Cash Book'!C102,'Acc code'!$B$2:$B$80)),0)</f>
        <v>Travelling Expenses</v>
      </c>
      <c r="E102" s="254" t="s">
        <v>470</v>
      </c>
      <c r="F102" s="256"/>
      <c r="G102" s="256">
        <v>12000</v>
      </c>
      <c r="H102" s="265">
        <f t="shared" si="1"/>
        <v>20088986</v>
      </c>
      <c r="J102" s="16"/>
      <c r="K102" s="17"/>
      <c r="L102" s="18"/>
      <c r="M102" s="18"/>
    </row>
    <row r="103" spans="1:13" ht="30" customHeight="1" x14ac:dyDescent="0.3">
      <c r="A103" s="414" t="s">
        <v>462</v>
      </c>
      <c r="B103" s="194" t="s">
        <v>499</v>
      </c>
      <c r="C103" s="253">
        <v>612101</v>
      </c>
      <c r="D103" s="254" t="str">
        <f>IFERROR(INDEX('Acc code'!$C$2:$C$80,MATCH('Cash Book'!C103,'Acc code'!$B$2:$B$80)),0)</f>
        <v>Salary and Bonus</v>
      </c>
      <c r="E103" s="429" t="s">
        <v>508</v>
      </c>
      <c r="F103" s="256"/>
      <c r="G103" s="256">
        <v>3090477</v>
      </c>
      <c r="H103" s="265">
        <f t="shared" si="1"/>
        <v>16998509</v>
      </c>
      <c r="J103" s="16"/>
      <c r="K103" s="17"/>
      <c r="L103" s="18"/>
      <c r="M103" s="18"/>
    </row>
    <row r="104" spans="1:13" ht="30" customHeight="1" x14ac:dyDescent="0.3">
      <c r="A104" s="414" t="s">
        <v>509</v>
      </c>
      <c r="B104" s="194" t="s">
        <v>488</v>
      </c>
      <c r="C104" s="253">
        <v>612104</v>
      </c>
      <c r="D104" s="254" t="str">
        <f>IFERROR(INDEX('Acc code'!$C$2:$C$80,MATCH('Cash Book'!C104,'Acc code'!$B$2:$B$80)),0)</f>
        <v>Travelling Expenses</v>
      </c>
      <c r="E104" s="254" t="s">
        <v>510</v>
      </c>
      <c r="F104" s="256"/>
      <c r="G104" s="256">
        <v>8000</v>
      </c>
      <c r="H104" s="265">
        <f t="shared" si="1"/>
        <v>16990509</v>
      </c>
      <c r="J104" s="16"/>
      <c r="K104" s="17"/>
      <c r="L104" s="18"/>
      <c r="M104" s="18"/>
    </row>
    <row r="105" spans="1:13" ht="30" customHeight="1" x14ac:dyDescent="0.3">
      <c r="A105" s="414" t="s">
        <v>511</v>
      </c>
      <c r="B105" s="194" t="s">
        <v>504</v>
      </c>
      <c r="C105" s="253">
        <v>612107</v>
      </c>
      <c r="D105" s="254" t="str">
        <f>IFERROR(INDEX('Acc code'!$C$2:$C$80,MATCH('Cash Book'!C105,'Acc code'!$B$2:$B$80)),0)</f>
        <v xml:space="preserve">Other Fees and Charges </v>
      </c>
      <c r="E105" s="429" t="s">
        <v>512</v>
      </c>
      <c r="F105" s="256"/>
      <c r="G105" s="256">
        <v>30150</v>
      </c>
      <c r="H105" s="265">
        <f t="shared" si="1"/>
        <v>16960359</v>
      </c>
      <c r="J105" s="16"/>
      <c r="K105" s="17"/>
      <c r="L105" s="18"/>
      <c r="M105" s="18"/>
    </row>
    <row r="106" spans="1:13" ht="30" customHeight="1" x14ac:dyDescent="0.3">
      <c r="A106" s="414" t="s">
        <v>487</v>
      </c>
      <c r="B106" s="194" t="s">
        <v>485</v>
      </c>
      <c r="C106" s="253">
        <v>111201</v>
      </c>
      <c r="D106" s="254" t="str">
        <f>IFERROR(INDEX('Acc code'!$C$2:$C$80,MATCH('Cash Book'!C106,'Acc code'!$B$2:$B$80)),0)</f>
        <v>Cash at Bank ( CB-Kyats )</v>
      </c>
      <c r="E106" s="254" t="s">
        <v>515</v>
      </c>
      <c r="F106" s="256"/>
      <c r="G106" s="256">
        <v>15546278</v>
      </c>
      <c r="H106" s="265">
        <f t="shared" si="1"/>
        <v>1414081</v>
      </c>
      <c r="J106" s="16"/>
      <c r="K106" s="17"/>
      <c r="L106" s="18"/>
      <c r="M106" s="18"/>
    </row>
    <row r="107" spans="1:13" ht="30" customHeight="1" x14ac:dyDescent="0.3">
      <c r="A107" s="414" t="s">
        <v>516</v>
      </c>
      <c r="B107" s="194" t="s">
        <v>517</v>
      </c>
      <c r="C107" s="253">
        <v>612122</v>
      </c>
      <c r="D107" s="254" t="str">
        <f>IFERROR(INDEX('Acc code'!$C$2:$C$80,MATCH('Cash Book'!C107,'Acc code'!$B$2:$B$80)),0)</f>
        <v>Bank Charges</v>
      </c>
      <c r="E107" s="254" t="s">
        <v>518</v>
      </c>
      <c r="F107" s="256"/>
      <c r="G107" s="256">
        <v>125</v>
      </c>
      <c r="H107" s="265">
        <f t="shared" si="1"/>
        <v>1413956</v>
      </c>
      <c r="J107" s="16"/>
      <c r="K107" s="17"/>
      <c r="L107" s="18"/>
      <c r="M107" s="18"/>
    </row>
    <row r="108" spans="1:13" ht="30" customHeight="1" x14ac:dyDescent="0.3">
      <c r="A108" s="414" t="s">
        <v>520</v>
      </c>
      <c r="B108" s="194" t="s">
        <v>540</v>
      </c>
      <c r="C108" s="253">
        <v>401402</v>
      </c>
      <c r="D108" s="254" t="str">
        <f>IFERROR(INDEX('Acc code'!$C$2:$C$80,MATCH('Cash Book'!C108,'Acc code'!$B$2:$B$80)),0)</f>
        <v>Exchange A/C</v>
      </c>
      <c r="E108" s="429" t="s">
        <v>542</v>
      </c>
      <c r="F108" s="256">
        <f>1195*5000</f>
        <v>5975000</v>
      </c>
      <c r="G108" s="256"/>
      <c r="H108" s="265">
        <f t="shared" si="1"/>
        <v>7388956</v>
      </c>
      <c r="J108" s="16"/>
      <c r="K108" s="17"/>
      <c r="L108" s="18"/>
      <c r="M108" s="18"/>
    </row>
    <row r="109" spans="1:13" ht="30" customHeight="1" x14ac:dyDescent="0.3">
      <c r="A109" s="414" t="s">
        <v>520</v>
      </c>
      <c r="B109" s="194" t="s">
        <v>543</v>
      </c>
      <c r="C109" s="253">
        <v>401101</v>
      </c>
      <c r="D109" s="254" t="str">
        <f>IFERROR(INDEX('Acc code'!$C$2:$C$80,MATCH('Cash Book'!C109,'Acc code'!$B$2:$B$80)),0)</f>
        <v>Paid Up Capital</v>
      </c>
      <c r="E109" s="429" t="s">
        <v>544</v>
      </c>
      <c r="F109" s="256">
        <f>15600*1185</f>
        <v>18486000</v>
      </c>
      <c r="G109" s="256"/>
      <c r="H109" s="265">
        <f t="shared" si="1"/>
        <v>25874956</v>
      </c>
      <c r="J109" s="16"/>
      <c r="K109" s="17"/>
      <c r="L109" s="18"/>
      <c r="M109" s="18"/>
    </row>
    <row r="110" spans="1:13" ht="30" customHeight="1" x14ac:dyDescent="0.3">
      <c r="A110" s="414" t="s">
        <v>532</v>
      </c>
      <c r="B110" s="194" t="s">
        <v>524</v>
      </c>
      <c r="C110" s="253">
        <v>111302</v>
      </c>
      <c r="D110" s="254" t="str">
        <f>IFERROR(INDEX('Acc code'!$C$2:$C$80,MATCH('Cash Book'!C110,'Acc code'!$B$2:$B$80)),0)</f>
        <v>Prepaid Deposit ( Others )</v>
      </c>
      <c r="E110" s="254" t="s">
        <v>545</v>
      </c>
      <c r="F110" s="256"/>
      <c r="G110" s="256">
        <v>700000</v>
      </c>
      <c r="H110" s="265">
        <f t="shared" si="1"/>
        <v>25174956</v>
      </c>
      <c r="J110" s="16"/>
      <c r="K110" s="17"/>
      <c r="L110" s="18"/>
      <c r="M110" s="18"/>
    </row>
    <row r="111" spans="1:13" ht="30" customHeight="1" x14ac:dyDescent="0.3">
      <c r="A111" s="414" t="s">
        <v>532</v>
      </c>
      <c r="B111" s="194" t="s">
        <v>530</v>
      </c>
      <c r="C111" s="253">
        <v>612104</v>
      </c>
      <c r="D111" s="254" t="str">
        <f>IFERROR(INDEX('Acc code'!$C$2:$C$80,MATCH('Cash Book'!C111,'Acc code'!$B$2:$B$80)),0)</f>
        <v>Travelling Expenses</v>
      </c>
      <c r="E111" s="254" t="s">
        <v>546</v>
      </c>
      <c r="F111" s="256"/>
      <c r="G111" s="256">
        <v>8000</v>
      </c>
      <c r="H111" s="265">
        <f t="shared" si="1"/>
        <v>25166956</v>
      </c>
      <c r="J111" s="16"/>
      <c r="K111" s="17"/>
      <c r="L111" s="18"/>
      <c r="M111" s="18"/>
    </row>
    <row r="112" spans="1:13" ht="30" customHeight="1" x14ac:dyDescent="0.3">
      <c r="A112" s="414" t="s">
        <v>547</v>
      </c>
      <c r="B112" s="194" t="s">
        <v>527</v>
      </c>
      <c r="C112" s="253">
        <v>612107</v>
      </c>
      <c r="D112" s="254" t="str">
        <f>IFERROR(INDEX('Acc code'!$C$2:$C$80,MATCH('Cash Book'!C112,'Acc code'!$B$2:$B$80)),0)</f>
        <v xml:space="preserve">Other Fees and Charges </v>
      </c>
      <c r="E112" s="254" t="s">
        <v>261</v>
      </c>
      <c r="F112" s="256"/>
      <c r="G112" s="256">
        <v>245700</v>
      </c>
      <c r="H112" s="265">
        <f t="shared" si="1"/>
        <v>24921256</v>
      </c>
      <c r="J112" s="16"/>
      <c r="K112" s="17"/>
      <c r="L112" s="18"/>
      <c r="M112" s="18"/>
    </row>
    <row r="113" spans="1:13" s="247" customFormat="1" ht="30" customHeight="1" x14ac:dyDescent="0.3">
      <c r="A113" s="414" t="s">
        <v>547</v>
      </c>
      <c r="B113" s="194" t="s">
        <v>528</v>
      </c>
      <c r="C113" s="253">
        <v>612104</v>
      </c>
      <c r="D113" s="254" t="str">
        <f>IFERROR(INDEX('Acc code'!$C$2:$C$80,MATCH('Cash Book'!C113,'Acc code'!$B$2:$B$80)),0)</f>
        <v>Travelling Expenses</v>
      </c>
      <c r="E113" s="254" t="s">
        <v>548</v>
      </c>
      <c r="F113" s="256"/>
      <c r="G113" s="256">
        <v>4500</v>
      </c>
      <c r="H113" s="265">
        <f t="shared" si="1"/>
        <v>24916756</v>
      </c>
      <c r="J113" s="16"/>
      <c r="K113" s="17"/>
      <c r="L113" s="18"/>
      <c r="M113" s="18"/>
    </row>
    <row r="114" spans="1:13" s="247" customFormat="1" ht="30" customHeight="1" x14ac:dyDescent="0.3">
      <c r="A114" s="414" t="s">
        <v>549</v>
      </c>
      <c r="B114" s="194" t="s">
        <v>550</v>
      </c>
      <c r="C114" s="253">
        <v>612104</v>
      </c>
      <c r="D114" s="254" t="str">
        <f>IFERROR(INDEX('Acc code'!$C$2:$C$80,MATCH('Cash Book'!C114,'Acc code'!$B$2:$B$80)),0)</f>
        <v>Travelling Expenses</v>
      </c>
      <c r="E114" s="254" t="s">
        <v>551</v>
      </c>
      <c r="F114" s="256"/>
      <c r="G114" s="256">
        <v>22000</v>
      </c>
      <c r="H114" s="265">
        <f t="shared" si="1"/>
        <v>24894756</v>
      </c>
      <c r="J114" s="16"/>
      <c r="K114" s="17"/>
      <c r="L114" s="18"/>
      <c r="M114" s="18"/>
    </row>
    <row r="115" spans="1:13" s="247" customFormat="1" ht="30" customHeight="1" x14ac:dyDescent="0.3">
      <c r="A115" s="414" t="s">
        <v>549</v>
      </c>
      <c r="B115" s="194" t="s">
        <v>538</v>
      </c>
      <c r="C115" s="253">
        <v>612104</v>
      </c>
      <c r="D115" s="254" t="str">
        <f>IFERROR(INDEX('Acc code'!$C$2:$C$80,MATCH('Cash Book'!C115,'Acc code'!$B$2:$B$80)),0)</f>
        <v>Travelling Expenses</v>
      </c>
      <c r="E115" s="254" t="s">
        <v>552</v>
      </c>
      <c r="F115" s="256"/>
      <c r="G115" s="256">
        <v>9500</v>
      </c>
      <c r="H115" s="265">
        <f t="shared" si="1"/>
        <v>24885256</v>
      </c>
      <c r="J115" s="16"/>
      <c r="K115" s="17"/>
      <c r="L115" s="18"/>
      <c r="M115" s="18"/>
    </row>
    <row r="116" spans="1:13" s="247" customFormat="1" ht="30" customHeight="1" x14ac:dyDescent="0.3">
      <c r="A116" s="414" t="s">
        <v>516</v>
      </c>
      <c r="B116" s="194" t="s">
        <v>553</v>
      </c>
      <c r="C116" s="253">
        <v>612104</v>
      </c>
      <c r="D116" s="254" t="str">
        <f>IFERROR(INDEX('Acc code'!$C$2:$C$80,MATCH('Cash Book'!C116,'Acc code'!$B$2:$B$80)),0)</f>
        <v>Travelling Expenses</v>
      </c>
      <c r="E116" s="254" t="s">
        <v>552</v>
      </c>
      <c r="F116" s="256"/>
      <c r="G116" s="256">
        <v>4000</v>
      </c>
      <c r="H116" s="265">
        <f t="shared" si="1"/>
        <v>24881256</v>
      </c>
      <c r="J116" s="16"/>
      <c r="K116" s="17"/>
      <c r="L116" s="18"/>
      <c r="M116" s="18"/>
    </row>
    <row r="117" spans="1:13" s="247" customFormat="1" ht="30" customHeight="1" x14ac:dyDescent="0.3">
      <c r="A117" s="414" t="s">
        <v>537</v>
      </c>
      <c r="B117" s="194" t="s">
        <v>540</v>
      </c>
      <c r="C117" s="253">
        <v>111302</v>
      </c>
      <c r="D117" s="254" t="str">
        <f>IFERROR(INDEX('Acc code'!$C$2:$C$80,MATCH('Cash Book'!C117,'Acc code'!$B$2:$B$80)),0)</f>
        <v>Prepaid Deposit ( Others )</v>
      </c>
      <c r="E117" s="254" t="s">
        <v>554</v>
      </c>
      <c r="F117" s="256"/>
      <c r="G117" s="256">
        <v>750000</v>
      </c>
      <c r="H117" s="265">
        <f t="shared" si="1"/>
        <v>24131256</v>
      </c>
      <c r="J117" s="16"/>
      <c r="K117" s="17"/>
      <c r="L117" s="18"/>
      <c r="M117" s="18"/>
    </row>
    <row r="118" spans="1:13" s="247" customFormat="1" ht="30" customHeight="1" x14ac:dyDescent="0.3">
      <c r="A118" s="414" t="s">
        <v>537</v>
      </c>
      <c r="B118" s="194" t="s">
        <v>555</v>
      </c>
      <c r="C118" s="253">
        <v>612104</v>
      </c>
      <c r="D118" s="254" t="str">
        <f>IFERROR(INDEX('Acc code'!$C$2:$C$80,MATCH('Cash Book'!C118,'Acc code'!$B$2:$B$80)),0)</f>
        <v>Travelling Expenses</v>
      </c>
      <c r="E118" s="254" t="s">
        <v>552</v>
      </c>
      <c r="F118" s="256"/>
      <c r="G118" s="256">
        <v>4000</v>
      </c>
      <c r="H118" s="265">
        <f t="shared" si="1"/>
        <v>24127256</v>
      </c>
      <c r="J118" s="16"/>
      <c r="K118" s="17"/>
      <c r="L118" s="18"/>
      <c r="M118" s="18"/>
    </row>
    <row r="119" spans="1:13" s="247" customFormat="1" ht="30" customHeight="1" x14ac:dyDescent="0.3">
      <c r="A119" s="414" t="s">
        <v>520</v>
      </c>
      <c r="B119" s="194" t="s">
        <v>555</v>
      </c>
      <c r="C119" s="253">
        <v>612104</v>
      </c>
      <c r="D119" s="254" t="str">
        <f>IFERROR(INDEX('Acc code'!$C$2:$C$80,MATCH('Cash Book'!C119,'Acc code'!$B$2:$B$80)),0)</f>
        <v>Travelling Expenses</v>
      </c>
      <c r="E119" s="254" t="s">
        <v>556</v>
      </c>
      <c r="F119" s="256"/>
      <c r="G119" s="256">
        <v>3000</v>
      </c>
      <c r="H119" s="265">
        <f t="shared" si="1"/>
        <v>24124256</v>
      </c>
      <c r="J119" s="16"/>
      <c r="K119" s="17"/>
      <c r="L119" s="18"/>
      <c r="M119" s="18"/>
    </row>
    <row r="120" spans="1:13" s="247" customFormat="1" ht="30" customHeight="1" x14ac:dyDescent="0.3">
      <c r="A120" s="414" t="s">
        <v>557</v>
      </c>
      <c r="B120" s="194" t="s">
        <v>558</v>
      </c>
      <c r="C120" s="253">
        <v>111302</v>
      </c>
      <c r="D120" s="254" t="str">
        <f>IFERROR(INDEX('Acc code'!$C$2:$C$80,MATCH('Cash Book'!C120,'Acc code'!$B$2:$B$80)),0)</f>
        <v>Prepaid Deposit ( Others )</v>
      </c>
      <c r="E120" s="254" t="s">
        <v>559</v>
      </c>
      <c r="F120" s="256"/>
      <c r="G120" s="256">
        <v>1200</v>
      </c>
      <c r="H120" s="265">
        <f t="shared" si="1"/>
        <v>24123056</v>
      </c>
      <c r="J120" s="16"/>
      <c r="K120" s="17"/>
      <c r="L120" s="18"/>
      <c r="M120" s="18"/>
    </row>
    <row r="121" spans="1:13" s="247" customFormat="1" ht="30" customHeight="1" x14ac:dyDescent="0.3">
      <c r="A121" s="414" t="s">
        <v>520</v>
      </c>
      <c r="B121" s="194" t="s">
        <v>560</v>
      </c>
      <c r="C121" s="253">
        <v>612104</v>
      </c>
      <c r="D121" s="254" t="str">
        <f>IFERROR(INDEX('Acc code'!$C$2:$C$80,MATCH('Cash Book'!C121,'Acc code'!$B$2:$B$80)),0)</f>
        <v>Travelling Expenses</v>
      </c>
      <c r="E121" s="254" t="s">
        <v>561</v>
      </c>
      <c r="F121" s="256"/>
      <c r="G121" s="256">
        <v>1500</v>
      </c>
      <c r="H121" s="265">
        <f t="shared" si="1"/>
        <v>24121556</v>
      </c>
      <c r="J121" s="16"/>
      <c r="K121" s="17"/>
      <c r="L121" s="18"/>
      <c r="M121" s="18"/>
    </row>
    <row r="122" spans="1:13" s="247" customFormat="1" ht="30" customHeight="1" x14ac:dyDescent="0.3">
      <c r="A122" s="414" t="s">
        <v>520</v>
      </c>
      <c r="B122" s="194" t="s">
        <v>562</v>
      </c>
      <c r="C122" s="253">
        <v>612103</v>
      </c>
      <c r="D122" s="254" t="str">
        <f>IFERROR(INDEX('Acc code'!$C$2:$C$80,MATCH('Cash Book'!C122,'Acc code'!$B$2:$B$80)),0)</f>
        <v>Office Rental Charges</v>
      </c>
      <c r="E122" s="254" t="s">
        <v>563</v>
      </c>
      <c r="F122" s="256"/>
      <c r="G122" s="256">
        <v>6840000</v>
      </c>
      <c r="H122" s="265">
        <f t="shared" si="1"/>
        <v>17281556</v>
      </c>
      <c r="J122" s="16"/>
      <c r="K122" s="17"/>
      <c r="L122" s="18"/>
      <c r="M122" s="18"/>
    </row>
    <row r="123" spans="1:13" s="247" customFormat="1" ht="30" customHeight="1" x14ac:dyDescent="0.3">
      <c r="A123" s="414" t="s">
        <v>520</v>
      </c>
      <c r="B123" s="194" t="s">
        <v>564</v>
      </c>
      <c r="C123" s="253">
        <v>111201</v>
      </c>
      <c r="D123" s="254" t="str">
        <f>IFERROR(INDEX('Acc code'!$C$2:$C$80,MATCH('Cash Book'!C123,'Acc code'!$B$2:$B$80)),0)</f>
        <v>Cash at Bank ( CB-Kyats )</v>
      </c>
      <c r="E123" s="254" t="s">
        <v>565</v>
      </c>
      <c r="F123" s="256"/>
      <c r="G123" s="256">
        <v>11646000</v>
      </c>
      <c r="H123" s="265">
        <f t="shared" si="1"/>
        <v>5635556</v>
      </c>
      <c r="J123" s="16"/>
      <c r="K123" s="17"/>
      <c r="L123" s="18"/>
      <c r="M123" s="18"/>
    </row>
    <row r="124" spans="1:13" s="247" customFormat="1" ht="30" customHeight="1" thickBot="1" x14ac:dyDescent="0.35">
      <c r="A124" s="414" t="s">
        <v>520</v>
      </c>
      <c r="B124" s="194" t="s">
        <v>566</v>
      </c>
      <c r="C124" s="253">
        <v>111201</v>
      </c>
      <c r="D124" s="254" t="str">
        <f>IFERROR(INDEX('Acc code'!$C$2:$C$80,MATCH('Cash Book'!C124,'Acc code'!$B$2:$B$80)),0)</f>
        <v>Cash at Bank ( CB-Kyats )</v>
      </c>
      <c r="E124" s="254" t="s">
        <v>567</v>
      </c>
      <c r="F124" s="256"/>
      <c r="G124" s="256">
        <v>3000000</v>
      </c>
      <c r="H124" s="265">
        <f t="shared" si="1"/>
        <v>2635556</v>
      </c>
      <c r="J124" s="16"/>
      <c r="K124" s="17"/>
      <c r="L124" s="18"/>
      <c r="M124" s="18"/>
    </row>
    <row r="125" spans="1:13" s="247" customFormat="1" ht="30" hidden="1" customHeight="1" x14ac:dyDescent="0.3">
      <c r="A125" s="414"/>
      <c r="B125" s="194"/>
      <c r="C125" s="253"/>
      <c r="D125" s="254">
        <f>IFERROR(INDEX('Acc code'!$C$2:$C$80,MATCH('Cash Book'!C125,'Acc code'!$B$2:$B$80)),0)</f>
        <v>0</v>
      </c>
      <c r="E125" s="254"/>
      <c r="F125" s="256"/>
      <c r="G125" s="256"/>
      <c r="H125" s="265">
        <f t="shared" si="1"/>
        <v>2635556</v>
      </c>
      <c r="J125" s="16"/>
      <c r="K125" s="17"/>
      <c r="L125" s="18"/>
      <c r="M125" s="18"/>
    </row>
    <row r="126" spans="1:13" s="247" customFormat="1" ht="30" hidden="1" customHeight="1" x14ac:dyDescent="0.3">
      <c r="A126" s="414"/>
      <c r="B126" s="194"/>
      <c r="C126" s="253"/>
      <c r="D126" s="254">
        <f>IFERROR(INDEX('Acc code'!$C$2:$C$80,MATCH('Cash Book'!C126,'Acc code'!$B$2:$B$80)),0)</f>
        <v>0</v>
      </c>
      <c r="E126" s="254"/>
      <c r="F126" s="256"/>
      <c r="G126" s="256"/>
      <c r="H126" s="265">
        <f t="shared" si="1"/>
        <v>2635556</v>
      </c>
      <c r="J126" s="16"/>
      <c r="K126" s="17"/>
      <c r="L126" s="18"/>
      <c r="M126" s="18"/>
    </row>
    <row r="127" spans="1:13" s="247" customFormat="1" ht="30" hidden="1" customHeight="1" x14ac:dyDescent="0.3">
      <c r="A127" s="414"/>
      <c r="B127" s="194"/>
      <c r="C127" s="253"/>
      <c r="D127" s="254">
        <f>IFERROR(INDEX('Acc code'!$C$2:$C$80,MATCH('Cash Book'!C127,'Acc code'!$B$2:$B$80)),0)</f>
        <v>0</v>
      </c>
      <c r="E127" s="254"/>
      <c r="F127" s="256"/>
      <c r="G127" s="256"/>
      <c r="H127" s="265">
        <f t="shared" si="1"/>
        <v>2635556</v>
      </c>
      <c r="J127" s="16"/>
      <c r="K127" s="17"/>
      <c r="L127" s="18"/>
      <c r="M127" s="18"/>
    </row>
    <row r="128" spans="1:13" s="247" customFormat="1" ht="30" hidden="1" customHeight="1" x14ac:dyDescent="0.3">
      <c r="A128" s="414"/>
      <c r="B128" s="194"/>
      <c r="C128" s="253"/>
      <c r="D128" s="254">
        <f>IFERROR(INDEX('Acc code'!$C$2:$C$80,MATCH('Cash Book'!C128,'Acc code'!$B$2:$B$80)),0)</f>
        <v>0</v>
      </c>
      <c r="E128" s="254"/>
      <c r="F128" s="256"/>
      <c r="G128" s="256"/>
      <c r="H128" s="265">
        <f t="shared" si="1"/>
        <v>2635556</v>
      </c>
      <c r="J128" s="16"/>
      <c r="K128" s="17"/>
      <c r="L128" s="18"/>
      <c r="M128" s="18"/>
    </row>
    <row r="129" spans="1:13" s="247" customFormat="1" ht="30" hidden="1" customHeight="1" x14ac:dyDescent="0.3">
      <c r="A129" s="414"/>
      <c r="B129" s="194"/>
      <c r="C129" s="253"/>
      <c r="D129" s="254">
        <f>IFERROR(INDEX('Acc code'!$C$2:$C$80,MATCH('Cash Book'!C129,'Acc code'!$B$2:$B$80)),0)</f>
        <v>0</v>
      </c>
      <c r="E129" s="254"/>
      <c r="F129" s="256"/>
      <c r="G129" s="256"/>
      <c r="H129" s="265">
        <f t="shared" si="1"/>
        <v>2635556</v>
      </c>
      <c r="J129" s="16"/>
      <c r="K129" s="17"/>
      <c r="L129" s="18"/>
      <c r="M129" s="18"/>
    </row>
    <row r="130" spans="1:13" s="247" customFormat="1" ht="30" hidden="1" customHeight="1" x14ac:dyDescent="0.3">
      <c r="A130" s="414"/>
      <c r="B130" s="194"/>
      <c r="C130" s="253"/>
      <c r="D130" s="254">
        <f>IFERROR(INDEX('Acc code'!$C$2:$C$80,MATCH('Cash Book'!C130,'Acc code'!$B$2:$B$80)),0)</f>
        <v>0</v>
      </c>
      <c r="E130" s="254"/>
      <c r="F130" s="256"/>
      <c r="G130" s="256"/>
      <c r="H130" s="265">
        <f t="shared" si="1"/>
        <v>2635556</v>
      </c>
      <c r="J130" s="16"/>
      <c r="K130" s="17"/>
      <c r="L130" s="18"/>
      <c r="M130" s="18"/>
    </row>
    <row r="131" spans="1:13" s="247" customFormat="1" ht="30" hidden="1" customHeight="1" x14ac:dyDescent="0.3">
      <c r="A131" s="414"/>
      <c r="B131" s="194"/>
      <c r="C131" s="253"/>
      <c r="D131" s="254">
        <f>IFERROR(INDEX('Acc code'!$C$2:$C$80,MATCH('Cash Book'!C131,'Acc code'!$B$2:$B$80)),0)</f>
        <v>0</v>
      </c>
      <c r="E131" s="254"/>
      <c r="F131" s="256"/>
      <c r="G131" s="256"/>
      <c r="H131" s="265">
        <f t="shared" si="1"/>
        <v>2635556</v>
      </c>
      <c r="J131" s="16"/>
      <c r="K131" s="17"/>
      <c r="L131" s="18"/>
      <c r="M131" s="18"/>
    </row>
    <row r="132" spans="1:13" s="247" customFormat="1" ht="30" hidden="1" customHeight="1" x14ac:dyDescent="0.3">
      <c r="A132" s="414"/>
      <c r="B132" s="194"/>
      <c r="C132" s="253"/>
      <c r="D132" s="254">
        <f>IFERROR(INDEX('Acc code'!$C$2:$C$80,MATCH('Cash Book'!C132,'Acc code'!$B$2:$B$80)),0)</f>
        <v>0</v>
      </c>
      <c r="E132" s="254"/>
      <c r="F132" s="256"/>
      <c r="G132" s="256"/>
      <c r="H132" s="265">
        <f t="shared" si="1"/>
        <v>2635556</v>
      </c>
      <c r="J132" s="16"/>
      <c r="K132" s="17"/>
      <c r="L132" s="18"/>
      <c r="M132" s="18"/>
    </row>
    <row r="133" spans="1:13" s="247" customFormat="1" ht="30" hidden="1" customHeight="1" x14ac:dyDescent="0.3">
      <c r="A133" s="414"/>
      <c r="B133" s="194"/>
      <c r="C133" s="253"/>
      <c r="D133" s="254">
        <f>IFERROR(INDEX('Acc code'!$C$2:$C$80,MATCH('Cash Book'!C133,'Acc code'!$B$2:$B$80)),0)</f>
        <v>0</v>
      </c>
      <c r="E133" s="254"/>
      <c r="F133" s="256"/>
      <c r="G133" s="256"/>
      <c r="H133" s="265">
        <f t="shared" si="1"/>
        <v>2635556</v>
      </c>
      <c r="J133" s="16"/>
      <c r="K133" s="17"/>
      <c r="L133" s="18"/>
      <c r="M133" s="18"/>
    </row>
    <row r="134" spans="1:13" s="247" customFormat="1" ht="30" hidden="1" customHeight="1" x14ac:dyDescent="0.3">
      <c r="A134" s="414"/>
      <c r="B134" s="194"/>
      <c r="C134" s="253"/>
      <c r="D134" s="254">
        <f>IFERROR(INDEX('Acc code'!$C$2:$C$80,MATCH('Cash Book'!C134,'Acc code'!$B$2:$B$80)),0)</f>
        <v>0</v>
      </c>
      <c r="E134" s="254"/>
      <c r="F134" s="256"/>
      <c r="G134" s="256"/>
      <c r="H134" s="265">
        <f t="shared" si="1"/>
        <v>2635556</v>
      </c>
      <c r="J134" s="16"/>
      <c r="K134" s="17"/>
      <c r="L134" s="18"/>
      <c r="M134" s="18"/>
    </row>
    <row r="135" spans="1:13" s="247" customFormat="1" ht="30" hidden="1" customHeight="1" x14ac:dyDescent="0.3">
      <c r="A135" s="414"/>
      <c r="B135" s="194"/>
      <c r="C135" s="253"/>
      <c r="D135" s="254">
        <f>IFERROR(INDEX('Acc code'!$C$2:$C$80,MATCH('Cash Book'!C135,'Acc code'!$B$2:$B$80)),0)</f>
        <v>0</v>
      </c>
      <c r="E135" s="254"/>
      <c r="F135" s="256"/>
      <c r="G135" s="256"/>
      <c r="H135" s="265">
        <f t="shared" si="1"/>
        <v>2635556</v>
      </c>
      <c r="J135" s="16"/>
      <c r="K135" s="17"/>
      <c r="L135" s="18"/>
      <c r="M135" s="18"/>
    </row>
    <row r="136" spans="1:13" s="247" customFormat="1" ht="30" hidden="1" customHeight="1" x14ac:dyDescent="0.3">
      <c r="A136" s="414"/>
      <c r="B136" s="194"/>
      <c r="C136" s="253"/>
      <c r="D136" s="254">
        <f>IFERROR(INDEX('Acc code'!$C$2:$C$80,MATCH('Cash Book'!C136,'Acc code'!$B$2:$B$80)),0)</f>
        <v>0</v>
      </c>
      <c r="E136" s="254"/>
      <c r="F136" s="256"/>
      <c r="G136" s="256"/>
      <c r="H136" s="265">
        <f t="shared" si="1"/>
        <v>2635556</v>
      </c>
      <c r="J136" s="16"/>
      <c r="K136" s="17"/>
      <c r="L136" s="18"/>
      <c r="M136" s="18"/>
    </row>
    <row r="137" spans="1:13" s="247" customFormat="1" ht="30" hidden="1" customHeight="1" x14ac:dyDescent="0.3">
      <c r="A137" s="414"/>
      <c r="B137" s="194"/>
      <c r="C137" s="253"/>
      <c r="D137" s="254">
        <f>IFERROR(INDEX('Acc code'!$C$2:$C$80,MATCH('Cash Book'!C137,'Acc code'!$B$2:$B$80)),0)</f>
        <v>0</v>
      </c>
      <c r="E137" s="254"/>
      <c r="F137" s="256"/>
      <c r="G137" s="256"/>
      <c r="H137" s="265">
        <f t="shared" si="1"/>
        <v>2635556</v>
      </c>
      <c r="J137" s="16"/>
      <c r="K137" s="17"/>
      <c r="L137" s="18"/>
      <c r="M137" s="18"/>
    </row>
    <row r="138" spans="1:13" s="247" customFormat="1" ht="30" hidden="1" customHeight="1" x14ac:dyDescent="0.3">
      <c r="A138" s="414"/>
      <c r="B138" s="194"/>
      <c r="C138" s="253"/>
      <c r="D138" s="254">
        <f>IFERROR(INDEX('Acc code'!$C$2:$C$80,MATCH('Cash Book'!C138,'Acc code'!$B$2:$B$80)),0)</f>
        <v>0</v>
      </c>
      <c r="E138" s="254"/>
      <c r="F138" s="256"/>
      <c r="G138" s="256"/>
      <c r="H138" s="265">
        <f t="shared" si="1"/>
        <v>2635556</v>
      </c>
      <c r="J138" s="16"/>
      <c r="K138" s="17"/>
      <c r="L138" s="18"/>
      <c r="M138" s="18"/>
    </row>
    <row r="139" spans="1:13" s="247" customFormat="1" ht="30" hidden="1" customHeight="1" x14ac:dyDescent="0.3">
      <c r="A139" s="414"/>
      <c r="B139" s="194"/>
      <c r="C139" s="253"/>
      <c r="D139" s="254">
        <f>IFERROR(INDEX('Acc code'!$C$2:$C$80,MATCH('Cash Book'!C139,'Acc code'!$B$2:$B$80)),0)</f>
        <v>0</v>
      </c>
      <c r="E139" s="254"/>
      <c r="F139" s="256"/>
      <c r="G139" s="256"/>
      <c r="H139" s="265">
        <f t="shared" si="1"/>
        <v>2635556</v>
      </c>
      <c r="J139" s="16"/>
      <c r="K139" s="17"/>
      <c r="L139" s="18"/>
      <c r="M139" s="18"/>
    </row>
    <row r="140" spans="1:13" s="247" customFormat="1" ht="30" hidden="1" customHeight="1" x14ac:dyDescent="0.3">
      <c r="A140" s="251"/>
      <c r="B140" s="194"/>
      <c r="C140" s="253"/>
      <c r="D140" s="254">
        <f>IFERROR(INDEX('Acc code'!$C$2:$C$80,MATCH('Cash Book'!C140,'Acc code'!$B$2:$B$80)),0)</f>
        <v>0</v>
      </c>
      <c r="E140" s="254"/>
      <c r="F140" s="256"/>
      <c r="G140" s="256"/>
      <c r="H140" s="265">
        <f t="shared" si="1"/>
        <v>2635556</v>
      </c>
      <c r="J140" s="16"/>
      <c r="K140" s="17"/>
      <c r="L140" s="18"/>
      <c r="M140" s="18"/>
    </row>
    <row r="141" spans="1:13" s="247" customFormat="1" ht="30" hidden="1" customHeight="1" x14ac:dyDescent="0.3">
      <c r="A141" s="251"/>
      <c r="B141" s="194"/>
      <c r="C141" s="253"/>
      <c r="D141" s="254">
        <f>IFERROR(INDEX('Acc code'!$C$2:$C$80,MATCH('Cash Book'!C141,'Acc code'!$B$2:$B$80)),0)</f>
        <v>0</v>
      </c>
      <c r="E141" s="254"/>
      <c r="F141" s="256"/>
      <c r="G141" s="256"/>
      <c r="H141" s="265">
        <f t="shared" si="1"/>
        <v>2635556</v>
      </c>
      <c r="J141" s="16"/>
      <c r="K141" s="17"/>
      <c r="L141" s="18"/>
      <c r="M141" s="18"/>
    </row>
    <row r="142" spans="1:13" s="247" customFormat="1" ht="30" hidden="1" customHeight="1" thickBot="1" x14ac:dyDescent="0.35">
      <c r="A142" s="251"/>
      <c r="B142" s="194"/>
      <c r="C142" s="253"/>
      <c r="D142" s="254">
        <f>IFERROR(INDEX('Acc code'!$C$2:$C$80,MATCH('Cash Book'!C142,'Acc code'!$B$2:$B$80)),0)</f>
        <v>0</v>
      </c>
      <c r="E142" s="254"/>
      <c r="F142" s="256"/>
      <c r="G142" s="256"/>
      <c r="H142" s="265">
        <f t="shared" si="1"/>
        <v>2635556</v>
      </c>
      <c r="J142" s="16"/>
      <c r="K142" s="17"/>
      <c r="L142" s="18"/>
      <c r="M142" s="18"/>
    </row>
    <row r="143" spans="1:13" s="2" customFormat="1" ht="36" customHeight="1" thickBot="1" x14ac:dyDescent="0.35">
      <c r="A143" s="19"/>
      <c r="B143" s="20"/>
      <c r="C143" s="21"/>
      <c r="D143" s="179">
        <v>1</v>
      </c>
      <c r="E143" s="22"/>
      <c r="F143" s="267">
        <f>SUBTOTAL(9,F6:F142)</f>
        <v>56549915</v>
      </c>
      <c r="G143" s="267">
        <f>SUBTOTAL(9,G5:G142)</f>
        <v>53914359</v>
      </c>
      <c r="H143" s="268">
        <f>H142</f>
        <v>2635556</v>
      </c>
      <c r="I143"/>
      <c r="J143"/>
      <c r="K143"/>
      <c r="L143"/>
      <c r="M143"/>
    </row>
    <row r="144" spans="1:13" s="2" customFormat="1" ht="24.9" customHeight="1" thickTop="1" x14ac:dyDescent="0.3">
      <c r="A144"/>
      <c r="B144"/>
      <c r="C144" s="16"/>
      <c r="D144" s="17"/>
      <c r="E144" s="17"/>
      <c r="F144" s="16"/>
      <c r="G144" s="16"/>
      <c r="H144" s="269">
        <f>H5+F143-G143</f>
        <v>2635556</v>
      </c>
      <c r="I144"/>
      <c r="J144"/>
      <c r="K144"/>
      <c r="L144"/>
      <c r="M144"/>
    </row>
  </sheetData>
  <autoFilter ref="C4:H144">
    <filterColumn colId="1">
      <filters blank="1">
        <filter val="1"/>
        <filter val="Auditing Fees"/>
        <filter val="Bank Charges"/>
        <filter val="Cash at Bank ( CB-Kyats )"/>
        <filter val="Communication Expenses"/>
        <filter val="Courier Fees"/>
        <filter val="Entertainment"/>
        <filter val="Exchange A/C"/>
        <filter val="General Expenses"/>
        <filter val="Office Rental Charges"/>
        <filter val="Office Supply Consumable"/>
        <filter val="Other Fees and Charges"/>
        <filter val="Paid Up Capital"/>
        <filter val="Prepaid ( Office Staff )"/>
        <filter val="Prepaid Deposit ( Others )"/>
        <filter val="Printing and Stationery"/>
        <filter val="Salary and Bonus"/>
        <filter val="Stamp Duty Tax"/>
        <filter val="Travelling Expenses"/>
        <filter val="Wages Expenses"/>
      </filters>
    </filterColumn>
  </autoFilter>
  <mergeCells count="4">
    <mergeCell ref="A1:H1"/>
    <mergeCell ref="A2:H2"/>
    <mergeCell ref="J4:M4"/>
    <mergeCell ref="G3:H3"/>
  </mergeCells>
  <pageMargins left="0" right="0" top="0" bottom="0" header="0.31496062992126" footer="0.31496062992126"/>
  <pageSetup paperSize="9" scale="66" orientation="portrait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H146"/>
  <sheetViews>
    <sheetView showGridLines="0" workbookViewId="0">
      <pane ySplit="4" topLeftCell="A122" activePane="bottomLeft" state="frozen"/>
      <selection pane="bottomLeft" activeCell="D122" sqref="D122"/>
    </sheetView>
  </sheetViews>
  <sheetFormatPr defaultRowHeight="14.4" x14ac:dyDescent="0.3"/>
  <cols>
    <col min="1" max="1" width="12.109375" customWidth="1"/>
    <col min="2" max="2" width="15.88671875" customWidth="1"/>
    <col min="3" max="3" width="12.33203125" customWidth="1"/>
    <col min="4" max="4" width="25.6640625" customWidth="1"/>
    <col min="5" max="5" width="34.109375" customWidth="1"/>
    <col min="6" max="7" width="11.6640625" customWidth="1"/>
  </cols>
  <sheetData>
    <row r="1" spans="1:7" ht="24.9" customHeight="1" x14ac:dyDescent="0.35">
      <c r="A1" s="453" t="str">
        <f>'Cash Book'!A1:H1</f>
        <v>LEAD GENERATION CO.,LTD</v>
      </c>
      <c r="B1" s="453"/>
      <c r="C1" s="453"/>
      <c r="D1" s="453"/>
      <c r="E1" s="453"/>
      <c r="F1" s="453"/>
      <c r="G1" s="453"/>
    </row>
    <row r="2" spans="1:7" ht="24.9" customHeight="1" x14ac:dyDescent="0.3">
      <c r="A2" s="454" t="s">
        <v>92</v>
      </c>
      <c r="B2" s="454"/>
      <c r="C2" s="454"/>
      <c r="D2" s="454"/>
      <c r="E2" s="454"/>
      <c r="F2" s="454"/>
      <c r="G2" s="454"/>
    </row>
    <row r="3" spans="1:7" ht="15" thickBot="1" x14ac:dyDescent="0.35">
      <c r="F3" s="455" t="str">
        <f>'Cash Book'!G3</f>
        <v>For 1-06-2015 to 31-05-2016</v>
      </c>
      <c r="G3" s="455"/>
    </row>
    <row r="4" spans="1:7" ht="33" customHeight="1" thickBot="1" x14ac:dyDescent="0.35">
      <c r="A4" s="24" t="s">
        <v>61</v>
      </c>
      <c r="B4" s="25" t="s">
        <v>62</v>
      </c>
      <c r="C4" s="25" t="s">
        <v>63</v>
      </c>
      <c r="D4" s="25" t="s">
        <v>64</v>
      </c>
      <c r="E4" s="25" t="s">
        <v>65</v>
      </c>
      <c r="F4" s="26" t="s">
        <v>71</v>
      </c>
      <c r="G4" s="27" t="s">
        <v>72</v>
      </c>
    </row>
    <row r="5" spans="1:7" ht="30" customHeight="1" x14ac:dyDescent="0.3">
      <c r="A5" s="28"/>
      <c r="B5" s="29"/>
      <c r="C5" s="30"/>
      <c r="D5" s="31"/>
      <c r="E5" s="31"/>
      <c r="F5" s="270"/>
      <c r="G5" s="271"/>
    </row>
    <row r="6" spans="1:7" ht="30" customHeight="1" x14ac:dyDescent="0.3">
      <c r="A6" s="28" t="str">
        <f>'Cash Book'!A6</f>
        <v>08-02-2016</v>
      </c>
      <c r="B6" s="29" t="str">
        <f>'Cash Book'!B6</f>
        <v>RO2001</v>
      </c>
      <c r="C6" s="30">
        <f>'Cash Book'!C6</f>
        <v>401402</v>
      </c>
      <c r="D6" s="31" t="str">
        <f>'Cash Book'!D6</f>
        <v>Exchange A/C</v>
      </c>
      <c r="E6" s="31" t="str">
        <f>'Cash Book'!E6</f>
        <v>Sales USD 1,100 x 1,225 ks</v>
      </c>
      <c r="F6" s="270">
        <f>'Cash Book'!G6</f>
        <v>0</v>
      </c>
      <c r="G6" s="271">
        <f>'Cash Book'!F6</f>
        <v>1347500</v>
      </c>
    </row>
    <row r="7" spans="1:7" ht="30" customHeight="1" x14ac:dyDescent="0.3">
      <c r="A7" s="28" t="str">
        <f>'Cash Book'!A7</f>
        <v>08-02-2016</v>
      </c>
      <c r="B7" s="29" t="str">
        <f>'Cash Book'!B7</f>
        <v>USDPO2001</v>
      </c>
      <c r="C7" s="30">
        <f>'Cash Book'!C7</f>
        <v>612105</v>
      </c>
      <c r="D7" s="31" t="str">
        <f>'Cash Book'!D7</f>
        <v>General Expenses</v>
      </c>
      <c r="E7" s="31" t="str">
        <f>'Cash Book'!E7</f>
        <v>For NPT Meeting Expenses</v>
      </c>
      <c r="F7" s="270">
        <f>'Cash Book'!G7</f>
        <v>1347500</v>
      </c>
      <c r="G7" s="271">
        <f>'Cash Book'!F7</f>
        <v>0</v>
      </c>
    </row>
    <row r="8" spans="1:7" ht="30" customHeight="1" x14ac:dyDescent="0.3">
      <c r="A8" s="28" t="str">
        <f>'Cash Book'!A8</f>
        <v>10-02-2016</v>
      </c>
      <c r="B8" s="29" t="str">
        <f>'Cash Book'!B8</f>
        <v>RO2-002</v>
      </c>
      <c r="C8" s="30">
        <f>'Cash Book'!C8</f>
        <v>612105</v>
      </c>
      <c r="D8" s="31" t="str">
        <f>'Cash Book'!D8</f>
        <v>General Expenses</v>
      </c>
      <c r="E8" s="31" t="str">
        <f>'Cash Book'!E8</f>
        <v>Refund money from NPT Meeting</v>
      </c>
      <c r="F8" s="270">
        <f>'Cash Book'!G8</f>
        <v>0</v>
      </c>
      <c r="G8" s="271">
        <f>'Cash Book'!F8</f>
        <v>100</v>
      </c>
    </row>
    <row r="9" spans="1:7" ht="30" customHeight="1" x14ac:dyDescent="0.3">
      <c r="A9" s="28" t="str">
        <f>'Cash Book'!A9</f>
        <v>19-02-2016</v>
      </c>
      <c r="B9" s="29" t="str">
        <f>'Cash Book'!B9</f>
        <v>RO2003</v>
      </c>
      <c r="C9" s="30">
        <f>'Cash Book'!C9</f>
        <v>111201</v>
      </c>
      <c r="D9" s="31" t="str">
        <f>'Cash Book'!D9</f>
        <v>Cash at Bank ( CB-Kyats )</v>
      </c>
      <c r="E9" s="31" t="str">
        <f>'Cash Book'!E9</f>
        <v>Transfer from Bank A/C</v>
      </c>
      <c r="F9" s="270">
        <f>'Cash Book'!G9</f>
        <v>0</v>
      </c>
      <c r="G9" s="271">
        <f>'Cash Book'!F9</f>
        <v>200000</v>
      </c>
    </row>
    <row r="10" spans="1:7" ht="30" customHeight="1" x14ac:dyDescent="0.3">
      <c r="A10" s="28" t="str">
        <f>'Cash Book'!A10</f>
        <v>23-02-2016</v>
      </c>
      <c r="B10" s="29" t="str">
        <f>'Cash Book'!B10</f>
        <v>RO2004</v>
      </c>
      <c r="C10" s="30">
        <f>'Cash Book'!C10</f>
        <v>401402</v>
      </c>
      <c r="D10" s="31" t="str">
        <f>'Cash Book'!D10</f>
        <v>Exchange A/C</v>
      </c>
      <c r="E10" s="31" t="str">
        <f>'Cash Book'!E10</f>
        <v>Sales USD 100 x 1,240 ks</v>
      </c>
      <c r="F10" s="270">
        <f>'Cash Book'!G10</f>
        <v>0</v>
      </c>
      <c r="G10" s="271">
        <f>'Cash Book'!F10</f>
        <v>124000</v>
      </c>
    </row>
    <row r="11" spans="1:7" ht="30" customHeight="1" x14ac:dyDescent="0.3">
      <c r="A11" s="28" t="str">
        <f>'Cash Book'!A11</f>
        <v>24-02-2016</v>
      </c>
      <c r="B11" s="29" t="str">
        <f>'Cash Book'!B11</f>
        <v>RO2005</v>
      </c>
      <c r="C11" s="30">
        <f>'Cash Book'!C11</f>
        <v>111201</v>
      </c>
      <c r="D11" s="31" t="str">
        <f>'Cash Book'!D11</f>
        <v>Cash at Bank ( CB-Kyats )</v>
      </c>
      <c r="E11" s="31" t="str">
        <f>'Cash Book'!E11</f>
        <v>Transfer from Bank A/C</v>
      </c>
      <c r="F11" s="270">
        <f>'Cash Book'!G11</f>
        <v>0</v>
      </c>
      <c r="G11" s="271">
        <f>'Cash Book'!F11</f>
        <v>185400</v>
      </c>
    </row>
    <row r="12" spans="1:7" ht="30" customHeight="1" x14ac:dyDescent="0.3">
      <c r="A12" s="28" t="str">
        <f>'Cash Book'!A12</f>
        <v>08-02-2016</v>
      </c>
      <c r="B12" s="29" t="str">
        <f>'Cash Book'!B12</f>
        <v>RO2001</v>
      </c>
      <c r="C12" s="30">
        <f>'Cash Book'!C12</f>
        <v>612104</v>
      </c>
      <c r="D12" s="31" t="str">
        <f>'Cash Book'!D12</f>
        <v>Travelling Expenses</v>
      </c>
      <c r="E12" s="31" t="str">
        <f>'Cash Book'!E12</f>
        <v>Airticket Charges to NPT</v>
      </c>
      <c r="F12" s="270">
        <f>'Cash Book'!G12</f>
        <v>1248000</v>
      </c>
      <c r="G12" s="271">
        <f>'Cash Book'!F12</f>
        <v>0</v>
      </c>
    </row>
    <row r="13" spans="1:7" ht="30" customHeight="1" x14ac:dyDescent="0.3">
      <c r="A13" s="28" t="str">
        <f>'Cash Book'!A13</f>
        <v>08-02-2016</v>
      </c>
      <c r="B13" s="29" t="str">
        <f>'Cash Book'!B13</f>
        <v>PO2002</v>
      </c>
      <c r="C13" s="30">
        <f>'Cash Book'!C13</f>
        <v>111301</v>
      </c>
      <c r="D13" s="31" t="str">
        <f>'Cash Book'!D13</f>
        <v>Prepaid ( Office Staff )</v>
      </c>
      <c r="E13" s="31" t="str">
        <f>'Cash Book'!E13</f>
        <v>Adv for FRD Meeting in NPT by Mr Rinat</v>
      </c>
      <c r="F13" s="270">
        <f>'Cash Book'!G13</f>
        <v>99500</v>
      </c>
      <c r="G13" s="271">
        <f>'Cash Book'!F13</f>
        <v>0</v>
      </c>
    </row>
    <row r="14" spans="1:7" ht="30" customHeight="1" x14ac:dyDescent="0.3">
      <c r="A14" s="28" t="str">
        <f>'Cash Book'!A14</f>
        <v>23-02-2016</v>
      </c>
      <c r="B14" s="29" t="str">
        <f>'Cash Book'!B14</f>
        <v>PO2003</v>
      </c>
      <c r="C14" s="30">
        <f>'Cash Book'!C14</f>
        <v>111301</v>
      </c>
      <c r="D14" s="31" t="str">
        <f>'Cash Book'!D14</f>
        <v>Prepaid ( Office Staff )</v>
      </c>
      <c r="E14" s="31" t="str">
        <f>'Cash Book'!E14</f>
        <v>Adv for FRD Meeting in NPT by Mr Grave</v>
      </c>
      <c r="F14" s="270">
        <f>'Cash Book'!G14</f>
        <v>200000</v>
      </c>
      <c r="G14" s="271">
        <f>'Cash Book'!F14</f>
        <v>0</v>
      </c>
    </row>
    <row r="15" spans="1:7" ht="30" customHeight="1" x14ac:dyDescent="0.3">
      <c r="A15" s="28" t="str">
        <f>'Cash Book'!A15</f>
        <v>23-02-2016</v>
      </c>
      <c r="B15" s="29" t="str">
        <f>'Cash Book'!B15</f>
        <v>PO2004</v>
      </c>
      <c r="C15" s="30">
        <f>'Cash Book'!C15</f>
        <v>612115</v>
      </c>
      <c r="D15" s="31" t="str">
        <f>'Cash Book'!D15</f>
        <v>Entertainment</v>
      </c>
      <c r="E15" s="31" t="str">
        <f>'Cash Book'!E15</f>
        <v>Expenses for Meeting</v>
      </c>
      <c r="F15" s="270">
        <f>'Cash Book'!G15</f>
        <v>51165</v>
      </c>
      <c r="G15" s="271">
        <f>'Cash Book'!F15</f>
        <v>0</v>
      </c>
    </row>
    <row r="16" spans="1:7" ht="30" customHeight="1" x14ac:dyDescent="0.3">
      <c r="A16" s="28" t="str">
        <f>'Cash Book'!A16</f>
        <v>23-02-2016</v>
      </c>
      <c r="B16" s="29" t="str">
        <f>'Cash Book'!B16</f>
        <v>PO2005</v>
      </c>
      <c r="C16" s="30">
        <f>'Cash Book'!C16</f>
        <v>612104</v>
      </c>
      <c r="D16" s="31" t="str">
        <f>'Cash Book'!D16</f>
        <v>Travelling Expenses</v>
      </c>
      <c r="E16" s="31" t="str">
        <f>'Cash Book'!E16</f>
        <v>Taxi Fees ( 17-02-2016 to 19-02-2016 )</v>
      </c>
      <c r="F16" s="270">
        <f>'Cash Book'!G16</f>
        <v>4500</v>
      </c>
      <c r="G16" s="271">
        <f>'Cash Book'!F16</f>
        <v>0</v>
      </c>
    </row>
    <row r="17" spans="1:8" ht="30" customHeight="1" x14ac:dyDescent="0.3">
      <c r="A17" s="28" t="str">
        <f>'Cash Book'!A17</f>
        <v>23-02-2016</v>
      </c>
      <c r="B17" s="29" t="str">
        <f>'Cash Book'!B17</f>
        <v>PO2006</v>
      </c>
      <c r="C17" s="30">
        <f>'Cash Book'!C17</f>
        <v>612104</v>
      </c>
      <c r="D17" s="31" t="str">
        <f>'Cash Book'!D17</f>
        <v>Travelling Expenses</v>
      </c>
      <c r="E17" s="31" t="str">
        <f>'Cash Book'!E17</f>
        <v>Taxi Fees ( Bar Street to Ahlone Home ST )</v>
      </c>
      <c r="F17" s="270">
        <f>'Cash Book'!G17</f>
        <v>4000</v>
      </c>
      <c r="G17" s="271">
        <f>'Cash Book'!F17</f>
        <v>0</v>
      </c>
    </row>
    <row r="18" spans="1:8" ht="30" customHeight="1" x14ac:dyDescent="0.3">
      <c r="A18" s="28" t="str">
        <f>'Cash Book'!A19</f>
        <v>24-02-2016</v>
      </c>
      <c r="B18" s="29" t="str">
        <f>'Cash Book'!B19</f>
        <v>PO2008</v>
      </c>
      <c r="C18" s="30">
        <f>'Cash Book'!C19</f>
        <v>612105</v>
      </c>
      <c r="D18" s="31" t="str">
        <f>'Cash Book'!D19</f>
        <v>General Expenses</v>
      </c>
      <c r="E18" s="31" t="str">
        <f>'Cash Book'!E19</f>
        <v>Notary Translaction Expenses</v>
      </c>
      <c r="F18" s="270">
        <f>'Cash Book'!G19</f>
        <v>5000</v>
      </c>
      <c r="G18" s="271">
        <f>'Cash Book'!F19</f>
        <v>0</v>
      </c>
      <c r="H18" s="247"/>
    </row>
    <row r="19" spans="1:8" ht="30" customHeight="1" x14ac:dyDescent="0.3">
      <c r="A19" s="28" t="str">
        <f>'Cash Book'!A20</f>
        <v>24-02-2016</v>
      </c>
      <c r="B19" s="29" t="str">
        <f>'Cash Book'!B20</f>
        <v>PO2009</v>
      </c>
      <c r="C19" s="30">
        <f>'Cash Book'!C20</f>
        <v>612105</v>
      </c>
      <c r="D19" s="31" t="str">
        <f>'Cash Book'!D20</f>
        <v>General Expenses</v>
      </c>
      <c r="E19" s="31" t="str">
        <f>'Cash Book'!E20</f>
        <v>Notary Translaction Expenses</v>
      </c>
      <c r="F19" s="270">
        <f>'Cash Book'!G20</f>
        <v>18000</v>
      </c>
      <c r="G19" s="271">
        <f>'Cash Book'!F20</f>
        <v>0</v>
      </c>
    </row>
    <row r="20" spans="1:8" ht="30" customHeight="1" x14ac:dyDescent="0.3">
      <c r="A20" s="28" t="str">
        <f>'Cash Book'!A21</f>
        <v>24-02-2016</v>
      </c>
      <c r="B20" s="29" t="str">
        <f>'Cash Book'!B21</f>
        <v>PO2010</v>
      </c>
      <c r="C20" s="30">
        <f>'Cash Book'!C21</f>
        <v>612104</v>
      </c>
      <c r="D20" s="31" t="str">
        <f>'Cash Book'!D21</f>
        <v>Travelling Expenses</v>
      </c>
      <c r="E20" s="31" t="str">
        <f>'Cash Book'!E21</f>
        <v>Taxi Fees ( For Office Rent )</v>
      </c>
      <c r="F20" s="270">
        <f>'Cash Book'!G21</f>
        <v>5000</v>
      </c>
      <c r="G20" s="271">
        <f>'Cash Book'!F21</f>
        <v>0</v>
      </c>
    </row>
    <row r="21" spans="1:8" ht="30" customHeight="1" x14ac:dyDescent="0.3">
      <c r="A21" s="28" t="str">
        <f>'Cash Book'!A23</f>
        <v>24-02-2016</v>
      </c>
      <c r="B21" s="29" t="str">
        <f>'Cash Book'!B23</f>
        <v>PO2012</v>
      </c>
      <c r="C21" s="30">
        <f>'Cash Book'!C23</f>
        <v>612104</v>
      </c>
      <c r="D21" s="31" t="str">
        <f>'Cash Book'!D23</f>
        <v>Travelling Expenses</v>
      </c>
      <c r="E21" s="31" t="str">
        <f>'Cash Book'!E23</f>
        <v>Taxi Fees ( Going to CB Bank )</v>
      </c>
      <c r="F21" s="270">
        <f>'Cash Book'!G23</f>
        <v>1500</v>
      </c>
      <c r="G21" s="271">
        <f>'Cash Book'!F23</f>
        <v>0</v>
      </c>
    </row>
    <row r="22" spans="1:8" ht="30" customHeight="1" x14ac:dyDescent="0.3">
      <c r="A22" s="28" t="str">
        <f>'Cash Book'!A24</f>
        <v>26-02-2016</v>
      </c>
      <c r="B22" s="29" t="str">
        <f>'Cash Book'!B24</f>
        <v>PO2013</v>
      </c>
      <c r="C22" s="30">
        <f>'Cash Book'!C24</f>
        <v>612104</v>
      </c>
      <c r="D22" s="31" t="str">
        <f>'Cash Book'!D24</f>
        <v>Travelling Expenses</v>
      </c>
      <c r="E22" s="31" t="str">
        <f>'Cash Book'!E24</f>
        <v>Taxi Fees ( Going to Junction Square )</v>
      </c>
      <c r="F22" s="270">
        <f>'Cash Book'!G24</f>
        <v>5000</v>
      </c>
      <c r="G22" s="271">
        <f>'Cash Book'!F24</f>
        <v>0</v>
      </c>
    </row>
    <row r="23" spans="1:8" ht="30" customHeight="1" x14ac:dyDescent="0.3">
      <c r="A23" s="28" t="str">
        <f>'Cash Book'!A25</f>
        <v>29-02-2016</v>
      </c>
      <c r="B23" s="29" t="str">
        <f>'Cash Book'!B25</f>
        <v>PO2014</v>
      </c>
      <c r="C23" s="30">
        <f>'Cash Book'!C25</f>
        <v>612104</v>
      </c>
      <c r="D23" s="31" t="str">
        <f>'Cash Book'!D25</f>
        <v>Travelling Expenses</v>
      </c>
      <c r="E23" s="31" t="str">
        <f>'Cash Book'!E25</f>
        <v>Taxi Fees ( Paid for Nominee )</v>
      </c>
      <c r="F23" s="270">
        <f>'Cash Book'!G25</f>
        <v>8000</v>
      </c>
      <c r="G23" s="271">
        <f>'Cash Book'!F25</f>
        <v>0</v>
      </c>
    </row>
    <row r="24" spans="1:8" ht="30" customHeight="1" x14ac:dyDescent="0.3">
      <c r="A24" s="28" t="str">
        <f>'Cash Book'!A26</f>
        <v>29-02-2016</v>
      </c>
      <c r="B24" s="29" t="str">
        <f>'Cash Book'!B26</f>
        <v>PO216</v>
      </c>
      <c r="C24" s="30">
        <f>'Cash Book'!C26</f>
        <v>612104</v>
      </c>
      <c r="D24" s="31" t="str">
        <f>'Cash Book'!D26</f>
        <v>Travelling Expenses</v>
      </c>
      <c r="E24" s="31" t="str">
        <f>'Cash Book'!E26</f>
        <v>Taxi Fees ( Going to IRD and SSB Office )</v>
      </c>
      <c r="F24" s="270">
        <f>'Cash Book'!G26</f>
        <v>12000</v>
      </c>
      <c r="G24" s="271">
        <f>'Cash Book'!F26</f>
        <v>0</v>
      </c>
    </row>
    <row r="25" spans="1:8" ht="30" customHeight="1" x14ac:dyDescent="0.3">
      <c r="A25" s="28" t="str">
        <f>'Cash Book'!A27</f>
        <v>03-03-2016</v>
      </c>
      <c r="B25" s="29" t="str">
        <f>'Cash Book'!B27</f>
        <v>BK03</v>
      </c>
      <c r="C25" s="30">
        <f>'Cash Book'!C27</f>
        <v>401402</v>
      </c>
      <c r="D25" s="31" t="str">
        <f>'Cash Book'!D27</f>
        <v>Exchange A/C</v>
      </c>
      <c r="E25" s="31" t="str">
        <f>'Cash Book'!E27</f>
        <v>Transfer from Bank A/C to computer purchased ( $850 x 1225 ks )</v>
      </c>
      <c r="F25" s="270">
        <f>'Cash Book'!G27</f>
        <v>0</v>
      </c>
      <c r="G25" s="271">
        <f>'Cash Book'!F27</f>
        <v>1041250</v>
      </c>
    </row>
    <row r="26" spans="1:8" ht="30" customHeight="1" x14ac:dyDescent="0.3">
      <c r="A26" s="28" t="str">
        <f>'Cash Book'!A28</f>
        <v>16-03-2016</v>
      </c>
      <c r="B26" s="29" t="str">
        <f>'Cash Book'!B28</f>
        <v>BK03</v>
      </c>
      <c r="C26" s="30">
        <f>'Cash Book'!C28</f>
        <v>401402</v>
      </c>
      <c r="D26" s="31" t="str">
        <f>'Cash Book'!D28</f>
        <v>Exchange A/C</v>
      </c>
      <c r="E26" s="31" t="str">
        <f>'Cash Book'!E28</f>
        <v>Transfer from Bank A/C to keier Payment ( $3160 x 1215 ks )</v>
      </c>
      <c r="F26" s="270">
        <f>'Cash Book'!G28</f>
        <v>0</v>
      </c>
      <c r="G26" s="271">
        <f>'Cash Book'!F28</f>
        <v>3839400</v>
      </c>
    </row>
    <row r="27" spans="1:8" ht="30" customHeight="1" x14ac:dyDescent="0.3">
      <c r="A27" s="28" t="str">
        <f>'Cash Book'!A29</f>
        <v>24-03-2016</v>
      </c>
      <c r="B27" s="29" t="str">
        <f>'Cash Book'!B29</f>
        <v>BK03</v>
      </c>
      <c r="C27" s="30">
        <f>'Cash Book'!C29</f>
        <v>401402</v>
      </c>
      <c r="D27" s="31" t="str">
        <f>'Cash Book'!D29</f>
        <v>Exchange A/C</v>
      </c>
      <c r="E27" s="31" t="str">
        <f>'Cash Book'!E29</f>
        <v>Transfer from Bank A/C to Computer Purchased ( $ 1,450 x 1214 ks )</v>
      </c>
      <c r="F27" s="270">
        <f>'Cash Book'!G29</f>
        <v>0</v>
      </c>
      <c r="G27" s="271">
        <f>'Cash Book'!F29</f>
        <v>1760300</v>
      </c>
    </row>
    <row r="28" spans="1:8" ht="30" customHeight="1" x14ac:dyDescent="0.3">
      <c r="A28" s="28" t="str">
        <f>'Cash Book'!A30</f>
        <v>30-03-2016</v>
      </c>
      <c r="B28" s="29" t="str">
        <f>'Cash Book'!B30</f>
        <v>BK03</v>
      </c>
      <c r="C28" s="30">
        <f>'Cash Book'!C30</f>
        <v>401402</v>
      </c>
      <c r="D28" s="31" t="str">
        <f>'Cash Book'!D30</f>
        <v>Exchange A/C</v>
      </c>
      <c r="E28" s="31" t="str">
        <f>'Cash Book'!E30</f>
        <v>Transfer from Bank A/C ( $ 300 x 1212 ks )</v>
      </c>
      <c r="F28" s="270">
        <f>'Cash Book'!G30</f>
        <v>0</v>
      </c>
      <c r="G28" s="271">
        <f>'Cash Book'!F30</f>
        <v>363600</v>
      </c>
    </row>
    <row r="29" spans="1:8" ht="30" customHeight="1" x14ac:dyDescent="0.3">
      <c r="A29" s="28" t="str">
        <f>'Cash Book'!A31</f>
        <v>31-03-2016</v>
      </c>
      <c r="B29" s="29" t="str">
        <f>'Cash Book'!B31</f>
        <v>BKRO3</v>
      </c>
      <c r="C29" s="30">
        <f>'Cash Book'!C31</f>
        <v>401402</v>
      </c>
      <c r="D29" s="31" t="str">
        <f>'Cash Book'!D31</f>
        <v>Exchange A/C</v>
      </c>
      <c r="E29" s="31" t="str">
        <f>'Cash Book'!E31</f>
        <v>Transfer from Bank A/C ( $ 13,390 x 1206 ks )</v>
      </c>
      <c r="F29" s="270">
        <f>'Cash Book'!G31</f>
        <v>0</v>
      </c>
      <c r="G29" s="271">
        <f>'Cash Book'!F31</f>
        <v>16148340</v>
      </c>
    </row>
    <row r="30" spans="1:8" ht="30" customHeight="1" x14ac:dyDescent="0.3">
      <c r="A30" s="28" t="str">
        <f>'Cash Book'!A32</f>
        <v>14-03-2016</v>
      </c>
      <c r="B30" s="29" t="str">
        <f>'Cash Book'!B32</f>
        <v>RO3003</v>
      </c>
      <c r="C30" s="30">
        <f>'Cash Book'!C32</f>
        <v>401402</v>
      </c>
      <c r="D30" s="31" t="str">
        <f>'Cash Book'!D32</f>
        <v>Exchange A/C</v>
      </c>
      <c r="E30" s="31" t="str">
        <f>'Cash Book'!E32</f>
        <v>Transfer from USD A/C ( $ 100 X 1,205 KS )</v>
      </c>
      <c r="F30" s="270">
        <f>'Cash Book'!G32</f>
        <v>0</v>
      </c>
      <c r="G30" s="271">
        <f>'Cash Book'!F32</f>
        <v>120500</v>
      </c>
    </row>
    <row r="31" spans="1:8" ht="30" customHeight="1" x14ac:dyDescent="0.3">
      <c r="A31" s="28" t="str">
        <f>'Cash Book'!A33</f>
        <v>21-03-2016</v>
      </c>
      <c r="B31" s="29" t="str">
        <f>'Cash Book'!B33</f>
        <v>RO3008</v>
      </c>
      <c r="C31" s="30">
        <f>'Cash Book'!C33</f>
        <v>401402</v>
      </c>
      <c r="D31" s="31" t="str">
        <f>'Cash Book'!D33</f>
        <v>Exchange A/C</v>
      </c>
      <c r="E31" s="31" t="str">
        <f>'Cash Book'!E33</f>
        <v>Transfer from USD A/C ( $ 100 X 1,205 KS )</v>
      </c>
      <c r="F31" s="270">
        <f>'Cash Book'!G33</f>
        <v>0</v>
      </c>
      <c r="G31" s="271">
        <f>'Cash Book'!F33</f>
        <v>120500</v>
      </c>
    </row>
    <row r="32" spans="1:8" ht="30" customHeight="1" x14ac:dyDescent="0.3">
      <c r="A32" s="28" t="str">
        <f>'Cash Book'!A34</f>
        <v>22-03-2016</v>
      </c>
      <c r="B32" s="29" t="str">
        <f>'Cash Book'!B34</f>
        <v>RO3010</v>
      </c>
      <c r="C32" s="30">
        <f>'Cash Book'!C34</f>
        <v>401402</v>
      </c>
      <c r="D32" s="31" t="str">
        <f>'Cash Book'!D34</f>
        <v>Exchange A/C</v>
      </c>
      <c r="E32" s="31" t="str">
        <f>'Cash Book'!E34</f>
        <v>Transfer from USD A/C ( $ 25 X 1,195 KS )</v>
      </c>
      <c r="F32" s="270">
        <f>'Cash Book'!G34</f>
        <v>0</v>
      </c>
      <c r="G32" s="271">
        <f>'Cash Book'!F34</f>
        <v>29875</v>
      </c>
    </row>
    <row r="33" spans="1:8" ht="30" customHeight="1" x14ac:dyDescent="0.3">
      <c r="A33" s="28" t="str">
        <f>'Cash Book'!A35</f>
        <v>03-03-2016</v>
      </c>
      <c r="B33" s="29" t="str">
        <f>'Cash Book'!B35</f>
        <v>PO3001</v>
      </c>
      <c r="C33" s="30">
        <f>'Cash Book'!C35</f>
        <v>612107</v>
      </c>
      <c r="D33" s="31" t="str">
        <f>'Cash Book'!D35</f>
        <v xml:space="preserve">Other Fees and Charges </v>
      </c>
      <c r="E33" s="31" t="str">
        <f>'Cash Book'!E35</f>
        <v>Notary Translaction Expenses</v>
      </c>
      <c r="F33" s="270">
        <f>'Cash Book'!G35</f>
        <v>5500</v>
      </c>
      <c r="G33" s="271">
        <f>'Cash Book'!F35</f>
        <v>0</v>
      </c>
    </row>
    <row r="34" spans="1:8" ht="30" customHeight="1" x14ac:dyDescent="0.3">
      <c r="A34" s="28" t="str">
        <f>'Cash Book'!A36</f>
        <v>04-03-2016</v>
      </c>
      <c r="B34" s="29" t="str">
        <f>'Cash Book'!B36</f>
        <v>PO3002</v>
      </c>
      <c r="C34" s="30">
        <f>'Cash Book'!C36</f>
        <v>612107</v>
      </c>
      <c r="D34" s="31" t="str">
        <f>'Cash Book'!D36</f>
        <v xml:space="preserve">Other Fees and Charges </v>
      </c>
      <c r="E34" s="31" t="str">
        <f>'Cash Book'!E36</f>
        <v>Notary Translaction Expenses</v>
      </c>
      <c r="F34" s="270">
        <f>'Cash Book'!G36</f>
        <v>5000</v>
      </c>
      <c r="G34" s="271">
        <f>'Cash Book'!F36</f>
        <v>0</v>
      </c>
      <c r="H34" s="247" t="s">
        <v>160</v>
      </c>
    </row>
    <row r="35" spans="1:8" ht="30" customHeight="1" x14ac:dyDescent="0.3">
      <c r="A35" s="28" t="str">
        <f>'Cash Book'!A37</f>
        <v>04-03-2016</v>
      </c>
      <c r="B35" s="29" t="str">
        <f>'Cash Book'!B37</f>
        <v>PO3003</v>
      </c>
      <c r="C35" s="30">
        <f>'Cash Book'!C37</f>
        <v>111301</v>
      </c>
      <c r="D35" s="31" t="str">
        <f>'Cash Book'!D37</f>
        <v>Prepaid ( Office Staff )</v>
      </c>
      <c r="E35" s="31" t="str">
        <f>'Cash Book'!E37</f>
        <v>Adv to Paing Htet Aung ( for DHL Charges )</v>
      </c>
      <c r="F35" s="270">
        <f>'Cash Book'!G37</f>
        <v>75000</v>
      </c>
      <c r="G35" s="271">
        <f>'Cash Book'!F37</f>
        <v>0</v>
      </c>
    </row>
    <row r="36" spans="1:8" ht="30" customHeight="1" x14ac:dyDescent="0.3">
      <c r="A36" s="28" t="str">
        <f>'Cash Book'!A38</f>
        <v>08-03-2016</v>
      </c>
      <c r="B36" s="29" t="str">
        <f>'Cash Book'!B38</f>
        <v>PO3004</v>
      </c>
      <c r="C36" s="30">
        <f>'Cash Book'!C38</f>
        <v>612105</v>
      </c>
      <c r="D36" s="31" t="str">
        <f>'Cash Book'!D38</f>
        <v>General Expenses</v>
      </c>
      <c r="E36" s="31" t="str">
        <f>'Cash Book'!E38</f>
        <v>CD Installation Charges</v>
      </c>
      <c r="F36" s="270">
        <f>'Cash Book'!G38</f>
        <v>6000</v>
      </c>
      <c r="G36" s="271">
        <f>'Cash Book'!F38</f>
        <v>0</v>
      </c>
    </row>
    <row r="37" spans="1:8" ht="30" customHeight="1" x14ac:dyDescent="0.3">
      <c r="A37" s="28" t="str">
        <f>'Cash Book'!A39</f>
        <v>09-03-2016</v>
      </c>
      <c r="B37" s="29" t="str">
        <f>'Cash Book'!B39</f>
        <v>PO3005</v>
      </c>
      <c r="C37" s="30">
        <f>'Cash Book'!C39</f>
        <v>612113</v>
      </c>
      <c r="D37" s="31" t="str">
        <f>'Cash Book'!D39</f>
        <v>Office Supply Consumable</v>
      </c>
      <c r="E37" s="31" t="str">
        <f>'Cash Book'!E39</f>
        <v>Meeting Expenses with Hay Man Capital</v>
      </c>
      <c r="F37" s="270">
        <f>'Cash Book'!G39</f>
        <v>128700</v>
      </c>
      <c r="G37" s="271">
        <f>'Cash Book'!F39</f>
        <v>0</v>
      </c>
    </row>
    <row r="38" spans="1:8" ht="30" customHeight="1" x14ac:dyDescent="0.3">
      <c r="A38" s="28" t="str">
        <f>'Cash Book'!A40</f>
        <v>09-03-2016</v>
      </c>
      <c r="B38" s="29" t="str">
        <f>'Cash Book'!B40</f>
        <v>PO3006</v>
      </c>
      <c r="C38" s="30">
        <f>'Cash Book'!C40</f>
        <v>612104</v>
      </c>
      <c r="D38" s="31" t="str">
        <f>'Cash Book'!D40</f>
        <v>Travelling Expenses</v>
      </c>
      <c r="E38" s="31" t="str">
        <f>'Cash Book'!E40</f>
        <v>Taxi Fees to MICT Park Office</v>
      </c>
      <c r="F38" s="270">
        <f>'Cash Book'!G40</f>
        <v>14000</v>
      </c>
      <c r="G38" s="271">
        <f>'Cash Book'!F40</f>
        <v>0</v>
      </c>
    </row>
    <row r="39" spans="1:8" ht="30" customHeight="1" x14ac:dyDescent="0.3">
      <c r="A39" s="28" t="str">
        <f>'Cash Book'!A41</f>
        <v>10-03-2016</v>
      </c>
      <c r="B39" s="29" t="str">
        <f>'Cash Book'!B41</f>
        <v>PO3007</v>
      </c>
      <c r="C39" s="30">
        <f>'Cash Book'!C41</f>
        <v>612104</v>
      </c>
      <c r="D39" s="31" t="str">
        <f>'Cash Book'!D41</f>
        <v>Travelling Expenses</v>
      </c>
      <c r="E39" s="31" t="str">
        <f>'Cash Book'!E41</f>
        <v>Taxi Fees for Office Location Checking</v>
      </c>
      <c r="F39" s="270">
        <f>'Cash Book'!G41</f>
        <v>3000</v>
      </c>
      <c r="G39" s="271">
        <f>'Cash Book'!F41</f>
        <v>0</v>
      </c>
    </row>
    <row r="40" spans="1:8" ht="30" customHeight="1" x14ac:dyDescent="0.3">
      <c r="A40" s="28" t="str">
        <f>'Cash Book'!A42</f>
        <v>11-03-2016</v>
      </c>
      <c r="B40" s="29" t="str">
        <f>'Cash Book'!B42</f>
        <v>PO3008</v>
      </c>
      <c r="C40" s="30">
        <f>'Cash Book'!C42</f>
        <v>612104</v>
      </c>
      <c r="D40" s="31" t="str">
        <f>'Cash Book'!D42</f>
        <v>Travelling Expenses</v>
      </c>
      <c r="E40" s="31" t="str">
        <f>'Cash Book'!E42</f>
        <v>Taxi Fees for Pawn Shop Nominee-Okkalapa</v>
      </c>
      <c r="F40" s="270">
        <f>'Cash Book'!G42</f>
        <v>8000</v>
      </c>
      <c r="G40" s="271">
        <f>'Cash Book'!F42</f>
        <v>0</v>
      </c>
    </row>
    <row r="41" spans="1:8" ht="30" customHeight="1" x14ac:dyDescent="0.3">
      <c r="A41" s="28" t="str">
        <f>'Cash Book'!A43</f>
        <v>11-03-2016</v>
      </c>
      <c r="B41" s="29" t="str">
        <f>'Cash Book'!B43</f>
        <v>PO3009</v>
      </c>
      <c r="C41" s="30">
        <f>'Cash Book'!C43</f>
        <v>612104</v>
      </c>
      <c r="D41" s="31" t="str">
        <f>'Cash Book'!D43</f>
        <v>Travelling Expenses</v>
      </c>
      <c r="E41" s="31" t="str">
        <f>'Cash Book'!E43</f>
        <v>Taxi Fees for BK Pencil Software Meeting</v>
      </c>
      <c r="F41" s="270">
        <f>'Cash Book'!G43</f>
        <v>4500</v>
      </c>
      <c r="G41" s="271">
        <f>'Cash Book'!F43</f>
        <v>0</v>
      </c>
    </row>
    <row r="42" spans="1:8" ht="30" customHeight="1" x14ac:dyDescent="0.3">
      <c r="A42" s="28" t="str">
        <f>'Cash Book'!A44</f>
        <v>14-03-2016</v>
      </c>
      <c r="B42" s="29" t="str">
        <f>'Cash Book'!B44</f>
        <v>PO3010</v>
      </c>
      <c r="C42" s="30">
        <f>'Cash Book'!C44</f>
        <v>612107</v>
      </c>
      <c r="D42" s="31" t="str">
        <f>'Cash Book'!D44</f>
        <v xml:space="preserve">Other Fees and Charges </v>
      </c>
      <c r="E42" s="31" t="str">
        <f>'Cash Book'!E44</f>
        <v>Installation Charges for Contract Agreement</v>
      </c>
      <c r="F42" s="270">
        <f>'Cash Book'!G44</f>
        <v>5000</v>
      </c>
      <c r="G42" s="271">
        <f>'Cash Book'!F44</f>
        <v>0</v>
      </c>
    </row>
    <row r="43" spans="1:8" ht="30" customHeight="1" x14ac:dyDescent="0.3">
      <c r="A43" s="28" t="str">
        <f>'Cash Book'!A45</f>
        <v>14-03-2016</v>
      </c>
      <c r="B43" s="29" t="str">
        <f>'Cash Book'!B45</f>
        <v>PO3011</v>
      </c>
      <c r="C43" s="30">
        <f>'Cash Book'!C45</f>
        <v>111301</v>
      </c>
      <c r="D43" s="31" t="str">
        <f>'Cash Book'!D45</f>
        <v>Prepaid ( Office Staff )</v>
      </c>
      <c r="E43" s="31" t="str">
        <f>'Cash Book'!E45</f>
        <v>Adv for Stationery Pur ( Mr Elizabeth C-Win )</v>
      </c>
      <c r="F43" s="270">
        <f>'Cash Book'!G45</f>
        <v>50000</v>
      </c>
      <c r="G43" s="271">
        <f>'Cash Book'!F45</f>
        <v>0</v>
      </c>
    </row>
    <row r="44" spans="1:8" ht="30" customHeight="1" x14ac:dyDescent="0.3">
      <c r="A44" s="28" t="str">
        <f>'Cash Book'!A46</f>
        <v>14-03-2016</v>
      </c>
      <c r="B44" s="29" t="str">
        <f>'Cash Book'!B46</f>
        <v>PO3012</v>
      </c>
      <c r="C44" s="30">
        <f>'Cash Book'!C46</f>
        <v>612104</v>
      </c>
      <c r="D44" s="31" t="str">
        <f>'Cash Book'!D46</f>
        <v>Travelling Expenses</v>
      </c>
      <c r="E44" s="31" t="str">
        <f>'Cash Book'!E46</f>
        <v>Taxi Fees for Nominee</v>
      </c>
      <c r="F44" s="270">
        <f>'Cash Book'!G46</f>
        <v>8000</v>
      </c>
      <c r="G44" s="271">
        <f>'Cash Book'!F46</f>
        <v>0</v>
      </c>
    </row>
    <row r="45" spans="1:8" ht="30" customHeight="1" x14ac:dyDescent="0.3">
      <c r="A45" s="28" t="str">
        <f>'Cash Book'!A47</f>
        <v>16-03-2016</v>
      </c>
      <c r="B45" s="29" t="str">
        <f>'Cash Book'!B47</f>
        <v>PO3017</v>
      </c>
      <c r="C45" s="30">
        <f>'Cash Book'!C47</f>
        <v>612108</v>
      </c>
      <c r="D45" s="31" t="str">
        <f>'Cash Book'!D47</f>
        <v>Communication Expenses</v>
      </c>
      <c r="E45" s="31" t="str">
        <f>'Cash Book'!E47</f>
        <v>Sim Card 3 Qty ( 1500 ks x 3 Pc )</v>
      </c>
      <c r="F45" s="270">
        <f>'Cash Book'!G47</f>
        <v>4500</v>
      </c>
      <c r="G45" s="271">
        <f>'Cash Book'!F47</f>
        <v>0</v>
      </c>
    </row>
    <row r="46" spans="1:8" ht="30" customHeight="1" x14ac:dyDescent="0.3">
      <c r="A46" s="28" t="str">
        <f>'Cash Book'!A48</f>
        <v>17-03-2016</v>
      </c>
      <c r="B46" s="29" t="str">
        <f>'Cash Book'!B48</f>
        <v>PO3014</v>
      </c>
      <c r="C46" s="30">
        <f>'Cash Book'!C48</f>
        <v>612121</v>
      </c>
      <c r="D46" s="31" t="str">
        <f>'Cash Book'!D48</f>
        <v>Courier Fees</v>
      </c>
      <c r="E46" s="31" t="str">
        <f>'Cash Book'!E48</f>
        <v>DHL Service Charges</v>
      </c>
      <c r="F46" s="270">
        <f>'Cash Book'!G48</f>
        <v>67000</v>
      </c>
      <c r="G46" s="271">
        <f>'Cash Book'!F48</f>
        <v>0</v>
      </c>
    </row>
    <row r="47" spans="1:8" ht="30" customHeight="1" x14ac:dyDescent="0.3">
      <c r="A47" s="28" t="str">
        <f>'Cash Book'!A49</f>
        <v>17-03-2016</v>
      </c>
      <c r="B47" s="29" t="str">
        <f>'Cash Book'!B49</f>
        <v>PO3015</v>
      </c>
      <c r="C47" s="30">
        <f>'Cash Book'!C49</f>
        <v>111301</v>
      </c>
      <c r="D47" s="31" t="str">
        <f>'Cash Book'!D49</f>
        <v>Prepaid ( Office Staff )</v>
      </c>
      <c r="E47" s="31" t="str">
        <f>'Cash Book'!E49</f>
        <v>Adv for Phone Hand Set and Accessories-IT Executive</v>
      </c>
      <c r="F47" s="270">
        <f>'Cash Book'!G49</f>
        <v>675000</v>
      </c>
      <c r="G47" s="271">
        <f>'Cash Book'!F49</f>
        <v>0</v>
      </c>
    </row>
    <row r="48" spans="1:8" ht="30" customHeight="1" x14ac:dyDescent="0.3">
      <c r="A48" s="28" t="str">
        <f>'Cash Book'!A50</f>
        <v>17-03-2016</v>
      </c>
      <c r="B48" s="29" t="str">
        <f>'Cash Book'!B50</f>
        <v>RO3006</v>
      </c>
      <c r="C48" s="30">
        <f>'Cash Book'!C50</f>
        <v>111301</v>
      </c>
      <c r="D48" s="31" t="str">
        <f>'Cash Book'!D50</f>
        <v>Prepaid ( Office Staff )</v>
      </c>
      <c r="E48" s="31" t="str">
        <f>'Cash Book'!E50</f>
        <v>Adv Claimed ( IT Executive )</v>
      </c>
      <c r="F48" s="270">
        <f>'Cash Book'!G50</f>
        <v>0</v>
      </c>
      <c r="G48" s="271">
        <f>'Cash Book'!F50</f>
        <v>42000</v>
      </c>
    </row>
    <row r="49" spans="1:8" ht="30" customHeight="1" x14ac:dyDescent="0.3">
      <c r="A49" s="28" t="str">
        <f>'Cash Book'!A51</f>
        <v>18-03-2016</v>
      </c>
      <c r="B49" s="29" t="str">
        <f>'Cash Book'!B51</f>
        <v>PO3016</v>
      </c>
      <c r="C49" s="30">
        <f>'Cash Book'!C51</f>
        <v>111301</v>
      </c>
      <c r="D49" s="31" t="str">
        <f>'Cash Book'!D51</f>
        <v>Prepaid ( Office Staff )</v>
      </c>
      <c r="E49" s="31" t="str">
        <f>'Cash Book'!E51</f>
        <v>Adv for Pawn Shop ( Ko Deno )</v>
      </c>
      <c r="F49" s="270">
        <f>'Cash Book'!G51</f>
        <v>1330950</v>
      </c>
      <c r="G49" s="271">
        <f>'Cash Book'!F51</f>
        <v>0</v>
      </c>
    </row>
    <row r="50" spans="1:8" ht="30" customHeight="1" x14ac:dyDescent="0.3">
      <c r="A50" s="28" t="str">
        <f>'Cash Book'!A52</f>
        <v>18-03-2016</v>
      </c>
      <c r="B50" s="29" t="str">
        <f>'Cash Book'!B52</f>
        <v>PO3017</v>
      </c>
      <c r="C50" s="30">
        <f>'Cash Book'!C52</f>
        <v>612112</v>
      </c>
      <c r="D50" s="31" t="str">
        <f>'Cash Book'!D52</f>
        <v>Auditing Fees</v>
      </c>
      <c r="E50" s="31" t="str">
        <f>'Cash Book'!E52</f>
        <v>Legal and Audit fees for Share Transfer</v>
      </c>
      <c r="F50" s="270">
        <f>'Cash Book'!G52</f>
        <v>50000</v>
      </c>
      <c r="G50" s="271">
        <f>'Cash Book'!F52</f>
        <v>0</v>
      </c>
    </row>
    <row r="51" spans="1:8" ht="30" customHeight="1" x14ac:dyDescent="0.3">
      <c r="A51" s="28" t="str">
        <f>'Cash Book'!A53</f>
        <v>18-03-2016</v>
      </c>
      <c r="B51" s="29" t="str">
        <f>'Cash Book'!B53</f>
        <v>PO3018</v>
      </c>
      <c r="C51" s="30">
        <f>'Cash Book'!C53</f>
        <v>612104</v>
      </c>
      <c r="D51" s="31" t="str">
        <f>'Cash Book'!D53</f>
        <v>Travelling Expenses</v>
      </c>
      <c r="E51" s="31" t="str">
        <f>'Cash Book'!E53</f>
        <v>Taxi Fees for Stationery Purchased</v>
      </c>
      <c r="F51" s="270">
        <f>'Cash Book'!G53</f>
        <v>1500</v>
      </c>
      <c r="G51" s="271">
        <f>'Cash Book'!F53</f>
        <v>0</v>
      </c>
    </row>
    <row r="52" spans="1:8" ht="30" customHeight="1" x14ac:dyDescent="0.3">
      <c r="A52" s="28" t="str">
        <f>'Cash Book'!A54</f>
        <v>18-03-2016</v>
      </c>
      <c r="B52" s="29" t="str">
        <f>'Cash Book'!B54</f>
        <v>PO3018</v>
      </c>
      <c r="C52" s="30">
        <f>'Cash Book'!C54</f>
        <v>612117</v>
      </c>
      <c r="D52" s="31" t="str">
        <f>'Cash Book'!D54</f>
        <v>Printing and Stationery</v>
      </c>
      <c r="E52" s="31" t="str">
        <f>'Cash Book'!E54</f>
        <v>Double Clip , Sauccer , A-4 Paper</v>
      </c>
      <c r="F52" s="270">
        <f>'Cash Book'!G54</f>
        <v>5100</v>
      </c>
      <c r="G52" s="271">
        <f>'Cash Book'!F54</f>
        <v>0</v>
      </c>
    </row>
    <row r="53" spans="1:8" ht="30" customHeight="1" x14ac:dyDescent="0.3">
      <c r="A53" s="28" t="str">
        <f>'Cash Book'!A55</f>
        <v>18-03-2016</v>
      </c>
      <c r="B53" s="29" t="str">
        <f>'Cash Book'!B55</f>
        <v>PO3019</v>
      </c>
      <c r="C53" s="30">
        <f>'Cash Book'!C55</f>
        <v>612104</v>
      </c>
      <c r="D53" s="31" t="str">
        <f>'Cash Book'!D55</f>
        <v>Travelling Expenses</v>
      </c>
      <c r="E53" s="31" t="str">
        <f>'Cash Book'!E55</f>
        <v>Taxi Charges for Stationery Purchased</v>
      </c>
      <c r="F53" s="270">
        <f>'Cash Book'!G55</f>
        <v>16800</v>
      </c>
      <c r="G53" s="271">
        <f>'Cash Book'!F55</f>
        <v>0</v>
      </c>
    </row>
    <row r="54" spans="1:8" ht="30" customHeight="1" x14ac:dyDescent="0.3">
      <c r="A54" s="28" t="str">
        <f>'Cash Book'!A56</f>
        <v>18-03-2016</v>
      </c>
      <c r="B54" s="29" t="str">
        <f>'Cash Book'!B56</f>
        <v>PO3020</v>
      </c>
      <c r="C54" s="30">
        <f>'Cash Book'!C56</f>
        <v>612104</v>
      </c>
      <c r="D54" s="31" t="str">
        <f>'Cash Book'!D56</f>
        <v>Travelling Expenses</v>
      </c>
      <c r="E54" s="31" t="str">
        <f>'Cash Book'!E56</f>
        <v>Taxi Charges for going to Airport</v>
      </c>
      <c r="F54" s="270">
        <f>'Cash Book'!G56</f>
        <v>17500</v>
      </c>
      <c r="G54" s="271">
        <f>'Cash Book'!F56</f>
        <v>0</v>
      </c>
    </row>
    <row r="55" spans="1:8" ht="30" customHeight="1" x14ac:dyDescent="0.3">
      <c r="A55" s="28" t="str">
        <f>'Cash Book'!A57</f>
        <v>18-03-2016</v>
      </c>
      <c r="B55" s="29" t="str">
        <f>'Cash Book'!B57</f>
        <v>PO3021</v>
      </c>
      <c r="C55" s="30">
        <f>'Cash Book'!C57</f>
        <v>612117</v>
      </c>
      <c r="D55" s="31" t="str">
        <f>'Cash Book'!D57</f>
        <v>Printing and Stationery</v>
      </c>
      <c r="E55" s="31" t="str">
        <f>'Cash Book'!E57</f>
        <v>Mouse Delux Expenses</v>
      </c>
      <c r="F55" s="270">
        <f>'Cash Book'!G57</f>
        <v>5500</v>
      </c>
      <c r="G55" s="271">
        <f>'Cash Book'!F57</f>
        <v>0</v>
      </c>
    </row>
    <row r="56" spans="1:8" ht="30" customHeight="1" x14ac:dyDescent="0.3">
      <c r="A56" s="28" t="str">
        <f>'Cash Book'!A58</f>
        <v>21-03-2016</v>
      </c>
      <c r="B56" s="29" t="str">
        <f>'Cash Book'!B58</f>
        <v>PO3022</v>
      </c>
      <c r="C56" s="30">
        <f>'Cash Book'!C58</f>
        <v>612104</v>
      </c>
      <c r="D56" s="31" t="str">
        <f>'Cash Book'!D58</f>
        <v>Travelling Expenses</v>
      </c>
      <c r="E56" s="31" t="str">
        <f>'Cash Book'!E58</f>
        <v>Taxi Fees for Euzabeth to MICT Park</v>
      </c>
      <c r="F56" s="270">
        <f>'Cash Book'!G58</f>
        <v>5000</v>
      </c>
      <c r="G56" s="271">
        <f>'Cash Book'!F58</f>
        <v>0</v>
      </c>
    </row>
    <row r="57" spans="1:8" ht="30" customHeight="1" x14ac:dyDescent="0.3">
      <c r="A57" s="28" t="str">
        <f>'Cash Book'!A59</f>
        <v>21-03-2016</v>
      </c>
      <c r="B57" s="29" t="str">
        <f>'Cash Book'!B59</f>
        <v>PO3024</v>
      </c>
      <c r="C57" s="30">
        <f>'Cash Book'!C59</f>
        <v>612117</v>
      </c>
      <c r="D57" s="31" t="str">
        <f>'Cash Book'!D59</f>
        <v>Printing and Stationery</v>
      </c>
      <c r="E57" s="31" t="str">
        <f>'Cash Book'!E59</f>
        <v>Stamp ( 6 digit ) 2 pcs x 1400 ks )</v>
      </c>
      <c r="F57" s="270">
        <f>'Cash Book'!G59</f>
        <v>2800</v>
      </c>
      <c r="G57" s="271">
        <f>'Cash Book'!F59</f>
        <v>0</v>
      </c>
    </row>
    <row r="58" spans="1:8" ht="30" customHeight="1" x14ac:dyDescent="0.3">
      <c r="A58" s="28" t="str">
        <f>'Cash Book'!A60</f>
        <v>21-03-2016</v>
      </c>
      <c r="B58" s="29" t="str">
        <f>'Cash Book'!B60</f>
        <v>PO3023</v>
      </c>
      <c r="C58" s="30">
        <f>'Cash Book'!C60</f>
        <v>612117</v>
      </c>
      <c r="D58" s="31" t="str">
        <f>'Cash Book'!D60</f>
        <v>Printing and Stationery</v>
      </c>
      <c r="E58" s="31" t="str">
        <f>'Cash Book'!E60</f>
        <v xml:space="preserve">Running Machine 1 pc x 2000 , Ink 1 pc x 1500 </v>
      </c>
      <c r="F58" s="270">
        <f>'Cash Book'!G60</f>
        <v>3500</v>
      </c>
      <c r="G58" s="271">
        <f>'Cash Book'!F60</f>
        <v>0</v>
      </c>
    </row>
    <row r="59" spans="1:8" ht="30" customHeight="1" x14ac:dyDescent="0.3">
      <c r="A59" s="28" t="str">
        <f>'Cash Book'!A61</f>
        <v>21-03-2016</v>
      </c>
      <c r="B59" s="29" t="str">
        <f>'Cash Book'!B61</f>
        <v>PO3025</v>
      </c>
      <c r="C59" s="30">
        <f>'Cash Book'!C61</f>
        <v>612113</v>
      </c>
      <c r="D59" s="31" t="str">
        <f>'Cash Book'!D61</f>
        <v>Office Supply Consumable</v>
      </c>
      <c r="E59" s="31" t="str">
        <f>'Cash Book'!E61</f>
        <v>For GPS Software fees to Tracking</v>
      </c>
      <c r="F59" s="270">
        <f>'Cash Book'!G61</f>
        <v>60000</v>
      </c>
      <c r="G59" s="271">
        <f>'Cash Book'!F61</f>
        <v>0</v>
      </c>
    </row>
    <row r="60" spans="1:8" ht="30" customHeight="1" x14ac:dyDescent="0.3">
      <c r="A60" s="28" t="str">
        <f>'Cash Book'!A62</f>
        <v>22-03-2016</v>
      </c>
      <c r="B60" s="29" t="str">
        <f>'Cash Book'!B62</f>
        <v>PO3026</v>
      </c>
      <c r="C60" s="30">
        <f>'Cash Book'!C62</f>
        <v>111301</v>
      </c>
      <c r="D60" s="31" t="str">
        <f>'Cash Book'!D62</f>
        <v>Prepaid ( Office Staff )</v>
      </c>
      <c r="E60" s="31" t="str">
        <f>'Cash Book'!E62</f>
        <v>Adv for Sim Card Purchased ( Nay Myo Win-IT Manager )</v>
      </c>
      <c r="F60" s="270">
        <f>'Cash Book'!G62</f>
        <v>40000</v>
      </c>
      <c r="G60" s="271">
        <f>'Cash Book'!F62</f>
        <v>0</v>
      </c>
    </row>
    <row r="61" spans="1:8" ht="30" customHeight="1" x14ac:dyDescent="0.3">
      <c r="A61" s="28" t="str">
        <f>'Cash Book'!A63</f>
        <v>22-03-2016</v>
      </c>
      <c r="B61" s="29" t="str">
        <f>'Cash Book'!B63</f>
        <v>PO3027</v>
      </c>
      <c r="C61" s="30">
        <f>'Cash Book'!C63</f>
        <v>612104</v>
      </c>
      <c r="D61" s="31" t="str">
        <f>'Cash Book'!D63</f>
        <v>Travelling Expenses</v>
      </c>
      <c r="E61" s="31" t="str">
        <f>'Cash Book'!E63</f>
        <v>Taxi Charges to go data entry and office Key</v>
      </c>
      <c r="F61" s="270">
        <f>'Cash Book'!G63</f>
        <v>8500</v>
      </c>
      <c r="G61" s="271">
        <f>'Cash Book'!F63</f>
        <v>0</v>
      </c>
      <c r="H61" s="247" t="s">
        <v>160</v>
      </c>
    </row>
    <row r="62" spans="1:8" ht="30" customHeight="1" x14ac:dyDescent="0.3">
      <c r="A62" s="28" t="str">
        <f>'Cash Book'!A64</f>
        <v>22-03-2016</v>
      </c>
      <c r="B62" s="29" t="str">
        <f>'Cash Book'!B64</f>
        <v>PO3028</v>
      </c>
      <c r="C62" s="30">
        <f>'Cash Book'!C64</f>
        <v>612104</v>
      </c>
      <c r="D62" s="31" t="str">
        <f>'Cash Book'!D64</f>
        <v>Travelling Expenses</v>
      </c>
      <c r="E62" s="31" t="str">
        <f>'Cash Book'!E64</f>
        <v xml:space="preserve">Transportation fees </v>
      </c>
      <c r="F62" s="270">
        <f>'Cash Book'!G64</f>
        <v>16000</v>
      </c>
      <c r="G62" s="271">
        <f>'Cash Book'!F64</f>
        <v>0</v>
      </c>
      <c r="H62" s="247" t="s">
        <v>160</v>
      </c>
    </row>
    <row r="63" spans="1:8" ht="30" customHeight="1" x14ac:dyDescent="0.3">
      <c r="A63" s="28" t="str">
        <f>'Cash Book'!A65</f>
        <v>22-03-2016</v>
      </c>
      <c r="B63" s="29" t="str">
        <f>'Cash Book'!B65</f>
        <v>PO3029</v>
      </c>
      <c r="C63" s="30">
        <f>'Cash Book'!C65</f>
        <v>612104</v>
      </c>
      <c r="D63" s="31" t="str">
        <f>'Cash Book'!D65</f>
        <v>Travelling Expenses</v>
      </c>
      <c r="E63" s="31" t="str">
        <f>'Cash Book'!E65</f>
        <v xml:space="preserve">Transportation fees </v>
      </c>
      <c r="F63" s="270">
        <f>'Cash Book'!G65</f>
        <v>22200</v>
      </c>
      <c r="G63" s="271">
        <f>'Cash Book'!F65</f>
        <v>0</v>
      </c>
    </row>
    <row r="64" spans="1:8" ht="30" customHeight="1" x14ac:dyDescent="0.3">
      <c r="A64" s="28" t="str">
        <f>'Cash Book'!A66</f>
        <v>24-03-2016</v>
      </c>
      <c r="B64" s="29" t="str">
        <f>'Cash Book'!B66</f>
        <v>PO3030</v>
      </c>
      <c r="C64" s="30">
        <f>'Cash Book'!C66</f>
        <v>111301</v>
      </c>
      <c r="D64" s="31" t="str">
        <f>'Cash Book'!D66</f>
        <v>Prepaid ( Office Staff )</v>
      </c>
      <c r="E64" s="31" t="str">
        <f>'Cash Book'!E66</f>
        <v>For Cannon Catridge pur ( Evic Zaw )</v>
      </c>
      <c r="F64" s="270">
        <f>'Cash Book'!G66</f>
        <v>850000</v>
      </c>
      <c r="G64" s="271">
        <f>'Cash Book'!F66</f>
        <v>0</v>
      </c>
    </row>
    <row r="65" spans="1:8" ht="30" customHeight="1" x14ac:dyDescent="0.3">
      <c r="A65" s="28" t="str">
        <f>'Cash Book'!A67</f>
        <v>24-03-2016</v>
      </c>
      <c r="B65" s="29" t="str">
        <f>'Cash Book'!B67</f>
        <v>PO3031</v>
      </c>
      <c r="C65" s="30">
        <f>'Cash Book'!C67</f>
        <v>612104</v>
      </c>
      <c r="D65" s="31" t="str">
        <f>'Cash Book'!D67</f>
        <v>Travelling Expenses</v>
      </c>
      <c r="E65" s="31" t="str">
        <f>'Cash Book'!E67</f>
        <v>Taxi Charges to buy Canon Cartidges</v>
      </c>
      <c r="F65" s="270">
        <f>'Cash Book'!G67</f>
        <v>3000</v>
      </c>
      <c r="G65" s="271">
        <f>'Cash Book'!F67</f>
        <v>0</v>
      </c>
    </row>
    <row r="66" spans="1:8" ht="30" customHeight="1" x14ac:dyDescent="0.3">
      <c r="A66" s="28" t="str">
        <f>'Cash Book'!A68</f>
        <v>24-03-2016</v>
      </c>
      <c r="B66" s="29" t="str">
        <f>'Cash Book'!B68</f>
        <v>PO3032</v>
      </c>
      <c r="C66" s="30">
        <f>'Cash Book'!C68</f>
        <v>612104</v>
      </c>
      <c r="D66" s="31" t="str">
        <f>'Cash Book'!D68</f>
        <v>Travelling Expenses</v>
      </c>
      <c r="E66" s="31" t="str">
        <f>'Cash Book'!E68</f>
        <v>Taxi Charges CB Bank to Office</v>
      </c>
      <c r="F66" s="270">
        <f>'Cash Book'!G68</f>
        <v>1500</v>
      </c>
      <c r="G66" s="271">
        <f>'Cash Book'!F68</f>
        <v>0</v>
      </c>
    </row>
    <row r="67" spans="1:8" ht="30" customHeight="1" x14ac:dyDescent="0.3">
      <c r="A67" s="28" t="str">
        <f>'Cash Book'!A69</f>
        <v>24-03-2016</v>
      </c>
      <c r="B67" s="29" t="str">
        <f>'Cash Book'!B69</f>
        <v>PO3033</v>
      </c>
      <c r="C67" s="30">
        <f>'Cash Book'!C69</f>
        <v>612104</v>
      </c>
      <c r="D67" s="31" t="str">
        <f>'Cash Book'!D69</f>
        <v>Travelling Expenses</v>
      </c>
      <c r="E67" s="31" t="str">
        <f>'Cash Book'!E69</f>
        <v>Taxi Fees ( Office to Insein )</v>
      </c>
      <c r="F67" s="270">
        <f>'Cash Book'!G69</f>
        <v>5500</v>
      </c>
      <c r="G67" s="271">
        <f>'Cash Book'!F69</f>
        <v>0</v>
      </c>
    </row>
    <row r="68" spans="1:8" ht="30" customHeight="1" x14ac:dyDescent="0.3">
      <c r="A68" s="28" t="str">
        <f>'Cash Book'!A70</f>
        <v>24-03-2016</v>
      </c>
      <c r="B68" s="29" t="str">
        <f>'Cash Book'!B70</f>
        <v>PO3034</v>
      </c>
      <c r="C68" s="30">
        <f>'Cash Book'!C70</f>
        <v>612104</v>
      </c>
      <c r="D68" s="31" t="str">
        <f>'Cash Book'!D70</f>
        <v>Travelling Expenses</v>
      </c>
      <c r="E68" s="31" t="str">
        <f>'Cash Book'!E70</f>
        <v xml:space="preserve">Transportation fees </v>
      </c>
      <c r="F68" s="270">
        <f>'Cash Book'!G70</f>
        <v>20500</v>
      </c>
      <c r="G68" s="271">
        <f>'Cash Book'!F70</f>
        <v>0</v>
      </c>
    </row>
    <row r="69" spans="1:8" ht="30" customHeight="1" x14ac:dyDescent="0.3">
      <c r="A69" s="28" t="str">
        <f>'Cash Book'!A71</f>
        <v>24-03-2016</v>
      </c>
      <c r="B69" s="29" t="str">
        <f>'Cash Book'!B71</f>
        <v>PO3035</v>
      </c>
      <c r="C69" s="30">
        <f>'Cash Book'!C71</f>
        <v>612104</v>
      </c>
      <c r="D69" s="31" t="str">
        <f>'Cash Book'!D71</f>
        <v>Travelling Expenses</v>
      </c>
      <c r="E69" s="31" t="str">
        <f>'Cash Book'!E71</f>
        <v>Transportation fees for Sales Promoter Myo Min</v>
      </c>
      <c r="F69" s="270">
        <f>'Cash Book'!G71</f>
        <v>31000</v>
      </c>
      <c r="G69" s="271">
        <f>'Cash Book'!F71</f>
        <v>0</v>
      </c>
    </row>
    <row r="70" spans="1:8" ht="30" customHeight="1" x14ac:dyDescent="0.3">
      <c r="A70" s="28" t="str">
        <f>'Cash Book'!A72</f>
        <v>24-03-2016</v>
      </c>
      <c r="B70" s="29" t="str">
        <f>'Cash Book'!B72</f>
        <v>PO3036</v>
      </c>
      <c r="C70" s="30">
        <f>'Cash Book'!C72</f>
        <v>612119</v>
      </c>
      <c r="D70" s="31" t="str">
        <f>'Cash Book'!D72</f>
        <v>Wages Expenses</v>
      </c>
      <c r="E70" s="31" t="str">
        <f>'Cash Book'!E72</f>
        <v>Daily Wages for Sales Promoter and Incentive</v>
      </c>
      <c r="F70" s="270">
        <f>'Cash Book'!G72</f>
        <v>10000</v>
      </c>
      <c r="G70" s="271">
        <f>'Cash Book'!F72</f>
        <v>0</v>
      </c>
    </row>
    <row r="71" spans="1:8" ht="30" customHeight="1" x14ac:dyDescent="0.3">
      <c r="A71" s="28" t="str">
        <f>'Cash Book'!A73</f>
        <v>24-03-2016</v>
      </c>
      <c r="B71" s="29" t="str">
        <f>'Cash Book'!B73</f>
        <v>PO3037</v>
      </c>
      <c r="C71" s="30">
        <f>'Cash Book'!C73</f>
        <v>612117</v>
      </c>
      <c r="D71" s="31" t="str">
        <f>'Cash Book'!D73</f>
        <v>Printing and Stationery</v>
      </c>
      <c r="E71" s="31" t="str">
        <f>'Cash Book'!E73</f>
        <v>A4 Paper 1 Packing</v>
      </c>
      <c r="F71" s="270">
        <f>'Cash Book'!G73</f>
        <v>3000</v>
      </c>
      <c r="G71" s="271">
        <f>'Cash Book'!F73</f>
        <v>0</v>
      </c>
    </row>
    <row r="72" spans="1:8" ht="30" customHeight="1" x14ac:dyDescent="0.3">
      <c r="A72" s="28" t="str">
        <f>'Cash Book'!A74</f>
        <v>25-03-2016</v>
      </c>
      <c r="B72" s="29" t="str">
        <f>'Cash Book'!B74</f>
        <v>PO3038</v>
      </c>
      <c r="C72" s="30">
        <f>'Cash Book'!C74</f>
        <v>612104</v>
      </c>
      <c r="D72" s="31" t="str">
        <f>'Cash Book'!D74</f>
        <v>Travelling Expenses</v>
      </c>
      <c r="E72" s="31" t="str">
        <f>'Cash Book'!E74</f>
        <v>Taxi Fees for Sales</v>
      </c>
      <c r="F72" s="270">
        <f>'Cash Book'!G74</f>
        <v>6400</v>
      </c>
      <c r="G72" s="271">
        <f>'Cash Book'!F74</f>
        <v>0</v>
      </c>
      <c r="H72" s="247" t="s">
        <v>160</v>
      </c>
    </row>
    <row r="73" spans="1:8" ht="30" customHeight="1" x14ac:dyDescent="0.3">
      <c r="A73" s="28" t="str">
        <f>'Cash Book'!A75</f>
        <v>25-03-2016</v>
      </c>
      <c r="B73" s="29" t="str">
        <f>'Cash Book'!B75</f>
        <v>PO3039</v>
      </c>
      <c r="C73" s="30">
        <f>'Cash Book'!C75</f>
        <v>612104</v>
      </c>
      <c r="D73" s="31" t="str">
        <f>'Cash Book'!D75</f>
        <v>Travelling Expenses</v>
      </c>
      <c r="E73" s="31" t="str">
        <f>'Cash Book'!E75</f>
        <v>Taxi Fees for Sales</v>
      </c>
      <c r="F73" s="270">
        <f>'Cash Book'!G75</f>
        <v>13000</v>
      </c>
      <c r="G73" s="271">
        <f>'Cash Book'!F75</f>
        <v>0</v>
      </c>
    </row>
    <row r="74" spans="1:8" ht="30" customHeight="1" x14ac:dyDescent="0.3">
      <c r="A74" s="28" t="str">
        <f>'Cash Book'!A76</f>
        <v>25-03-2016</v>
      </c>
      <c r="B74" s="29" t="str">
        <f>'Cash Book'!B76</f>
        <v>PO3040</v>
      </c>
      <c r="C74" s="30">
        <f>'Cash Book'!C76</f>
        <v>612104</v>
      </c>
      <c r="D74" s="31" t="str">
        <f>'Cash Book'!D76</f>
        <v>Travelling Expenses</v>
      </c>
      <c r="E74" s="31" t="str">
        <f>'Cash Book'!E76</f>
        <v>Transportation for Sales</v>
      </c>
      <c r="F74" s="270">
        <f>'Cash Book'!G76</f>
        <v>4000</v>
      </c>
      <c r="G74" s="271">
        <f>'Cash Book'!F76</f>
        <v>0</v>
      </c>
    </row>
    <row r="75" spans="1:8" ht="30" customHeight="1" x14ac:dyDescent="0.3">
      <c r="A75" s="28" t="str">
        <f>'Cash Book'!A77</f>
        <v>25-03-2016</v>
      </c>
      <c r="B75" s="29" t="str">
        <f>'Cash Book'!B77</f>
        <v>PO3041</v>
      </c>
      <c r="C75" s="30">
        <f>'Cash Book'!C77</f>
        <v>612107</v>
      </c>
      <c r="D75" s="31" t="str">
        <f>'Cash Book'!D77</f>
        <v xml:space="preserve">Other Fees and Charges </v>
      </c>
      <c r="E75" s="31" t="str">
        <f>'Cash Book'!E77</f>
        <v>Interpreter Fees ( 62500 x 5 days )</v>
      </c>
      <c r="F75" s="270">
        <f>'Cash Book'!G77</f>
        <v>312500</v>
      </c>
      <c r="G75" s="271">
        <f>'Cash Book'!F77</f>
        <v>0</v>
      </c>
    </row>
    <row r="76" spans="1:8" ht="30" customHeight="1" x14ac:dyDescent="0.3">
      <c r="A76" s="28" t="str">
        <f>'Cash Book'!A78</f>
        <v>25-03-2016</v>
      </c>
      <c r="B76" s="29" t="str">
        <f>'Cash Book'!B78</f>
        <v>PO3042</v>
      </c>
      <c r="C76" s="30">
        <f>'Cash Book'!C78</f>
        <v>612119</v>
      </c>
      <c r="D76" s="31" t="str">
        <f>'Cash Book'!D78</f>
        <v>Wages Expenses</v>
      </c>
      <c r="E76" s="31" t="str">
        <f>'Cash Book'!E78</f>
        <v>Part Time Promoter Fees ( Daw Law Eh )</v>
      </c>
      <c r="F76" s="270">
        <f>'Cash Book'!G78</f>
        <v>62500</v>
      </c>
      <c r="G76" s="271">
        <f>'Cash Book'!F78</f>
        <v>0</v>
      </c>
    </row>
    <row r="77" spans="1:8" ht="30" customHeight="1" x14ac:dyDescent="0.3">
      <c r="A77" s="28" t="str">
        <f>'Cash Book'!A79</f>
        <v>25-03-2016</v>
      </c>
      <c r="B77" s="29" t="str">
        <f>'Cash Book'!B79</f>
        <v>PO3043</v>
      </c>
      <c r="C77" s="30">
        <f>'Cash Book'!C79</f>
        <v>612119</v>
      </c>
      <c r="D77" s="31" t="str">
        <f>'Cash Book'!D79</f>
        <v>Wages Expenses</v>
      </c>
      <c r="E77" s="31" t="str">
        <f>'Cash Book'!E79</f>
        <v>Part Time Promoter Fees ( Myo Min )</v>
      </c>
      <c r="F77" s="270">
        <f>'Cash Book'!G79</f>
        <v>62500</v>
      </c>
      <c r="G77" s="271">
        <f>'Cash Book'!F79</f>
        <v>0</v>
      </c>
    </row>
    <row r="78" spans="1:8" ht="30" customHeight="1" x14ac:dyDescent="0.3">
      <c r="A78" s="28" t="str">
        <f>'Cash Book'!A80</f>
        <v>25-03-2016</v>
      </c>
      <c r="B78" s="29" t="str">
        <f>'Cash Book'!B80</f>
        <v>PO3044</v>
      </c>
      <c r="C78" s="30">
        <f>'Cash Book'!C80</f>
        <v>612104</v>
      </c>
      <c r="D78" s="31" t="str">
        <f>'Cash Book'!D80</f>
        <v>Travelling Expenses</v>
      </c>
      <c r="E78" s="31" t="str">
        <f>'Cash Book'!E80</f>
        <v>Taxi Fees for Data Entry</v>
      </c>
      <c r="F78" s="270">
        <f>'Cash Book'!G80</f>
        <v>5500</v>
      </c>
      <c r="G78" s="271">
        <f>'Cash Book'!F80</f>
        <v>0</v>
      </c>
    </row>
    <row r="79" spans="1:8" ht="30" customHeight="1" x14ac:dyDescent="0.3">
      <c r="A79" s="28" t="str">
        <f>'Cash Book'!A81</f>
        <v>25-03-2016</v>
      </c>
      <c r="B79" s="29" t="str">
        <f>'Cash Book'!B81</f>
        <v>PO3045</v>
      </c>
      <c r="C79" s="30">
        <f>'Cash Book'!C81</f>
        <v>612117</v>
      </c>
      <c r="D79" s="31" t="str">
        <f>'Cash Book'!D81</f>
        <v>Printing and Stationery</v>
      </c>
      <c r="E79" s="31" t="str">
        <f>'Cash Book'!E81</f>
        <v>Printing &amp; Copying Charges</v>
      </c>
      <c r="F79" s="270">
        <f>'Cash Book'!G81</f>
        <v>500</v>
      </c>
      <c r="G79" s="271">
        <f>'Cash Book'!F81</f>
        <v>0</v>
      </c>
    </row>
    <row r="80" spans="1:8" ht="30" customHeight="1" x14ac:dyDescent="0.3">
      <c r="A80" s="28" t="str">
        <f>'Cash Book'!A82</f>
        <v>25-03-2016</v>
      </c>
      <c r="B80" s="29" t="str">
        <f>'Cash Book'!B82</f>
        <v>PO3045</v>
      </c>
      <c r="C80" s="30">
        <f>'Cash Book'!C82</f>
        <v>612104</v>
      </c>
      <c r="D80" s="31" t="str">
        <f>'Cash Book'!D82</f>
        <v>Travelling Expenses</v>
      </c>
      <c r="E80" s="31" t="str">
        <f>'Cash Book'!E82</f>
        <v>Taxi Charges</v>
      </c>
      <c r="F80" s="270">
        <f>'Cash Book'!G82</f>
        <v>6000</v>
      </c>
      <c r="G80" s="271">
        <f>'Cash Book'!F82</f>
        <v>0</v>
      </c>
    </row>
    <row r="81" spans="1:7" ht="30" customHeight="1" x14ac:dyDescent="0.3">
      <c r="A81" s="28" t="str">
        <f>'Cash Book'!A83</f>
        <v>26-03-2016</v>
      </c>
      <c r="B81" s="29" t="str">
        <f>'Cash Book'!B83</f>
        <v>PO3046</v>
      </c>
      <c r="C81" s="30">
        <f>'Cash Book'!C83</f>
        <v>111302</v>
      </c>
      <c r="D81" s="31" t="str">
        <f>'Cash Book'!D83</f>
        <v>Prepaid Deposit ( Others )</v>
      </c>
      <c r="E81" s="31" t="str">
        <f>'Cash Book'!E83</f>
        <v>Deposit for Licence Fees by Fine 9</v>
      </c>
      <c r="F81" s="270">
        <f>'Cash Book'!G83</f>
        <v>700000</v>
      </c>
      <c r="G81" s="271">
        <f>'Cash Book'!F83</f>
        <v>0</v>
      </c>
    </row>
    <row r="82" spans="1:7" ht="30" customHeight="1" x14ac:dyDescent="0.3">
      <c r="A82" s="28" t="str">
        <f>'Cash Book'!A84</f>
        <v>29-03-2016</v>
      </c>
      <c r="B82" s="29" t="str">
        <f>'Cash Book'!B84</f>
        <v>PO3047</v>
      </c>
      <c r="C82" s="30">
        <f>'Cash Book'!C84</f>
        <v>612117</v>
      </c>
      <c r="D82" s="31" t="str">
        <f>'Cash Book'!D84</f>
        <v>Printing and Stationery</v>
      </c>
      <c r="E82" s="31" t="str">
        <f>'Cash Book'!E84</f>
        <v>Rules and Regulation Book for Pawn Shop</v>
      </c>
      <c r="F82" s="270">
        <f>'Cash Book'!G84</f>
        <v>1500</v>
      </c>
      <c r="G82" s="271">
        <f>'Cash Book'!F84</f>
        <v>0</v>
      </c>
    </row>
    <row r="83" spans="1:7" ht="30" customHeight="1" x14ac:dyDescent="0.3">
      <c r="A83" s="28" t="str">
        <f>'Cash Book'!A85</f>
        <v>30-03-2016</v>
      </c>
      <c r="B83" s="29" t="str">
        <f>'Cash Book'!B85</f>
        <v>PO3048</v>
      </c>
      <c r="C83" s="30">
        <f>'Cash Book'!C85</f>
        <v>612121</v>
      </c>
      <c r="D83" s="31" t="str">
        <f>'Cash Book'!D85</f>
        <v>Courier Fees</v>
      </c>
      <c r="E83" s="31" t="str">
        <f>'Cash Book'!E85</f>
        <v>DHL Service Charges</v>
      </c>
      <c r="F83" s="270">
        <f>'Cash Book'!G85</f>
        <v>66600</v>
      </c>
      <c r="G83" s="271">
        <f>'Cash Book'!F85</f>
        <v>0</v>
      </c>
    </row>
    <row r="84" spans="1:7" ht="30" customHeight="1" x14ac:dyDescent="0.3">
      <c r="A84" s="28" t="str">
        <f>'Cash Book'!A86</f>
        <v>30-03-2016</v>
      </c>
      <c r="B84" s="29" t="str">
        <f>'Cash Book'!B86</f>
        <v>PO3049</v>
      </c>
      <c r="C84" s="30">
        <f>'Cash Book'!C86</f>
        <v>612104</v>
      </c>
      <c r="D84" s="31" t="str">
        <f>'Cash Book'!D86</f>
        <v>Travelling Expenses</v>
      </c>
      <c r="E84" s="31" t="str">
        <f>'Cash Book'!E86</f>
        <v>Taxi Fees CB Bank to Pencil</v>
      </c>
      <c r="F84" s="270">
        <f>'Cash Book'!G86</f>
        <v>6500</v>
      </c>
      <c r="G84" s="271">
        <f>'Cash Book'!F86</f>
        <v>0</v>
      </c>
    </row>
    <row r="85" spans="1:7" ht="30" customHeight="1" x14ac:dyDescent="0.3">
      <c r="A85" s="28" t="str">
        <f>'Cash Book'!A87</f>
        <v>30-03-2016</v>
      </c>
      <c r="B85" s="29" t="str">
        <f>'Cash Book'!B87</f>
        <v>PO3050</v>
      </c>
      <c r="C85" s="30">
        <f>'Cash Book'!C87</f>
        <v>612117</v>
      </c>
      <c r="D85" s="31" t="str">
        <f>'Cash Book'!D87</f>
        <v>Printing and Stationery</v>
      </c>
      <c r="E85" s="31" t="str">
        <f>'Cash Book'!E87</f>
        <v>Double A4 Paper 1 Pk</v>
      </c>
      <c r="F85" s="270">
        <f>'Cash Book'!G87</f>
        <v>4500</v>
      </c>
      <c r="G85" s="271">
        <f>'Cash Book'!F87</f>
        <v>0</v>
      </c>
    </row>
    <row r="86" spans="1:7" ht="30" customHeight="1" x14ac:dyDescent="0.3">
      <c r="A86" s="28" t="str">
        <f>'Cash Book'!A88</f>
        <v>30-03-2016</v>
      </c>
      <c r="B86" s="29" t="str">
        <f>'Cash Book'!B88</f>
        <v>PO3051</v>
      </c>
      <c r="C86" s="30">
        <f>'Cash Book'!C88</f>
        <v>612117</v>
      </c>
      <c r="D86" s="31" t="str">
        <f>'Cash Book'!D88</f>
        <v>Printing and Stationery</v>
      </c>
      <c r="E86" s="31" t="str">
        <f>'Cash Book'!E88</f>
        <v>Pamphlet Fees</v>
      </c>
      <c r="F86" s="270">
        <f>'Cash Book'!G88</f>
        <v>120000</v>
      </c>
      <c r="G86" s="271">
        <f>'Cash Book'!F88</f>
        <v>0</v>
      </c>
    </row>
    <row r="87" spans="1:7" ht="30" customHeight="1" x14ac:dyDescent="0.3">
      <c r="A87" s="28" t="str">
        <f>'Cash Book'!A89</f>
        <v>30-03-2016</v>
      </c>
      <c r="B87" s="29" t="str">
        <f>'Cash Book'!B89</f>
        <v>PO3052</v>
      </c>
      <c r="C87" s="30">
        <f>'Cash Book'!C89</f>
        <v>612117</v>
      </c>
      <c r="D87" s="31" t="str">
        <f>'Cash Book'!D89</f>
        <v>Printing and Stationery</v>
      </c>
      <c r="E87" s="31" t="str">
        <f>'Cash Book'!E89</f>
        <v>Pamphlet Fees</v>
      </c>
      <c r="F87" s="270">
        <f>'Cash Book'!G89</f>
        <v>60000</v>
      </c>
      <c r="G87" s="271">
        <f>'Cash Book'!F89</f>
        <v>0</v>
      </c>
    </row>
    <row r="88" spans="1:7" ht="30" customHeight="1" x14ac:dyDescent="0.3">
      <c r="A88" s="28" t="str">
        <f>'Cash Book'!A90</f>
        <v>30-03-2016</v>
      </c>
      <c r="B88" s="29" t="str">
        <f>'Cash Book'!B90</f>
        <v>PO3053</v>
      </c>
      <c r="C88" s="30">
        <f>'Cash Book'!C90</f>
        <v>612119</v>
      </c>
      <c r="D88" s="31" t="str">
        <f>'Cash Book'!D90</f>
        <v>Wages Expenses</v>
      </c>
      <c r="E88" s="31" t="str">
        <f>'Cash Book'!E90</f>
        <v>Part Time Data Entry ( Soe Pa Pa San )</v>
      </c>
      <c r="F88" s="270">
        <f>'Cash Book'!G90</f>
        <v>35000</v>
      </c>
      <c r="G88" s="271">
        <f>'Cash Book'!F90</f>
        <v>0</v>
      </c>
    </row>
    <row r="89" spans="1:7" ht="30" customHeight="1" x14ac:dyDescent="0.3">
      <c r="A89" s="28" t="str">
        <f>'Cash Book'!A91</f>
        <v>31-03-2016</v>
      </c>
      <c r="B89" s="29" t="str">
        <f>'Cash Book'!B91</f>
        <v>PO3054</v>
      </c>
      <c r="C89" s="30">
        <f>'Cash Book'!C91</f>
        <v>612117</v>
      </c>
      <c r="D89" s="31" t="str">
        <f>'Cash Book'!D91</f>
        <v>Printing and Stationery</v>
      </c>
      <c r="E89" s="31" t="str">
        <f>'Cash Book'!E91</f>
        <v>Visiting Card Charges  700 pc x 60 ks , 100 pc x 60 ks</v>
      </c>
      <c r="F89" s="270">
        <f>'Cash Book'!G91</f>
        <v>48000</v>
      </c>
      <c r="G89" s="271">
        <f>'Cash Book'!F91</f>
        <v>0</v>
      </c>
    </row>
    <row r="90" spans="1:7" ht="30" customHeight="1" x14ac:dyDescent="0.3">
      <c r="A90" s="28" t="str">
        <f>'Cash Book'!A92</f>
        <v>08-04-2016</v>
      </c>
      <c r="B90" s="29" t="str">
        <f>'Cash Book'!B92</f>
        <v>PO4011</v>
      </c>
      <c r="C90" s="30">
        <f>'Cash Book'!C92</f>
        <v>612104</v>
      </c>
      <c r="D90" s="31" t="str">
        <f>'Cash Book'!D92</f>
        <v>Travelling Expenses</v>
      </c>
      <c r="E90" s="31" t="str">
        <f>'Cash Book'!E92</f>
        <v>Taxi Fees for Office office Rent Checking</v>
      </c>
      <c r="F90" s="270">
        <f>'Cash Book'!G92</f>
        <v>13000</v>
      </c>
      <c r="G90" s="271">
        <f>'Cash Book'!F92</f>
        <v>0</v>
      </c>
    </row>
    <row r="91" spans="1:7" ht="30" customHeight="1" x14ac:dyDescent="0.3">
      <c r="A91" s="28" t="str">
        <f>'Cash Book'!A93</f>
        <v>08-04-2016</v>
      </c>
      <c r="B91" s="29" t="str">
        <f>'Cash Book'!B93</f>
        <v>PO4010</v>
      </c>
      <c r="C91" s="30">
        <f>'Cash Book'!C93</f>
        <v>612104</v>
      </c>
      <c r="D91" s="31" t="str">
        <f>'Cash Book'!D93</f>
        <v>Travelling Expenses</v>
      </c>
      <c r="E91" s="31" t="str">
        <f>'Cash Book'!E93</f>
        <v>Taxi Fees for YCDC Slip</v>
      </c>
      <c r="F91" s="270">
        <f>'Cash Book'!G93</f>
        <v>8000</v>
      </c>
      <c r="G91" s="271">
        <f>'Cash Book'!F93</f>
        <v>0</v>
      </c>
    </row>
    <row r="92" spans="1:7" ht="30" customHeight="1" x14ac:dyDescent="0.3">
      <c r="A92" s="28" t="str">
        <f>'Cash Book'!A94</f>
        <v>08-04-2016</v>
      </c>
      <c r="B92" s="29" t="str">
        <f>'Cash Book'!B94</f>
        <v>PO4009</v>
      </c>
      <c r="C92" s="30">
        <f>'Cash Book'!C94</f>
        <v>612104</v>
      </c>
      <c r="D92" s="31" t="str">
        <f>'Cash Book'!D94</f>
        <v>Travelling Expenses</v>
      </c>
      <c r="E92" s="31" t="str">
        <f>'Cash Book'!E94</f>
        <v>Taxi Fees CB Bank to Office</v>
      </c>
      <c r="F92" s="270">
        <f>'Cash Book'!G94</f>
        <v>6000</v>
      </c>
      <c r="G92" s="271">
        <f>'Cash Book'!F94</f>
        <v>0</v>
      </c>
    </row>
    <row r="93" spans="1:7" ht="30" customHeight="1" x14ac:dyDescent="0.3">
      <c r="A93" s="28" t="str">
        <f>'Cash Book'!A95</f>
        <v>08-04-2016</v>
      </c>
      <c r="B93" s="29" t="str">
        <f>'Cash Book'!B95</f>
        <v>PO4008</v>
      </c>
      <c r="C93" s="30">
        <f>'Cash Book'!C95</f>
        <v>612104</v>
      </c>
      <c r="D93" s="31" t="str">
        <f>'Cash Book'!D95</f>
        <v>Travelling Expenses</v>
      </c>
      <c r="E93" s="31" t="str">
        <f>'Cash Book'!E95</f>
        <v>Taxi Fees</v>
      </c>
      <c r="F93" s="270">
        <f>'Cash Book'!G95</f>
        <v>8000</v>
      </c>
      <c r="G93" s="271">
        <f>'Cash Book'!F95</f>
        <v>0</v>
      </c>
    </row>
    <row r="94" spans="1:7" ht="30" customHeight="1" x14ac:dyDescent="0.3">
      <c r="A94" s="28" t="str">
        <f>'Cash Book'!A96</f>
        <v>07-04-2016</v>
      </c>
      <c r="B94" s="29" t="str">
        <f>'Cash Book'!B96</f>
        <v>PO4007</v>
      </c>
      <c r="C94" s="30">
        <f>'Cash Book'!C96</f>
        <v>612119</v>
      </c>
      <c r="D94" s="31" t="str">
        <f>'Cash Book'!D96</f>
        <v>Wages Expenses</v>
      </c>
      <c r="E94" s="31" t="str">
        <f>'Cash Book'!E96</f>
        <v>Wages for Part time worker</v>
      </c>
      <c r="F94" s="270">
        <f>'Cash Book'!G96</f>
        <v>27600</v>
      </c>
      <c r="G94" s="271">
        <f>'Cash Book'!F96</f>
        <v>0</v>
      </c>
    </row>
    <row r="95" spans="1:7" ht="30" customHeight="1" x14ac:dyDescent="0.3">
      <c r="A95" s="28" t="str">
        <f>'Cash Book'!A97</f>
        <v>06-04-2016</v>
      </c>
      <c r="B95" s="29" t="str">
        <f>'Cash Book'!B97</f>
        <v>PO4006</v>
      </c>
      <c r="C95" s="30">
        <f>'Cash Book'!C97</f>
        <v>612119</v>
      </c>
      <c r="D95" s="31" t="str">
        <f>'Cash Book'!D97</f>
        <v>Wages Expenses</v>
      </c>
      <c r="E95" s="31" t="str">
        <f>'Cash Book'!E97</f>
        <v>Dismissal Wages for Amara</v>
      </c>
      <c r="F95" s="270">
        <f>'Cash Book'!G97</f>
        <v>1885714</v>
      </c>
      <c r="G95" s="271">
        <f>'Cash Book'!F97</f>
        <v>0</v>
      </c>
    </row>
    <row r="96" spans="1:7" ht="30" customHeight="1" x14ac:dyDescent="0.3">
      <c r="A96" s="28" t="str">
        <f>'Cash Book'!A98</f>
        <v>06-04-2016</v>
      </c>
      <c r="B96" s="29" t="str">
        <f>'Cash Book'!B98</f>
        <v>PO4005</v>
      </c>
      <c r="C96" s="30">
        <f>'Cash Book'!C98</f>
        <v>612101</v>
      </c>
      <c r="D96" s="31" t="str">
        <f>'Cash Book'!D98</f>
        <v>Salary and Bonus</v>
      </c>
      <c r="E96" s="31" t="str">
        <f>'Cash Book'!E98</f>
        <v>CEO March 2016 part time salary</v>
      </c>
      <c r="F96" s="270">
        <f>'Cash Book'!G98</f>
        <v>1755000</v>
      </c>
      <c r="G96" s="271">
        <f>'Cash Book'!F98</f>
        <v>0</v>
      </c>
    </row>
    <row r="97" spans="1:7" ht="30" customHeight="1" x14ac:dyDescent="0.3">
      <c r="A97" s="28" t="str">
        <f>'Cash Book'!A99</f>
        <v>05-04-2016</v>
      </c>
      <c r="B97" s="29" t="str">
        <f>'Cash Book'!B99</f>
        <v>4001</v>
      </c>
      <c r="C97" s="30">
        <f>'Cash Book'!C99</f>
        <v>401402</v>
      </c>
      <c r="D97" s="31" t="str">
        <f>'Cash Book'!D99</f>
        <v>Exchange A/C</v>
      </c>
      <c r="E97" s="31" t="str">
        <f>'Cash Book'!E99</f>
        <v>Changed from CB USD ( 2,620 x 1,180 ks )</v>
      </c>
      <c r="F97" s="270">
        <f>'Cash Book'!G99</f>
        <v>0</v>
      </c>
      <c r="G97" s="271">
        <f>'Cash Book'!F99</f>
        <v>3091600</v>
      </c>
    </row>
    <row r="98" spans="1:7" ht="30" customHeight="1" x14ac:dyDescent="0.3">
      <c r="A98" s="28" t="str">
        <f>'Cash Book'!A100</f>
        <v>05-04-2016</v>
      </c>
      <c r="B98" s="29" t="str">
        <f>'Cash Book'!B100</f>
        <v>RO4002</v>
      </c>
      <c r="C98" s="30">
        <f>'Cash Book'!C100</f>
        <v>111302</v>
      </c>
      <c r="D98" s="31" t="str">
        <f>'Cash Book'!D100</f>
        <v>Prepaid Deposit ( Others )</v>
      </c>
      <c r="E98" s="31" t="str">
        <f>'Cash Book'!E100</f>
        <v>Refund money from Deposit 700000 ks to YCDC</v>
      </c>
      <c r="F98" s="270">
        <f>'Cash Book'!G100</f>
        <v>0</v>
      </c>
      <c r="G98" s="271">
        <f>'Cash Book'!F100</f>
        <v>30000</v>
      </c>
    </row>
    <row r="99" spans="1:7" ht="30" customHeight="1" x14ac:dyDescent="0.3">
      <c r="A99" s="28" t="str">
        <f>'Cash Book'!A101</f>
        <v>06-04-2016</v>
      </c>
      <c r="B99" s="29" t="str">
        <f>'Cash Book'!B101</f>
        <v>4002</v>
      </c>
      <c r="C99" s="30">
        <f>'Cash Book'!C101</f>
        <v>401402</v>
      </c>
      <c r="D99" s="31" t="str">
        <f>'Cash Book'!D101</f>
        <v>Exchange A/C</v>
      </c>
      <c r="E99" s="31" t="str">
        <f>'Cash Book'!E101</f>
        <v>Changed from CB USD ( 3,115 x 1,170 ks )</v>
      </c>
      <c r="F99" s="270">
        <f>'Cash Book'!G101</f>
        <v>0</v>
      </c>
      <c r="G99" s="271">
        <f>'Cash Book'!F101</f>
        <v>3644550</v>
      </c>
    </row>
    <row r="100" spans="1:7" ht="30" customHeight="1" x14ac:dyDescent="0.3">
      <c r="A100" s="28" t="str">
        <f>'Cash Book'!A102</f>
        <v>05-04-2016</v>
      </c>
      <c r="B100" s="29" t="str">
        <f>'Cash Book'!B102</f>
        <v>PO4004</v>
      </c>
      <c r="C100" s="30">
        <f>'Cash Book'!C102</f>
        <v>612104</v>
      </c>
      <c r="D100" s="31" t="str">
        <f>'Cash Book'!D102</f>
        <v>Travelling Expenses</v>
      </c>
      <c r="E100" s="31" t="str">
        <f>'Cash Book'!E102</f>
        <v>Taxi Fees</v>
      </c>
      <c r="F100" s="270">
        <f>'Cash Book'!G102</f>
        <v>12000</v>
      </c>
      <c r="G100" s="271">
        <f>'Cash Book'!F102</f>
        <v>0</v>
      </c>
    </row>
    <row r="101" spans="1:7" ht="30" customHeight="1" x14ac:dyDescent="0.3">
      <c r="A101" s="28" t="str">
        <f>'Cash Book'!A103</f>
        <v>08-04-2016</v>
      </c>
      <c r="B101" s="29" t="str">
        <f>'Cash Book'!B103</f>
        <v>PO4003</v>
      </c>
      <c r="C101" s="30">
        <f>'Cash Book'!C103</f>
        <v>612101</v>
      </c>
      <c r="D101" s="31" t="str">
        <f>'Cash Book'!D103</f>
        <v>Salary and Bonus</v>
      </c>
      <c r="E101" s="31" t="str">
        <f>'Cash Book'!E103</f>
        <v>Dismissal Wages for Yee Mon Thin</v>
      </c>
      <c r="F101" s="270">
        <f>'Cash Book'!G103</f>
        <v>3090477</v>
      </c>
      <c r="G101" s="271">
        <f>'Cash Book'!F103</f>
        <v>0</v>
      </c>
    </row>
    <row r="102" spans="1:7" ht="30" customHeight="1" x14ac:dyDescent="0.3">
      <c r="A102" s="28" t="str">
        <f>'Cash Book'!A104</f>
        <v>01-04-2014</v>
      </c>
      <c r="B102" s="29" t="str">
        <f>'Cash Book'!B104</f>
        <v>PO4002</v>
      </c>
      <c r="C102" s="30">
        <f>'Cash Book'!C104</f>
        <v>612104</v>
      </c>
      <c r="D102" s="31" t="str">
        <f>'Cash Book'!D104</f>
        <v>Travelling Expenses</v>
      </c>
      <c r="E102" s="31" t="str">
        <f>'Cash Book'!E104</f>
        <v>Taxi Fees for Pawn shop</v>
      </c>
      <c r="F102" s="270">
        <f>'Cash Book'!G104</f>
        <v>8000</v>
      </c>
      <c r="G102" s="271">
        <f>'Cash Book'!F104</f>
        <v>0</v>
      </c>
    </row>
    <row r="103" spans="1:7" ht="30" customHeight="1" x14ac:dyDescent="0.3">
      <c r="A103" s="28" t="str">
        <f>'Cash Book'!A105</f>
        <v>01-04-2016</v>
      </c>
      <c r="B103" s="29" t="str">
        <f>'Cash Book'!B105</f>
        <v>PO4001</v>
      </c>
      <c r="C103" s="30">
        <f>'Cash Book'!C105</f>
        <v>612107</v>
      </c>
      <c r="D103" s="31" t="str">
        <f>'Cash Book'!D105</f>
        <v xml:space="preserve">Other Fees and Charges </v>
      </c>
      <c r="E103" s="31" t="str">
        <f>'Cash Book'!E105</f>
        <v>Interpreter Fees ( $25 x 1,206 ks )</v>
      </c>
      <c r="F103" s="270">
        <f>'Cash Book'!G105</f>
        <v>30150</v>
      </c>
      <c r="G103" s="271">
        <f>'Cash Book'!F105</f>
        <v>0</v>
      </c>
    </row>
    <row r="104" spans="1:7" ht="30" customHeight="1" x14ac:dyDescent="0.3">
      <c r="A104" s="28" t="str">
        <f>'Cash Book'!A106</f>
        <v>29-04-2016</v>
      </c>
      <c r="B104" s="29" t="str">
        <f>'Cash Book'!B106</f>
        <v>RO4001</v>
      </c>
      <c r="C104" s="30">
        <f>'Cash Book'!C106</f>
        <v>111201</v>
      </c>
      <c r="D104" s="31" t="str">
        <f>'Cash Book'!D106</f>
        <v>Cash at Bank ( CB-Kyats )</v>
      </c>
      <c r="E104" s="31" t="str">
        <f>'Cash Book'!E106</f>
        <v>Transfer to CB Ks A/C For Salary</v>
      </c>
      <c r="F104" s="270">
        <f>'Cash Book'!G106</f>
        <v>15546278</v>
      </c>
      <c r="G104" s="271">
        <f>'Cash Book'!F106</f>
        <v>0</v>
      </c>
    </row>
    <row r="105" spans="1:7" ht="30" customHeight="1" x14ac:dyDescent="0.3">
      <c r="A105" s="28" t="str">
        <f>'Cash Book'!A107</f>
        <v>06-05-2016</v>
      </c>
      <c r="B105" s="29" t="str">
        <f>'Cash Book'!B107</f>
        <v>PO04001</v>
      </c>
      <c r="C105" s="30">
        <f>'Cash Book'!C107</f>
        <v>612122</v>
      </c>
      <c r="D105" s="31" t="str">
        <f>'Cash Book'!D107</f>
        <v>Bank Charges</v>
      </c>
      <c r="E105" s="31" t="str">
        <f>'Cash Book'!E107</f>
        <v>For Cheque Book</v>
      </c>
      <c r="F105" s="270">
        <f>'Cash Book'!G107</f>
        <v>125</v>
      </c>
      <c r="G105" s="271">
        <f>'Cash Book'!F107</f>
        <v>0</v>
      </c>
    </row>
    <row r="106" spans="1:7" ht="30" customHeight="1" x14ac:dyDescent="0.3">
      <c r="A106" s="28" t="str">
        <f>'Cash Book'!A108</f>
        <v>31-05-2016</v>
      </c>
      <c r="B106" s="29" t="str">
        <f>'Cash Book'!B108</f>
        <v>PO5008</v>
      </c>
      <c r="C106" s="30">
        <f>'Cash Book'!C108</f>
        <v>401402</v>
      </c>
      <c r="D106" s="31" t="str">
        <f>'Cash Book'!D108</f>
        <v>Exchange A/C</v>
      </c>
      <c r="E106" s="31" t="str">
        <f>'Cash Book'!E108</f>
        <v>Changed from bank usd for salary 1195 ks mmk</v>
      </c>
      <c r="F106" s="270">
        <f>'Cash Book'!G108</f>
        <v>0</v>
      </c>
      <c r="G106" s="271">
        <f>'Cash Book'!F108</f>
        <v>5975000</v>
      </c>
    </row>
    <row r="107" spans="1:7" s="247" customFormat="1" ht="30" customHeight="1" x14ac:dyDescent="0.3">
      <c r="A107" s="28" t="str">
        <f>'Cash Book'!A109</f>
        <v>31-05-2016</v>
      </c>
      <c r="B107" s="29" t="str">
        <f>'Cash Book'!B109</f>
        <v>RO5004</v>
      </c>
      <c r="C107" s="30">
        <f>'Cash Book'!C109</f>
        <v>401101</v>
      </c>
      <c r="D107" s="31" t="str">
        <f>'Cash Book'!D109</f>
        <v>Paid Up Capital</v>
      </c>
      <c r="E107" s="31" t="str">
        <f>'Cash Book'!E109</f>
        <v>From AYA Bank 15600 usd x 1185 ks</v>
      </c>
      <c r="F107" s="270">
        <f>'Cash Book'!G109</f>
        <v>0</v>
      </c>
      <c r="G107" s="271">
        <f>'Cash Book'!F109</f>
        <v>18486000</v>
      </c>
    </row>
    <row r="108" spans="1:7" s="247" customFormat="1" ht="30" customHeight="1" x14ac:dyDescent="0.3">
      <c r="A108" s="28" t="str">
        <f>'Cash Book'!A110</f>
        <v>02-05-2016</v>
      </c>
      <c r="B108" s="29" t="str">
        <f>'Cash Book'!B110</f>
        <v>PO5001</v>
      </c>
      <c r="C108" s="30">
        <f>'Cash Book'!C110</f>
        <v>111302</v>
      </c>
      <c r="D108" s="31" t="str">
        <f>'Cash Book'!D110</f>
        <v>Prepaid Deposit ( Others )</v>
      </c>
      <c r="E108" s="31" t="str">
        <f>'Cash Book'!E110</f>
        <v>Adv for Pown Shop Nominee</v>
      </c>
      <c r="F108" s="270">
        <f>'Cash Book'!G110</f>
        <v>700000</v>
      </c>
      <c r="G108" s="271">
        <f>'Cash Book'!F110</f>
        <v>0</v>
      </c>
    </row>
    <row r="109" spans="1:7" s="247" customFormat="1" ht="30" customHeight="1" x14ac:dyDescent="0.3">
      <c r="A109" s="28" t="str">
        <f>'Cash Book'!A111</f>
        <v>02-05-2016</v>
      </c>
      <c r="B109" s="29" t="str">
        <f>'Cash Book'!B111</f>
        <v>PO5002</v>
      </c>
      <c r="C109" s="30">
        <f>'Cash Book'!C111</f>
        <v>612104</v>
      </c>
      <c r="D109" s="31" t="str">
        <f>'Cash Book'!D111</f>
        <v>Travelling Expenses</v>
      </c>
      <c r="E109" s="31" t="str">
        <f>'Cash Book'!E111</f>
        <v>Taxi Fees going to Pawn Shop</v>
      </c>
      <c r="F109" s="270">
        <f>'Cash Book'!G111</f>
        <v>8000</v>
      </c>
      <c r="G109" s="271">
        <f>'Cash Book'!F111</f>
        <v>0</v>
      </c>
    </row>
    <row r="110" spans="1:7" s="247" customFormat="1" ht="30" customHeight="1" x14ac:dyDescent="0.3">
      <c r="A110" s="28" t="str">
        <f>'Cash Book'!A112</f>
        <v>04-05-2016</v>
      </c>
      <c r="B110" s="29" t="str">
        <f>'Cash Book'!B112</f>
        <v>PO5003</v>
      </c>
      <c r="C110" s="30">
        <f>'Cash Book'!C112</f>
        <v>612107</v>
      </c>
      <c r="D110" s="31" t="str">
        <f>'Cash Book'!D112</f>
        <v xml:space="preserve">Other Fees and Charges </v>
      </c>
      <c r="E110" s="31" t="str">
        <f>'Cash Book'!E112</f>
        <v>Stamp Duty Charges for Rent Contract</v>
      </c>
      <c r="F110" s="270">
        <f>'Cash Book'!G112</f>
        <v>245700</v>
      </c>
      <c r="G110" s="271">
        <f>'Cash Book'!F112</f>
        <v>0</v>
      </c>
    </row>
    <row r="111" spans="1:7" s="247" customFormat="1" ht="30" customHeight="1" x14ac:dyDescent="0.3">
      <c r="A111" s="28" t="str">
        <f>'Cash Book'!A113</f>
        <v>04-05-2016</v>
      </c>
      <c r="B111" s="29" t="str">
        <f>'Cash Book'!B113</f>
        <v>PO5004</v>
      </c>
      <c r="C111" s="30">
        <f>'Cash Book'!C113</f>
        <v>612104</v>
      </c>
      <c r="D111" s="31" t="str">
        <f>'Cash Book'!D113</f>
        <v>Travelling Expenses</v>
      </c>
      <c r="E111" s="31" t="str">
        <f>'Cash Book'!E113</f>
        <v>Taxi Fees Office to Bank</v>
      </c>
      <c r="F111" s="270">
        <f>'Cash Book'!G113</f>
        <v>4500</v>
      </c>
      <c r="G111" s="271">
        <f>'Cash Book'!F113</f>
        <v>0</v>
      </c>
    </row>
    <row r="112" spans="1:7" s="247" customFormat="1" ht="30" customHeight="1" x14ac:dyDescent="0.3">
      <c r="A112" s="28" t="str">
        <f>'Cash Book'!A114</f>
        <v>05-05-2016</v>
      </c>
      <c r="B112" s="29" t="str">
        <f>'Cash Book'!B114</f>
        <v>PO5005</v>
      </c>
      <c r="C112" s="30">
        <f>'Cash Book'!C114</f>
        <v>612104</v>
      </c>
      <c r="D112" s="31" t="str">
        <f>'Cash Book'!D114</f>
        <v>Travelling Expenses</v>
      </c>
      <c r="E112" s="31" t="str">
        <f>'Cash Book'!E114</f>
        <v>Taxi Charges for Mobile Money Test</v>
      </c>
      <c r="F112" s="270">
        <f>'Cash Book'!G114</f>
        <v>22000</v>
      </c>
      <c r="G112" s="271">
        <f>'Cash Book'!F114</f>
        <v>0</v>
      </c>
    </row>
    <row r="113" spans="1:7" ht="30" customHeight="1" x14ac:dyDescent="0.3">
      <c r="A113" s="28" t="str">
        <f>'Cash Book'!A115</f>
        <v>05-05-2016</v>
      </c>
      <c r="B113" s="29" t="str">
        <f>'Cash Book'!B115</f>
        <v>PO5006</v>
      </c>
      <c r="C113" s="30">
        <f>'Cash Book'!C115</f>
        <v>612104</v>
      </c>
      <c r="D113" s="31" t="str">
        <f>'Cash Book'!D115</f>
        <v>Travelling Expenses</v>
      </c>
      <c r="E113" s="31" t="str">
        <f>'Cash Book'!E115</f>
        <v>Taxi Fees for Mobile Money</v>
      </c>
      <c r="F113" s="270">
        <f>'Cash Book'!G115</f>
        <v>9500</v>
      </c>
      <c r="G113" s="271">
        <f>'Cash Book'!F115</f>
        <v>0</v>
      </c>
    </row>
    <row r="114" spans="1:7" s="247" customFormat="1" ht="30" customHeight="1" x14ac:dyDescent="0.3">
      <c r="A114" s="28" t="str">
        <f>'Cash Book'!A116</f>
        <v>06-05-2016</v>
      </c>
      <c r="B114" s="29" t="str">
        <f>'Cash Book'!B116</f>
        <v>PO5007</v>
      </c>
      <c r="C114" s="30">
        <f>'Cash Book'!C116</f>
        <v>612104</v>
      </c>
      <c r="D114" s="31" t="str">
        <f>'Cash Book'!D116</f>
        <v>Travelling Expenses</v>
      </c>
      <c r="E114" s="31" t="str">
        <f>'Cash Book'!E116</f>
        <v>Taxi Fees for Mobile Money</v>
      </c>
      <c r="F114" s="270">
        <f>'Cash Book'!G116</f>
        <v>4000</v>
      </c>
      <c r="G114" s="271">
        <f>'Cash Book'!F116</f>
        <v>0</v>
      </c>
    </row>
    <row r="115" spans="1:7" s="247" customFormat="1" ht="30" customHeight="1" x14ac:dyDescent="0.3">
      <c r="A115" s="28" t="str">
        <f>'Cash Book'!A117</f>
        <v>23-05-2016</v>
      </c>
      <c r="B115" s="29" t="str">
        <f>'Cash Book'!B117</f>
        <v>PO5008</v>
      </c>
      <c r="C115" s="30">
        <f>'Cash Book'!C117</f>
        <v>111302</v>
      </c>
      <c r="D115" s="31" t="str">
        <f>'Cash Book'!D117</f>
        <v>Prepaid Deposit ( Others )</v>
      </c>
      <c r="E115" s="31" t="str">
        <f>'Cash Book'!E117</f>
        <v>Pawn Shop Office Deposit</v>
      </c>
      <c r="F115" s="270">
        <f>'Cash Book'!G117</f>
        <v>750000</v>
      </c>
      <c r="G115" s="271">
        <f>'Cash Book'!F117</f>
        <v>0</v>
      </c>
    </row>
    <row r="116" spans="1:7" s="247" customFormat="1" ht="30" customHeight="1" x14ac:dyDescent="0.3">
      <c r="A116" s="28" t="str">
        <f>'Cash Book'!A118</f>
        <v>23-05-2016</v>
      </c>
      <c r="B116" s="29" t="str">
        <f>'Cash Book'!B118</f>
        <v>PO5009</v>
      </c>
      <c r="C116" s="30">
        <f>'Cash Book'!C118</f>
        <v>612104</v>
      </c>
      <c r="D116" s="31" t="str">
        <f>'Cash Book'!D118</f>
        <v>Travelling Expenses</v>
      </c>
      <c r="E116" s="31" t="str">
        <f>'Cash Book'!E118</f>
        <v>Taxi Fees for Mobile Money</v>
      </c>
      <c r="F116" s="270">
        <f>'Cash Book'!G118</f>
        <v>4000</v>
      </c>
      <c r="G116" s="271">
        <f>'Cash Book'!F118</f>
        <v>0</v>
      </c>
    </row>
    <row r="117" spans="1:7" s="247" customFormat="1" ht="30" customHeight="1" x14ac:dyDescent="0.3">
      <c r="A117" s="28" t="str">
        <f>'Cash Book'!A119</f>
        <v>31-05-2016</v>
      </c>
      <c r="B117" s="29" t="str">
        <f>'Cash Book'!B119</f>
        <v>PO5009</v>
      </c>
      <c r="C117" s="30">
        <f>'Cash Book'!C119</f>
        <v>612104</v>
      </c>
      <c r="D117" s="31" t="str">
        <f>'Cash Book'!D119</f>
        <v>Travelling Expenses</v>
      </c>
      <c r="E117" s="31" t="str">
        <f>'Cash Book'!E119</f>
        <v>Taxi Fees for Office to YCDC Office</v>
      </c>
      <c r="F117" s="270">
        <f>'Cash Book'!G119</f>
        <v>3000</v>
      </c>
      <c r="G117" s="271">
        <f>'Cash Book'!F119</f>
        <v>0</v>
      </c>
    </row>
    <row r="118" spans="1:7" s="247" customFormat="1" ht="30" customHeight="1" x14ac:dyDescent="0.3">
      <c r="A118" s="28" t="str">
        <f>'Cash Book'!A120</f>
        <v>30-05-2016</v>
      </c>
      <c r="B118" s="29" t="str">
        <f>'Cash Book'!B120</f>
        <v>PO5010</v>
      </c>
      <c r="C118" s="30">
        <f>'Cash Book'!C120</f>
        <v>111302</v>
      </c>
      <c r="D118" s="31" t="str">
        <f>'Cash Book'!D120</f>
        <v>Prepaid Deposit ( Others )</v>
      </c>
      <c r="E118" s="31" t="str">
        <f>'Cash Book'!E120</f>
        <v>Deposit for Pawn Shop Bank A/C</v>
      </c>
      <c r="F118" s="270">
        <f>'Cash Book'!G120</f>
        <v>1200</v>
      </c>
      <c r="G118" s="271">
        <f>'Cash Book'!F120</f>
        <v>0</v>
      </c>
    </row>
    <row r="119" spans="1:7" s="247" customFormat="1" ht="30" customHeight="1" x14ac:dyDescent="0.3">
      <c r="A119" s="28" t="str">
        <f>'Cash Book'!A121</f>
        <v>31-05-2016</v>
      </c>
      <c r="B119" s="29" t="str">
        <f>'Cash Book'!B121</f>
        <v>PO5011</v>
      </c>
      <c r="C119" s="30">
        <f>'Cash Book'!C121</f>
        <v>612104</v>
      </c>
      <c r="D119" s="31" t="str">
        <f>'Cash Book'!D121</f>
        <v>Travelling Expenses</v>
      </c>
      <c r="E119" s="31" t="str">
        <f>'Cash Book'!E121</f>
        <v>Taxi Fees for Office to CB Bank</v>
      </c>
      <c r="F119" s="270">
        <f>'Cash Book'!G121</f>
        <v>1500</v>
      </c>
      <c r="G119" s="271">
        <f>'Cash Book'!F121</f>
        <v>0</v>
      </c>
    </row>
    <row r="120" spans="1:7" s="247" customFormat="1" ht="30" customHeight="1" x14ac:dyDescent="0.3">
      <c r="A120" s="28" t="str">
        <f>'Cash Book'!A122</f>
        <v>31-05-2016</v>
      </c>
      <c r="B120" s="29" t="str">
        <f>'Cash Book'!B122</f>
        <v>PO5012</v>
      </c>
      <c r="C120" s="30">
        <f>'Cash Book'!C122</f>
        <v>612103</v>
      </c>
      <c r="D120" s="31" t="str">
        <f>'Cash Book'!D122</f>
        <v>Office Rental Charges</v>
      </c>
      <c r="E120" s="31" t="str">
        <f>'Cash Book'!E122</f>
        <v>Pawn Shop Office Rental Fees</v>
      </c>
      <c r="F120" s="270">
        <f>'Cash Book'!G122</f>
        <v>6840000</v>
      </c>
      <c r="G120" s="271">
        <f>'Cash Book'!F122</f>
        <v>0</v>
      </c>
    </row>
    <row r="121" spans="1:7" s="247" customFormat="1" ht="30" customHeight="1" x14ac:dyDescent="0.3">
      <c r="A121" s="28" t="str">
        <f>'Cash Book'!A123</f>
        <v>31-05-2016</v>
      </c>
      <c r="B121" s="29" t="str">
        <f>'Cash Book'!B123</f>
        <v>PO5013</v>
      </c>
      <c r="C121" s="30">
        <f>'Cash Book'!C123</f>
        <v>111201</v>
      </c>
      <c r="D121" s="31" t="str">
        <f>'Cash Book'!D123</f>
        <v>Cash at Bank ( CB-Kyats )</v>
      </c>
      <c r="E121" s="31" t="str">
        <f>'Cash Book'!E123</f>
        <v>Deposit to Bank Ks A/C</v>
      </c>
      <c r="F121" s="270">
        <f>'Cash Book'!G123</f>
        <v>11646000</v>
      </c>
      <c r="G121" s="271">
        <f>'Cash Book'!F123</f>
        <v>0</v>
      </c>
    </row>
    <row r="122" spans="1:7" s="247" customFormat="1" ht="30" customHeight="1" x14ac:dyDescent="0.3">
      <c r="A122" s="28" t="str">
        <f>'Cash Book'!A124</f>
        <v>31-05-2016</v>
      </c>
      <c r="B122" s="29" t="str">
        <f>'Cash Book'!B124</f>
        <v>Adj</v>
      </c>
      <c r="C122" s="30">
        <f>'Cash Book'!C124</f>
        <v>111201</v>
      </c>
      <c r="D122" s="31" t="str">
        <f>'Cash Book'!D124</f>
        <v>Cash at Bank ( CB-Kyats )</v>
      </c>
      <c r="E122" s="31" t="str">
        <f>'Cash Book'!E124</f>
        <v xml:space="preserve">Transfer to CB Ks A/C </v>
      </c>
      <c r="F122" s="270">
        <f>'Cash Book'!G124</f>
        <v>3000000</v>
      </c>
      <c r="G122" s="271">
        <f>'Cash Book'!F124</f>
        <v>0</v>
      </c>
    </row>
    <row r="123" spans="1:7" s="247" customFormat="1" ht="30" hidden="1" customHeight="1" x14ac:dyDescent="0.3">
      <c r="A123" s="28">
        <f>'Cash Book'!A125</f>
        <v>0</v>
      </c>
      <c r="B123" s="29">
        <f>'Cash Book'!B125</f>
        <v>0</v>
      </c>
      <c r="C123" s="30">
        <f>'Cash Book'!C125</f>
        <v>0</v>
      </c>
      <c r="D123" s="31">
        <f>'Cash Book'!D125</f>
        <v>0</v>
      </c>
      <c r="E123" s="31">
        <f>'Cash Book'!E125</f>
        <v>0</v>
      </c>
      <c r="F123" s="270">
        <f>'Cash Book'!G125</f>
        <v>0</v>
      </c>
      <c r="G123" s="271">
        <f>'Cash Book'!F125</f>
        <v>0</v>
      </c>
    </row>
    <row r="124" spans="1:7" s="247" customFormat="1" ht="30" hidden="1" customHeight="1" x14ac:dyDescent="0.3">
      <c r="A124" s="28">
        <f>'Cash Book'!A126</f>
        <v>0</v>
      </c>
      <c r="B124" s="29">
        <f>'Cash Book'!B126</f>
        <v>0</v>
      </c>
      <c r="C124" s="30">
        <f>'Cash Book'!C126</f>
        <v>0</v>
      </c>
      <c r="D124" s="31">
        <f>'Cash Book'!D126</f>
        <v>0</v>
      </c>
      <c r="E124" s="31">
        <f>'Cash Book'!E126</f>
        <v>0</v>
      </c>
      <c r="F124" s="270">
        <f>'Cash Book'!G126</f>
        <v>0</v>
      </c>
      <c r="G124" s="271">
        <f>'Cash Book'!F126</f>
        <v>0</v>
      </c>
    </row>
    <row r="125" spans="1:7" s="247" customFormat="1" ht="30" hidden="1" customHeight="1" x14ac:dyDescent="0.3">
      <c r="A125" s="28">
        <f>'Cash Book'!A127</f>
        <v>0</v>
      </c>
      <c r="B125" s="29">
        <f>'Cash Book'!B127</f>
        <v>0</v>
      </c>
      <c r="C125" s="30">
        <f>'Cash Book'!C127</f>
        <v>0</v>
      </c>
      <c r="D125" s="31">
        <f>'Cash Book'!D127</f>
        <v>0</v>
      </c>
      <c r="E125" s="31">
        <f>'Cash Book'!E127</f>
        <v>0</v>
      </c>
      <c r="F125" s="270">
        <f>'Cash Book'!G127</f>
        <v>0</v>
      </c>
      <c r="G125" s="271">
        <f>'Cash Book'!F127</f>
        <v>0</v>
      </c>
    </row>
    <row r="126" spans="1:7" s="247" customFormat="1" ht="30" hidden="1" customHeight="1" x14ac:dyDescent="0.3">
      <c r="A126" s="28">
        <f>'Cash Book'!A128</f>
        <v>0</v>
      </c>
      <c r="B126" s="29">
        <f>'Cash Book'!B128</f>
        <v>0</v>
      </c>
      <c r="C126" s="30">
        <f>'Cash Book'!C128</f>
        <v>0</v>
      </c>
      <c r="D126" s="31">
        <f>'Cash Book'!D128</f>
        <v>0</v>
      </c>
      <c r="E126" s="31">
        <f>'Cash Book'!E128</f>
        <v>0</v>
      </c>
      <c r="F126" s="270">
        <f>'Cash Book'!G128</f>
        <v>0</v>
      </c>
      <c r="G126" s="271">
        <f>'Cash Book'!F128</f>
        <v>0</v>
      </c>
    </row>
    <row r="127" spans="1:7" s="247" customFormat="1" ht="30" hidden="1" customHeight="1" x14ac:dyDescent="0.3">
      <c r="A127" s="28">
        <f>'Cash Book'!A129</f>
        <v>0</v>
      </c>
      <c r="B127" s="29">
        <f>'Cash Book'!B129</f>
        <v>0</v>
      </c>
      <c r="C127" s="30">
        <f>'Cash Book'!C129</f>
        <v>0</v>
      </c>
      <c r="D127" s="31">
        <f>'Cash Book'!D129</f>
        <v>0</v>
      </c>
      <c r="E127" s="31">
        <f>'Cash Book'!E129</f>
        <v>0</v>
      </c>
      <c r="F127" s="270">
        <f>'Cash Book'!G129</f>
        <v>0</v>
      </c>
      <c r="G127" s="271">
        <f>'Cash Book'!F129</f>
        <v>0</v>
      </c>
    </row>
    <row r="128" spans="1:7" s="247" customFormat="1" ht="30" hidden="1" customHeight="1" x14ac:dyDescent="0.3">
      <c r="A128" s="28">
        <f>'Cash Book'!A130</f>
        <v>0</v>
      </c>
      <c r="B128" s="29">
        <f>'Cash Book'!B130</f>
        <v>0</v>
      </c>
      <c r="C128" s="30">
        <f>'Cash Book'!C130</f>
        <v>0</v>
      </c>
      <c r="D128" s="31">
        <f>'Cash Book'!D130</f>
        <v>0</v>
      </c>
      <c r="E128" s="31">
        <f>'Cash Book'!E130</f>
        <v>0</v>
      </c>
      <c r="F128" s="270">
        <f>'Cash Book'!G130</f>
        <v>0</v>
      </c>
      <c r="G128" s="271">
        <f>'Cash Book'!F130</f>
        <v>0</v>
      </c>
    </row>
    <row r="129" spans="1:7" s="247" customFormat="1" ht="30" hidden="1" customHeight="1" x14ac:dyDescent="0.3">
      <c r="A129" s="28">
        <f>'Cash Book'!A131</f>
        <v>0</v>
      </c>
      <c r="B129" s="29">
        <f>'Cash Book'!B131</f>
        <v>0</v>
      </c>
      <c r="C129" s="30">
        <f>'Cash Book'!C131</f>
        <v>0</v>
      </c>
      <c r="D129" s="31">
        <f>'Cash Book'!D131</f>
        <v>0</v>
      </c>
      <c r="E129" s="31">
        <f>'Cash Book'!E131</f>
        <v>0</v>
      </c>
      <c r="F129" s="270">
        <f>'Cash Book'!G131</f>
        <v>0</v>
      </c>
      <c r="G129" s="271">
        <f>'Cash Book'!F131</f>
        <v>0</v>
      </c>
    </row>
    <row r="130" spans="1:7" s="247" customFormat="1" ht="30" hidden="1" customHeight="1" x14ac:dyDescent="0.3">
      <c r="A130" s="28">
        <f>'Cash Book'!A132</f>
        <v>0</v>
      </c>
      <c r="B130" s="29">
        <f>'Cash Book'!B132</f>
        <v>0</v>
      </c>
      <c r="C130" s="30">
        <f>'Cash Book'!C132</f>
        <v>0</v>
      </c>
      <c r="D130" s="31">
        <f>'Cash Book'!D132</f>
        <v>0</v>
      </c>
      <c r="E130" s="31">
        <f>'Cash Book'!E132</f>
        <v>0</v>
      </c>
      <c r="F130" s="270">
        <f>'Cash Book'!G132</f>
        <v>0</v>
      </c>
      <c r="G130" s="271">
        <f>'Cash Book'!F132</f>
        <v>0</v>
      </c>
    </row>
    <row r="131" spans="1:7" s="247" customFormat="1" ht="30" hidden="1" customHeight="1" x14ac:dyDescent="0.3">
      <c r="A131" s="28">
        <f>'Cash Book'!A133</f>
        <v>0</v>
      </c>
      <c r="B131" s="29">
        <f>'Cash Book'!B133</f>
        <v>0</v>
      </c>
      <c r="C131" s="30">
        <f>'Cash Book'!C133</f>
        <v>0</v>
      </c>
      <c r="D131" s="31">
        <f>'Cash Book'!D133</f>
        <v>0</v>
      </c>
      <c r="E131" s="31">
        <f>'Cash Book'!E133</f>
        <v>0</v>
      </c>
      <c r="F131" s="270">
        <f>'Cash Book'!G133</f>
        <v>0</v>
      </c>
      <c r="G131" s="271">
        <f>'Cash Book'!F133</f>
        <v>0</v>
      </c>
    </row>
    <row r="132" spans="1:7" s="247" customFormat="1" ht="30" hidden="1" customHeight="1" x14ac:dyDescent="0.3">
      <c r="A132" s="28">
        <f>'Cash Book'!A134</f>
        <v>0</v>
      </c>
      <c r="B132" s="29">
        <f>'Cash Book'!B134</f>
        <v>0</v>
      </c>
      <c r="C132" s="30">
        <f>'Cash Book'!C134</f>
        <v>0</v>
      </c>
      <c r="D132" s="31">
        <f>'Cash Book'!D134</f>
        <v>0</v>
      </c>
      <c r="E132" s="31">
        <f>'Cash Book'!E134</f>
        <v>0</v>
      </c>
      <c r="F132" s="270">
        <f>'Cash Book'!G134</f>
        <v>0</v>
      </c>
      <c r="G132" s="271">
        <f>'Cash Book'!F134</f>
        <v>0</v>
      </c>
    </row>
    <row r="133" spans="1:7" s="247" customFormat="1" ht="30" hidden="1" customHeight="1" x14ac:dyDescent="0.3">
      <c r="A133" s="28">
        <f>'Cash Book'!A135</f>
        <v>0</v>
      </c>
      <c r="B133" s="29">
        <f>'Cash Book'!B135</f>
        <v>0</v>
      </c>
      <c r="C133" s="30">
        <f>'Cash Book'!C135</f>
        <v>0</v>
      </c>
      <c r="D133" s="31">
        <f>'Cash Book'!D135</f>
        <v>0</v>
      </c>
      <c r="E133" s="31">
        <f>'Cash Book'!E135</f>
        <v>0</v>
      </c>
      <c r="F133" s="270">
        <f>'Cash Book'!G135</f>
        <v>0</v>
      </c>
      <c r="G133" s="271">
        <f>'Cash Book'!F135</f>
        <v>0</v>
      </c>
    </row>
    <row r="134" spans="1:7" s="247" customFormat="1" ht="30" hidden="1" customHeight="1" x14ac:dyDescent="0.3">
      <c r="A134" s="28">
        <f>'Cash Book'!A136</f>
        <v>0</v>
      </c>
      <c r="B134" s="29">
        <f>'Cash Book'!B136</f>
        <v>0</v>
      </c>
      <c r="C134" s="30">
        <f>'Cash Book'!C136</f>
        <v>0</v>
      </c>
      <c r="D134" s="31">
        <f>'Cash Book'!D136</f>
        <v>0</v>
      </c>
      <c r="E134" s="31">
        <f>'Cash Book'!E136</f>
        <v>0</v>
      </c>
      <c r="F134" s="270">
        <f>'Cash Book'!G136</f>
        <v>0</v>
      </c>
      <c r="G134" s="271">
        <f>'Cash Book'!F136</f>
        <v>0</v>
      </c>
    </row>
    <row r="135" spans="1:7" s="247" customFormat="1" ht="30" hidden="1" customHeight="1" x14ac:dyDescent="0.3">
      <c r="A135" s="28">
        <f>'Cash Book'!A137</f>
        <v>0</v>
      </c>
      <c r="B135" s="29">
        <f>'Cash Book'!B137</f>
        <v>0</v>
      </c>
      <c r="C135" s="30">
        <f>'Cash Book'!C137</f>
        <v>0</v>
      </c>
      <c r="D135" s="31">
        <f>'Cash Book'!D137</f>
        <v>0</v>
      </c>
      <c r="E135" s="31">
        <f>'Cash Book'!E137</f>
        <v>0</v>
      </c>
      <c r="F135" s="270">
        <f>'Cash Book'!G137</f>
        <v>0</v>
      </c>
      <c r="G135" s="271">
        <f>'Cash Book'!F137</f>
        <v>0</v>
      </c>
    </row>
    <row r="136" spans="1:7" s="247" customFormat="1" ht="30" hidden="1" customHeight="1" x14ac:dyDescent="0.3">
      <c r="A136" s="28">
        <f>'Cash Book'!A138</f>
        <v>0</v>
      </c>
      <c r="B136" s="29">
        <f>'Cash Book'!B138</f>
        <v>0</v>
      </c>
      <c r="C136" s="30">
        <f>'Cash Book'!C138</f>
        <v>0</v>
      </c>
      <c r="D136" s="31">
        <f>'Cash Book'!D138</f>
        <v>0</v>
      </c>
      <c r="E136" s="31">
        <f>'Cash Book'!E138</f>
        <v>0</v>
      </c>
      <c r="F136" s="270">
        <f>'Cash Book'!G138</f>
        <v>0</v>
      </c>
      <c r="G136" s="271">
        <f>'Cash Book'!F138</f>
        <v>0</v>
      </c>
    </row>
    <row r="137" spans="1:7" s="247" customFormat="1" ht="30" hidden="1" customHeight="1" x14ac:dyDescent="0.3">
      <c r="A137" s="28">
        <f>'Cash Book'!A139</f>
        <v>0</v>
      </c>
      <c r="B137" s="29">
        <f>'Cash Book'!B139</f>
        <v>0</v>
      </c>
      <c r="C137" s="30">
        <f>'Cash Book'!C139</f>
        <v>0</v>
      </c>
      <c r="D137" s="31">
        <f>'Cash Book'!D139</f>
        <v>0</v>
      </c>
      <c r="E137" s="31">
        <f>'Cash Book'!E139</f>
        <v>0</v>
      </c>
      <c r="F137" s="270">
        <f>'Cash Book'!G139</f>
        <v>0</v>
      </c>
      <c r="G137" s="271">
        <f>'Cash Book'!F139</f>
        <v>0</v>
      </c>
    </row>
    <row r="138" spans="1:7" s="247" customFormat="1" ht="30" hidden="1" customHeight="1" x14ac:dyDescent="0.3">
      <c r="A138" s="28">
        <f>'Cash Book'!A140</f>
        <v>0</v>
      </c>
      <c r="B138" s="29">
        <f>'Cash Book'!B140</f>
        <v>0</v>
      </c>
      <c r="C138" s="30">
        <f>'Cash Book'!C140</f>
        <v>0</v>
      </c>
      <c r="D138" s="31">
        <f>'Cash Book'!D140</f>
        <v>0</v>
      </c>
      <c r="E138" s="31">
        <f>'Cash Book'!E140</f>
        <v>0</v>
      </c>
      <c r="F138" s="270">
        <f>'Cash Book'!G140</f>
        <v>0</v>
      </c>
      <c r="G138" s="271">
        <f>'Cash Book'!F140</f>
        <v>0</v>
      </c>
    </row>
    <row r="139" spans="1:7" s="247" customFormat="1" ht="30" hidden="1" customHeight="1" x14ac:dyDescent="0.3">
      <c r="A139" s="28">
        <f>'Cash Book'!A141</f>
        <v>0</v>
      </c>
      <c r="B139" s="29">
        <f>'Cash Book'!B141</f>
        <v>0</v>
      </c>
      <c r="C139" s="30">
        <f>'Cash Book'!C141</f>
        <v>0</v>
      </c>
      <c r="D139" s="31">
        <f>'Cash Book'!D141</f>
        <v>0</v>
      </c>
      <c r="E139" s="31">
        <f>'Cash Book'!E141</f>
        <v>0</v>
      </c>
      <c r="F139" s="270">
        <f>'Cash Book'!G141</f>
        <v>0</v>
      </c>
      <c r="G139" s="271">
        <f>'Cash Book'!F141</f>
        <v>0</v>
      </c>
    </row>
    <row r="140" spans="1:7" s="247" customFormat="1" ht="30" hidden="1" customHeight="1" x14ac:dyDescent="0.3">
      <c r="A140" s="28">
        <f>'Cash Book'!A142</f>
        <v>0</v>
      </c>
      <c r="B140" s="29">
        <f>'Cash Book'!B142</f>
        <v>0</v>
      </c>
      <c r="C140" s="30">
        <f>'Cash Book'!C142</f>
        <v>0</v>
      </c>
      <c r="D140" s="31">
        <f>'Cash Book'!D142</f>
        <v>0</v>
      </c>
      <c r="E140" s="31">
        <f>'Cash Book'!E142</f>
        <v>0</v>
      </c>
      <c r="F140" s="270">
        <f>'Cash Book'!G142</f>
        <v>0</v>
      </c>
      <c r="G140" s="271">
        <f>'Cash Book'!F142</f>
        <v>0</v>
      </c>
    </row>
    <row r="141" spans="1:7" s="247" customFormat="1" ht="30" customHeight="1" x14ac:dyDescent="0.3">
      <c r="A141" s="28"/>
      <c r="B141" s="29"/>
      <c r="C141" s="30"/>
      <c r="D141" s="31"/>
      <c r="E141" s="31"/>
      <c r="F141" s="270"/>
      <c r="G141" s="271"/>
    </row>
    <row r="142" spans="1:7" s="247" customFormat="1" ht="30" customHeight="1" x14ac:dyDescent="0.3">
      <c r="A142" s="28"/>
      <c r="B142" s="29"/>
      <c r="C142" s="30"/>
      <c r="D142" s="31"/>
      <c r="E142" s="31"/>
      <c r="F142" s="270"/>
      <c r="G142" s="271"/>
    </row>
    <row r="143" spans="1:7" s="247" customFormat="1" ht="30" customHeight="1" x14ac:dyDescent="0.3">
      <c r="A143" s="28"/>
      <c r="B143" s="29"/>
      <c r="C143" s="30"/>
      <c r="D143" s="31"/>
      <c r="E143" s="31"/>
      <c r="F143" s="270"/>
      <c r="G143" s="271"/>
    </row>
    <row r="144" spans="1:7" ht="30" customHeight="1" thickBot="1" x14ac:dyDescent="0.35">
      <c r="A144" s="28"/>
      <c r="B144" s="29"/>
      <c r="C144" s="30"/>
      <c r="D144" s="31"/>
      <c r="E144" s="31"/>
      <c r="F144" s="270"/>
      <c r="G144" s="271"/>
    </row>
    <row r="145" spans="1:7" ht="30" customHeight="1" thickBot="1" x14ac:dyDescent="0.35">
      <c r="A145" s="32"/>
      <c r="B145" s="20"/>
      <c r="C145" s="20"/>
      <c r="D145" s="20"/>
      <c r="E145" s="23" t="s">
        <v>73</v>
      </c>
      <c r="F145" s="273">
        <f>SUBTOTAL(9,F5:F144)</f>
        <v>53722959</v>
      </c>
      <c r="G145" s="274">
        <f>SUBTOTAL(9,G5:G144)</f>
        <v>56549915</v>
      </c>
    </row>
    <row r="146" spans="1:7" ht="15" thickTop="1" x14ac:dyDescent="0.3"/>
  </sheetData>
  <autoFilter ref="A4:G144">
    <filterColumn colId="2">
      <filters blank="1">
        <filter val="111201"/>
        <filter val="111301"/>
        <filter val="111302"/>
        <filter val="401101"/>
        <filter val="401402"/>
        <filter val="612101"/>
        <filter val="612103"/>
        <filter val="612104"/>
        <filter val="612105"/>
        <filter val="612107"/>
        <filter val="612108"/>
        <filter val="612112"/>
        <filter val="612113"/>
        <filter val="612115"/>
        <filter val="612117"/>
        <filter val="612119"/>
        <filter val="612121"/>
        <filter val="612122"/>
      </filters>
    </filterColumn>
  </autoFilter>
  <mergeCells count="3">
    <mergeCell ref="A1:G1"/>
    <mergeCell ref="A2:G2"/>
    <mergeCell ref="F3:G3"/>
  </mergeCells>
  <pageMargins left="0.39370078740157483" right="0" top="0" bottom="0" header="0.31496062992125984" footer="0.31496062992125984"/>
  <pageSetup paperSize="9" scale="78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26"/>
  <sheetViews>
    <sheetView showGridLines="0" workbookViewId="0">
      <pane ySplit="4" topLeftCell="A5" activePane="bottomLeft" state="frozen"/>
      <selection pane="bottomLeft" activeCell="E9" sqref="E9"/>
    </sheetView>
  </sheetViews>
  <sheetFormatPr defaultRowHeight="14.4" x14ac:dyDescent="0.3"/>
  <cols>
    <col min="1" max="1" width="12.109375" customWidth="1"/>
    <col min="2" max="2" width="15.88671875" customWidth="1"/>
    <col min="3" max="3" width="13" customWidth="1"/>
    <col min="4" max="4" width="31.88671875" customWidth="1"/>
    <col min="5" max="5" width="38" customWidth="1"/>
    <col min="6" max="7" width="12.6640625" customWidth="1"/>
    <col min="8" max="8" width="14.6640625" customWidth="1"/>
    <col min="10" max="10" width="17.44140625" customWidth="1"/>
    <col min="11" max="11" width="55.33203125" customWidth="1"/>
    <col min="12" max="12" width="15.6640625" customWidth="1"/>
    <col min="13" max="13" width="18.5546875" customWidth="1"/>
  </cols>
  <sheetData>
    <row r="1" spans="1:14" ht="24.9" customHeight="1" x14ac:dyDescent="0.35">
      <c r="A1" s="449" t="str">
        <f>'Cash Book'!A1:H1</f>
        <v>LEAD GENERATION CO.,LTD</v>
      </c>
      <c r="B1" s="449"/>
      <c r="C1" s="449"/>
      <c r="D1" s="449"/>
      <c r="E1" s="449"/>
      <c r="F1" s="449"/>
      <c r="G1" s="449"/>
      <c r="H1" s="449"/>
    </row>
    <row r="2" spans="1:14" ht="24.9" customHeight="1" x14ac:dyDescent="0.3">
      <c r="A2" s="450" t="s">
        <v>141</v>
      </c>
      <c r="B2" s="450"/>
      <c r="C2" s="450"/>
      <c r="D2" s="450"/>
      <c r="E2" s="450"/>
      <c r="F2" s="450"/>
      <c r="G2" s="450"/>
      <c r="H2" s="450"/>
    </row>
    <row r="3" spans="1:14" ht="15" thickBot="1" x14ac:dyDescent="0.35">
      <c r="G3" s="452" t="str">
        <f>'Cash Book'!G3</f>
        <v>For 1-06-2015 to 31-05-2016</v>
      </c>
      <c r="H3" s="452"/>
    </row>
    <row r="4" spans="1:14" ht="33" customHeight="1" x14ac:dyDescent="0.3">
      <c r="A4" s="3" t="s">
        <v>61</v>
      </c>
      <c r="B4" s="4" t="s">
        <v>62</v>
      </c>
      <c r="C4" s="5" t="s">
        <v>63</v>
      </c>
      <c r="D4" s="4" t="s">
        <v>64</v>
      </c>
      <c r="E4" s="5" t="s">
        <v>65</v>
      </c>
      <c r="F4" s="6" t="s">
        <v>66</v>
      </c>
      <c r="G4" s="7" t="s">
        <v>67</v>
      </c>
      <c r="H4" s="8" t="s">
        <v>68</v>
      </c>
      <c r="J4" s="451" t="s">
        <v>69</v>
      </c>
      <c r="K4" s="451"/>
      <c r="L4" s="451"/>
      <c r="M4" s="451"/>
    </row>
    <row r="5" spans="1:14" ht="30" customHeight="1" x14ac:dyDescent="0.3">
      <c r="A5" s="310">
        <v>42461</v>
      </c>
      <c r="B5" s="194"/>
      <c r="C5" s="196"/>
      <c r="D5" s="195" t="s">
        <v>163</v>
      </c>
      <c r="E5" s="195"/>
      <c r="F5" s="263"/>
      <c r="G5" s="264"/>
      <c r="H5" s="265">
        <v>0</v>
      </c>
      <c r="L5" s="10" t="s">
        <v>70</v>
      </c>
      <c r="M5" s="11" t="s">
        <v>66</v>
      </c>
    </row>
    <row r="6" spans="1:14" ht="30" customHeight="1" x14ac:dyDescent="0.3">
      <c r="A6" s="310"/>
      <c r="B6" s="194"/>
      <c r="C6" s="196"/>
      <c r="D6" s="195">
        <f>IFERROR(VLOOKUP(C6,'Acc code'!$B$2:$C$82,2,FALSE),0)</f>
        <v>0</v>
      </c>
      <c r="E6" s="195"/>
      <c r="F6" s="256"/>
      <c r="G6" s="256"/>
      <c r="H6" s="265">
        <f>H5+F6-G6</f>
        <v>0</v>
      </c>
    </row>
    <row r="7" spans="1:14" s="247" customFormat="1" ht="30" customHeight="1" x14ac:dyDescent="0.3">
      <c r="A7" s="310"/>
      <c r="B7" s="194"/>
      <c r="C7" s="196"/>
      <c r="D7" s="195">
        <f>IFERROR(VLOOKUP(C7,'Acc code'!$B$2:$C$82,2,FALSE),0)</f>
        <v>0</v>
      </c>
      <c r="E7" s="195"/>
      <c r="F7" s="256"/>
      <c r="G7" s="256"/>
      <c r="H7" s="265">
        <f t="shared" ref="H7:H71" si="0">H6+F7-G7</f>
        <v>0</v>
      </c>
      <c r="J7" s="16"/>
      <c r="K7" s="17"/>
      <c r="L7" s="18"/>
      <c r="M7" s="18"/>
      <c r="N7" s="16"/>
    </row>
    <row r="8" spans="1:14" s="247" customFormat="1" ht="30" customHeight="1" x14ac:dyDescent="0.3">
      <c r="A8" s="310"/>
      <c r="B8" s="194"/>
      <c r="C8" s="196"/>
      <c r="D8" s="195">
        <f>IFERROR(VLOOKUP(C8,'Acc code'!$B$2:$C$82,2,FALSE),0)</f>
        <v>0</v>
      </c>
      <c r="E8" s="195"/>
      <c r="F8" s="256"/>
      <c r="G8" s="256"/>
      <c r="H8" s="265">
        <f t="shared" si="0"/>
        <v>0</v>
      </c>
      <c r="J8" s="16">
        <v>111101</v>
      </c>
      <c r="K8" s="17" t="s">
        <v>114</v>
      </c>
      <c r="L8" s="18">
        <f>SUMIF(C:C,"111101",F:F)</f>
        <v>0</v>
      </c>
      <c r="M8" s="18">
        <f>SUMIF(C:C,"111101",G:G)</f>
        <v>0</v>
      </c>
      <c r="N8" s="16">
        <v>1</v>
      </c>
    </row>
    <row r="9" spans="1:14" ht="30" customHeight="1" x14ac:dyDescent="0.3">
      <c r="A9" s="310"/>
      <c r="B9" s="194"/>
      <c r="C9" s="196"/>
      <c r="D9" s="195">
        <f>IFERROR(VLOOKUP(C9,'Acc code'!$B$2:$C$82,2,FALSE),0)</f>
        <v>0</v>
      </c>
      <c r="E9" s="195"/>
      <c r="F9" s="256"/>
      <c r="G9" s="256"/>
      <c r="H9" s="265">
        <f t="shared" si="0"/>
        <v>0</v>
      </c>
      <c r="J9" s="16">
        <v>111102</v>
      </c>
      <c r="K9" s="17" t="s">
        <v>117</v>
      </c>
      <c r="L9" s="18">
        <f>SUMIF(C:C,"111102",F:F)</f>
        <v>0</v>
      </c>
      <c r="M9" s="18">
        <f>SUMIF(C:C,"111102",G:G)</f>
        <v>0</v>
      </c>
      <c r="N9" s="16">
        <v>2</v>
      </c>
    </row>
    <row r="10" spans="1:14" ht="30" customHeight="1" x14ac:dyDescent="0.3">
      <c r="A10" s="310"/>
      <c r="B10" s="194"/>
      <c r="C10" s="196"/>
      <c r="D10" s="195">
        <f>IFERROR(VLOOKUP(C10,'Acc code'!$B$2:$C$82,2,FALSE),0)</f>
        <v>0</v>
      </c>
      <c r="E10" s="195"/>
      <c r="F10" s="256"/>
      <c r="G10" s="256"/>
      <c r="H10" s="265">
        <f t="shared" si="0"/>
        <v>0</v>
      </c>
      <c r="J10" s="16">
        <v>111103</v>
      </c>
      <c r="K10" s="17" t="s">
        <v>118</v>
      </c>
      <c r="L10" s="18">
        <f>SUMIF(C:C,"111103",F:F)</f>
        <v>0</v>
      </c>
      <c r="M10" s="18">
        <f>SUMIF(C:C,"111103",G:G)</f>
        <v>0</v>
      </c>
      <c r="N10" s="16">
        <v>3</v>
      </c>
    </row>
    <row r="11" spans="1:14" ht="30" customHeight="1" x14ac:dyDescent="0.3">
      <c r="A11" s="378"/>
      <c r="B11" s="194"/>
      <c r="C11" s="16"/>
      <c r="D11" s="195">
        <f>IFERROR(VLOOKUP(C11,'Acc code'!$B$2:$C$82,2,FALSE),0)</f>
        <v>0</v>
      </c>
      <c r="E11" s="195"/>
      <c r="F11" s="256"/>
      <c r="G11" s="256"/>
      <c r="H11" s="265">
        <f t="shared" si="0"/>
        <v>0</v>
      </c>
      <c r="J11" s="16">
        <v>111201</v>
      </c>
      <c r="K11" s="409" t="s">
        <v>205</v>
      </c>
      <c r="L11" s="18">
        <f>SUMIF(C:C,"111201",F:F)</f>
        <v>0</v>
      </c>
      <c r="M11" s="18">
        <f>SUMIF(C:C,"111201",G:G)</f>
        <v>0</v>
      </c>
      <c r="N11" s="16">
        <v>4</v>
      </c>
    </row>
    <row r="12" spans="1:14" ht="30" customHeight="1" x14ac:dyDescent="0.3">
      <c r="A12" s="378"/>
      <c r="B12" s="194"/>
      <c r="C12" s="196"/>
      <c r="D12" s="195">
        <f>IFERROR(VLOOKUP(C12,'Acc code'!$B$2:$C$82,2,FALSE),0)</f>
        <v>0</v>
      </c>
      <c r="E12" s="195"/>
      <c r="F12" s="256"/>
      <c r="G12" s="256"/>
      <c r="H12" s="265">
        <f t="shared" si="0"/>
        <v>0</v>
      </c>
      <c r="J12" s="16">
        <v>111202</v>
      </c>
      <c r="K12" s="409" t="s">
        <v>192</v>
      </c>
      <c r="L12" s="18">
        <f>SUMIF(C:C,"111202",F:F)</f>
        <v>0</v>
      </c>
      <c r="M12" s="18">
        <f>SUMIF(C:C,"111202",G:G)</f>
        <v>0</v>
      </c>
      <c r="N12" s="16">
        <v>5</v>
      </c>
    </row>
    <row r="13" spans="1:14" ht="30" customHeight="1" x14ac:dyDescent="0.3">
      <c r="A13" s="378"/>
      <c r="B13" s="194"/>
      <c r="C13" s="196"/>
      <c r="D13" s="195">
        <f>IFERROR(VLOOKUP(C13,'Acc code'!$B$2:$C$82,2,FALSE),0)</f>
        <v>0</v>
      </c>
      <c r="E13" s="195"/>
      <c r="F13" s="256"/>
      <c r="G13" s="256"/>
      <c r="H13" s="265">
        <f t="shared" si="0"/>
        <v>0</v>
      </c>
      <c r="J13" s="16">
        <v>111203</v>
      </c>
      <c r="K13" s="17" t="s">
        <v>18</v>
      </c>
      <c r="L13" s="18">
        <f>SUMIF(C:C,"111203",F:F)</f>
        <v>0</v>
      </c>
      <c r="M13" s="18">
        <f>SUMIF(C:C,"111203",G:G)</f>
        <v>0</v>
      </c>
      <c r="N13" s="16">
        <v>6</v>
      </c>
    </row>
    <row r="14" spans="1:14" ht="30" customHeight="1" x14ac:dyDescent="0.3">
      <c r="A14" s="378"/>
      <c r="B14" s="194"/>
      <c r="C14" s="196"/>
      <c r="D14" s="195">
        <f>IFERROR(VLOOKUP(C14,'Acc code'!$B$2:$C$82,2,FALSE),0)</f>
        <v>0</v>
      </c>
      <c r="E14" s="195"/>
      <c r="F14" s="256"/>
      <c r="G14" s="256"/>
      <c r="H14" s="265">
        <f t="shared" si="0"/>
        <v>0</v>
      </c>
      <c r="J14" s="16">
        <v>111204</v>
      </c>
      <c r="K14" s="17" t="s">
        <v>19</v>
      </c>
      <c r="L14" s="18">
        <f>SUMIF(C:C,"111204",F:F)</f>
        <v>0</v>
      </c>
      <c r="M14" s="18">
        <f>SUMIF(C:C,"111204",G:G)</f>
        <v>0</v>
      </c>
      <c r="N14" s="16">
        <v>7</v>
      </c>
    </row>
    <row r="15" spans="1:14" ht="30" customHeight="1" x14ac:dyDescent="0.3">
      <c r="A15" s="378"/>
      <c r="B15" s="194"/>
      <c r="C15" s="196"/>
      <c r="D15" s="195">
        <f>IFERROR(VLOOKUP(C15,'Acc code'!$B$2:$C$82,2,FALSE),0)</f>
        <v>0</v>
      </c>
      <c r="E15" s="195"/>
      <c r="F15" s="256"/>
      <c r="G15" s="256"/>
      <c r="H15" s="265">
        <f t="shared" si="0"/>
        <v>0</v>
      </c>
      <c r="J15" s="16">
        <v>111301</v>
      </c>
      <c r="K15" s="17" t="s">
        <v>248</v>
      </c>
      <c r="L15" s="18">
        <f>SUMIF(C:C,"111301",F:F)</f>
        <v>0</v>
      </c>
      <c r="M15" s="18">
        <f>SUMIF(C:C,"111301",G:G)</f>
        <v>0</v>
      </c>
      <c r="N15" s="16">
        <v>8</v>
      </c>
    </row>
    <row r="16" spans="1:14" ht="30" customHeight="1" x14ac:dyDescent="0.3">
      <c r="A16" s="378"/>
      <c r="B16" s="194"/>
      <c r="C16" s="196"/>
      <c r="D16" s="195">
        <f>IFERROR(VLOOKUP(C16,'Acc code'!$B$2:$C$82,2,FALSE),0)</f>
        <v>0</v>
      </c>
      <c r="E16" s="195"/>
      <c r="F16" s="256"/>
      <c r="G16" s="256"/>
      <c r="H16" s="265">
        <f t="shared" si="0"/>
        <v>0</v>
      </c>
      <c r="J16" s="16">
        <v>111302</v>
      </c>
      <c r="K16" s="17" t="s">
        <v>13</v>
      </c>
      <c r="L16" s="18">
        <f>SUMIF(C:C,"111302",F:F)</f>
        <v>0</v>
      </c>
      <c r="M16" s="18">
        <f>SUMIF(C:C,"111302",G:G)</f>
        <v>0</v>
      </c>
      <c r="N16" s="16">
        <v>9</v>
      </c>
    </row>
    <row r="17" spans="1:14" ht="30" customHeight="1" x14ac:dyDescent="0.3">
      <c r="A17" s="378"/>
      <c r="B17" s="194"/>
      <c r="C17" s="196"/>
      <c r="D17" s="195">
        <f>IFERROR(VLOOKUP(C17,'Acc code'!$B$2:$C$82,2,FALSE),0)</f>
        <v>0</v>
      </c>
      <c r="E17" s="195"/>
      <c r="F17" s="256"/>
      <c r="G17" s="256"/>
      <c r="H17" s="265">
        <f t="shared" si="0"/>
        <v>0</v>
      </c>
      <c r="J17" s="16">
        <v>111401</v>
      </c>
      <c r="K17" s="17" t="s">
        <v>14</v>
      </c>
      <c r="L17" s="18">
        <f>SUMIF(C:C,"111401",F:F)</f>
        <v>0</v>
      </c>
      <c r="M17" s="18">
        <f>SUMIF(C:C,"111401",G:G)</f>
        <v>0</v>
      </c>
      <c r="N17" s="16">
        <v>10</v>
      </c>
    </row>
    <row r="18" spans="1:14" s="247" customFormat="1" ht="30" customHeight="1" x14ac:dyDescent="0.3">
      <c r="A18" s="378"/>
      <c r="B18" s="194"/>
      <c r="C18" s="196"/>
      <c r="D18" s="195">
        <f>IFERROR(VLOOKUP(C18,'Acc code'!$B$2:$C$82,2,FALSE),0)</f>
        <v>0</v>
      </c>
      <c r="E18" s="195"/>
      <c r="F18" s="256"/>
      <c r="G18" s="256"/>
      <c r="H18" s="265">
        <f t="shared" si="0"/>
        <v>0</v>
      </c>
      <c r="J18" s="16">
        <v>111402</v>
      </c>
      <c r="K18" s="17" t="s">
        <v>161</v>
      </c>
      <c r="L18" s="18">
        <f>SUMIF(C:C,"111402",F:F)</f>
        <v>0</v>
      </c>
      <c r="M18" s="18">
        <f>SUMIF(C:C,"111402",G:G)</f>
        <v>0</v>
      </c>
      <c r="N18" s="16">
        <v>11</v>
      </c>
    </row>
    <row r="19" spans="1:14" ht="30" customHeight="1" x14ac:dyDescent="0.3">
      <c r="A19" s="378"/>
      <c r="B19" s="194"/>
      <c r="C19" s="196"/>
      <c r="D19" s="195">
        <f>IFERROR(VLOOKUP(C19,'Acc code'!$B$2:$C$82,2,FALSE),0)</f>
        <v>0</v>
      </c>
      <c r="E19" s="195"/>
      <c r="F19" s="256"/>
      <c r="G19" s="256"/>
      <c r="H19" s="265">
        <f t="shared" si="0"/>
        <v>0</v>
      </c>
      <c r="J19" s="16">
        <v>111501</v>
      </c>
      <c r="K19" s="17" t="s">
        <v>15</v>
      </c>
      <c r="L19" s="18">
        <f>SUMIF(C:C,"111501",F:F)</f>
        <v>0</v>
      </c>
      <c r="M19" s="18">
        <f>SUMIF(C:C,"111501",G:G)</f>
        <v>0</v>
      </c>
      <c r="N19" s="16">
        <v>12</v>
      </c>
    </row>
    <row r="20" spans="1:14" ht="30" customHeight="1" x14ac:dyDescent="0.3">
      <c r="A20" s="378"/>
      <c r="B20" s="194"/>
      <c r="C20" s="196"/>
      <c r="D20" s="195">
        <f>IFERROR(VLOOKUP(C20,'Acc code'!$B$2:$C$82,2,FALSE),0)</f>
        <v>0</v>
      </c>
      <c r="E20" s="195"/>
      <c r="F20" s="256"/>
      <c r="G20" s="256"/>
      <c r="H20" s="265">
        <f t="shared" si="0"/>
        <v>0</v>
      </c>
      <c r="J20" s="16">
        <v>111601</v>
      </c>
      <c r="K20" s="17" t="s">
        <v>1</v>
      </c>
      <c r="L20" s="18">
        <f>SUMIF(C:C,"111601",F:F)</f>
        <v>0</v>
      </c>
      <c r="M20" s="18">
        <f>SUMIF(C:C,"111601",G:G)</f>
        <v>0</v>
      </c>
      <c r="N20" s="16">
        <v>13</v>
      </c>
    </row>
    <row r="21" spans="1:14" ht="30" customHeight="1" x14ac:dyDescent="0.3">
      <c r="A21" s="378"/>
      <c r="B21" s="194"/>
      <c r="C21" s="196"/>
      <c r="D21" s="195">
        <f>IFERROR(VLOOKUP(C21,'Acc code'!$B$2:$C$82,2,FALSE),0)</f>
        <v>0</v>
      </c>
      <c r="E21" s="195"/>
      <c r="F21" s="256"/>
      <c r="G21" s="256"/>
      <c r="H21" s="265">
        <f t="shared" si="0"/>
        <v>0</v>
      </c>
      <c r="J21" s="16">
        <v>291101</v>
      </c>
      <c r="K21" s="17" t="s">
        <v>2</v>
      </c>
      <c r="L21" s="18">
        <f>SUMIF(C:C,"291101",F:F)</f>
        <v>0</v>
      </c>
      <c r="M21" s="18">
        <f>SUMIF(C:C,"291101",G:G)</f>
        <v>0</v>
      </c>
      <c r="N21" s="16">
        <v>14</v>
      </c>
    </row>
    <row r="22" spans="1:14" ht="30" customHeight="1" x14ac:dyDescent="0.3">
      <c r="A22" s="378"/>
      <c r="B22" s="194"/>
      <c r="C22" s="196"/>
      <c r="D22" s="195">
        <f>IFERROR(VLOOKUP(C22,'Acc code'!$B$2:$C$82,2,FALSE),0)</f>
        <v>0</v>
      </c>
      <c r="E22" s="195"/>
      <c r="F22" s="256"/>
      <c r="G22" s="256"/>
      <c r="H22" s="265">
        <f t="shared" si="0"/>
        <v>0</v>
      </c>
      <c r="J22" s="16">
        <v>291102</v>
      </c>
      <c r="K22" s="17" t="s">
        <v>16</v>
      </c>
      <c r="L22" s="18">
        <f>SUMIF(C:C,"291102",F:F)</f>
        <v>0</v>
      </c>
      <c r="M22" s="18">
        <f>SUMIF(C:C,"291102",G:G)</f>
        <v>0</v>
      </c>
      <c r="N22" s="16">
        <v>15</v>
      </c>
    </row>
    <row r="23" spans="1:14" ht="30" customHeight="1" x14ac:dyDescent="0.3">
      <c r="A23" s="378"/>
      <c r="B23" s="194"/>
      <c r="C23" s="196"/>
      <c r="D23" s="195">
        <f>IFERROR(VLOOKUP(C23,'Acc code'!$B$2:$C$82,2,FALSE),0)</f>
        <v>0</v>
      </c>
      <c r="E23" s="195"/>
      <c r="F23" s="256"/>
      <c r="G23" s="256"/>
      <c r="H23" s="265">
        <f t="shared" si="0"/>
        <v>0</v>
      </c>
      <c r="J23" s="16">
        <v>291103</v>
      </c>
      <c r="K23" s="17" t="s">
        <v>3</v>
      </c>
      <c r="L23" s="18">
        <f>SUMIF(C:C,"291103",F:F)</f>
        <v>0</v>
      </c>
      <c r="M23" s="18">
        <f>SUMIF(C:C,"291103",G:G)</f>
        <v>0</v>
      </c>
      <c r="N23" s="16">
        <v>16</v>
      </c>
    </row>
    <row r="24" spans="1:14" ht="30" customHeight="1" x14ac:dyDescent="0.3">
      <c r="A24" s="378"/>
      <c r="B24" s="194"/>
      <c r="C24" s="196"/>
      <c r="D24" s="195">
        <f>IFERROR(VLOOKUP(C24,'Acc code'!$B$2:$C$82,2,FALSE),0)</f>
        <v>0</v>
      </c>
      <c r="E24" s="195"/>
      <c r="F24" s="256"/>
      <c r="G24" s="256"/>
      <c r="H24" s="265">
        <f t="shared" si="0"/>
        <v>0</v>
      </c>
      <c r="J24" s="16">
        <v>291104</v>
      </c>
      <c r="K24" s="17" t="s">
        <v>193</v>
      </c>
      <c r="L24" s="18">
        <f>SUMIF(C:C,"291104",F:F)</f>
        <v>0</v>
      </c>
      <c r="M24" s="18">
        <f>SUMIF(C:C,"291104",G:G)</f>
        <v>0</v>
      </c>
      <c r="N24" s="16">
        <v>17</v>
      </c>
    </row>
    <row r="25" spans="1:14" ht="30" customHeight="1" x14ac:dyDescent="0.3">
      <c r="A25" s="378"/>
      <c r="B25" s="194"/>
      <c r="C25" s="196"/>
      <c r="D25" s="195">
        <f>IFERROR(VLOOKUP(C25,'Acc code'!$B$2:$C$82,2,FALSE),0)</f>
        <v>0</v>
      </c>
      <c r="E25" s="195"/>
      <c r="F25" s="256"/>
      <c r="G25" s="256"/>
      <c r="H25" s="265">
        <f t="shared" si="0"/>
        <v>0</v>
      </c>
      <c r="J25" s="16">
        <v>294101</v>
      </c>
      <c r="K25" s="17" t="s">
        <v>4</v>
      </c>
      <c r="L25" s="18">
        <f>SUMIF(C:C,"294101",F:F)</f>
        <v>0</v>
      </c>
      <c r="M25" s="18">
        <f>SUMIF(C:C,"294101",G:G)</f>
        <v>0</v>
      </c>
      <c r="N25" s="16">
        <v>18</v>
      </c>
    </row>
    <row r="26" spans="1:14" ht="30" customHeight="1" x14ac:dyDescent="0.3">
      <c r="A26" s="378"/>
      <c r="B26" s="194"/>
      <c r="C26" s="196"/>
      <c r="D26" s="195">
        <f>IFERROR(VLOOKUP(C26,'Acc code'!$B$2:$C$82,2,FALSE),0)</f>
        <v>0</v>
      </c>
      <c r="E26" s="195"/>
      <c r="F26" s="256"/>
      <c r="G26" s="256"/>
      <c r="H26" s="265">
        <f t="shared" si="0"/>
        <v>0</v>
      </c>
      <c r="J26" s="16">
        <v>294102</v>
      </c>
      <c r="K26" s="17" t="s">
        <v>17</v>
      </c>
      <c r="L26" s="18">
        <f>SUMIF(C:C,"294102",F:F)</f>
        <v>0</v>
      </c>
      <c r="M26" s="18">
        <f>SUMIF(C:C,"294102",G:G)</f>
        <v>0</v>
      </c>
      <c r="N26" s="16">
        <v>19</v>
      </c>
    </row>
    <row r="27" spans="1:14" ht="30" customHeight="1" x14ac:dyDescent="0.3">
      <c r="A27" s="378"/>
      <c r="B27" s="194"/>
      <c r="C27" s="196"/>
      <c r="D27" s="195">
        <f>IFERROR(VLOOKUP(C27,'Acc code'!$B$2:$C$82,2,FALSE),0)</f>
        <v>0</v>
      </c>
      <c r="E27" s="195"/>
      <c r="F27" s="256"/>
      <c r="G27" s="256"/>
      <c r="H27" s="265">
        <f t="shared" si="0"/>
        <v>0</v>
      </c>
      <c r="J27" s="16">
        <v>294103</v>
      </c>
      <c r="K27" s="17" t="s">
        <v>5</v>
      </c>
      <c r="L27" s="18">
        <f>SUMIF(C:C,"294103",F:F)</f>
        <v>0</v>
      </c>
      <c r="M27" s="18">
        <f>SUMIF(C:C,"294103",G:G)</f>
        <v>0</v>
      </c>
      <c r="N27" s="16">
        <v>20</v>
      </c>
    </row>
    <row r="28" spans="1:14" ht="30" customHeight="1" x14ac:dyDescent="0.3">
      <c r="A28" s="378"/>
      <c r="B28" s="194"/>
      <c r="C28" s="196"/>
      <c r="D28" s="195">
        <f>IFERROR(VLOOKUP(C28,'Acc code'!$B$2:$C$82,2,FALSE),0)</f>
        <v>0</v>
      </c>
      <c r="E28" s="195"/>
      <c r="F28" s="256"/>
      <c r="G28" s="256"/>
      <c r="H28" s="265">
        <f t="shared" si="0"/>
        <v>0</v>
      </c>
      <c r="J28" s="16">
        <v>294104</v>
      </c>
      <c r="K28" s="17" t="s">
        <v>95</v>
      </c>
      <c r="L28" s="18">
        <f>SUMIF(C:C,"294104",F:F)</f>
        <v>0</v>
      </c>
      <c r="M28" s="18">
        <f>SUMIF(C:C,"294104",G:G)</f>
        <v>0</v>
      </c>
      <c r="N28" s="16">
        <v>21</v>
      </c>
    </row>
    <row r="29" spans="1:14" ht="30" customHeight="1" x14ac:dyDescent="0.3">
      <c r="A29" s="378"/>
      <c r="B29" s="194"/>
      <c r="C29" s="196"/>
      <c r="D29" s="195">
        <f>IFERROR(VLOOKUP(C29,'Acc code'!$B$2:$C$82,2,FALSE),0)</f>
        <v>0</v>
      </c>
      <c r="E29" s="195"/>
      <c r="F29" s="256"/>
      <c r="G29" s="256"/>
      <c r="H29" s="265">
        <f t="shared" si="0"/>
        <v>0</v>
      </c>
      <c r="J29" s="16">
        <v>321101</v>
      </c>
      <c r="K29" s="17" t="s">
        <v>21</v>
      </c>
      <c r="L29" s="18">
        <f>SUMIF(C:C,"321101",F:F)</f>
        <v>0</v>
      </c>
      <c r="M29" s="18">
        <f>SUMIF(C:C,"321101",G:G)</f>
        <v>0</v>
      </c>
      <c r="N29" s="16">
        <v>22</v>
      </c>
    </row>
    <row r="30" spans="1:14" ht="30" customHeight="1" x14ac:dyDescent="0.3">
      <c r="A30" s="378"/>
      <c r="B30" s="194"/>
      <c r="C30" s="196"/>
      <c r="D30" s="195">
        <f>IFERROR(VLOOKUP(C30,'Acc code'!$B$2:$C$82,2,FALSE),0)</f>
        <v>0</v>
      </c>
      <c r="E30" s="195"/>
      <c r="F30" s="256"/>
      <c r="G30" s="256"/>
      <c r="H30" s="265">
        <f t="shared" si="0"/>
        <v>0</v>
      </c>
      <c r="J30" s="16">
        <v>321201</v>
      </c>
      <c r="K30" s="17" t="s">
        <v>22</v>
      </c>
      <c r="L30" s="18">
        <f>SUMIF(C:C,"321201",F:F)</f>
        <v>0</v>
      </c>
      <c r="M30" s="18">
        <f>SUMIF(C:C,"321201",G:G)</f>
        <v>0</v>
      </c>
      <c r="N30" s="16">
        <v>23</v>
      </c>
    </row>
    <row r="31" spans="1:14" ht="30" customHeight="1" x14ac:dyDescent="0.3">
      <c r="A31" s="378"/>
      <c r="B31" s="194"/>
      <c r="C31" s="196"/>
      <c r="D31" s="195">
        <f>IFERROR(VLOOKUP(C31,'Acc code'!$B$2:$C$82,2,FALSE),0)</f>
        <v>0</v>
      </c>
      <c r="E31" s="195"/>
      <c r="F31" s="256"/>
      <c r="G31" s="256"/>
      <c r="H31" s="265">
        <f t="shared" si="0"/>
        <v>0</v>
      </c>
      <c r="J31" s="16">
        <v>321301</v>
      </c>
      <c r="K31" s="17" t="s">
        <v>23</v>
      </c>
      <c r="L31" s="18">
        <f>SUMIF(C:C,"321301",F:F)</f>
        <v>0</v>
      </c>
      <c r="M31" s="18">
        <f>SUMIF(C:C,"321301",G:G)</f>
        <v>0</v>
      </c>
      <c r="N31" s="16">
        <v>24</v>
      </c>
    </row>
    <row r="32" spans="1:14" ht="30" customHeight="1" x14ac:dyDescent="0.3">
      <c r="A32" s="378"/>
      <c r="B32" s="194"/>
      <c r="C32" s="196"/>
      <c r="D32" s="195">
        <f>IFERROR(VLOOKUP(C32,'Acc code'!$B$2:$C$82,2,FALSE),0)</f>
        <v>0</v>
      </c>
      <c r="E32" s="195"/>
      <c r="F32" s="256"/>
      <c r="G32" s="256"/>
      <c r="H32" s="265">
        <f t="shared" si="0"/>
        <v>0</v>
      </c>
      <c r="J32" s="16">
        <v>321302</v>
      </c>
      <c r="K32" s="17" t="s">
        <v>24</v>
      </c>
      <c r="L32" s="18">
        <f>SUMIF(C:C,"321302",F:F)</f>
        <v>0</v>
      </c>
      <c r="M32" s="18">
        <f>SUMIF(C:C,"321302",G:G)</f>
        <v>0</v>
      </c>
      <c r="N32" s="16">
        <v>25</v>
      </c>
    </row>
    <row r="33" spans="1:14" s="198" customFormat="1" ht="30" customHeight="1" x14ac:dyDescent="0.3">
      <c r="A33" s="378"/>
      <c r="B33" s="194"/>
      <c r="C33" s="196"/>
      <c r="D33" s="195">
        <f>IFERROR(VLOOKUP(C33,'Acc code'!$B$2:$C$82,2,FALSE),0)</f>
        <v>0</v>
      </c>
      <c r="E33" s="195"/>
      <c r="F33" s="256"/>
      <c r="G33" s="256"/>
      <c r="H33" s="265">
        <f t="shared" si="0"/>
        <v>0</v>
      </c>
      <c r="J33" s="16">
        <v>321303</v>
      </c>
      <c r="K33" s="17" t="s">
        <v>159</v>
      </c>
      <c r="L33" s="18">
        <f>SUMIF(C:C,"321303",F:F)</f>
        <v>0</v>
      </c>
      <c r="M33" s="18">
        <f>SUMIF(C:C,"321303",G:G)</f>
        <v>0</v>
      </c>
      <c r="N33" s="16">
        <v>26</v>
      </c>
    </row>
    <row r="34" spans="1:14" ht="30" customHeight="1" x14ac:dyDescent="0.3">
      <c r="A34" s="378"/>
      <c r="B34" s="194"/>
      <c r="C34" s="196"/>
      <c r="D34" s="195">
        <f>IFERROR(VLOOKUP(C34,'Acc code'!$B$2:$C$82,2,FALSE),0)</f>
        <v>0</v>
      </c>
      <c r="E34" s="195"/>
      <c r="F34" s="256"/>
      <c r="G34" s="256"/>
      <c r="H34" s="265">
        <f t="shared" si="0"/>
        <v>0</v>
      </c>
      <c r="J34" s="16">
        <v>401101</v>
      </c>
      <c r="K34" s="17" t="s">
        <v>223</v>
      </c>
      <c r="L34" s="18">
        <f>SUMIF(C:C,"401101",F:F)</f>
        <v>0</v>
      </c>
      <c r="M34" s="18">
        <f>SUMIF(C:C,"401101",G:G)</f>
        <v>0</v>
      </c>
      <c r="N34" s="16">
        <v>27</v>
      </c>
    </row>
    <row r="35" spans="1:14" ht="30" customHeight="1" x14ac:dyDescent="0.3">
      <c r="A35" s="378"/>
      <c r="B35" s="194"/>
      <c r="C35" s="196"/>
      <c r="D35" s="195">
        <f>IFERROR(VLOOKUP(C35,'Acc code'!$B$2:$C$82,2,FALSE),0)</f>
        <v>0</v>
      </c>
      <c r="E35" s="195"/>
      <c r="F35" s="256"/>
      <c r="G35" s="256"/>
      <c r="H35" s="265">
        <f t="shared" si="0"/>
        <v>0</v>
      </c>
      <c r="J35" s="16">
        <v>401201</v>
      </c>
      <c r="K35" s="17" t="s">
        <v>25</v>
      </c>
      <c r="L35" s="18">
        <f>SUMIF(C:C,"401201",F:F)</f>
        <v>0</v>
      </c>
      <c r="M35" s="18">
        <f>SUMIF(C:C,"401201",G:G)</f>
        <v>0</v>
      </c>
      <c r="N35" s="16">
        <v>28</v>
      </c>
    </row>
    <row r="36" spans="1:14" ht="30" customHeight="1" x14ac:dyDescent="0.3">
      <c r="A36" s="378"/>
      <c r="B36" s="194"/>
      <c r="C36" s="196"/>
      <c r="D36" s="195">
        <f>IFERROR(VLOOKUP(C36,'Acc code'!$B$2:$C$82,2,FALSE),0)</f>
        <v>0</v>
      </c>
      <c r="E36" s="195"/>
      <c r="F36" s="256"/>
      <c r="G36" s="256"/>
      <c r="H36" s="265">
        <f t="shared" si="0"/>
        <v>0</v>
      </c>
      <c r="J36" s="16">
        <v>401301</v>
      </c>
      <c r="K36" s="17" t="s">
        <v>26</v>
      </c>
      <c r="L36" s="18">
        <f>SUMIF(C:C,"401301",F:F)</f>
        <v>0</v>
      </c>
      <c r="M36" s="18">
        <f>SUMIF(C:C,"401301",G:G)</f>
        <v>0</v>
      </c>
      <c r="N36" s="16">
        <v>29</v>
      </c>
    </row>
    <row r="37" spans="1:14" ht="30" customHeight="1" x14ac:dyDescent="0.3">
      <c r="A37" s="378"/>
      <c r="B37" s="194"/>
      <c r="C37" s="196"/>
      <c r="D37" s="195">
        <f>IFERROR(VLOOKUP(C37,'Acc code'!$B$2:$C$82,2,FALSE),0)</f>
        <v>0</v>
      </c>
      <c r="E37" s="195"/>
      <c r="F37" s="256"/>
      <c r="G37" s="256"/>
      <c r="H37" s="265">
        <f t="shared" si="0"/>
        <v>0</v>
      </c>
      <c r="J37" s="16">
        <v>401401</v>
      </c>
      <c r="K37" s="17" t="s">
        <v>27</v>
      </c>
      <c r="L37" s="18">
        <f>SUMIF(C:C,"401401",F:F)</f>
        <v>0</v>
      </c>
      <c r="M37" s="18">
        <f>SUMIF(C:C,"401401",G:G)</f>
        <v>0</v>
      </c>
      <c r="N37" s="16">
        <v>30</v>
      </c>
    </row>
    <row r="38" spans="1:14" ht="30" customHeight="1" x14ac:dyDescent="0.3">
      <c r="A38" s="378"/>
      <c r="B38" s="194"/>
      <c r="C38" s="196"/>
      <c r="D38" s="195">
        <f>IFERROR(VLOOKUP(C38,'Acc code'!$B$2:$C$82,2,FALSE),0)</f>
        <v>0</v>
      </c>
      <c r="E38" s="195"/>
      <c r="F38" s="256"/>
      <c r="G38" s="256"/>
      <c r="H38" s="265">
        <f t="shared" si="0"/>
        <v>0</v>
      </c>
      <c r="J38" s="16">
        <v>401402</v>
      </c>
      <c r="K38" s="17" t="s">
        <v>106</v>
      </c>
      <c r="L38" s="18">
        <f>SUMIF(C:C,"401402",F:F)</f>
        <v>0</v>
      </c>
      <c r="M38" s="18">
        <f>SUMIF(C:C,"401402",G:G)</f>
        <v>0</v>
      </c>
      <c r="N38" s="16">
        <v>31</v>
      </c>
    </row>
    <row r="39" spans="1:14" ht="30" customHeight="1" x14ac:dyDescent="0.3">
      <c r="A39" s="378"/>
      <c r="B39" s="194"/>
      <c r="C39" s="196"/>
      <c r="D39" s="195">
        <f>IFERROR(VLOOKUP(C39,'Acc code'!$B$2:$C$82,2,FALSE),0)</f>
        <v>0</v>
      </c>
      <c r="E39" s="195"/>
      <c r="F39" s="256"/>
      <c r="G39" s="256"/>
      <c r="H39" s="265">
        <f t="shared" si="0"/>
        <v>0</v>
      </c>
      <c r="J39" s="16">
        <v>401403</v>
      </c>
      <c r="K39" s="17" t="s">
        <v>116</v>
      </c>
      <c r="L39" s="18">
        <f>SUMIF(C:C,"401403",F:F)</f>
        <v>0</v>
      </c>
      <c r="M39" s="18">
        <f>SUMIF(C:C,"401403",G:G)</f>
        <v>0</v>
      </c>
      <c r="N39" s="16">
        <v>32</v>
      </c>
    </row>
    <row r="40" spans="1:14" ht="30" customHeight="1" x14ac:dyDescent="0.3">
      <c r="A40" s="378"/>
      <c r="B40" s="194"/>
      <c r="C40" s="196"/>
      <c r="D40" s="195">
        <f>IFERROR(VLOOKUP(C40,'Acc code'!$B$2:$C$82,2,FALSE),0)</f>
        <v>0</v>
      </c>
      <c r="E40" s="195"/>
      <c r="F40" s="256"/>
      <c r="G40" s="256"/>
      <c r="H40" s="265">
        <f t="shared" si="0"/>
        <v>0</v>
      </c>
      <c r="J40" s="16">
        <v>514101</v>
      </c>
      <c r="K40" s="17" t="s">
        <v>28</v>
      </c>
      <c r="L40" s="18">
        <f>SUMIF(C:C,"514101",F:F)</f>
        <v>0</v>
      </c>
      <c r="M40" s="18">
        <f>SUMIF(C:C,"514101",G:G)</f>
        <v>0</v>
      </c>
      <c r="N40" s="16">
        <v>33</v>
      </c>
    </row>
    <row r="41" spans="1:14" ht="30" customHeight="1" x14ac:dyDescent="0.3">
      <c r="A41" s="378"/>
      <c r="B41" s="194"/>
      <c r="C41" s="196"/>
      <c r="D41" s="195">
        <f>IFERROR(VLOOKUP(C41,'Acc code'!$B$2:$C$82,2,FALSE),0)</f>
        <v>0</v>
      </c>
      <c r="E41" s="195"/>
      <c r="F41" s="256"/>
      <c r="G41" s="256"/>
      <c r="H41" s="265">
        <f t="shared" si="0"/>
        <v>0</v>
      </c>
      <c r="J41" s="16">
        <v>611101</v>
      </c>
      <c r="K41" s="17" t="s">
        <v>29</v>
      </c>
      <c r="L41" s="18">
        <f>SUMIF(C:C,"611101",F:F)</f>
        <v>0</v>
      </c>
      <c r="M41" s="18">
        <f>SUMIF(C:C,"611101",G:G)</f>
        <v>0</v>
      </c>
      <c r="N41" s="16">
        <v>34</v>
      </c>
    </row>
    <row r="42" spans="1:14" ht="30" customHeight="1" x14ac:dyDescent="0.3">
      <c r="A42" s="378"/>
      <c r="B42" s="194"/>
      <c r="C42" s="196"/>
      <c r="D42" s="195">
        <f>IFERROR(VLOOKUP(C42,'Acc code'!$B$2:$C$82,2,FALSE),0)</f>
        <v>0</v>
      </c>
      <c r="E42" s="195"/>
      <c r="F42" s="256"/>
      <c r="G42" s="256"/>
      <c r="H42" s="265">
        <f t="shared" si="0"/>
        <v>0</v>
      </c>
      <c r="J42" s="16">
        <v>612101</v>
      </c>
      <c r="K42" s="17" t="s">
        <v>30</v>
      </c>
      <c r="L42" s="18">
        <f>SUMIF(C:C,"612101",F:F)</f>
        <v>0</v>
      </c>
      <c r="M42" s="18">
        <f>SUMIF(C:C,"612101",G:G)</f>
        <v>0</v>
      </c>
      <c r="N42" s="16">
        <v>35</v>
      </c>
    </row>
    <row r="43" spans="1:14" ht="30" customHeight="1" x14ac:dyDescent="0.3">
      <c r="A43" s="378"/>
      <c r="B43" s="194"/>
      <c r="C43" s="196"/>
      <c r="D43" s="195">
        <f>IFERROR(VLOOKUP(C43,'Acc code'!$B$2:$C$82,2,FALSE),0)</f>
        <v>0</v>
      </c>
      <c r="E43" s="195"/>
      <c r="F43" s="256"/>
      <c r="G43" s="256"/>
      <c r="H43" s="265">
        <f t="shared" si="0"/>
        <v>0</v>
      </c>
      <c r="J43" s="16">
        <v>612102</v>
      </c>
      <c r="K43" s="17" t="s">
        <v>54</v>
      </c>
      <c r="L43" s="18">
        <f>SUMIF(C:C,"612102",F:F)</f>
        <v>0</v>
      </c>
      <c r="M43" s="18">
        <f>SUMIF(C:C,"612102",G:G)</f>
        <v>0</v>
      </c>
      <c r="N43" s="16">
        <v>36</v>
      </c>
    </row>
    <row r="44" spans="1:14" ht="30" customHeight="1" x14ac:dyDescent="0.3">
      <c r="A44" s="378"/>
      <c r="B44" s="194"/>
      <c r="C44" s="196"/>
      <c r="D44" s="195">
        <f>IFERROR(VLOOKUP(C44,'Acc code'!$B$2:$C$82,2,FALSE),0)</f>
        <v>0</v>
      </c>
      <c r="E44" s="195"/>
      <c r="F44" s="256"/>
      <c r="G44" s="256"/>
      <c r="H44" s="265">
        <f t="shared" si="0"/>
        <v>0</v>
      </c>
      <c r="J44" s="16">
        <v>612103</v>
      </c>
      <c r="K44" s="17" t="s">
        <v>31</v>
      </c>
      <c r="L44" s="18">
        <f>SUMIF(C:C,"612103",F:F)</f>
        <v>0</v>
      </c>
      <c r="M44" s="18">
        <f>SUMIF(C:C,"612103",G:G)</f>
        <v>0</v>
      </c>
      <c r="N44" s="16">
        <v>37</v>
      </c>
    </row>
    <row r="45" spans="1:14" ht="30" customHeight="1" x14ac:dyDescent="0.3">
      <c r="A45" s="378"/>
      <c r="B45" s="194"/>
      <c r="C45" s="196"/>
      <c r="D45" s="195">
        <f>IFERROR(VLOOKUP(C45,'Acc code'!$B$2:$C$82,2,FALSE),0)</f>
        <v>0</v>
      </c>
      <c r="E45" s="195"/>
      <c r="F45" s="256"/>
      <c r="G45" s="256"/>
      <c r="H45" s="265">
        <f t="shared" si="0"/>
        <v>0</v>
      </c>
      <c r="J45" s="16">
        <v>612104</v>
      </c>
      <c r="K45" s="17" t="s">
        <v>32</v>
      </c>
      <c r="L45" s="18">
        <f>SUMIF(C:C,"612104",F:F)</f>
        <v>0</v>
      </c>
      <c r="M45" s="18">
        <f>SUMIF(C:C,"612104",G:G)</f>
        <v>0</v>
      </c>
      <c r="N45" s="16">
        <v>38</v>
      </c>
    </row>
    <row r="46" spans="1:14" ht="30" customHeight="1" x14ac:dyDescent="0.3">
      <c r="A46" s="378"/>
      <c r="B46" s="194"/>
      <c r="C46" s="196"/>
      <c r="D46" s="195">
        <f>IFERROR(VLOOKUP(C46,'Acc code'!$B$2:$C$82,2,FALSE),0)</f>
        <v>0</v>
      </c>
      <c r="E46" s="195"/>
      <c r="F46" s="256"/>
      <c r="G46" s="256"/>
      <c r="H46" s="265">
        <f t="shared" si="0"/>
        <v>0</v>
      </c>
      <c r="J46" s="16">
        <v>612105</v>
      </c>
      <c r="K46" s="17" t="s">
        <v>33</v>
      </c>
      <c r="L46" s="18">
        <f>SUMIF(C:C,"612105",F:F)</f>
        <v>0</v>
      </c>
      <c r="M46" s="18">
        <f>SUMIF(C:C,"612105",G:G)</f>
        <v>0</v>
      </c>
      <c r="N46" s="16">
        <v>39</v>
      </c>
    </row>
    <row r="47" spans="1:14" ht="30" customHeight="1" x14ac:dyDescent="0.3">
      <c r="A47" s="378"/>
      <c r="B47" s="194"/>
      <c r="C47" s="196"/>
      <c r="D47" s="195">
        <f>IFERROR(VLOOKUP(C47,'Acc code'!$B$2:$C$82,2,FALSE),0)</f>
        <v>0</v>
      </c>
      <c r="E47" s="195"/>
      <c r="F47" s="256"/>
      <c r="G47" s="256"/>
      <c r="H47" s="265">
        <f t="shared" si="0"/>
        <v>0</v>
      </c>
      <c r="J47" s="16">
        <v>612106</v>
      </c>
      <c r="K47" s="17" t="s">
        <v>34</v>
      </c>
      <c r="L47" s="18">
        <f>SUMIF(C:C,"612106",F:F)</f>
        <v>0</v>
      </c>
      <c r="M47" s="18">
        <f>SUMIF(C:C,"612106",G:G)</f>
        <v>0</v>
      </c>
      <c r="N47" s="16">
        <v>40</v>
      </c>
    </row>
    <row r="48" spans="1:14" ht="30" customHeight="1" x14ac:dyDescent="0.3">
      <c r="A48" s="378"/>
      <c r="B48" s="194"/>
      <c r="C48" s="196"/>
      <c r="D48" s="195">
        <f>IFERROR(VLOOKUP(C48,'Acc code'!$B$2:$C$82,2,FALSE),0)</f>
        <v>0</v>
      </c>
      <c r="E48" s="195"/>
      <c r="F48" s="256"/>
      <c r="G48" s="256"/>
      <c r="H48" s="265">
        <f t="shared" si="0"/>
        <v>0</v>
      </c>
      <c r="J48" s="16">
        <v>612107</v>
      </c>
      <c r="K48" s="17" t="s">
        <v>281</v>
      </c>
      <c r="L48" s="18">
        <f>SUMIF(C:C,"612107",F:F)</f>
        <v>0</v>
      </c>
      <c r="M48" s="18">
        <f>SUMIF(C:C,"612107",G:G)</f>
        <v>0</v>
      </c>
      <c r="N48" s="16">
        <v>41</v>
      </c>
    </row>
    <row r="49" spans="1:14" ht="30" customHeight="1" x14ac:dyDescent="0.3">
      <c r="A49" s="378"/>
      <c r="B49" s="194"/>
      <c r="C49" s="196"/>
      <c r="D49" s="195">
        <f>IFERROR(VLOOKUP(C49,'Acc code'!$B$2:$C$82,2,FALSE),0)</f>
        <v>0</v>
      </c>
      <c r="E49" s="195"/>
      <c r="F49" s="256"/>
      <c r="G49" s="256"/>
      <c r="H49" s="265">
        <f t="shared" si="0"/>
        <v>0</v>
      </c>
      <c r="J49" s="16">
        <v>612108</v>
      </c>
      <c r="K49" s="17" t="s">
        <v>10</v>
      </c>
      <c r="L49" s="18">
        <f>SUMIF(C:C,"612108",F:F)</f>
        <v>0</v>
      </c>
      <c r="M49" s="18">
        <f>SUMIF(C:C,"612108",G:G)</f>
        <v>0</v>
      </c>
      <c r="N49" s="16">
        <v>42</v>
      </c>
    </row>
    <row r="50" spans="1:14" ht="30" customHeight="1" x14ac:dyDescent="0.3">
      <c r="A50" s="378"/>
      <c r="B50" s="194"/>
      <c r="C50" s="196"/>
      <c r="D50" s="195">
        <f>IFERROR(VLOOKUP(C50,'Acc code'!$B$2:$C$82,2,FALSE),0)</f>
        <v>0</v>
      </c>
      <c r="E50" s="195"/>
      <c r="F50" s="256"/>
      <c r="G50" s="256"/>
      <c r="H50" s="265">
        <f t="shared" si="0"/>
        <v>0</v>
      </c>
      <c r="J50" s="16">
        <v>612109</v>
      </c>
      <c r="K50" s="17" t="s">
        <v>47</v>
      </c>
      <c r="L50" s="18">
        <f>SUMIF(C:C,"612109",F:F)</f>
        <v>0</v>
      </c>
      <c r="M50" s="18">
        <f>SUMIF(C:C,"612109",G:G)</f>
        <v>0</v>
      </c>
      <c r="N50" s="16">
        <v>43</v>
      </c>
    </row>
    <row r="51" spans="1:14" ht="30" customHeight="1" x14ac:dyDescent="0.3">
      <c r="A51" s="378"/>
      <c r="B51" s="194"/>
      <c r="C51" s="196"/>
      <c r="D51" s="195">
        <f>IFERROR(VLOOKUP(C51,'Acc code'!$B$2:$C$82,2,FALSE),0)</f>
        <v>0</v>
      </c>
      <c r="E51" s="195"/>
      <c r="F51" s="256"/>
      <c r="G51" s="256"/>
      <c r="H51" s="265">
        <f t="shared" si="0"/>
        <v>0</v>
      </c>
      <c r="J51" s="16">
        <v>612110</v>
      </c>
      <c r="K51" s="17" t="s">
        <v>36</v>
      </c>
      <c r="L51" s="18">
        <f>SUMIF(C:C,"612110",F:F)</f>
        <v>0</v>
      </c>
      <c r="M51" s="18">
        <f>SUMIF(C:C,"612110",G:G)</f>
        <v>0</v>
      </c>
      <c r="N51" s="16">
        <v>44</v>
      </c>
    </row>
    <row r="52" spans="1:14" ht="30" customHeight="1" x14ac:dyDescent="0.3">
      <c r="A52" s="378"/>
      <c r="B52" s="194"/>
      <c r="C52" s="196"/>
      <c r="D52" s="195">
        <f>IFERROR(VLOOKUP(C52,'Acc code'!$B$2:$C$82,2,FALSE),0)</f>
        <v>0</v>
      </c>
      <c r="E52" s="195"/>
      <c r="F52" s="256"/>
      <c r="G52" s="256"/>
      <c r="H52" s="265">
        <f t="shared" si="0"/>
        <v>0</v>
      </c>
      <c r="J52" s="16">
        <v>612111</v>
      </c>
      <c r="K52" s="17" t="s">
        <v>37</v>
      </c>
      <c r="L52" s="18">
        <f>SUMIF(C:C,"612111",F:F)</f>
        <v>0</v>
      </c>
      <c r="M52" s="18">
        <f>SUMIF(C:C,"612111",G:G)</f>
        <v>0</v>
      </c>
      <c r="N52" s="16">
        <v>45</v>
      </c>
    </row>
    <row r="53" spans="1:14" ht="30" customHeight="1" x14ac:dyDescent="0.3">
      <c r="A53" s="378"/>
      <c r="B53" s="194"/>
      <c r="C53" s="196"/>
      <c r="D53" s="195">
        <f>IFERROR(VLOOKUP(C53,'Acc code'!$B$2:$C$82,2,FALSE),0)</f>
        <v>0</v>
      </c>
      <c r="E53" s="195"/>
      <c r="F53" s="256"/>
      <c r="G53" s="256"/>
      <c r="H53" s="265">
        <f t="shared" si="0"/>
        <v>0</v>
      </c>
      <c r="J53" s="16">
        <v>612112</v>
      </c>
      <c r="K53" s="17" t="s">
        <v>38</v>
      </c>
      <c r="L53" s="18">
        <f>SUMIF(C:C,"612112",F:F)</f>
        <v>0</v>
      </c>
      <c r="M53" s="18">
        <f>SUMIF(C:C,"612112",G:G)</f>
        <v>0</v>
      </c>
      <c r="N53" s="16">
        <v>46</v>
      </c>
    </row>
    <row r="54" spans="1:14" ht="30" customHeight="1" x14ac:dyDescent="0.3">
      <c r="A54" s="378"/>
      <c r="B54" s="194"/>
      <c r="C54" s="196"/>
      <c r="D54" s="195">
        <f>IFERROR(VLOOKUP(C54,'Acc code'!$B$2:$C$82,2,FALSE),0)</f>
        <v>0</v>
      </c>
      <c r="E54" s="195"/>
      <c r="F54" s="256"/>
      <c r="G54" s="256"/>
      <c r="H54" s="265">
        <f t="shared" si="0"/>
        <v>0</v>
      </c>
      <c r="J54" s="16">
        <v>612113</v>
      </c>
      <c r="K54" s="17" t="s">
        <v>39</v>
      </c>
      <c r="L54" s="18">
        <f>SUMIF(C:C,"612113",F:F)</f>
        <v>0</v>
      </c>
      <c r="M54" s="18">
        <f>SUMIF(C:C,"612113",G:G)</f>
        <v>0</v>
      </c>
      <c r="N54" s="16">
        <v>47</v>
      </c>
    </row>
    <row r="55" spans="1:14" ht="30" customHeight="1" x14ac:dyDescent="0.3">
      <c r="A55" s="378"/>
      <c r="B55" s="194"/>
      <c r="C55" s="196"/>
      <c r="D55" s="195">
        <f>IFERROR(VLOOKUP(C55,'Acc code'!$B$2:$C$82,2,FALSE),0)</f>
        <v>0</v>
      </c>
      <c r="E55" s="195"/>
      <c r="F55" s="256"/>
      <c r="G55" s="256"/>
      <c r="H55" s="265">
        <f t="shared" si="0"/>
        <v>0</v>
      </c>
      <c r="J55" s="16">
        <v>612114</v>
      </c>
      <c r="K55" s="17" t="s">
        <v>40</v>
      </c>
      <c r="L55" s="18">
        <f>SUMIF(C:C,"612114",F:F)</f>
        <v>0</v>
      </c>
      <c r="M55" s="18">
        <f>SUMIF(C:C,"612114",G:G)</f>
        <v>0</v>
      </c>
      <c r="N55" s="16">
        <v>48</v>
      </c>
    </row>
    <row r="56" spans="1:14" ht="30" customHeight="1" x14ac:dyDescent="0.3">
      <c r="A56" s="378"/>
      <c r="B56" s="194"/>
      <c r="C56" s="196"/>
      <c r="D56" s="195">
        <f>IFERROR(VLOOKUP(C56,'Acc code'!$B$2:$C$82,2,FALSE),0)</f>
        <v>0</v>
      </c>
      <c r="E56" s="195"/>
      <c r="F56" s="256"/>
      <c r="G56" s="256"/>
      <c r="H56" s="265">
        <f t="shared" si="0"/>
        <v>0</v>
      </c>
      <c r="J56" s="16">
        <v>612115</v>
      </c>
      <c r="K56" s="17" t="s">
        <v>41</v>
      </c>
      <c r="L56" s="18">
        <f>SUMIF(C:C,"612115",F:F)</f>
        <v>0</v>
      </c>
      <c r="M56" s="18">
        <f>SUMIF(C:C,"612115",G:G)</f>
        <v>0</v>
      </c>
      <c r="N56" s="16">
        <v>49</v>
      </c>
    </row>
    <row r="57" spans="1:14" ht="30" customHeight="1" x14ac:dyDescent="0.3">
      <c r="A57" s="378"/>
      <c r="B57" s="194"/>
      <c r="C57" s="196"/>
      <c r="D57" s="195">
        <f>IFERROR(VLOOKUP(C57,'Acc code'!$B$2:$C$82,2,FALSE),0)</f>
        <v>0</v>
      </c>
      <c r="E57" s="195"/>
      <c r="F57" s="256"/>
      <c r="G57" s="256"/>
      <c r="H57" s="265">
        <f t="shared" si="0"/>
        <v>0</v>
      </c>
      <c r="J57" s="16">
        <v>612116</v>
      </c>
      <c r="K57" s="17" t="s">
        <v>42</v>
      </c>
      <c r="L57" s="18">
        <f>SUMIF(C:C,"612116",F:F)</f>
        <v>0</v>
      </c>
      <c r="M57" s="18">
        <f>SUMIF(C:C,"612116",G:G)</f>
        <v>0</v>
      </c>
      <c r="N57" s="16">
        <v>50</v>
      </c>
    </row>
    <row r="58" spans="1:14" ht="30" customHeight="1" x14ac:dyDescent="0.3">
      <c r="A58" s="193"/>
      <c r="B58" s="194"/>
      <c r="C58" s="196"/>
      <c r="D58" s="195">
        <f>IFERROR(VLOOKUP(C58,'Acc code'!$B$2:$C$82,2,FALSE),0)</f>
        <v>0</v>
      </c>
      <c r="E58" s="195"/>
      <c r="F58" s="256"/>
      <c r="G58" s="256"/>
      <c r="H58" s="265">
        <f t="shared" si="0"/>
        <v>0</v>
      </c>
      <c r="J58" s="16">
        <v>612117</v>
      </c>
      <c r="K58" s="17" t="s">
        <v>43</v>
      </c>
      <c r="L58" s="18">
        <f>SUMIF(C:C,"612117",F:F)</f>
        <v>0</v>
      </c>
      <c r="M58" s="18">
        <f>SUMIF(C:C,"612117",G:G)</f>
        <v>0</v>
      </c>
      <c r="N58" s="16">
        <v>51</v>
      </c>
    </row>
    <row r="59" spans="1:14" ht="30" customHeight="1" x14ac:dyDescent="0.3">
      <c r="A59" s="193"/>
      <c r="B59" s="194"/>
      <c r="C59" s="196"/>
      <c r="D59" s="195">
        <f>IFERROR(VLOOKUP(C59,'Acc code'!$B$2:$C$82,2,FALSE),0)</f>
        <v>0</v>
      </c>
      <c r="E59" s="195"/>
      <c r="F59" s="256"/>
      <c r="G59" s="256"/>
      <c r="H59" s="265">
        <f t="shared" si="0"/>
        <v>0</v>
      </c>
      <c r="J59" s="16">
        <v>612118</v>
      </c>
      <c r="K59" s="17" t="s">
        <v>44</v>
      </c>
      <c r="L59" s="18">
        <f>SUMIF(C:C,"612118",F:F)</f>
        <v>0</v>
      </c>
      <c r="M59" s="18">
        <f>SUMIF(C:C,"612118",G:G)</f>
        <v>0</v>
      </c>
      <c r="N59" s="16">
        <v>52</v>
      </c>
    </row>
    <row r="60" spans="1:14" ht="30" customHeight="1" x14ac:dyDescent="0.3">
      <c r="A60" s="193"/>
      <c r="B60" s="194"/>
      <c r="C60" s="196"/>
      <c r="D60" s="195">
        <f>IFERROR(VLOOKUP(C60,'Acc code'!$B$2:$C$82,2,FALSE),0)</f>
        <v>0</v>
      </c>
      <c r="E60" s="195"/>
      <c r="F60" s="256"/>
      <c r="G60" s="256"/>
      <c r="H60" s="265">
        <f t="shared" si="0"/>
        <v>0</v>
      </c>
      <c r="J60" s="16">
        <v>612119</v>
      </c>
      <c r="K60" s="17" t="s">
        <v>45</v>
      </c>
      <c r="L60" s="18">
        <f>SUMIF(C:C,"612119",F:F)</f>
        <v>0</v>
      </c>
      <c r="M60" s="18">
        <f>SUMIF(C:C,"612119",G:G)</f>
        <v>0</v>
      </c>
      <c r="N60" s="16">
        <v>53</v>
      </c>
    </row>
    <row r="61" spans="1:14" ht="30" customHeight="1" x14ac:dyDescent="0.3">
      <c r="A61" s="193"/>
      <c r="B61" s="194"/>
      <c r="C61" s="196"/>
      <c r="D61" s="195">
        <f>IFERROR(VLOOKUP(C61,'Acc code'!$B$2:$C$82,2,FALSE),0)</f>
        <v>0</v>
      </c>
      <c r="E61" s="195"/>
      <c r="F61" s="256"/>
      <c r="G61" s="256"/>
      <c r="H61" s="265">
        <f t="shared" si="0"/>
        <v>0</v>
      </c>
      <c r="J61" s="16">
        <v>612120</v>
      </c>
      <c r="K61" s="17" t="s">
        <v>46</v>
      </c>
      <c r="L61" s="18">
        <f>SUMIF(C:C,"612120",F:F)</f>
        <v>0</v>
      </c>
      <c r="M61" s="18">
        <f>SUMIF(C:C,"612120",G:G)</f>
        <v>0</v>
      </c>
      <c r="N61" s="16">
        <v>54</v>
      </c>
    </row>
    <row r="62" spans="1:14" ht="30" customHeight="1" x14ac:dyDescent="0.3">
      <c r="A62" s="193"/>
      <c r="B62" s="194"/>
      <c r="C62" s="196"/>
      <c r="D62" s="195">
        <f>IFERROR(VLOOKUP(C62,'Acc code'!$B$2:$C$82,2,FALSE),0)</f>
        <v>0</v>
      </c>
      <c r="E62" s="195"/>
      <c r="F62" s="256"/>
      <c r="G62" s="256"/>
      <c r="H62" s="265">
        <f t="shared" si="0"/>
        <v>0</v>
      </c>
      <c r="J62" s="16">
        <v>612121</v>
      </c>
      <c r="K62" s="17" t="s">
        <v>48</v>
      </c>
      <c r="L62" s="18">
        <f>SUMIF(C:C,"612121",F:F)</f>
        <v>0</v>
      </c>
      <c r="M62" s="18">
        <f>SUMIF(C:C,"612121",G:G)</f>
        <v>0</v>
      </c>
      <c r="N62" s="16">
        <v>55</v>
      </c>
    </row>
    <row r="63" spans="1:14" ht="30" customHeight="1" x14ac:dyDescent="0.3">
      <c r="A63" s="193"/>
      <c r="B63" s="194"/>
      <c r="C63" s="196"/>
      <c r="D63" s="195">
        <f>IFERROR(VLOOKUP(C63,'Acc code'!$B$2:$C$82,2,FALSE),0)</f>
        <v>0</v>
      </c>
      <c r="E63" s="195"/>
      <c r="F63" s="256"/>
      <c r="G63" s="256"/>
      <c r="H63" s="265">
        <f t="shared" si="0"/>
        <v>0</v>
      </c>
      <c r="J63" s="16">
        <v>612122</v>
      </c>
      <c r="K63" s="17" t="s">
        <v>49</v>
      </c>
      <c r="L63" s="18">
        <f>SUMIF(C:C,"612122",F:F)</f>
        <v>0</v>
      </c>
      <c r="M63" s="18">
        <f>SUMIF(C:C,"612122",G:G)</f>
        <v>0</v>
      </c>
      <c r="N63" s="16">
        <v>56</v>
      </c>
    </row>
    <row r="64" spans="1:14" ht="30" customHeight="1" x14ac:dyDescent="0.3">
      <c r="A64" s="193"/>
      <c r="B64" s="194"/>
      <c r="C64" s="196"/>
      <c r="D64" s="195">
        <f>IFERROR(VLOOKUP(C64,'Acc code'!$B$2:$C$82,2,FALSE),0)</f>
        <v>0</v>
      </c>
      <c r="E64" s="195"/>
      <c r="F64" s="256"/>
      <c r="G64" s="256"/>
      <c r="H64" s="265">
        <f t="shared" si="0"/>
        <v>0</v>
      </c>
      <c r="J64" s="16">
        <v>612123</v>
      </c>
      <c r="K64" s="17" t="s">
        <v>50</v>
      </c>
      <c r="L64" s="18">
        <f>SUMIF(C:C,"612123",F:F)</f>
        <v>0</v>
      </c>
      <c r="M64" s="18">
        <f>SUMIF(C:C,"612123",G:G)</f>
        <v>0</v>
      </c>
      <c r="N64" s="16">
        <v>57</v>
      </c>
    </row>
    <row r="65" spans="1:14" ht="30" customHeight="1" x14ac:dyDescent="0.3">
      <c r="A65" s="193"/>
      <c r="B65" s="194"/>
      <c r="C65" s="196"/>
      <c r="D65" s="195">
        <f>IFERROR(VLOOKUP(C65,'Acc code'!$B$2:$C$82,2,FALSE),0)</f>
        <v>0</v>
      </c>
      <c r="E65" s="195"/>
      <c r="F65" s="256"/>
      <c r="G65" s="256"/>
      <c r="H65" s="265">
        <f t="shared" si="0"/>
        <v>0</v>
      </c>
      <c r="J65" s="16">
        <v>612124</v>
      </c>
      <c r="K65" s="17" t="s">
        <v>51</v>
      </c>
      <c r="L65" s="18">
        <f>SUMIF(C:C,"612124",F:F)</f>
        <v>0</v>
      </c>
      <c r="M65" s="18">
        <f>SUMIF(C:C,"612124",G:G)</f>
        <v>0</v>
      </c>
      <c r="N65" s="16">
        <v>58</v>
      </c>
    </row>
    <row r="66" spans="1:14" ht="30" customHeight="1" x14ac:dyDescent="0.3">
      <c r="A66" s="193"/>
      <c r="B66" s="194"/>
      <c r="C66" s="196"/>
      <c r="D66" s="195">
        <f>IFERROR(VLOOKUP(C66,'Acc code'!$B$2:$C$82,2,FALSE),0)</f>
        <v>0</v>
      </c>
      <c r="E66" s="195"/>
      <c r="F66" s="256"/>
      <c r="G66" s="256"/>
      <c r="H66" s="265">
        <f t="shared" si="0"/>
        <v>0</v>
      </c>
      <c r="J66" s="16">
        <v>612125</v>
      </c>
      <c r="K66" s="17" t="s">
        <v>52</v>
      </c>
      <c r="L66" s="18">
        <f>SUMIF(C:C,"612125",F:F)</f>
        <v>0</v>
      </c>
      <c r="M66" s="18">
        <f>SUMIF(C:C,"612125",G:G)</f>
        <v>0</v>
      </c>
      <c r="N66" s="16">
        <v>59</v>
      </c>
    </row>
    <row r="67" spans="1:14" ht="30" customHeight="1" x14ac:dyDescent="0.3">
      <c r="A67" s="193"/>
      <c r="B67" s="194"/>
      <c r="C67" s="196"/>
      <c r="D67" s="195">
        <f>IFERROR(VLOOKUP(C67,'Acc code'!$B$2:$C$82,2,FALSE),0)</f>
        <v>0</v>
      </c>
      <c r="E67" s="195"/>
      <c r="F67" s="256"/>
      <c r="G67" s="256"/>
      <c r="H67" s="265">
        <f t="shared" si="0"/>
        <v>0</v>
      </c>
      <c r="J67" s="16">
        <v>612126</v>
      </c>
      <c r="K67" s="17" t="s">
        <v>53</v>
      </c>
      <c r="L67" s="18">
        <f>SUMIF(C:C,"612126",F:F)</f>
        <v>0</v>
      </c>
      <c r="M67" s="18">
        <f>SUMIF(C:C,"612126",G:G)</f>
        <v>0</v>
      </c>
      <c r="N67" s="16">
        <v>60</v>
      </c>
    </row>
    <row r="68" spans="1:14" ht="30" customHeight="1" x14ac:dyDescent="0.3">
      <c r="A68" s="193"/>
      <c r="B68" s="194"/>
      <c r="C68" s="196"/>
      <c r="D68" s="195">
        <f>IFERROR(VLOOKUP(C68,'Acc code'!$B$2:$C$82,2,FALSE),0)</f>
        <v>0</v>
      </c>
      <c r="E68" s="195"/>
      <c r="F68" s="256"/>
      <c r="G68" s="256"/>
      <c r="H68" s="265">
        <f t="shared" si="0"/>
        <v>0</v>
      </c>
      <c r="J68" s="16">
        <v>612127</v>
      </c>
      <c r="K68" s="17" t="s">
        <v>55</v>
      </c>
      <c r="L68" s="18">
        <f>SUMIF(C:C,"612127",F:F)</f>
        <v>0</v>
      </c>
      <c r="M68" s="18">
        <f>SUMIF(C:C,"612127",G:G)</f>
        <v>0</v>
      </c>
      <c r="N68" s="16">
        <v>61</v>
      </c>
    </row>
    <row r="69" spans="1:14" ht="30" customHeight="1" x14ac:dyDescent="0.3">
      <c r="A69" s="193"/>
      <c r="B69" s="194"/>
      <c r="C69" s="196"/>
      <c r="D69" s="195">
        <f>IFERROR(VLOOKUP(C69,'Acc code'!$B$2:$C$82,2,FALSE),0)</f>
        <v>0</v>
      </c>
      <c r="E69" s="195"/>
      <c r="F69" s="256"/>
      <c r="G69" s="256"/>
      <c r="H69" s="265">
        <f t="shared" si="0"/>
        <v>0</v>
      </c>
      <c r="J69" s="16">
        <v>612128</v>
      </c>
      <c r="K69" s="17" t="s">
        <v>259</v>
      </c>
      <c r="L69" s="18">
        <f>SUMIF(C:C,"612128",F:F)</f>
        <v>0</v>
      </c>
      <c r="M69" s="18">
        <f>SUMIF(C:C,"612128",G:G)</f>
        <v>0</v>
      </c>
      <c r="N69" s="16">
        <v>62</v>
      </c>
    </row>
    <row r="70" spans="1:14" ht="30" customHeight="1" x14ac:dyDescent="0.3">
      <c r="A70" s="193"/>
      <c r="B70" s="194"/>
      <c r="C70" s="196"/>
      <c r="D70" s="195">
        <f>IFERROR(VLOOKUP(C70,'Acc code'!$B$2:$C$82,2,FALSE),0)</f>
        <v>0</v>
      </c>
      <c r="E70" s="195"/>
      <c r="F70" s="256"/>
      <c r="G70" s="256"/>
      <c r="H70" s="265">
        <f t="shared" si="0"/>
        <v>0</v>
      </c>
      <c r="J70" s="16">
        <v>612129</v>
      </c>
      <c r="K70" s="17" t="s">
        <v>57</v>
      </c>
      <c r="L70" s="18">
        <f>SUMIF(C:C,"612129",F:F)</f>
        <v>0</v>
      </c>
      <c r="M70" s="18">
        <f>SUMIF(C:C,"612129",G:G)</f>
        <v>0</v>
      </c>
      <c r="N70" s="16">
        <v>63</v>
      </c>
    </row>
    <row r="71" spans="1:14" ht="30" customHeight="1" x14ac:dyDescent="0.3">
      <c r="A71" s="193"/>
      <c r="B71" s="194"/>
      <c r="C71" s="196"/>
      <c r="D71" s="195">
        <f>IFERROR(VLOOKUP(C71,'Acc code'!$B$2:$C$82,2,FALSE),0)</f>
        <v>0</v>
      </c>
      <c r="E71" s="195"/>
      <c r="F71" s="256"/>
      <c r="G71" s="256"/>
      <c r="H71" s="265">
        <f t="shared" si="0"/>
        <v>0</v>
      </c>
      <c r="J71" s="16">
        <v>612210</v>
      </c>
      <c r="K71" s="17" t="s">
        <v>58</v>
      </c>
      <c r="L71" s="18">
        <f>SUMIF(C:C,"612210",F:F)</f>
        <v>0</v>
      </c>
      <c r="M71" s="18">
        <f>SUMIF(C:C,"612210",G:G)</f>
        <v>0</v>
      </c>
      <c r="N71" s="16">
        <v>64</v>
      </c>
    </row>
    <row r="72" spans="1:14" ht="30" customHeight="1" x14ac:dyDescent="0.3">
      <c r="A72" s="193"/>
      <c r="B72" s="194"/>
      <c r="C72" s="196"/>
      <c r="D72" s="195">
        <f>IFERROR(VLOOKUP(C72,'Acc code'!$B$2:$C$82,2,FALSE),0)</f>
        <v>0</v>
      </c>
      <c r="E72" s="195"/>
      <c r="F72" s="256"/>
      <c r="G72" s="256"/>
      <c r="H72" s="265">
        <f t="shared" ref="H72:H135" si="1">H71+F72-G72</f>
        <v>0</v>
      </c>
      <c r="J72" s="16">
        <v>612211</v>
      </c>
      <c r="K72" s="17" t="s">
        <v>59</v>
      </c>
      <c r="L72" s="18">
        <f>SUMIF(C:C,"612211",F:F)</f>
        <v>0</v>
      </c>
      <c r="M72" s="18">
        <f>SUMIF(C:C,"612211",G:G)</f>
        <v>0</v>
      </c>
      <c r="N72" s="16">
        <v>65</v>
      </c>
    </row>
    <row r="73" spans="1:14" ht="30" customHeight="1" x14ac:dyDescent="0.3">
      <c r="A73" s="193"/>
      <c r="B73" s="194"/>
      <c r="C73" s="196"/>
      <c r="D73" s="195">
        <f>IFERROR(VLOOKUP(C73,'Acc code'!$B$2:$C$82,2,FALSE),0)</f>
        <v>0</v>
      </c>
      <c r="E73" s="195"/>
      <c r="F73" s="256"/>
      <c r="G73" s="256"/>
      <c r="H73" s="265">
        <f t="shared" si="1"/>
        <v>0</v>
      </c>
      <c r="J73" s="16">
        <v>612212</v>
      </c>
      <c r="K73" s="17" t="s">
        <v>60</v>
      </c>
      <c r="L73" s="18">
        <f>SUMIF(C:C,"612212",F:F)</f>
        <v>0</v>
      </c>
      <c r="M73" s="18">
        <f>SUMIF(C:C,"612212",G:G)</f>
        <v>0</v>
      </c>
      <c r="N73" s="16">
        <v>66</v>
      </c>
    </row>
    <row r="74" spans="1:14" ht="30" customHeight="1" x14ac:dyDescent="0.3">
      <c r="A74" s="193"/>
      <c r="B74" s="194"/>
      <c r="C74" s="196"/>
      <c r="D74" s="195">
        <f>IFERROR(VLOOKUP(C74,'Acc code'!$B$2:$C$82,2,FALSE),0)</f>
        <v>0</v>
      </c>
      <c r="E74" s="195"/>
      <c r="F74" s="256"/>
      <c r="G74" s="256"/>
      <c r="H74" s="265">
        <f t="shared" si="1"/>
        <v>0</v>
      </c>
      <c r="J74" s="16">
        <v>612213</v>
      </c>
      <c r="K74" s="17" t="s">
        <v>96</v>
      </c>
      <c r="L74" s="18">
        <f>SUMIF(C:C,"612213",F:F)</f>
        <v>0</v>
      </c>
      <c r="M74" s="18">
        <f>SUMIF(C:C,"612213",G:G)</f>
        <v>0</v>
      </c>
      <c r="N74" s="16">
        <v>67</v>
      </c>
    </row>
    <row r="75" spans="1:14" ht="30" customHeight="1" x14ac:dyDescent="0.3">
      <c r="A75" s="193"/>
      <c r="B75" s="194"/>
      <c r="C75" s="196"/>
      <c r="D75" s="195">
        <f>IFERROR(VLOOKUP(C75,'Acc code'!$B$2:$C$82,2,FALSE),0)</f>
        <v>0</v>
      </c>
      <c r="E75" s="195"/>
      <c r="F75" s="256"/>
      <c r="G75" s="256"/>
      <c r="H75" s="265">
        <f t="shared" si="1"/>
        <v>0</v>
      </c>
      <c r="J75" s="16">
        <v>612214</v>
      </c>
      <c r="K75" s="17" t="s">
        <v>94</v>
      </c>
      <c r="L75" s="18">
        <f>SUMIF(C:C,"612214",F:F)</f>
        <v>0</v>
      </c>
      <c r="M75" s="18">
        <f>SUMIF(C:C,"612214",G:G)</f>
        <v>0</v>
      </c>
      <c r="N75" s="16">
        <v>68</v>
      </c>
    </row>
    <row r="76" spans="1:14" ht="30" customHeight="1" x14ac:dyDescent="0.3">
      <c r="A76" s="193"/>
      <c r="B76" s="194"/>
      <c r="C76" s="196"/>
      <c r="D76" s="195">
        <f>IFERROR(VLOOKUP(C76,'Acc code'!$B$2:$C$82,2,FALSE),0)</f>
        <v>0</v>
      </c>
      <c r="E76" s="195"/>
      <c r="F76" s="256"/>
      <c r="G76" s="256"/>
      <c r="H76" s="265">
        <f t="shared" si="1"/>
        <v>0</v>
      </c>
      <c r="J76" s="16">
        <v>612215</v>
      </c>
      <c r="K76" s="17" t="s">
        <v>119</v>
      </c>
      <c r="L76" s="18">
        <f>SUMIF(C:C,"612215",F:F)</f>
        <v>0</v>
      </c>
      <c r="M76" s="18">
        <f>SUMIF(C:C,"612215",G:G)</f>
        <v>0</v>
      </c>
      <c r="N76" s="16">
        <v>69</v>
      </c>
    </row>
    <row r="77" spans="1:14" ht="30" customHeight="1" x14ac:dyDescent="0.3">
      <c r="A77" s="193"/>
      <c r="B77" s="194"/>
      <c r="C77" s="196"/>
      <c r="D77" s="195">
        <f>IFERROR(VLOOKUP(C77,'Acc code'!$B$2:$C$82,2,FALSE),0)</f>
        <v>0</v>
      </c>
      <c r="E77" s="195"/>
      <c r="F77" s="256"/>
      <c r="G77" s="256"/>
      <c r="H77" s="265">
        <f t="shared" si="1"/>
        <v>0</v>
      </c>
      <c r="J77" s="16"/>
      <c r="K77" s="17"/>
      <c r="L77" s="18"/>
      <c r="M77" s="18"/>
    </row>
    <row r="78" spans="1:14" ht="30" customHeight="1" x14ac:dyDescent="0.3">
      <c r="A78" s="193"/>
      <c r="B78" s="194"/>
      <c r="C78" s="196"/>
      <c r="D78" s="195">
        <f>IFERROR(VLOOKUP(C78,'Acc code'!$B$2:$C$82,2,FALSE),0)</f>
        <v>0</v>
      </c>
      <c r="E78" s="195"/>
      <c r="F78" s="256"/>
      <c r="G78" s="256"/>
      <c r="H78" s="265">
        <f t="shared" si="1"/>
        <v>0</v>
      </c>
      <c r="J78" s="16"/>
      <c r="K78" s="17"/>
      <c r="L78" s="18"/>
      <c r="M78" s="18"/>
    </row>
    <row r="79" spans="1:14" ht="30" customHeight="1" x14ac:dyDescent="0.3">
      <c r="A79" s="193"/>
      <c r="B79" s="194"/>
      <c r="C79" s="196"/>
      <c r="D79" s="195">
        <f>IFERROR(VLOOKUP(C79,'Acc code'!$B$2:$C$82,2,FALSE),0)</f>
        <v>0</v>
      </c>
      <c r="E79" s="195"/>
      <c r="F79" s="256"/>
      <c r="G79" s="256"/>
      <c r="H79" s="265">
        <f t="shared" si="1"/>
        <v>0</v>
      </c>
      <c r="J79" s="16"/>
      <c r="K79" s="17"/>
      <c r="L79" s="18"/>
      <c r="M79" s="18"/>
    </row>
    <row r="80" spans="1:14" ht="30" customHeight="1" x14ac:dyDescent="0.3">
      <c r="A80" s="193"/>
      <c r="B80" s="194"/>
      <c r="C80" s="196"/>
      <c r="D80" s="195">
        <f>IFERROR(VLOOKUP(C80,'Acc code'!$B$2:$C$82,2,FALSE),0)</f>
        <v>0</v>
      </c>
      <c r="E80" s="195"/>
      <c r="F80" s="256"/>
      <c r="G80" s="256"/>
      <c r="H80" s="265">
        <f t="shared" si="1"/>
        <v>0</v>
      </c>
      <c r="J80" s="16"/>
      <c r="K80" s="17"/>
      <c r="L80" s="18"/>
      <c r="M80" s="18"/>
    </row>
    <row r="81" spans="1:13" ht="30" customHeight="1" x14ac:dyDescent="0.3">
      <c r="A81" s="193"/>
      <c r="B81" s="194"/>
      <c r="C81" s="196"/>
      <c r="D81" s="195">
        <f>IFERROR(VLOOKUP(C81,'Acc code'!$B$2:$C$82,2,FALSE),0)</f>
        <v>0</v>
      </c>
      <c r="E81" s="195"/>
      <c r="F81" s="256"/>
      <c r="G81" s="256"/>
      <c r="H81" s="265">
        <f t="shared" si="1"/>
        <v>0</v>
      </c>
      <c r="J81" s="16"/>
      <c r="K81" s="17"/>
      <c r="L81" s="18"/>
      <c r="M81" s="18"/>
    </row>
    <row r="82" spans="1:13" ht="30" customHeight="1" x14ac:dyDescent="0.3">
      <c r="A82" s="193"/>
      <c r="B82" s="194"/>
      <c r="C82" s="196"/>
      <c r="D82" s="195">
        <f>IFERROR(VLOOKUP(C82,'Acc code'!$B$2:$C$82,2,FALSE),0)</f>
        <v>0</v>
      </c>
      <c r="E82" s="195"/>
      <c r="F82" s="256"/>
      <c r="G82" s="256"/>
      <c r="H82" s="265">
        <f t="shared" si="1"/>
        <v>0</v>
      </c>
      <c r="J82" s="16"/>
      <c r="K82" s="17"/>
      <c r="L82" s="18"/>
      <c r="M82" s="18"/>
    </row>
    <row r="83" spans="1:13" ht="30" customHeight="1" x14ac:dyDescent="0.3">
      <c r="A83" s="193"/>
      <c r="B83" s="194"/>
      <c r="C83" s="196"/>
      <c r="D83" s="195">
        <f>IFERROR(VLOOKUP(C83,'Acc code'!$B$2:$C$82,2,FALSE),0)</f>
        <v>0</v>
      </c>
      <c r="E83" s="195"/>
      <c r="F83" s="256"/>
      <c r="G83" s="256"/>
      <c r="H83" s="265">
        <f t="shared" si="1"/>
        <v>0</v>
      </c>
      <c r="J83" s="16"/>
      <c r="K83" s="17"/>
      <c r="L83" s="18"/>
      <c r="M83" s="18"/>
    </row>
    <row r="84" spans="1:13" ht="30" customHeight="1" x14ac:dyDescent="0.3">
      <c r="A84" s="193"/>
      <c r="B84" s="194"/>
      <c r="C84" s="196"/>
      <c r="D84" s="195">
        <f>IFERROR(VLOOKUP(C84,'Acc code'!$B$2:$C$82,2,FALSE),0)</f>
        <v>0</v>
      </c>
      <c r="E84" s="195"/>
      <c r="F84" s="256"/>
      <c r="G84" s="256"/>
      <c r="H84" s="265">
        <f t="shared" si="1"/>
        <v>0</v>
      </c>
      <c r="J84" s="16"/>
      <c r="K84" s="17"/>
      <c r="L84" s="18"/>
      <c r="M84" s="18"/>
    </row>
    <row r="85" spans="1:13" ht="30" customHeight="1" x14ac:dyDescent="0.3">
      <c r="A85" s="193"/>
      <c r="B85" s="194"/>
      <c r="C85" s="196"/>
      <c r="D85" s="195">
        <f>IFERROR(VLOOKUP(C85,'Acc code'!$B$2:$C$82,2,FALSE),0)</f>
        <v>0</v>
      </c>
      <c r="E85" s="195"/>
      <c r="F85" s="256"/>
      <c r="G85" s="256"/>
      <c r="H85" s="265">
        <f t="shared" si="1"/>
        <v>0</v>
      </c>
      <c r="J85" s="16"/>
      <c r="K85" s="17"/>
      <c r="L85" s="18"/>
      <c r="M85" s="18"/>
    </row>
    <row r="86" spans="1:13" ht="30" customHeight="1" x14ac:dyDescent="0.3">
      <c r="A86" s="193"/>
      <c r="B86" s="194"/>
      <c r="C86" s="196"/>
      <c r="D86" s="195">
        <f>IFERROR(VLOOKUP(C86,'Acc code'!$B$2:$C$82,2,FALSE),0)</f>
        <v>0</v>
      </c>
      <c r="E86" s="195"/>
      <c r="F86" s="256"/>
      <c r="G86" s="256"/>
      <c r="H86" s="265">
        <f t="shared" si="1"/>
        <v>0</v>
      </c>
      <c r="J86" s="16"/>
      <c r="K86" s="17"/>
      <c r="L86" s="18"/>
      <c r="M86" s="18"/>
    </row>
    <row r="87" spans="1:13" ht="30" customHeight="1" x14ac:dyDescent="0.3">
      <c r="A87" s="193"/>
      <c r="B87" s="194"/>
      <c r="C87" s="196"/>
      <c r="D87" s="195">
        <f>IFERROR(VLOOKUP(C87,'Acc code'!$B$2:$C$82,2,FALSE),0)</f>
        <v>0</v>
      </c>
      <c r="E87" s="195"/>
      <c r="F87" s="256"/>
      <c r="G87" s="256"/>
      <c r="H87" s="265">
        <f t="shared" si="1"/>
        <v>0</v>
      </c>
      <c r="J87" s="16"/>
      <c r="K87" s="17"/>
      <c r="L87" s="18"/>
      <c r="M87" s="18"/>
    </row>
    <row r="88" spans="1:13" ht="30" customHeight="1" x14ac:dyDescent="0.3">
      <c r="A88" s="193"/>
      <c r="B88" s="194"/>
      <c r="C88" s="196"/>
      <c r="D88" s="195">
        <f>IFERROR(VLOOKUP(C88,'Acc code'!$B$2:$C$82,2,FALSE),0)</f>
        <v>0</v>
      </c>
      <c r="E88" s="195"/>
      <c r="F88" s="256"/>
      <c r="G88" s="256"/>
      <c r="H88" s="265">
        <f t="shared" si="1"/>
        <v>0</v>
      </c>
      <c r="J88" s="16"/>
      <c r="K88" s="17"/>
      <c r="L88" s="18"/>
      <c r="M88" s="18"/>
    </row>
    <row r="89" spans="1:13" ht="30" customHeight="1" x14ac:dyDescent="0.3">
      <c r="A89" s="193"/>
      <c r="B89" s="194"/>
      <c r="C89" s="196"/>
      <c r="D89" s="195">
        <f>IFERROR(VLOOKUP(C89,'Acc code'!$B$2:$C$82,2,FALSE),0)</f>
        <v>0</v>
      </c>
      <c r="E89" s="195"/>
      <c r="F89" s="256"/>
      <c r="G89" s="256"/>
      <c r="H89" s="265">
        <f t="shared" si="1"/>
        <v>0</v>
      </c>
      <c r="J89" s="16"/>
      <c r="K89" s="17"/>
      <c r="L89" s="18"/>
      <c r="M89" s="18"/>
    </row>
    <row r="90" spans="1:13" ht="30" customHeight="1" x14ac:dyDescent="0.3">
      <c r="A90" s="193"/>
      <c r="B90" s="194"/>
      <c r="C90" s="196"/>
      <c r="D90" s="195">
        <f>IFERROR(VLOOKUP(C90,'Acc code'!$B$2:$C$82,2,FALSE),0)</f>
        <v>0</v>
      </c>
      <c r="E90" s="195"/>
      <c r="F90" s="256"/>
      <c r="G90" s="256"/>
      <c r="H90" s="265">
        <f t="shared" si="1"/>
        <v>0</v>
      </c>
      <c r="J90" s="16"/>
      <c r="K90" s="17"/>
      <c r="L90" s="18"/>
      <c r="M90" s="18"/>
    </row>
    <row r="91" spans="1:13" ht="30" customHeight="1" x14ac:dyDescent="0.3">
      <c r="A91" s="193"/>
      <c r="B91" s="194"/>
      <c r="C91" s="196"/>
      <c r="D91" s="195">
        <f>IFERROR(VLOOKUP(C91,'Acc code'!$B$2:$C$82,2,FALSE),0)</f>
        <v>0</v>
      </c>
      <c r="E91" s="195"/>
      <c r="F91" s="256"/>
      <c r="G91" s="256"/>
      <c r="H91" s="265">
        <f t="shared" si="1"/>
        <v>0</v>
      </c>
      <c r="J91" s="16"/>
      <c r="K91" s="17"/>
      <c r="L91" s="18"/>
      <c r="M91" s="18"/>
    </row>
    <row r="92" spans="1:13" ht="30" customHeight="1" x14ac:dyDescent="0.3">
      <c r="A92" s="193"/>
      <c r="B92" s="194"/>
      <c r="C92" s="196"/>
      <c r="D92" s="195">
        <f>IFERROR(VLOOKUP(C92,'Acc code'!$B$2:$C$82,2,FALSE),0)</f>
        <v>0</v>
      </c>
      <c r="E92" s="195"/>
      <c r="F92" s="256"/>
      <c r="G92" s="256"/>
      <c r="H92" s="265">
        <f t="shared" si="1"/>
        <v>0</v>
      </c>
      <c r="J92" s="16"/>
      <c r="K92" s="17"/>
      <c r="L92" s="18"/>
      <c r="M92" s="18"/>
    </row>
    <row r="93" spans="1:13" ht="30" customHeight="1" x14ac:dyDescent="0.3">
      <c r="A93" s="193"/>
      <c r="B93" s="194"/>
      <c r="C93" s="196"/>
      <c r="D93" s="195">
        <f>IFERROR(VLOOKUP(C93,'Acc code'!$B$2:$C$82,2,FALSE),0)</f>
        <v>0</v>
      </c>
      <c r="E93" s="195"/>
      <c r="F93" s="256"/>
      <c r="G93" s="256"/>
      <c r="H93" s="265">
        <f t="shared" si="1"/>
        <v>0</v>
      </c>
      <c r="J93" s="16"/>
      <c r="K93" s="17"/>
      <c r="L93" s="18"/>
      <c r="M93" s="18"/>
    </row>
    <row r="94" spans="1:13" ht="30" customHeight="1" x14ac:dyDescent="0.3">
      <c r="A94" s="193"/>
      <c r="B94" s="194"/>
      <c r="C94" s="196"/>
      <c r="D94" s="195">
        <f>IFERROR(VLOOKUP(C94,'Acc code'!$B$2:$C$82,2,FALSE),0)</f>
        <v>0</v>
      </c>
      <c r="E94" s="195"/>
      <c r="F94" s="256"/>
      <c r="G94" s="256"/>
      <c r="H94" s="265">
        <f t="shared" si="1"/>
        <v>0</v>
      </c>
      <c r="J94" s="16"/>
      <c r="K94" s="17"/>
      <c r="L94" s="18"/>
      <c r="M94" s="18"/>
    </row>
    <row r="95" spans="1:13" ht="30" customHeight="1" x14ac:dyDescent="0.3">
      <c r="A95" s="193"/>
      <c r="B95" s="194"/>
      <c r="C95" s="196"/>
      <c r="D95" s="195">
        <f>IFERROR(VLOOKUP(C95,'Acc code'!$B$2:$C$82,2,FALSE),0)</f>
        <v>0</v>
      </c>
      <c r="E95" s="195"/>
      <c r="F95" s="256"/>
      <c r="G95" s="256"/>
      <c r="H95" s="265">
        <f t="shared" si="1"/>
        <v>0</v>
      </c>
      <c r="J95" s="16"/>
      <c r="K95" s="17"/>
      <c r="L95" s="18"/>
      <c r="M95" s="18"/>
    </row>
    <row r="96" spans="1:13" ht="30" customHeight="1" x14ac:dyDescent="0.3">
      <c r="A96" s="193"/>
      <c r="B96" s="194"/>
      <c r="C96" s="196"/>
      <c r="D96" s="195">
        <f>IFERROR(VLOOKUP(C96,'Acc code'!$B$2:$C$82,2,FALSE),0)</f>
        <v>0</v>
      </c>
      <c r="E96" s="195"/>
      <c r="F96" s="256"/>
      <c r="G96" s="256"/>
      <c r="H96" s="265">
        <f t="shared" si="1"/>
        <v>0</v>
      </c>
      <c r="J96" s="16"/>
      <c r="K96" s="17"/>
      <c r="L96" s="18"/>
      <c r="M96" s="18"/>
    </row>
    <row r="97" spans="1:13" ht="30" customHeight="1" x14ac:dyDescent="0.3">
      <c r="A97" s="193"/>
      <c r="B97" s="194"/>
      <c r="C97" s="196"/>
      <c r="D97" s="195">
        <f>IFERROR(VLOOKUP(C97,'Acc code'!$B$2:$C$82,2,FALSE),0)</f>
        <v>0</v>
      </c>
      <c r="E97" s="195"/>
      <c r="F97" s="256"/>
      <c r="G97" s="256"/>
      <c r="H97" s="265">
        <f t="shared" si="1"/>
        <v>0</v>
      </c>
      <c r="J97" s="16"/>
      <c r="K97" s="17"/>
      <c r="L97" s="18"/>
      <c r="M97" s="18"/>
    </row>
    <row r="98" spans="1:13" ht="30" customHeight="1" x14ac:dyDescent="0.3">
      <c r="A98" s="193"/>
      <c r="B98" s="194"/>
      <c r="C98" s="196"/>
      <c r="D98" s="195">
        <f>IFERROR(VLOOKUP(C98,'Acc code'!$B$2:$C$82,2,FALSE),0)</f>
        <v>0</v>
      </c>
      <c r="E98" s="195"/>
      <c r="F98" s="256"/>
      <c r="G98" s="256"/>
      <c r="H98" s="265">
        <f t="shared" si="1"/>
        <v>0</v>
      </c>
      <c r="J98" s="16"/>
      <c r="K98" s="17"/>
      <c r="L98" s="18"/>
      <c r="M98" s="18"/>
    </row>
    <row r="99" spans="1:13" ht="30" customHeight="1" x14ac:dyDescent="0.3">
      <c r="A99" s="193"/>
      <c r="B99" s="194"/>
      <c r="C99" s="196"/>
      <c r="D99" s="195">
        <f>IFERROR(VLOOKUP(C99,'Acc code'!$B$2:$C$82,2,FALSE),0)</f>
        <v>0</v>
      </c>
      <c r="E99" s="195"/>
      <c r="F99" s="256"/>
      <c r="G99" s="256"/>
      <c r="H99" s="265">
        <f t="shared" si="1"/>
        <v>0</v>
      </c>
      <c r="J99" s="16"/>
      <c r="K99" s="17"/>
      <c r="L99" s="18"/>
      <c r="M99" s="18"/>
    </row>
    <row r="100" spans="1:13" ht="30" customHeight="1" x14ac:dyDescent="0.3">
      <c r="A100" s="193"/>
      <c r="B100" s="194"/>
      <c r="C100" s="196"/>
      <c r="D100" s="195">
        <f>IFERROR(VLOOKUP(C100,'Acc code'!$B$2:$C$82,2,FALSE),0)</f>
        <v>0</v>
      </c>
      <c r="E100" s="195"/>
      <c r="F100" s="256"/>
      <c r="G100" s="256"/>
      <c r="H100" s="265">
        <f t="shared" si="1"/>
        <v>0</v>
      </c>
      <c r="J100" s="16"/>
      <c r="K100" s="17"/>
      <c r="L100" s="18"/>
      <c r="M100" s="18"/>
    </row>
    <row r="101" spans="1:13" ht="30" customHeight="1" x14ac:dyDescent="0.3">
      <c r="A101" s="193"/>
      <c r="B101" s="194"/>
      <c r="C101" s="196"/>
      <c r="D101" s="195">
        <f>IFERROR(VLOOKUP(C101,'Acc code'!$B$2:$C$82,2,FALSE),0)</f>
        <v>0</v>
      </c>
      <c r="E101" s="195"/>
      <c r="F101" s="256"/>
      <c r="G101" s="256"/>
      <c r="H101" s="265">
        <f t="shared" si="1"/>
        <v>0</v>
      </c>
      <c r="J101" s="16"/>
      <c r="K101" s="17"/>
      <c r="L101" s="18"/>
      <c r="M101" s="18"/>
    </row>
    <row r="102" spans="1:13" ht="30" customHeight="1" x14ac:dyDescent="0.3">
      <c r="A102" s="193"/>
      <c r="B102" s="194"/>
      <c r="C102" s="196"/>
      <c r="D102" s="195">
        <f>IFERROR(VLOOKUP(C102,'Acc code'!$B$2:$C$82,2,FALSE),0)</f>
        <v>0</v>
      </c>
      <c r="E102" s="195"/>
      <c r="F102" s="256"/>
      <c r="G102" s="256"/>
      <c r="H102" s="265">
        <f t="shared" si="1"/>
        <v>0</v>
      </c>
      <c r="J102" s="16"/>
      <c r="K102" s="17"/>
      <c r="L102" s="18"/>
      <c r="M102" s="18"/>
    </row>
    <row r="103" spans="1:13" ht="30" customHeight="1" x14ac:dyDescent="0.3">
      <c r="A103" s="193"/>
      <c r="B103" s="194"/>
      <c r="C103" s="196"/>
      <c r="D103" s="195">
        <f>IFERROR(VLOOKUP(C103,'Acc code'!$B$2:$C$82,2,FALSE),0)</f>
        <v>0</v>
      </c>
      <c r="E103" s="195"/>
      <c r="F103" s="256"/>
      <c r="G103" s="256"/>
      <c r="H103" s="265">
        <f t="shared" si="1"/>
        <v>0</v>
      </c>
      <c r="J103" s="16"/>
      <c r="K103" s="17"/>
      <c r="L103" s="18"/>
      <c r="M103" s="18"/>
    </row>
    <row r="104" spans="1:13" ht="30" customHeight="1" x14ac:dyDescent="0.3">
      <c r="A104" s="193"/>
      <c r="B104" s="194"/>
      <c r="C104" s="196"/>
      <c r="D104" s="195">
        <f>IFERROR(VLOOKUP(C104,'Acc code'!$B$2:$C$82,2,FALSE),0)</f>
        <v>0</v>
      </c>
      <c r="E104" s="195"/>
      <c r="F104" s="256"/>
      <c r="G104" s="256"/>
      <c r="H104" s="265">
        <f t="shared" si="1"/>
        <v>0</v>
      </c>
      <c r="J104" s="16"/>
      <c r="K104" s="17"/>
      <c r="L104" s="18"/>
      <c r="M104" s="18"/>
    </row>
    <row r="105" spans="1:13" ht="30" customHeight="1" x14ac:dyDescent="0.3">
      <c r="A105" s="193"/>
      <c r="B105" s="194"/>
      <c r="C105" s="196"/>
      <c r="D105" s="195">
        <f>IFERROR(VLOOKUP(C105,'Acc code'!$B$2:$C$82,2,FALSE),0)</f>
        <v>0</v>
      </c>
      <c r="E105" s="195"/>
      <c r="F105" s="256"/>
      <c r="G105" s="256"/>
      <c r="H105" s="265">
        <f t="shared" si="1"/>
        <v>0</v>
      </c>
      <c r="J105" s="16"/>
      <c r="K105" s="17"/>
      <c r="L105" s="18"/>
      <c r="M105" s="18"/>
    </row>
    <row r="106" spans="1:13" ht="30" customHeight="1" x14ac:dyDescent="0.3">
      <c r="A106" s="193"/>
      <c r="B106" s="194"/>
      <c r="C106" s="196"/>
      <c r="D106" s="195">
        <f>IFERROR(VLOOKUP(C106,'Acc code'!$B$2:$C$82,2,FALSE),0)</f>
        <v>0</v>
      </c>
      <c r="E106" s="195"/>
      <c r="F106" s="256"/>
      <c r="G106" s="256"/>
      <c r="H106" s="265">
        <f t="shared" si="1"/>
        <v>0</v>
      </c>
      <c r="J106" s="16"/>
      <c r="K106" s="17"/>
      <c r="L106" s="18"/>
      <c r="M106" s="18"/>
    </row>
    <row r="107" spans="1:13" ht="30" customHeight="1" x14ac:dyDescent="0.3">
      <c r="A107" s="193"/>
      <c r="B107" s="194"/>
      <c r="C107" s="196"/>
      <c r="D107" s="195">
        <f>IFERROR(VLOOKUP(C107,'Acc code'!$B$2:$C$82,2,FALSE),0)</f>
        <v>0</v>
      </c>
      <c r="E107" s="195"/>
      <c r="F107" s="256"/>
      <c r="G107" s="256"/>
      <c r="H107" s="265">
        <f t="shared" si="1"/>
        <v>0</v>
      </c>
      <c r="J107" s="16"/>
      <c r="K107" s="17"/>
      <c r="L107" s="18"/>
      <c r="M107" s="18"/>
    </row>
    <row r="108" spans="1:13" ht="30" customHeight="1" x14ac:dyDescent="0.3">
      <c r="A108" s="193"/>
      <c r="B108" s="194"/>
      <c r="C108" s="196"/>
      <c r="D108" s="195">
        <f>IFERROR(VLOOKUP(C108,'Acc code'!$B$2:$C$82,2,FALSE),0)</f>
        <v>0</v>
      </c>
      <c r="E108" s="195"/>
      <c r="F108" s="256"/>
      <c r="G108" s="256"/>
      <c r="H108" s="265">
        <f t="shared" si="1"/>
        <v>0</v>
      </c>
      <c r="J108" s="16"/>
      <c r="K108" s="17"/>
      <c r="L108" s="18"/>
      <c r="M108" s="18"/>
    </row>
    <row r="109" spans="1:13" ht="30" customHeight="1" x14ac:dyDescent="0.3">
      <c r="A109" s="193"/>
      <c r="B109" s="194"/>
      <c r="C109" s="196"/>
      <c r="D109" s="195">
        <f>IFERROR(VLOOKUP(C109,'Acc code'!$B$2:$C$82,2,FALSE),0)</f>
        <v>0</v>
      </c>
      <c r="E109" s="195"/>
      <c r="F109" s="256"/>
      <c r="G109" s="256"/>
      <c r="H109" s="265">
        <f t="shared" si="1"/>
        <v>0</v>
      </c>
      <c r="J109" s="16"/>
      <c r="K109" s="17"/>
      <c r="L109" s="18"/>
      <c r="M109" s="18"/>
    </row>
    <row r="110" spans="1:13" ht="30" customHeight="1" x14ac:dyDescent="0.3">
      <c r="A110" s="193"/>
      <c r="B110" s="194"/>
      <c r="C110" s="196"/>
      <c r="D110" s="195">
        <f>IFERROR(VLOOKUP(C110,'Acc code'!$B$2:$C$82,2,FALSE),0)</f>
        <v>0</v>
      </c>
      <c r="E110" s="195"/>
      <c r="F110" s="256"/>
      <c r="G110" s="256"/>
      <c r="H110" s="265">
        <f t="shared" si="1"/>
        <v>0</v>
      </c>
      <c r="J110" s="16"/>
      <c r="K110" s="17"/>
      <c r="L110" s="18"/>
      <c r="M110" s="18"/>
    </row>
    <row r="111" spans="1:13" ht="30" customHeight="1" x14ac:dyDescent="0.3">
      <c r="A111" s="193"/>
      <c r="B111" s="194"/>
      <c r="C111" s="196"/>
      <c r="D111" s="195">
        <f>IFERROR(VLOOKUP(C111,'Acc code'!$B$2:$C$82,2,FALSE),0)</f>
        <v>0</v>
      </c>
      <c r="E111" s="195"/>
      <c r="F111" s="256"/>
      <c r="G111" s="256"/>
      <c r="H111" s="265">
        <f t="shared" si="1"/>
        <v>0</v>
      </c>
      <c r="J111" s="16"/>
      <c r="K111" s="17"/>
      <c r="L111" s="18"/>
      <c r="M111" s="18"/>
    </row>
    <row r="112" spans="1:13" ht="30" customHeight="1" x14ac:dyDescent="0.3">
      <c r="A112" s="193"/>
      <c r="B112" s="194"/>
      <c r="C112" s="196"/>
      <c r="D112" s="195">
        <f>IFERROR(VLOOKUP(C112,'Acc code'!$B$2:$C$82,2,FALSE),0)</f>
        <v>0</v>
      </c>
      <c r="E112" s="195"/>
      <c r="F112" s="256"/>
      <c r="G112" s="256"/>
      <c r="H112" s="265">
        <f t="shared" si="1"/>
        <v>0</v>
      </c>
      <c r="J112" s="16"/>
      <c r="K112" s="17"/>
      <c r="L112" s="18"/>
      <c r="M112" s="18"/>
    </row>
    <row r="113" spans="1:13" ht="30" customHeight="1" x14ac:dyDescent="0.3">
      <c r="A113" s="193"/>
      <c r="B113" s="194"/>
      <c r="C113" s="196"/>
      <c r="D113" s="195">
        <f>IFERROR(VLOOKUP(C113,'Acc code'!$B$2:$C$82,2,FALSE),0)</f>
        <v>0</v>
      </c>
      <c r="E113" s="195"/>
      <c r="F113" s="256"/>
      <c r="G113" s="256"/>
      <c r="H113" s="265">
        <f t="shared" si="1"/>
        <v>0</v>
      </c>
      <c r="J113" s="16"/>
      <c r="K113" s="17"/>
      <c r="L113" s="18"/>
      <c r="M113" s="18"/>
    </row>
    <row r="114" spans="1:13" ht="30" customHeight="1" x14ac:dyDescent="0.3">
      <c r="A114" s="193"/>
      <c r="B114" s="194"/>
      <c r="C114" s="196"/>
      <c r="D114" s="195">
        <f>IFERROR(VLOOKUP(C114,'Acc code'!$B$2:$C$82,2,FALSE),0)</f>
        <v>0</v>
      </c>
      <c r="E114" s="195"/>
      <c r="F114" s="256"/>
      <c r="G114" s="256"/>
      <c r="H114" s="265">
        <f t="shared" si="1"/>
        <v>0</v>
      </c>
      <c r="J114" s="16"/>
      <c r="K114" s="17"/>
      <c r="L114" s="18"/>
      <c r="M114" s="18"/>
    </row>
    <row r="115" spans="1:13" ht="30" customHeight="1" x14ac:dyDescent="0.3">
      <c r="A115" s="193"/>
      <c r="B115" s="194"/>
      <c r="C115" s="196"/>
      <c r="D115" s="195">
        <f>IFERROR(VLOOKUP(C115,'Acc code'!$B$2:$C$82,2,FALSE),0)</f>
        <v>0</v>
      </c>
      <c r="E115" s="195"/>
      <c r="F115" s="256"/>
      <c r="G115" s="256"/>
      <c r="H115" s="265">
        <f t="shared" si="1"/>
        <v>0</v>
      </c>
      <c r="J115" s="16"/>
      <c r="K115" s="17"/>
      <c r="L115" s="18"/>
      <c r="M115" s="18"/>
    </row>
    <row r="116" spans="1:13" ht="30" customHeight="1" x14ac:dyDescent="0.3">
      <c r="A116" s="193"/>
      <c r="B116" s="194"/>
      <c r="C116" s="196"/>
      <c r="D116" s="195">
        <f>IFERROR(VLOOKUP(C116,'Acc code'!$B$2:$C$82,2,FALSE),0)</f>
        <v>0</v>
      </c>
      <c r="E116" s="195"/>
      <c r="F116" s="256"/>
      <c r="G116" s="256"/>
      <c r="H116" s="265">
        <f t="shared" si="1"/>
        <v>0</v>
      </c>
      <c r="J116" s="16"/>
      <c r="K116" s="17"/>
      <c r="L116" s="18"/>
      <c r="M116" s="18"/>
    </row>
    <row r="117" spans="1:13" ht="30" customHeight="1" x14ac:dyDescent="0.3">
      <c r="A117" s="193"/>
      <c r="B117" s="194"/>
      <c r="C117" s="196"/>
      <c r="D117" s="195">
        <f>IFERROR(VLOOKUP(C117,'Acc code'!$B$2:$C$82,2,FALSE),0)</f>
        <v>0</v>
      </c>
      <c r="E117" s="195"/>
      <c r="F117" s="256"/>
      <c r="G117" s="256"/>
      <c r="H117" s="265">
        <f t="shared" si="1"/>
        <v>0</v>
      </c>
      <c r="J117" s="16"/>
      <c r="K117" s="17"/>
      <c r="L117" s="18"/>
      <c r="M117" s="18"/>
    </row>
    <row r="118" spans="1:13" ht="30" customHeight="1" x14ac:dyDescent="0.3">
      <c r="A118" s="193"/>
      <c r="B118" s="194"/>
      <c r="C118" s="196"/>
      <c r="D118" s="195">
        <f>IFERROR(VLOOKUP(C118,'Acc code'!$B$2:$C$82,2,FALSE),0)</f>
        <v>0</v>
      </c>
      <c r="E118" s="195"/>
      <c r="F118" s="256"/>
      <c r="G118" s="256"/>
      <c r="H118" s="265">
        <f t="shared" si="1"/>
        <v>0</v>
      </c>
      <c r="J118" s="16"/>
      <c r="K118" s="17"/>
      <c r="L118" s="18"/>
      <c r="M118" s="18"/>
    </row>
    <row r="119" spans="1:13" ht="30" customHeight="1" x14ac:dyDescent="0.3">
      <c r="A119" s="193"/>
      <c r="B119" s="194"/>
      <c r="C119" s="196"/>
      <c r="D119" s="195">
        <f>IFERROR(VLOOKUP(C119,'Acc code'!$B$2:$C$82,2,FALSE),0)</f>
        <v>0</v>
      </c>
      <c r="E119" s="195"/>
      <c r="F119" s="256"/>
      <c r="G119" s="256"/>
      <c r="H119" s="265">
        <f t="shared" si="1"/>
        <v>0</v>
      </c>
      <c r="J119" s="16"/>
      <c r="K119" s="17"/>
      <c r="L119" s="18"/>
      <c r="M119" s="18"/>
    </row>
    <row r="120" spans="1:13" ht="30" customHeight="1" x14ac:dyDescent="0.3">
      <c r="A120" s="193"/>
      <c r="B120" s="194"/>
      <c r="C120" s="196"/>
      <c r="D120" s="195">
        <f>IFERROR(VLOOKUP(C120,'Acc code'!$B$2:$C$82,2,FALSE),0)</f>
        <v>0</v>
      </c>
      <c r="E120" s="195"/>
      <c r="F120" s="256"/>
      <c r="G120" s="256"/>
      <c r="H120" s="265">
        <f t="shared" si="1"/>
        <v>0</v>
      </c>
      <c r="J120" s="16"/>
      <c r="K120" s="17"/>
      <c r="L120" s="18"/>
      <c r="M120" s="18"/>
    </row>
    <row r="121" spans="1:13" ht="30" customHeight="1" x14ac:dyDescent="0.3">
      <c r="A121" s="193"/>
      <c r="B121" s="194"/>
      <c r="C121" s="196"/>
      <c r="D121" s="195">
        <f>IFERROR(VLOOKUP(C121,'Acc code'!$B$2:$C$82,2,FALSE),0)</f>
        <v>0</v>
      </c>
      <c r="E121" s="195"/>
      <c r="F121" s="256"/>
      <c r="G121" s="256"/>
      <c r="H121" s="265">
        <f t="shared" si="1"/>
        <v>0</v>
      </c>
      <c r="J121" s="16"/>
      <c r="K121" s="17"/>
      <c r="L121" s="18"/>
      <c r="M121" s="18"/>
    </row>
    <row r="122" spans="1:13" ht="30" customHeight="1" x14ac:dyDescent="0.3">
      <c r="A122" s="193"/>
      <c r="B122" s="194"/>
      <c r="C122" s="196"/>
      <c r="D122" s="195">
        <f>IFERROR(VLOOKUP(C122,'Acc code'!$B$2:$C$82,2,FALSE),0)</f>
        <v>0</v>
      </c>
      <c r="E122" s="195"/>
      <c r="F122" s="256"/>
      <c r="G122" s="256"/>
      <c r="H122" s="265">
        <f t="shared" si="1"/>
        <v>0</v>
      </c>
      <c r="J122" s="16"/>
      <c r="K122" s="17"/>
      <c r="L122" s="18"/>
      <c r="M122" s="18"/>
    </row>
    <row r="123" spans="1:13" ht="30" customHeight="1" x14ac:dyDescent="0.3">
      <c r="A123" s="193"/>
      <c r="B123" s="194"/>
      <c r="C123" s="196"/>
      <c r="D123" s="195">
        <f>IFERROR(VLOOKUP(C123,'Acc code'!$B$2:$C$82,2,FALSE),0)</f>
        <v>0</v>
      </c>
      <c r="E123" s="195"/>
      <c r="F123" s="256"/>
      <c r="G123" s="256"/>
      <c r="H123" s="265">
        <f t="shared" si="1"/>
        <v>0</v>
      </c>
      <c r="J123" s="16"/>
      <c r="K123" s="17"/>
      <c r="L123" s="18"/>
      <c r="M123" s="18"/>
    </row>
    <row r="124" spans="1:13" ht="30" customHeight="1" x14ac:dyDescent="0.3">
      <c r="A124" s="193"/>
      <c r="B124" s="194"/>
      <c r="C124" s="196"/>
      <c r="D124" s="195">
        <f>IFERROR(VLOOKUP(C124,'Acc code'!$B$2:$C$82,2,FALSE),0)</f>
        <v>0</v>
      </c>
      <c r="E124" s="195"/>
      <c r="F124" s="256"/>
      <c r="G124" s="256"/>
      <c r="H124" s="265">
        <f t="shared" si="1"/>
        <v>0</v>
      </c>
      <c r="J124" s="16"/>
      <c r="K124" s="17"/>
      <c r="L124" s="18"/>
      <c r="M124" s="18"/>
    </row>
    <row r="125" spans="1:13" ht="30" customHeight="1" x14ac:dyDescent="0.3">
      <c r="A125" s="193"/>
      <c r="B125" s="194"/>
      <c r="C125" s="196"/>
      <c r="D125" s="195">
        <f>IFERROR(VLOOKUP(C125,'Acc code'!$B$2:$C$82,2,FALSE),0)</f>
        <v>0</v>
      </c>
      <c r="E125" s="195"/>
      <c r="F125" s="256"/>
      <c r="G125" s="256"/>
      <c r="H125" s="265">
        <f t="shared" si="1"/>
        <v>0</v>
      </c>
      <c r="J125" s="16"/>
      <c r="K125" s="17"/>
      <c r="L125" s="18"/>
      <c r="M125" s="18"/>
    </row>
    <row r="126" spans="1:13" ht="30" customHeight="1" x14ac:dyDescent="0.3">
      <c r="A126" s="193"/>
      <c r="B126" s="194"/>
      <c r="C126" s="196"/>
      <c r="D126" s="195">
        <f>IFERROR(VLOOKUP(C126,'Acc code'!$B$2:$C$82,2,FALSE),0)</f>
        <v>0</v>
      </c>
      <c r="E126" s="195"/>
      <c r="F126" s="256"/>
      <c r="G126" s="256"/>
      <c r="H126" s="265">
        <f t="shared" si="1"/>
        <v>0</v>
      </c>
      <c r="J126" s="16"/>
      <c r="K126" s="17"/>
      <c r="L126" s="18"/>
      <c r="M126" s="18"/>
    </row>
    <row r="127" spans="1:13" ht="30" customHeight="1" x14ac:dyDescent="0.3">
      <c r="A127" s="193"/>
      <c r="B127" s="194"/>
      <c r="C127" s="196"/>
      <c r="D127" s="195">
        <f>IFERROR(VLOOKUP(C127,'Acc code'!$B$2:$C$82,2,FALSE),0)</f>
        <v>0</v>
      </c>
      <c r="E127" s="195"/>
      <c r="F127" s="256"/>
      <c r="G127" s="256"/>
      <c r="H127" s="265">
        <f t="shared" si="1"/>
        <v>0</v>
      </c>
      <c r="J127" s="16"/>
      <c r="K127" s="17"/>
      <c r="L127" s="18"/>
      <c r="M127" s="18"/>
    </row>
    <row r="128" spans="1:13" ht="30" customHeight="1" x14ac:dyDescent="0.3">
      <c r="A128" s="193"/>
      <c r="B128" s="194"/>
      <c r="C128" s="196"/>
      <c r="D128" s="195">
        <f>IFERROR(VLOOKUP(C128,'Acc code'!$B$2:$C$82,2,FALSE),0)</f>
        <v>0</v>
      </c>
      <c r="E128" s="195"/>
      <c r="F128" s="256"/>
      <c r="G128" s="256"/>
      <c r="H128" s="265">
        <f t="shared" si="1"/>
        <v>0</v>
      </c>
      <c r="J128" s="16"/>
      <c r="K128" s="17"/>
      <c r="L128" s="18"/>
      <c r="M128" s="18"/>
    </row>
    <row r="129" spans="1:13" ht="30" customHeight="1" x14ac:dyDescent="0.3">
      <c r="A129" s="193"/>
      <c r="B129" s="194"/>
      <c r="C129" s="196"/>
      <c r="D129" s="195">
        <f>IFERROR(VLOOKUP(C129,'Acc code'!$B$2:$C$82,2,FALSE),0)</f>
        <v>0</v>
      </c>
      <c r="E129" s="195"/>
      <c r="F129" s="256"/>
      <c r="G129" s="256"/>
      <c r="H129" s="265">
        <f t="shared" si="1"/>
        <v>0</v>
      </c>
      <c r="J129" s="16"/>
      <c r="K129" s="17"/>
      <c r="L129" s="18"/>
      <c r="M129" s="18"/>
    </row>
    <row r="130" spans="1:13" ht="30" customHeight="1" x14ac:dyDescent="0.3">
      <c r="A130" s="193"/>
      <c r="B130" s="194"/>
      <c r="C130" s="196"/>
      <c r="D130" s="195">
        <f>IFERROR(VLOOKUP(C130,'Acc code'!$B$2:$C$82,2,FALSE),0)</f>
        <v>0</v>
      </c>
      <c r="E130" s="195"/>
      <c r="F130" s="256"/>
      <c r="G130" s="256"/>
      <c r="H130" s="265">
        <f t="shared" si="1"/>
        <v>0</v>
      </c>
      <c r="J130" s="16"/>
      <c r="K130" s="17"/>
      <c r="L130" s="18"/>
      <c r="M130" s="18"/>
    </row>
    <row r="131" spans="1:13" ht="30" customHeight="1" x14ac:dyDescent="0.3">
      <c r="A131" s="193"/>
      <c r="B131" s="194"/>
      <c r="C131" s="196"/>
      <c r="D131" s="195">
        <f>IFERROR(VLOOKUP(C131,'Acc code'!$B$2:$C$82,2,FALSE),0)</f>
        <v>0</v>
      </c>
      <c r="E131" s="195"/>
      <c r="F131" s="256"/>
      <c r="G131" s="256"/>
      <c r="H131" s="265">
        <f t="shared" si="1"/>
        <v>0</v>
      </c>
      <c r="J131" s="16"/>
      <c r="K131" s="17"/>
      <c r="L131" s="18"/>
      <c r="M131" s="18"/>
    </row>
    <row r="132" spans="1:13" ht="30" customHeight="1" x14ac:dyDescent="0.3">
      <c r="A132" s="193"/>
      <c r="B132" s="194"/>
      <c r="C132" s="196"/>
      <c r="D132" s="195">
        <f>IFERROR(VLOOKUP(C132,'Acc code'!$B$2:$C$82,2,FALSE),0)</f>
        <v>0</v>
      </c>
      <c r="E132" s="195"/>
      <c r="F132" s="256"/>
      <c r="G132" s="256"/>
      <c r="H132" s="265">
        <f t="shared" si="1"/>
        <v>0</v>
      </c>
      <c r="J132" s="16"/>
      <c r="K132" s="17"/>
      <c r="L132" s="18"/>
      <c r="M132" s="18"/>
    </row>
    <row r="133" spans="1:13" ht="30" customHeight="1" x14ac:dyDescent="0.3">
      <c r="A133" s="193"/>
      <c r="B133" s="194"/>
      <c r="C133" s="196"/>
      <c r="D133" s="195">
        <f>IFERROR(VLOOKUP(C133,'Acc code'!$B$2:$C$82,2,FALSE),0)</f>
        <v>0</v>
      </c>
      <c r="E133" s="195"/>
      <c r="F133" s="256"/>
      <c r="G133" s="256"/>
      <c r="H133" s="265">
        <f t="shared" si="1"/>
        <v>0</v>
      </c>
      <c r="J133" s="16"/>
      <c r="K133" s="17"/>
      <c r="L133" s="18"/>
      <c r="M133" s="18"/>
    </row>
    <row r="134" spans="1:13" ht="30" customHeight="1" x14ac:dyDescent="0.3">
      <c r="A134" s="193"/>
      <c r="B134" s="194"/>
      <c r="C134" s="196"/>
      <c r="D134" s="195">
        <f>IFERROR(VLOOKUP(C134,'Acc code'!$B$2:$C$82,2,FALSE),0)</f>
        <v>0</v>
      </c>
      <c r="E134" s="195"/>
      <c r="F134" s="256"/>
      <c r="G134" s="256"/>
      <c r="H134" s="265">
        <f t="shared" si="1"/>
        <v>0</v>
      </c>
      <c r="J134" s="16"/>
      <c r="K134" s="17"/>
      <c r="L134" s="18"/>
      <c r="M134" s="18"/>
    </row>
    <row r="135" spans="1:13" ht="30" customHeight="1" x14ac:dyDescent="0.3">
      <c r="A135" s="193"/>
      <c r="B135" s="194"/>
      <c r="C135" s="196"/>
      <c r="D135" s="195">
        <f>IFERROR(VLOOKUP(C135,'Acc code'!$B$2:$C$82,2,FALSE),0)</f>
        <v>0</v>
      </c>
      <c r="E135" s="195"/>
      <c r="F135" s="256"/>
      <c r="G135" s="256"/>
      <c r="H135" s="265">
        <f t="shared" si="1"/>
        <v>0</v>
      </c>
      <c r="J135" s="16"/>
      <c r="K135" s="17"/>
      <c r="L135" s="18"/>
      <c r="M135" s="18"/>
    </row>
    <row r="136" spans="1:13" ht="30" customHeight="1" x14ac:dyDescent="0.3">
      <c r="A136" s="193"/>
      <c r="B136" s="194"/>
      <c r="C136" s="196"/>
      <c r="D136" s="195">
        <f>IFERROR(VLOOKUP(C136,'Acc code'!$B$2:$C$82,2,FALSE),0)</f>
        <v>0</v>
      </c>
      <c r="E136" s="195"/>
      <c r="F136" s="256"/>
      <c r="G136" s="256"/>
      <c r="H136" s="265">
        <f t="shared" ref="H136:H199" si="2">H135+F136-G136</f>
        <v>0</v>
      </c>
      <c r="J136" s="16"/>
      <c r="K136" s="17"/>
      <c r="L136" s="18"/>
      <c r="M136" s="18"/>
    </row>
    <row r="137" spans="1:13" ht="30" customHeight="1" x14ac:dyDescent="0.3">
      <c r="A137" s="193"/>
      <c r="B137" s="194"/>
      <c r="C137" s="196"/>
      <c r="D137" s="195">
        <f>IFERROR(VLOOKUP(C137,'Acc code'!$B$2:$C$82,2,FALSE),0)</f>
        <v>0</v>
      </c>
      <c r="E137" s="195"/>
      <c r="F137" s="256"/>
      <c r="G137" s="256"/>
      <c r="H137" s="265">
        <f t="shared" si="2"/>
        <v>0</v>
      </c>
      <c r="J137" s="16"/>
      <c r="K137" s="17"/>
      <c r="L137" s="18"/>
      <c r="M137" s="18"/>
    </row>
    <row r="138" spans="1:13" ht="30" customHeight="1" x14ac:dyDescent="0.3">
      <c r="A138" s="193"/>
      <c r="B138" s="194"/>
      <c r="C138" s="196"/>
      <c r="D138" s="195">
        <f>IFERROR(VLOOKUP(C138,'Acc code'!$B$2:$C$82,2,FALSE),0)</f>
        <v>0</v>
      </c>
      <c r="E138" s="195"/>
      <c r="F138" s="256"/>
      <c r="G138" s="256"/>
      <c r="H138" s="265">
        <f t="shared" si="2"/>
        <v>0</v>
      </c>
      <c r="J138" s="16"/>
      <c r="K138" s="17"/>
      <c r="L138" s="18"/>
      <c r="M138" s="18"/>
    </row>
    <row r="139" spans="1:13" ht="30" customHeight="1" x14ac:dyDescent="0.3">
      <c r="A139" s="193"/>
      <c r="B139" s="194"/>
      <c r="C139" s="196"/>
      <c r="D139" s="195">
        <f>IFERROR(VLOOKUP(C139,'Acc code'!$B$2:$C$82,2,FALSE),0)</f>
        <v>0</v>
      </c>
      <c r="E139" s="195"/>
      <c r="F139" s="256"/>
      <c r="G139" s="256"/>
      <c r="H139" s="265">
        <f t="shared" si="2"/>
        <v>0</v>
      </c>
      <c r="J139" s="16"/>
      <c r="K139" s="17"/>
      <c r="L139" s="18"/>
      <c r="M139" s="18"/>
    </row>
    <row r="140" spans="1:13" ht="30" customHeight="1" x14ac:dyDescent="0.3">
      <c r="A140" s="193"/>
      <c r="B140" s="194"/>
      <c r="C140" s="196"/>
      <c r="D140" s="195">
        <f>IFERROR(VLOOKUP(C140,'Acc code'!$B$2:$C$82,2,FALSE),0)</f>
        <v>0</v>
      </c>
      <c r="E140" s="195"/>
      <c r="F140" s="256"/>
      <c r="G140" s="256"/>
      <c r="H140" s="265">
        <f t="shared" si="2"/>
        <v>0</v>
      </c>
      <c r="J140" s="16"/>
      <c r="K140" s="17"/>
      <c r="L140" s="18"/>
      <c r="M140" s="18"/>
    </row>
    <row r="141" spans="1:13" ht="30" customHeight="1" x14ac:dyDescent="0.3">
      <c r="A141" s="193"/>
      <c r="B141" s="194"/>
      <c r="C141" s="196"/>
      <c r="D141" s="195">
        <f>IFERROR(VLOOKUP(C141,'Acc code'!$B$2:$C$82,2,FALSE),0)</f>
        <v>0</v>
      </c>
      <c r="E141" s="195"/>
      <c r="F141" s="256"/>
      <c r="G141" s="256"/>
      <c r="H141" s="265">
        <f t="shared" si="2"/>
        <v>0</v>
      </c>
      <c r="J141" s="16"/>
      <c r="K141" s="17"/>
      <c r="L141" s="18"/>
      <c r="M141" s="18"/>
    </row>
    <row r="142" spans="1:13" ht="30" customHeight="1" x14ac:dyDescent="0.3">
      <c r="A142" s="193"/>
      <c r="B142" s="194"/>
      <c r="C142" s="196"/>
      <c r="D142" s="195">
        <f>IFERROR(VLOOKUP(C142,'Acc code'!$B$2:$C$82,2,FALSE),0)</f>
        <v>0</v>
      </c>
      <c r="E142" s="195"/>
      <c r="F142" s="256"/>
      <c r="G142" s="256"/>
      <c r="H142" s="265">
        <f t="shared" si="2"/>
        <v>0</v>
      </c>
      <c r="J142" s="16"/>
      <c r="K142" s="17"/>
      <c r="L142" s="18"/>
      <c r="M142" s="18"/>
    </row>
    <row r="143" spans="1:13" ht="30" customHeight="1" x14ac:dyDescent="0.3">
      <c r="A143" s="193"/>
      <c r="B143" s="194"/>
      <c r="C143" s="196"/>
      <c r="D143" s="195">
        <f>IFERROR(VLOOKUP(C143,'Acc code'!$B$2:$C$82,2,FALSE),0)</f>
        <v>0</v>
      </c>
      <c r="E143" s="195"/>
      <c r="F143" s="256"/>
      <c r="G143" s="256"/>
      <c r="H143" s="265">
        <f t="shared" si="2"/>
        <v>0</v>
      </c>
      <c r="J143" s="16"/>
      <c r="K143" s="17"/>
      <c r="L143" s="18"/>
      <c r="M143" s="18"/>
    </row>
    <row r="144" spans="1:13" ht="30" customHeight="1" x14ac:dyDescent="0.3">
      <c r="A144" s="193"/>
      <c r="B144" s="194"/>
      <c r="C144" s="196"/>
      <c r="D144" s="195">
        <f>IFERROR(VLOOKUP(C144,'Acc code'!$B$2:$C$82,2,FALSE),0)</f>
        <v>0</v>
      </c>
      <c r="E144" s="195"/>
      <c r="F144" s="256"/>
      <c r="G144" s="256"/>
      <c r="H144" s="265">
        <f t="shared" si="2"/>
        <v>0</v>
      </c>
      <c r="J144" s="16"/>
      <c r="K144" s="17"/>
      <c r="L144" s="18"/>
      <c r="M144" s="18"/>
    </row>
    <row r="145" spans="1:13" ht="30" customHeight="1" x14ac:dyDescent="0.3">
      <c r="A145" s="193"/>
      <c r="B145" s="194"/>
      <c r="C145" s="196"/>
      <c r="D145" s="195">
        <f>IFERROR(VLOOKUP(C145,'Acc code'!$B$2:$C$82,2,FALSE),0)</f>
        <v>0</v>
      </c>
      <c r="E145" s="195"/>
      <c r="F145" s="256"/>
      <c r="G145" s="256"/>
      <c r="H145" s="265">
        <f t="shared" si="2"/>
        <v>0</v>
      </c>
      <c r="J145" s="16"/>
      <c r="K145" s="17"/>
      <c r="L145" s="18"/>
      <c r="M145" s="18"/>
    </row>
    <row r="146" spans="1:13" ht="30" customHeight="1" x14ac:dyDescent="0.3">
      <c r="A146" s="193"/>
      <c r="B146" s="194"/>
      <c r="C146" s="196"/>
      <c r="D146" s="195">
        <f>IFERROR(VLOOKUP(C146,'Acc code'!$B$2:$C$82,2,FALSE),0)</f>
        <v>0</v>
      </c>
      <c r="E146" s="195"/>
      <c r="F146" s="256"/>
      <c r="G146" s="256"/>
      <c r="H146" s="265">
        <f t="shared" si="2"/>
        <v>0</v>
      </c>
      <c r="J146" s="16"/>
      <c r="K146" s="17"/>
      <c r="L146" s="18"/>
      <c r="M146" s="18"/>
    </row>
    <row r="147" spans="1:13" ht="30" customHeight="1" x14ac:dyDescent="0.3">
      <c r="A147" s="193"/>
      <c r="B147" s="194"/>
      <c r="C147" s="196"/>
      <c r="D147" s="195">
        <f>IFERROR(VLOOKUP(C147,'Acc code'!$B$2:$C$82,2,FALSE),0)</f>
        <v>0</v>
      </c>
      <c r="E147" s="195"/>
      <c r="F147" s="256"/>
      <c r="G147" s="256"/>
      <c r="H147" s="265">
        <f t="shared" si="2"/>
        <v>0</v>
      </c>
      <c r="J147" s="16"/>
      <c r="K147" s="17"/>
      <c r="L147" s="18"/>
      <c r="M147" s="18"/>
    </row>
    <row r="148" spans="1:13" ht="30" customHeight="1" x14ac:dyDescent="0.3">
      <c r="A148" s="193"/>
      <c r="B148" s="194"/>
      <c r="C148" s="196"/>
      <c r="D148" s="195">
        <f>IFERROR(VLOOKUP(C148,'Acc code'!$B$2:$C$82,2,FALSE),0)</f>
        <v>0</v>
      </c>
      <c r="E148" s="195"/>
      <c r="F148" s="256"/>
      <c r="G148" s="256"/>
      <c r="H148" s="265">
        <f t="shared" si="2"/>
        <v>0</v>
      </c>
      <c r="J148" s="16"/>
      <c r="K148" s="17"/>
      <c r="L148" s="18"/>
      <c r="M148" s="18"/>
    </row>
    <row r="149" spans="1:13" ht="30" customHeight="1" x14ac:dyDescent="0.3">
      <c r="A149" s="193"/>
      <c r="B149" s="194"/>
      <c r="C149" s="196"/>
      <c r="D149" s="195">
        <f>IFERROR(VLOOKUP(C149,'Acc code'!$B$2:$C$82,2,FALSE),0)</f>
        <v>0</v>
      </c>
      <c r="E149" s="195"/>
      <c r="F149" s="256"/>
      <c r="G149" s="256"/>
      <c r="H149" s="265">
        <f t="shared" si="2"/>
        <v>0</v>
      </c>
      <c r="J149" s="16"/>
      <c r="K149" s="17"/>
      <c r="L149" s="18"/>
      <c r="M149" s="18"/>
    </row>
    <row r="150" spans="1:13" ht="30" customHeight="1" x14ac:dyDescent="0.3">
      <c r="A150" s="193"/>
      <c r="B150" s="194"/>
      <c r="C150" s="196"/>
      <c r="D150" s="195">
        <f>IFERROR(VLOOKUP(C150,'Acc code'!$B$2:$C$82,2,FALSE),0)</f>
        <v>0</v>
      </c>
      <c r="E150" s="195"/>
      <c r="F150" s="256"/>
      <c r="G150" s="256"/>
      <c r="H150" s="265">
        <f t="shared" si="2"/>
        <v>0</v>
      </c>
      <c r="J150" s="16"/>
      <c r="K150" s="17"/>
      <c r="L150" s="18"/>
      <c r="M150" s="18"/>
    </row>
    <row r="151" spans="1:13" ht="30" customHeight="1" x14ac:dyDescent="0.3">
      <c r="A151" s="193"/>
      <c r="B151" s="194"/>
      <c r="C151" s="196"/>
      <c r="D151" s="195">
        <f>IFERROR(VLOOKUP(C151,'Acc code'!$B$2:$C$82,2,FALSE),0)</f>
        <v>0</v>
      </c>
      <c r="E151" s="195"/>
      <c r="F151" s="256"/>
      <c r="G151" s="256"/>
      <c r="H151" s="265">
        <f t="shared" si="2"/>
        <v>0</v>
      </c>
      <c r="J151" s="16"/>
      <c r="K151" s="17"/>
      <c r="L151" s="18"/>
      <c r="M151" s="18"/>
    </row>
    <row r="152" spans="1:13" ht="30" customHeight="1" x14ac:dyDescent="0.3">
      <c r="A152" s="193"/>
      <c r="B152" s="194"/>
      <c r="C152" s="196"/>
      <c r="D152" s="195">
        <f>IFERROR(VLOOKUP(C152,'Acc code'!$B$2:$C$82,2,FALSE),0)</f>
        <v>0</v>
      </c>
      <c r="E152" s="195"/>
      <c r="F152" s="256"/>
      <c r="G152" s="256"/>
      <c r="H152" s="265">
        <f t="shared" si="2"/>
        <v>0</v>
      </c>
      <c r="J152" s="16"/>
      <c r="K152" s="17"/>
      <c r="L152" s="18"/>
      <c r="M152" s="18"/>
    </row>
    <row r="153" spans="1:13" ht="30" customHeight="1" x14ac:dyDescent="0.3">
      <c r="A153" s="193"/>
      <c r="B153" s="194"/>
      <c r="C153" s="196"/>
      <c r="D153" s="195">
        <f>IFERROR(VLOOKUP(C153,'Acc code'!$B$2:$C$82,2,FALSE),0)</f>
        <v>0</v>
      </c>
      <c r="E153" s="195"/>
      <c r="F153" s="256"/>
      <c r="G153" s="256"/>
      <c r="H153" s="265">
        <f t="shared" si="2"/>
        <v>0</v>
      </c>
      <c r="J153" s="16"/>
      <c r="K153" s="17"/>
      <c r="L153" s="18"/>
      <c r="M153" s="18"/>
    </row>
    <row r="154" spans="1:13" ht="30" customHeight="1" x14ac:dyDescent="0.3">
      <c r="A154" s="193"/>
      <c r="B154" s="194"/>
      <c r="C154" s="196"/>
      <c r="D154" s="195">
        <f>IFERROR(VLOOKUP(C154,'Acc code'!$B$2:$C$82,2,FALSE),0)</f>
        <v>0</v>
      </c>
      <c r="E154" s="195"/>
      <c r="F154" s="256"/>
      <c r="G154" s="256"/>
      <c r="H154" s="265">
        <f t="shared" si="2"/>
        <v>0</v>
      </c>
      <c r="J154" s="16"/>
      <c r="K154" s="17"/>
      <c r="L154" s="18"/>
      <c r="M154" s="18"/>
    </row>
    <row r="155" spans="1:13" ht="30" customHeight="1" x14ac:dyDescent="0.3">
      <c r="A155" s="193"/>
      <c r="B155" s="194"/>
      <c r="C155" s="196"/>
      <c r="D155" s="195">
        <f>IFERROR(VLOOKUP(C155,'Acc code'!$B$2:$C$82,2,FALSE),0)</f>
        <v>0</v>
      </c>
      <c r="E155" s="195"/>
      <c r="F155" s="256"/>
      <c r="G155" s="256"/>
      <c r="H155" s="265">
        <f t="shared" si="2"/>
        <v>0</v>
      </c>
      <c r="J155" s="16"/>
      <c r="K155" s="17"/>
      <c r="L155" s="18"/>
      <c r="M155" s="18"/>
    </row>
    <row r="156" spans="1:13" ht="30" customHeight="1" x14ac:dyDescent="0.3">
      <c r="A156" s="193"/>
      <c r="B156" s="194"/>
      <c r="C156" s="196"/>
      <c r="D156" s="195">
        <f>IFERROR(VLOOKUP(C156,'Acc code'!$B$2:$C$82,2,FALSE),0)</f>
        <v>0</v>
      </c>
      <c r="E156" s="195"/>
      <c r="F156" s="256"/>
      <c r="G156" s="256"/>
      <c r="H156" s="265">
        <f t="shared" si="2"/>
        <v>0</v>
      </c>
      <c r="J156" s="16"/>
      <c r="K156" s="17"/>
      <c r="L156" s="18"/>
      <c r="M156" s="18"/>
    </row>
    <row r="157" spans="1:13" ht="30" customHeight="1" x14ac:dyDescent="0.3">
      <c r="A157" s="193"/>
      <c r="B157" s="194"/>
      <c r="C157" s="196"/>
      <c r="D157" s="195">
        <f>IFERROR(VLOOKUP(C157,'Acc code'!$B$2:$C$82,2,FALSE),0)</f>
        <v>0</v>
      </c>
      <c r="E157" s="195"/>
      <c r="F157" s="256"/>
      <c r="G157" s="256"/>
      <c r="H157" s="265">
        <f t="shared" si="2"/>
        <v>0</v>
      </c>
      <c r="J157" s="16"/>
      <c r="K157" s="17"/>
      <c r="L157" s="18"/>
      <c r="M157" s="18"/>
    </row>
    <row r="158" spans="1:13" ht="30" customHeight="1" x14ac:dyDescent="0.3">
      <c r="A158" s="193"/>
      <c r="B158" s="194"/>
      <c r="C158" s="196"/>
      <c r="D158" s="195">
        <f>IFERROR(VLOOKUP(C158,'Acc code'!$B$2:$C$82,2,FALSE),0)</f>
        <v>0</v>
      </c>
      <c r="E158" s="195"/>
      <c r="F158" s="256"/>
      <c r="G158" s="256"/>
      <c r="H158" s="265">
        <f t="shared" si="2"/>
        <v>0</v>
      </c>
      <c r="J158" s="16"/>
      <c r="K158" s="17"/>
      <c r="L158" s="18"/>
      <c r="M158" s="18"/>
    </row>
    <row r="159" spans="1:13" ht="30" customHeight="1" x14ac:dyDescent="0.3">
      <c r="A159" s="193"/>
      <c r="B159" s="194"/>
      <c r="C159" s="196"/>
      <c r="D159" s="195">
        <f>IFERROR(VLOOKUP(C159,'Acc code'!$B$2:$C$82,2,FALSE),0)</f>
        <v>0</v>
      </c>
      <c r="E159" s="195"/>
      <c r="F159" s="256"/>
      <c r="G159" s="256"/>
      <c r="H159" s="265">
        <f t="shared" si="2"/>
        <v>0</v>
      </c>
      <c r="J159" s="16"/>
      <c r="K159" s="17"/>
      <c r="L159" s="18"/>
      <c r="M159" s="18"/>
    </row>
    <row r="160" spans="1:13" ht="30" customHeight="1" x14ac:dyDescent="0.3">
      <c r="A160" s="193"/>
      <c r="B160" s="194"/>
      <c r="C160" s="196"/>
      <c r="D160" s="195">
        <f>IFERROR(VLOOKUP(C160,'Acc code'!$B$2:$C$82,2,FALSE),0)</f>
        <v>0</v>
      </c>
      <c r="E160" s="195"/>
      <c r="F160" s="256"/>
      <c r="G160" s="256"/>
      <c r="H160" s="265">
        <f t="shared" si="2"/>
        <v>0</v>
      </c>
      <c r="J160" s="16"/>
      <c r="K160" s="17"/>
      <c r="L160" s="18"/>
      <c r="M160" s="18"/>
    </row>
    <row r="161" spans="1:13" ht="30" customHeight="1" x14ac:dyDescent="0.3">
      <c r="A161" s="193"/>
      <c r="B161" s="194"/>
      <c r="C161" s="196"/>
      <c r="D161" s="195">
        <f>IFERROR(VLOOKUP(C161,'Acc code'!$B$2:$C$82,2,FALSE),0)</f>
        <v>0</v>
      </c>
      <c r="E161" s="195"/>
      <c r="F161" s="256"/>
      <c r="G161" s="256"/>
      <c r="H161" s="265">
        <f t="shared" si="2"/>
        <v>0</v>
      </c>
      <c r="J161" s="16"/>
      <c r="K161" s="17"/>
      <c r="L161" s="18"/>
      <c r="M161" s="18"/>
    </row>
    <row r="162" spans="1:13" ht="30" customHeight="1" x14ac:dyDescent="0.3">
      <c r="A162" s="193"/>
      <c r="B162" s="194"/>
      <c r="C162" s="196"/>
      <c r="D162" s="195">
        <f>IFERROR(VLOOKUP(C162,'Acc code'!$B$2:$C$82,2,FALSE),0)</f>
        <v>0</v>
      </c>
      <c r="E162" s="195"/>
      <c r="F162" s="256"/>
      <c r="G162" s="256"/>
      <c r="H162" s="265">
        <f t="shared" si="2"/>
        <v>0</v>
      </c>
      <c r="J162" s="16"/>
      <c r="K162" s="17"/>
      <c r="L162" s="18"/>
      <c r="M162" s="18"/>
    </row>
    <row r="163" spans="1:13" ht="30" customHeight="1" x14ac:dyDescent="0.3">
      <c r="A163" s="193"/>
      <c r="B163" s="194"/>
      <c r="C163" s="196"/>
      <c r="D163" s="195">
        <f>IFERROR(VLOOKUP(C163,'Acc code'!$B$2:$C$82,2,FALSE),0)</f>
        <v>0</v>
      </c>
      <c r="E163" s="195"/>
      <c r="F163" s="256"/>
      <c r="G163" s="256"/>
      <c r="H163" s="265">
        <f t="shared" si="2"/>
        <v>0</v>
      </c>
      <c r="J163" s="16"/>
      <c r="K163" s="17"/>
      <c r="L163" s="18"/>
      <c r="M163" s="18"/>
    </row>
    <row r="164" spans="1:13" ht="30" customHeight="1" x14ac:dyDescent="0.3">
      <c r="A164" s="193"/>
      <c r="B164" s="194"/>
      <c r="C164" s="196"/>
      <c r="D164" s="195">
        <f>IFERROR(VLOOKUP(C164,'Acc code'!$B$2:$C$82,2,FALSE),0)</f>
        <v>0</v>
      </c>
      <c r="E164" s="195"/>
      <c r="F164" s="256"/>
      <c r="G164" s="256"/>
      <c r="H164" s="265">
        <f t="shared" si="2"/>
        <v>0</v>
      </c>
      <c r="J164" s="16"/>
      <c r="K164" s="17"/>
      <c r="L164" s="18"/>
      <c r="M164" s="18"/>
    </row>
    <row r="165" spans="1:13" ht="30" customHeight="1" x14ac:dyDescent="0.3">
      <c r="A165" s="193"/>
      <c r="B165" s="194"/>
      <c r="C165" s="196"/>
      <c r="D165" s="195">
        <f>IFERROR(VLOOKUP(C165,'Acc code'!$B$2:$C$82,2,FALSE),0)</f>
        <v>0</v>
      </c>
      <c r="E165" s="195"/>
      <c r="F165" s="256"/>
      <c r="G165" s="256"/>
      <c r="H165" s="265">
        <f t="shared" si="2"/>
        <v>0</v>
      </c>
      <c r="J165" s="16"/>
      <c r="K165" s="17"/>
      <c r="L165" s="18"/>
      <c r="M165" s="18"/>
    </row>
    <row r="166" spans="1:13" ht="30" customHeight="1" x14ac:dyDescent="0.3">
      <c r="A166" s="193"/>
      <c r="B166" s="194"/>
      <c r="C166" s="196"/>
      <c r="D166" s="195">
        <f>IFERROR(VLOOKUP(C166,'Acc code'!$B$2:$C$82,2,FALSE),0)</f>
        <v>0</v>
      </c>
      <c r="E166" s="195"/>
      <c r="F166" s="256"/>
      <c r="G166" s="256"/>
      <c r="H166" s="265">
        <f t="shared" si="2"/>
        <v>0</v>
      </c>
      <c r="J166" s="16"/>
      <c r="K166" s="17"/>
      <c r="L166" s="18"/>
      <c r="M166" s="18"/>
    </row>
    <row r="167" spans="1:13" ht="30" customHeight="1" x14ac:dyDescent="0.3">
      <c r="A167" s="193"/>
      <c r="B167" s="194"/>
      <c r="C167" s="196"/>
      <c r="D167" s="195">
        <f>IFERROR(VLOOKUP(C167,'Acc code'!$B$2:$C$82,2,FALSE),0)</f>
        <v>0</v>
      </c>
      <c r="E167" s="195"/>
      <c r="F167" s="256"/>
      <c r="G167" s="256"/>
      <c r="H167" s="265">
        <f t="shared" si="2"/>
        <v>0</v>
      </c>
      <c r="J167" s="16"/>
      <c r="K167" s="17"/>
      <c r="L167" s="18"/>
      <c r="M167" s="18"/>
    </row>
    <row r="168" spans="1:13" ht="30" customHeight="1" x14ac:dyDescent="0.3">
      <c r="A168" s="193"/>
      <c r="B168" s="194"/>
      <c r="C168" s="196"/>
      <c r="D168" s="195">
        <f>IFERROR(VLOOKUP(C168,'Acc code'!$B$2:$C$82,2,FALSE),0)</f>
        <v>0</v>
      </c>
      <c r="E168" s="195"/>
      <c r="F168" s="256"/>
      <c r="G168" s="256"/>
      <c r="H168" s="265">
        <f t="shared" si="2"/>
        <v>0</v>
      </c>
      <c r="J168" s="16"/>
      <c r="K168" s="17"/>
      <c r="L168" s="18"/>
      <c r="M168" s="18"/>
    </row>
    <row r="169" spans="1:13" ht="30" customHeight="1" x14ac:dyDescent="0.3">
      <c r="A169" s="193"/>
      <c r="B169" s="194"/>
      <c r="C169" s="196"/>
      <c r="D169" s="195">
        <f>IFERROR(VLOOKUP(C169,'Acc code'!$B$2:$C$82,2,FALSE),0)</f>
        <v>0</v>
      </c>
      <c r="E169" s="195"/>
      <c r="F169" s="256"/>
      <c r="G169" s="256"/>
      <c r="H169" s="265">
        <f t="shared" si="2"/>
        <v>0</v>
      </c>
      <c r="J169" s="16"/>
      <c r="K169" s="17"/>
      <c r="L169" s="18"/>
      <c r="M169" s="18"/>
    </row>
    <row r="170" spans="1:13" ht="30" customHeight="1" x14ac:dyDescent="0.3">
      <c r="A170" s="193"/>
      <c r="B170" s="194"/>
      <c r="C170" s="196"/>
      <c r="D170" s="195">
        <f>IFERROR(VLOOKUP(C170,'Acc code'!$B$2:$C$82,2,FALSE),0)</f>
        <v>0</v>
      </c>
      <c r="E170" s="195"/>
      <c r="F170" s="256"/>
      <c r="G170" s="256"/>
      <c r="H170" s="265">
        <f t="shared" si="2"/>
        <v>0</v>
      </c>
      <c r="J170" s="16"/>
      <c r="K170" s="17"/>
      <c r="L170" s="18"/>
      <c r="M170" s="18"/>
    </row>
    <row r="171" spans="1:13" ht="30" customHeight="1" x14ac:dyDescent="0.3">
      <c r="A171" s="193"/>
      <c r="B171" s="194"/>
      <c r="C171" s="196"/>
      <c r="D171" s="195">
        <f>IFERROR(VLOOKUP(C171,'Acc code'!$B$2:$C$82,2,FALSE),0)</f>
        <v>0</v>
      </c>
      <c r="E171" s="195"/>
      <c r="F171" s="256"/>
      <c r="G171" s="256"/>
      <c r="H171" s="265">
        <f t="shared" si="2"/>
        <v>0</v>
      </c>
      <c r="J171" s="16"/>
      <c r="K171" s="17"/>
      <c r="L171" s="18"/>
      <c r="M171" s="18"/>
    </row>
    <row r="172" spans="1:13" ht="30" customHeight="1" x14ac:dyDescent="0.3">
      <c r="A172" s="193"/>
      <c r="B172" s="194"/>
      <c r="C172" s="196"/>
      <c r="D172" s="195">
        <f>IFERROR(VLOOKUP(C172,'Acc code'!$B$2:$C$82,2,FALSE),0)</f>
        <v>0</v>
      </c>
      <c r="E172" s="195"/>
      <c r="F172" s="256"/>
      <c r="G172" s="256"/>
      <c r="H172" s="265">
        <f t="shared" si="2"/>
        <v>0</v>
      </c>
      <c r="J172" s="16"/>
      <c r="K172" s="17"/>
      <c r="L172" s="18"/>
      <c r="M172" s="18"/>
    </row>
    <row r="173" spans="1:13" ht="30" customHeight="1" x14ac:dyDescent="0.3">
      <c r="A173" s="193"/>
      <c r="B173" s="194"/>
      <c r="C173" s="196"/>
      <c r="D173" s="195">
        <f>IFERROR(VLOOKUP(C173,'Acc code'!$B$2:$C$82,2,FALSE),0)</f>
        <v>0</v>
      </c>
      <c r="E173" s="195"/>
      <c r="F173" s="256"/>
      <c r="G173" s="256"/>
      <c r="H173" s="265">
        <f t="shared" si="2"/>
        <v>0</v>
      </c>
      <c r="J173" s="16"/>
      <c r="K173" s="17"/>
      <c r="L173" s="18"/>
      <c r="M173" s="18"/>
    </row>
    <row r="174" spans="1:13" ht="30" customHeight="1" x14ac:dyDescent="0.3">
      <c r="A174" s="193"/>
      <c r="B174" s="194"/>
      <c r="C174" s="196"/>
      <c r="D174" s="195">
        <f>IFERROR(VLOOKUP(C174,'Acc code'!$B$2:$C$82,2,FALSE),0)</f>
        <v>0</v>
      </c>
      <c r="E174" s="195"/>
      <c r="F174" s="256"/>
      <c r="G174" s="256"/>
      <c r="H174" s="265">
        <f t="shared" si="2"/>
        <v>0</v>
      </c>
      <c r="J174" s="16"/>
      <c r="K174" s="17"/>
      <c r="L174" s="18"/>
      <c r="M174" s="18"/>
    </row>
    <row r="175" spans="1:13" ht="30" customHeight="1" x14ac:dyDescent="0.3">
      <c r="A175" s="193"/>
      <c r="B175" s="194"/>
      <c r="C175" s="196"/>
      <c r="D175" s="195">
        <f>IFERROR(VLOOKUP(C175,'Acc code'!$B$2:$C$82,2,FALSE),0)</f>
        <v>0</v>
      </c>
      <c r="E175" s="195"/>
      <c r="F175" s="256"/>
      <c r="G175" s="256"/>
      <c r="H175" s="265">
        <f t="shared" si="2"/>
        <v>0</v>
      </c>
      <c r="J175" s="16"/>
      <c r="K175" s="17"/>
      <c r="L175" s="18"/>
      <c r="M175" s="18"/>
    </row>
    <row r="176" spans="1:13" ht="30" customHeight="1" x14ac:dyDescent="0.3">
      <c r="A176" s="193"/>
      <c r="B176" s="194"/>
      <c r="C176" s="196"/>
      <c r="D176" s="195">
        <f>IFERROR(VLOOKUP(C176,'Acc code'!$B$2:$C$82,2,FALSE),0)</f>
        <v>0</v>
      </c>
      <c r="E176" s="195"/>
      <c r="F176" s="256"/>
      <c r="G176" s="256"/>
      <c r="H176" s="265">
        <f t="shared" si="2"/>
        <v>0</v>
      </c>
      <c r="J176" s="16"/>
      <c r="K176" s="17"/>
      <c r="L176" s="18"/>
      <c r="M176" s="18"/>
    </row>
    <row r="177" spans="1:13" ht="30" customHeight="1" x14ac:dyDescent="0.3">
      <c r="A177" s="193"/>
      <c r="B177" s="194"/>
      <c r="C177" s="196"/>
      <c r="D177" s="195">
        <f>IFERROR(VLOOKUP(C177,'Acc code'!$B$2:$C$82,2,FALSE),0)</f>
        <v>0</v>
      </c>
      <c r="E177" s="195"/>
      <c r="F177" s="256"/>
      <c r="G177" s="256"/>
      <c r="H177" s="265">
        <f t="shared" si="2"/>
        <v>0</v>
      </c>
      <c r="J177" s="16"/>
      <c r="K177" s="17"/>
      <c r="L177" s="18"/>
      <c r="M177" s="18"/>
    </row>
    <row r="178" spans="1:13" ht="30" customHeight="1" x14ac:dyDescent="0.3">
      <c r="A178" s="193"/>
      <c r="B178" s="194"/>
      <c r="C178" s="196"/>
      <c r="D178" s="195">
        <f>IFERROR(VLOOKUP(C178,'Acc code'!$B$2:$C$82,2,FALSE),0)</f>
        <v>0</v>
      </c>
      <c r="E178" s="195"/>
      <c r="F178" s="256"/>
      <c r="G178" s="256"/>
      <c r="H178" s="265">
        <f t="shared" si="2"/>
        <v>0</v>
      </c>
      <c r="J178" s="16"/>
      <c r="K178" s="17"/>
      <c r="L178" s="18"/>
      <c r="M178" s="18"/>
    </row>
    <row r="179" spans="1:13" ht="30" customHeight="1" x14ac:dyDescent="0.3">
      <c r="A179" s="193"/>
      <c r="B179" s="194"/>
      <c r="C179" s="196"/>
      <c r="D179" s="195">
        <f>IFERROR(VLOOKUP(C179,'Acc code'!$B$2:$C$82,2,FALSE),0)</f>
        <v>0</v>
      </c>
      <c r="E179" s="195"/>
      <c r="F179" s="256"/>
      <c r="G179" s="256"/>
      <c r="H179" s="265">
        <f t="shared" si="2"/>
        <v>0</v>
      </c>
      <c r="J179" s="16"/>
      <c r="K179" s="17"/>
      <c r="L179" s="18"/>
      <c r="M179" s="18"/>
    </row>
    <row r="180" spans="1:13" ht="30" customHeight="1" x14ac:dyDescent="0.3">
      <c r="A180" s="193"/>
      <c r="B180" s="194"/>
      <c r="C180" s="196"/>
      <c r="D180" s="195">
        <f>IFERROR(VLOOKUP(C180,'Acc code'!$B$2:$C$82,2,FALSE),0)</f>
        <v>0</v>
      </c>
      <c r="E180" s="195"/>
      <c r="F180" s="256"/>
      <c r="G180" s="256"/>
      <c r="H180" s="265">
        <f t="shared" si="2"/>
        <v>0</v>
      </c>
      <c r="J180" s="16"/>
      <c r="K180" s="17"/>
      <c r="L180" s="18"/>
      <c r="M180" s="18"/>
    </row>
    <row r="181" spans="1:13" ht="30" customHeight="1" x14ac:dyDescent="0.3">
      <c r="A181" s="193"/>
      <c r="B181" s="194"/>
      <c r="C181" s="196"/>
      <c r="D181" s="195">
        <f>IFERROR(VLOOKUP(C181,'Acc code'!$B$2:$C$82,2,FALSE),0)</f>
        <v>0</v>
      </c>
      <c r="E181" s="195"/>
      <c r="F181" s="256"/>
      <c r="G181" s="256"/>
      <c r="H181" s="265">
        <f t="shared" si="2"/>
        <v>0</v>
      </c>
      <c r="J181" s="16"/>
      <c r="K181" s="17"/>
      <c r="L181" s="18"/>
      <c r="M181" s="18"/>
    </row>
    <row r="182" spans="1:13" ht="30" customHeight="1" x14ac:dyDescent="0.3">
      <c r="A182" s="193"/>
      <c r="B182" s="194"/>
      <c r="C182" s="196"/>
      <c r="D182" s="195">
        <f>IFERROR(VLOOKUP(C182,'Acc code'!$B$2:$C$82,2,FALSE),0)</f>
        <v>0</v>
      </c>
      <c r="E182" s="195"/>
      <c r="F182" s="256"/>
      <c r="G182" s="256"/>
      <c r="H182" s="265">
        <f t="shared" si="2"/>
        <v>0</v>
      </c>
      <c r="J182" s="16"/>
      <c r="K182" s="17"/>
      <c r="L182" s="18"/>
      <c r="M182" s="18"/>
    </row>
    <row r="183" spans="1:13" ht="30" customHeight="1" x14ac:dyDescent="0.3">
      <c r="A183" s="193"/>
      <c r="B183" s="194"/>
      <c r="C183" s="196"/>
      <c r="D183" s="195">
        <f>IFERROR(VLOOKUP(C183,'Acc code'!$B$2:$C$82,2,FALSE),0)</f>
        <v>0</v>
      </c>
      <c r="E183" s="195"/>
      <c r="F183" s="256"/>
      <c r="G183" s="256"/>
      <c r="H183" s="265">
        <f t="shared" si="2"/>
        <v>0</v>
      </c>
      <c r="J183" s="16"/>
      <c r="K183" s="17"/>
      <c r="L183" s="18"/>
      <c r="M183" s="18"/>
    </row>
    <row r="184" spans="1:13" ht="30" customHeight="1" x14ac:dyDescent="0.3">
      <c r="A184" s="193"/>
      <c r="B184" s="194"/>
      <c r="C184" s="196"/>
      <c r="D184" s="195">
        <f>IFERROR(VLOOKUP(C184,'Acc code'!$B$2:$C$82,2,FALSE),0)</f>
        <v>0</v>
      </c>
      <c r="E184" s="195"/>
      <c r="F184" s="256"/>
      <c r="G184" s="256"/>
      <c r="H184" s="265">
        <f t="shared" si="2"/>
        <v>0</v>
      </c>
      <c r="J184" s="16"/>
      <c r="K184" s="17"/>
      <c r="L184" s="18"/>
      <c r="M184" s="18"/>
    </row>
    <row r="185" spans="1:13" ht="30" customHeight="1" x14ac:dyDescent="0.3">
      <c r="A185" s="193"/>
      <c r="B185" s="194"/>
      <c r="C185" s="196"/>
      <c r="D185" s="195">
        <f>IFERROR(VLOOKUP(C185,'Acc code'!$B$2:$C$82,2,FALSE),0)</f>
        <v>0</v>
      </c>
      <c r="E185" s="195"/>
      <c r="F185" s="256"/>
      <c r="G185" s="256"/>
      <c r="H185" s="265">
        <f t="shared" si="2"/>
        <v>0</v>
      </c>
      <c r="J185" s="16"/>
      <c r="K185" s="17"/>
      <c r="L185" s="18"/>
      <c r="M185" s="18"/>
    </row>
    <row r="186" spans="1:13" ht="30" customHeight="1" x14ac:dyDescent="0.3">
      <c r="A186" s="193"/>
      <c r="B186" s="194"/>
      <c r="C186" s="196"/>
      <c r="D186" s="195">
        <f>IFERROR(VLOOKUP(C186,'Acc code'!$B$2:$C$82,2,FALSE),0)</f>
        <v>0</v>
      </c>
      <c r="E186" s="195"/>
      <c r="F186" s="256"/>
      <c r="G186" s="256"/>
      <c r="H186" s="265">
        <f t="shared" si="2"/>
        <v>0</v>
      </c>
      <c r="J186" s="16"/>
      <c r="K186" s="17"/>
      <c r="L186" s="18"/>
      <c r="M186" s="18"/>
    </row>
    <row r="187" spans="1:13" ht="30" customHeight="1" x14ac:dyDescent="0.3">
      <c r="A187" s="193"/>
      <c r="B187" s="194"/>
      <c r="C187" s="196"/>
      <c r="D187" s="195">
        <f>IFERROR(VLOOKUP(C187,'Acc code'!$B$2:$C$82,2,FALSE),0)</f>
        <v>0</v>
      </c>
      <c r="E187" s="195"/>
      <c r="F187" s="256"/>
      <c r="G187" s="256"/>
      <c r="H187" s="265">
        <f t="shared" si="2"/>
        <v>0</v>
      </c>
      <c r="J187" s="16"/>
      <c r="K187" s="17"/>
      <c r="L187" s="18"/>
      <c r="M187" s="18"/>
    </row>
    <row r="188" spans="1:13" ht="30" customHeight="1" x14ac:dyDescent="0.3">
      <c r="A188" s="193"/>
      <c r="B188" s="194"/>
      <c r="C188" s="196"/>
      <c r="D188" s="195">
        <f>IFERROR(VLOOKUP(C188,'Acc code'!$B$2:$C$82,2,FALSE),0)</f>
        <v>0</v>
      </c>
      <c r="E188" s="195"/>
      <c r="F188" s="256"/>
      <c r="G188" s="256"/>
      <c r="H188" s="265">
        <f t="shared" si="2"/>
        <v>0</v>
      </c>
      <c r="J188" s="16"/>
      <c r="K188" s="17"/>
      <c r="L188" s="18"/>
      <c r="M188" s="18"/>
    </row>
    <row r="189" spans="1:13" ht="30" customHeight="1" x14ac:dyDescent="0.3">
      <c r="A189" s="193"/>
      <c r="B189" s="194"/>
      <c r="C189" s="196"/>
      <c r="D189" s="195">
        <f>IFERROR(VLOOKUP(C189,'Acc code'!$B$2:$C$82,2,FALSE),0)</f>
        <v>0</v>
      </c>
      <c r="E189" s="195"/>
      <c r="F189" s="256"/>
      <c r="G189" s="256"/>
      <c r="H189" s="265">
        <f t="shared" si="2"/>
        <v>0</v>
      </c>
      <c r="J189" s="16"/>
      <c r="K189" s="17"/>
      <c r="L189" s="18"/>
      <c r="M189" s="18"/>
    </row>
    <row r="190" spans="1:13" ht="30" customHeight="1" x14ac:dyDescent="0.3">
      <c r="A190" s="193"/>
      <c r="B190" s="194"/>
      <c r="C190" s="196"/>
      <c r="D190" s="195">
        <f>IFERROR(VLOOKUP(C190,'Acc code'!$B$2:$C$82,2,FALSE),0)</f>
        <v>0</v>
      </c>
      <c r="E190" s="195"/>
      <c r="F190" s="256"/>
      <c r="G190" s="256"/>
      <c r="H190" s="265">
        <f t="shared" si="2"/>
        <v>0</v>
      </c>
      <c r="J190" s="16"/>
      <c r="K190" s="17"/>
      <c r="L190" s="18"/>
      <c r="M190" s="18"/>
    </row>
    <row r="191" spans="1:13" ht="30" customHeight="1" x14ac:dyDescent="0.3">
      <c r="A191" s="193"/>
      <c r="B191" s="194"/>
      <c r="C191" s="196"/>
      <c r="D191" s="195">
        <f>IFERROR(VLOOKUP(C191,'Acc code'!$B$2:$C$82,2,FALSE),0)</f>
        <v>0</v>
      </c>
      <c r="E191" s="195"/>
      <c r="F191" s="256"/>
      <c r="G191" s="256"/>
      <c r="H191" s="265">
        <f t="shared" si="2"/>
        <v>0</v>
      </c>
      <c r="J191" s="16"/>
      <c r="K191" s="17"/>
      <c r="L191" s="18"/>
      <c r="M191" s="18"/>
    </row>
    <row r="192" spans="1:13" ht="30" customHeight="1" x14ac:dyDescent="0.3">
      <c r="A192" s="193"/>
      <c r="B192" s="194"/>
      <c r="C192" s="196"/>
      <c r="D192" s="195">
        <f>IFERROR(VLOOKUP(C192,'Acc code'!$B$2:$C$82,2,FALSE),0)</f>
        <v>0</v>
      </c>
      <c r="E192" s="195"/>
      <c r="F192" s="256"/>
      <c r="G192" s="256"/>
      <c r="H192" s="265">
        <f t="shared" si="2"/>
        <v>0</v>
      </c>
      <c r="J192" s="16"/>
      <c r="K192" s="17"/>
      <c r="L192" s="18"/>
      <c r="M192" s="18"/>
    </row>
    <row r="193" spans="1:13" ht="30" customHeight="1" x14ac:dyDescent="0.3">
      <c r="A193" s="193"/>
      <c r="B193" s="194"/>
      <c r="C193" s="196"/>
      <c r="D193" s="195">
        <f>IFERROR(VLOOKUP(C193,'Acc code'!$B$2:$C$82,2,FALSE),0)</f>
        <v>0</v>
      </c>
      <c r="E193" s="195"/>
      <c r="F193" s="256"/>
      <c r="G193" s="256"/>
      <c r="H193" s="265">
        <f t="shared" si="2"/>
        <v>0</v>
      </c>
      <c r="J193" s="16"/>
      <c r="K193" s="17"/>
      <c r="L193" s="18"/>
      <c r="M193" s="18"/>
    </row>
    <row r="194" spans="1:13" ht="30" customHeight="1" x14ac:dyDescent="0.3">
      <c r="A194" s="193"/>
      <c r="B194" s="194"/>
      <c r="C194" s="196"/>
      <c r="D194" s="195">
        <f>IFERROR(VLOOKUP(C194,'Acc code'!$B$2:$C$82,2,FALSE),0)</f>
        <v>0</v>
      </c>
      <c r="E194" s="195"/>
      <c r="F194" s="256"/>
      <c r="G194" s="256"/>
      <c r="H194" s="265">
        <f t="shared" si="2"/>
        <v>0</v>
      </c>
      <c r="J194" s="16"/>
      <c r="K194" s="17"/>
      <c r="L194" s="18"/>
      <c r="M194" s="18"/>
    </row>
    <row r="195" spans="1:13" ht="30" customHeight="1" x14ac:dyDescent="0.3">
      <c r="A195" s="193"/>
      <c r="B195" s="194"/>
      <c r="C195" s="196"/>
      <c r="D195" s="195">
        <f>IFERROR(VLOOKUP(C195,'Acc code'!$B$2:$C$82,2,FALSE),0)</f>
        <v>0</v>
      </c>
      <c r="E195" s="195"/>
      <c r="F195" s="256"/>
      <c r="G195" s="256"/>
      <c r="H195" s="265">
        <f t="shared" si="2"/>
        <v>0</v>
      </c>
      <c r="J195" s="16"/>
      <c r="K195" s="17"/>
      <c r="L195" s="18"/>
      <c r="M195" s="18"/>
    </row>
    <row r="196" spans="1:13" ht="30" customHeight="1" x14ac:dyDescent="0.3">
      <c r="A196" s="193"/>
      <c r="B196" s="194"/>
      <c r="C196" s="196"/>
      <c r="D196" s="195">
        <f>IFERROR(VLOOKUP(C196,'Acc code'!$B$2:$C$82,2,FALSE),0)</f>
        <v>0</v>
      </c>
      <c r="E196" s="195"/>
      <c r="F196" s="256"/>
      <c r="G196" s="256"/>
      <c r="H196" s="265">
        <f t="shared" si="2"/>
        <v>0</v>
      </c>
      <c r="J196" s="16"/>
      <c r="K196" s="17"/>
      <c r="L196" s="18"/>
      <c r="M196" s="18"/>
    </row>
    <row r="197" spans="1:13" ht="30" customHeight="1" x14ac:dyDescent="0.3">
      <c r="A197" s="193"/>
      <c r="B197" s="194"/>
      <c r="C197" s="196"/>
      <c r="D197" s="195">
        <f>IFERROR(VLOOKUP(C197,'Acc code'!$B$2:$C$82,2,FALSE),0)</f>
        <v>0</v>
      </c>
      <c r="E197" s="195"/>
      <c r="F197" s="256"/>
      <c r="G197" s="256"/>
      <c r="H197" s="265">
        <f t="shared" si="2"/>
        <v>0</v>
      </c>
      <c r="J197" s="16"/>
      <c r="K197" s="17"/>
      <c r="L197" s="18"/>
      <c r="M197" s="18"/>
    </row>
    <row r="198" spans="1:13" ht="30" customHeight="1" x14ac:dyDescent="0.3">
      <c r="A198" s="193"/>
      <c r="B198" s="194"/>
      <c r="C198" s="196"/>
      <c r="D198" s="195">
        <f>IFERROR(VLOOKUP(C198,'Acc code'!$B$2:$C$82,2,FALSE),0)</f>
        <v>0</v>
      </c>
      <c r="E198" s="195"/>
      <c r="F198" s="256"/>
      <c r="G198" s="256"/>
      <c r="H198" s="265">
        <f t="shared" si="2"/>
        <v>0</v>
      </c>
      <c r="J198" s="16"/>
      <c r="K198" s="17"/>
      <c r="L198" s="18"/>
      <c r="M198" s="18"/>
    </row>
    <row r="199" spans="1:13" ht="30" customHeight="1" x14ac:dyDescent="0.3">
      <c r="A199" s="193"/>
      <c r="B199" s="194"/>
      <c r="C199" s="196"/>
      <c r="D199" s="195">
        <f>IFERROR(VLOOKUP(C199,'Acc code'!$B$2:$C$82,2,FALSE),0)</f>
        <v>0</v>
      </c>
      <c r="E199" s="195"/>
      <c r="F199" s="256"/>
      <c r="G199" s="256"/>
      <c r="H199" s="265">
        <f t="shared" si="2"/>
        <v>0</v>
      </c>
      <c r="J199" s="16"/>
      <c r="K199" s="17"/>
      <c r="L199" s="18"/>
      <c r="M199" s="18"/>
    </row>
    <row r="200" spans="1:13" ht="30" customHeight="1" x14ac:dyDescent="0.3">
      <c r="A200" s="193"/>
      <c r="B200" s="194"/>
      <c r="C200" s="196"/>
      <c r="D200" s="195">
        <f>IFERROR(VLOOKUP(C200,'Acc code'!$B$2:$C$82,2,FALSE),0)</f>
        <v>0</v>
      </c>
      <c r="E200" s="195"/>
      <c r="F200" s="256"/>
      <c r="G200" s="256"/>
      <c r="H200" s="265">
        <f t="shared" ref="H200:H263" si="3">H199+F200-G200</f>
        <v>0</v>
      </c>
      <c r="J200" s="16"/>
      <c r="K200" s="17"/>
      <c r="L200" s="18"/>
      <c r="M200" s="18"/>
    </row>
    <row r="201" spans="1:13" ht="30" customHeight="1" x14ac:dyDescent="0.3">
      <c r="A201" s="193"/>
      <c r="B201" s="194"/>
      <c r="C201" s="196"/>
      <c r="D201" s="195">
        <f>IFERROR(VLOOKUP(C201,'Acc code'!$B$2:$C$82,2,FALSE),0)</f>
        <v>0</v>
      </c>
      <c r="E201" s="195"/>
      <c r="F201" s="256"/>
      <c r="G201" s="256"/>
      <c r="H201" s="265">
        <f t="shared" si="3"/>
        <v>0</v>
      </c>
      <c r="J201" s="16"/>
      <c r="K201" s="17"/>
      <c r="L201" s="18"/>
      <c r="M201" s="18"/>
    </row>
    <row r="202" spans="1:13" ht="30" customHeight="1" x14ac:dyDescent="0.3">
      <c r="A202" s="193"/>
      <c r="B202" s="194"/>
      <c r="C202" s="196"/>
      <c r="D202" s="195">
        <f>IFERROR(VLOOKUP(C202,'Acc code'!$B$2:$C$82,2,FALSE),0)</f>
        <v>0</v>
      </c>
      <c r="E202" s="195"/>
      <c r="F202" s="256"/>
      <c r="G202" s="256"/>
      <c r="H202" s="265">
        <f t="shared" si="3"/>
        <v>0</v>
      </c>
      <c r="J202" s="16"/>
      <c r="K202" s="17"/>
      <c r="L202" s="18"/>
      <c r="M202" s="18"/>
    </row>
    <row r="203" spans="1:13" ht="30" customHeight="1" x14ac:dyDescent="0.3">
      <c r="A203" s="193"/>
      <c r="B203" s="194"/>
      <c r="C203" s="196"/>
      <c r="D203" s="195">
        <f>IFERROR(VLOOKUP(C203,'Acc code'!$B$2:$C$82,2,FALSE),0)</f>
        <v>0</v>
      </c>
      <c r="E203" s="195"/>
      <c r="F203" s="256"/>
      <c r="G203" s="256"/>
      <c r="H203" s="265">
        <f t="shared" si="3"/>
        <v>0</v>
      </c>
      <c r="J203" s="16"/>
      <c r="K203" s="17"/>
      <c r="L203" s="18"/>
      <c r="M203" s="18"/>
    </row>
    <row r="204" spans="1:13" ht="30" customHeight="1" x14ac:dyDescent="0.3">
      <c r="A204" s="193"/>
      <c r="B204" s="194"/>
      <c r="C204" s="196"/>
      <c r="D204" s="195">
        <f>IFERROR(VLOOKUP(C204,'Acc code'!$B$2:$C$82,2,FALSE),0)</f>
        <v>0</v>
      </c>
      <c r="E204" s="195"/>
      <c r="F204" s="256"/>
      <c r="G204" s="256"/>
      <c r="H204" s="265">
        <f t="shared" si="3"/>
        <v>0</v>
      </c>
      <c r="J204" s="16"/>
      <c r="K204" s="17"/>
      <c r="L204" s="18"/>
      <c r="M204" s="18"/>
    </row>
    <row r="205" spans="1:13" ht="30" customHeight="1" x14ac:dyDescent="0.3">
      <c r="A205" s="193"/>
      <c r="B205" s="194"/>
      <c r="C205" s="196"/>
      <c r="D205" s="195">
        <f>IFERROR(VLOOKUP(C205,'Acc code'!$B$2:$C$82,2,FALSE),0)</f>
        <v>0</v>
      </c>
      <c r="E205" s="195"/>
      <c r="F205" s="256"/>
      <c r="G205" s="256"/>
      <c r="H205" s="265">
        <f t="shared" si="3"/>
        <v>0</v>
      </c>
      <c r="J205" s="16"/>
      <c r="K205" s="17"/>
      <c r="L205" s="18"/>
      <c r="M205" s="18"/>
    </row>
    <row r="206" spans="1:13" ht="30" customHeight="1" x14ac:dyDescent="0.3">
      <c r="A206" s="193"/>
      <c r="B206" s="194"/>
      <c r="C206" s="196"/>
      <c r="D206" s="195">
        <f>IFERROR(VLOOKUP(C206,'Acc code'!$B$2:$C$82,2,FALSE),0)</f>
        <v>0</v>
      </c>
      <c r="E206" s="195"/>
      <c r="F206" s="256"/>
      <c r="G206" s="256"/>
      <c r="H206" s="265">
        <f t="shared" si="3"/>
        <v>0</v>
      </c>
      <c r="J206" s="16"/>
      <c r="K206" s="17"/>
      <c r="L206" s="18"/>
      <c r="M206" s="18"/>
    </row>
    <row r="207" spans="1:13" ht="30" customHeight="1" x14ac:dyDescent="0.3">
      <c r="A207" s="193"/>
      <c r="B207" s="194"/>
      <c r="C207" s="196"/>
      <c r="D207" s="195">
        <f>IFERROR(VLOOKUP(C207,'Acc code'!$B$2:$C$82,2,FALSE),0)</f>
        <v>0</v>
      </c>
      <c r="E207" s="195"/>
      <c r="F207" s="256"/>
      <c r="G207" s="256"/>
      <c r="H207" s="265">
        <f t="shared" si="3"/>
        <v>0</v>
      </c>
      <c r="J207" s="16"/>
      <c r="K207" s="17"/>
      <c r="L207" s="18"/>
      <c r="M207" s="18"/>
    </row>
    <row r="208" spans="1:13" ht="30" customHeight="1" x14ac:dyDescent="0.3">
      <c r="A208" s="193"/>
      <c r="B208" s="194"/>
      <c r="C208" s="196"/>
      <c r="D208" s="195">
        <f>IFERROR(VLOOKUP(C208,'Acc code'!$B$2:$C$82,2,FALSE),0)</f>
        <v>0</v>
      </c>
      <c r="E208" s="195"/>
      <c r="F208" s="256"/>
      <c r="G208" s="256"/>
      <c r="H208" s="265">
        <f t="shared" si="3"/>
        <v>0</v>
      </c>
      <c r="J208" s="16"/>
      <c r="K208" s="17"/>
      <c r="L208" s="18"/>
      <c r="M208" s="18"/>
    </row>
    <row r="209" spans="1:13" ht="30" customHeight="1" x14ac:dyDescent="0.3">
      <c r="A209" s="193"/>
      <c r="B209" s="194"/>
      <c r="C209" s="196"/>
      <c r="D209" s="195">
        <f>IFERROR(VLOOKUP(C209,'Acc code'!$B$2:$C$82,2,FALSE),0)</f>
        <v>0</v>
      </c>
      <c r="E209" s="195"/>
      <c r="F209" s="256"/>
      <c r="G209" s="256"/>
      <c r="H209" s="265">
        <f t="shared" si="3"/>
        <v>0</v>
      </c>
      <c r="J209" s="16"/>
      <c r="K209" s="17"/>
      <c r="L209" s="18"/>
      <c r="M209" s="18"/>
    </row>
    <row r="210" spans="1:13" ht="30" customHeight="1" x14ac:dyDescent="0.3">
      <c r="A210" s="193"/>
      <c r="B210" s="194"/>
      <c r="C210" s="196"/>
      <c r="D210" s="195">
        <f>IFERROR(VLOOKUP(C210,'Acc code'!$B$2:$C$82,2,FALSE),0)</f>
        <v>0</v>
      </c>
      <c r="E210" s="195"/>
      <c r="F210" s="256"/>
      <c r="G210" s="256"/>
      <c r="H210" s="265">
        <f t="shared" si="3"/>
        <v>0</v>
      </c>
      <c r="J210" s="16"/>
      <c r="K210" s="17"/>
      <c r="L210" s="18"/>
      <c r="M210" s="18"/>
    </row>
    <row r="211" spans="1:13" ht="30" customHeight="1" x14ac:dyDescent="0.3">
      <c r="A211" s="193"/>
      <c r="B211" s="194"/>
      <c r="C211" s="196"/>
      <c r="D211" s="195">
        <f>IFERROR(VLOOKUP(C211,'Acc code'!$B$2:$C$82,2,FALSE),0)</f>
        <v>0</v>
      </c>
      <c r="E211" s="195"/>
      <c r="F211" s="256"/>
      <c r="G211" s="256"/>
      <c r="H211" s="265">
        <f t="shared" si="3"/>
        <v>0</v>
      </c>
      <c r="J211" s="16"/>
      <c r="K211" s="17"/>
      <c r="L211" s="18"/>
      <c r="M211" s="18"/>
    </row>
    <row r="212" spans="1:13" ht="30" customHeight="1" x14ac:dyDescent="0.3">
      <c r="A212" s="193"/>
      <c r="B212" s="194"/>
      <c r="C212" s="196"/>
      <c r="D212" s="195">
        <f>IFERROR(VLOOKUP(C212,'Acc code'!$B$2:$C$82,2,FALSE),0)</f>
        <v>0</v>
      </c>
      <c r="E212" s="195"/>
      <c r="F212" s="256"/>
      <c r="G212" s="256"/>
      <c r="H212" s="265">
        <f t="shared" si="3"/>
        <v>0</v>
      </c>
      <c r="J212" s="16"/>
      <c r="K212" s="17"/>
      <c r="L212" s="18"/>
      <c r="M212" s="18"/>
    </row>
    <row r="213" spans="1:13" ht="30" customHeight="1" x14ac:dyDescent="0.3">
      <c r="A213" s="193"/>
      <c r="B213" s="194"/>
      <c r="C213" s="196"/>
      <c r="D213" s="195">
        <f>IFERROR(VLOOKUP(C213,'Acc code'!$B$2:$C$82,2,FALSE),0)</f>
        <v>0</v>
      </c>
      <c r="E213" s="195"/>
      <c r="F213" s="256"/>
      <c r="G213" s="256"/>
      <c r="H213" s="265">
        <f t="shared" si="3"/>
        <v>0</v>
      </c>
      <c r="J213" s="16"/>
      <c r="K213" s="17"/>
      <c r="L213" s="18"/>
      <c r="M213" s="18"/>
    </row>
    <row r="214" spans="1:13" ht="30" customHeight="1" x14ac:dyDescent="0.3">
      <c r="A214" s="193"/>
      <c r="B214" s="194"/>
      <c r="C214" s="196"/>
      <c r="D214" s="195">
        <f>IFERROR(VLOOKUP(C214,'Acc code'!$B$2:$C$82,2,FALSE),0)</f>
        <v>0</v>
      </c>
      <c r="E214" s="195"/>
      <c r="F214" s="256"/>
      <c r="G214" s="256"/>
      <c r="H214" s="265">
        <f t="shared" si="3"/>
        <v>0</v>
      </c>
      <c r="J214" s="16"/>
      <c r="K214" s="17"/>
      <c r="L214" s="18"/>
      <c r="M214" s="18"/>
    </row>
    <row r="215" spans="1:13" ht="30" customHeight="1" x14ac:dyDescent="0.3">
      <c r="A215" s="193"/>
      <c r="B215" s="194"/>
      <c r="C215" s="196"/>
      <c r="D215" s="195">
        <f>IFERROR(VLOOKUP(C215,'Acc code'!$B$2:$C$82,2,FALSE),0)</f>
        <v>0</v>
      </c>
      <c r="E215" s="195"/>
      <c r="F215" s="256"/>
      <c r="G215" s="256"/>
      <c r="H215" s="265">
        <f t="shared" si="3"/>
        <v>0</v>
      </c>
      <c r="J215" s="16"/>
      <c r="K215" s="17"/>
      <c r="L215" s="18"/>
      <c r="M215" s="18"/>
    </row>
    <row r="216" spans="1:13" ht="30" customHeight="1" x14ac:dyDescent="0.3">
      <c r="A216" s="193"/>
      <c r="B216" s="194"/>
      <c r="C216" s="196"/>
      <c r="D216" s="195">
        <f>IFERROR(VLOOKUP(C216,'Acc code'!$B$2:$C$82,2,FALSE),0)</f>
        <v>0</v>
      </c>
      <c r="E216" s="195"/>
      <c r="F216" s="256"/>
      <c r="G216" s="256"/>
      <c r="H216" s="265">
        <f t="shared" si="3"/>
        <v>0</v>
      </c>
      <c r="J216" s="16"/>
      <c r="K216" s="17"/>
      <c r="L216" s="18"/>
      <c r="M216" s="18"/>
    </row>
    <row r="217" spans="1:13" ht="30" customHeight="1" x14ac:dyDescent="0.3">
      <c r="A217" s="193"/>
      <c r="B217" s="194"/>
      <c r="C217" s="196"/>
      <c r="D217" s="195">
        <f>IFERROR(VLOOKUP(C217,'Acc code'!$B$2:$C$82,2,FALSE),0)</f>
        <v>0</v>
      </c>
      <c r="E217" s="195"/>
      <c r="F217" s="256"/>
      <c r="G217" s="256"/>
      <c r="H217" s="265">
        <f t="shared" si="3"/>
        <v>0</v>
      </c>
      <c r="J217" s="16"/>
      <c r="K217" s="17"/>
      <c r="L217" s="18"/>
      <c r="M217" s="18"/>
    </row>
    <row r="218" spans="1:13" ht="30" customHeight="1" x14ac:dyDescent="0.3">
      <c r="A218" s="193"/>
      <c r="B218" s="194"/>
      <c r="C218" s="196"/>
      <c r="D218" s="195">
        <f>IFERROR(VLOOKUP(C218,'Acc code'!$B$2:$C$82,2,FALSE),0)</f>
        <v>0</v>
      </c>
      <c r="E218" s="195"/>
      <c r="F218" s="256"/>
      <c r="G218" s="256"/>
      <c r="H218" s="265">
        <f t="shared" si="3"/>
        <v>0</v>
      </c>
      <c r="J218" s="16"/>
      <c r="K218" s="17"/>
      <c r="L218" s="18"/>
      <c r="M218" s="18"/>
    </row>
    <row r="219" spans="1:13" ht="30" customHeight="1" x14ac:dyDescent="0.3">
      <c r="A219" s="193"/>
      <c r="B219" s="194"/>
      <c r="C219" s="196"/>
      <c r="D219" s="195">
        <f>IFERROR(VLOOKUP(C219,'Acc code'!$B$2:$C$82,2,FALSE),0)</f>
        <v>0</v>
      </c>
      <c r="E219" s="195"/>
      <c r="F219" s="256"/>
      <c r="G219" s="256"/>
      <c r="H219" s="265">
        <f t="shared" si="3"/>
        <v>0</v>
      </c>
      <c r="J219" s="16"/>
      <c r="K219" s="17"/>
      <c r="L219" s="18"/>
      <c r="M219" s="18"/>
    </row>
    <row r="220" spans="1:13" ht="30" customHeight="1" x14ac:dyDescent="0.3">
      <c r="A220" s="193"/>
      <c r="B220" s="194"/>
      <c r="C220" s="196"/>
      <c r="D220" s="195"/>
      <c r="E220" s="195"/>
      <c r="F220" s="256"/>
      <c r="G220" s="256"/>
      <c r="H220" s="265">
        <f t="shared" si="3"/>
        <v>0</v>
      </c>
      <c r="J220" s="16"/>
      <c r="K220" s="17"/>
      <c r="L220" s="18"/>
      <c r="M220" s="18"/>
    </row>
    <row r="221" spans="1:13" ht="30" customHeight="1" x14ac:dyDescent="0.3">
      <c r="A221" s="193"/>
      <c r="B221" s="194"/>
      <c r="C221" s="196"/>
      <c r="D221" s="195"/>
      <c r="E221" s="195"/>
      <c r="F221" s="256"/>
      <c r="G221" s="256"/>
      <c r="H221" s="265">
        <f t="shared" si="3"/>
        <v>0</v>
      </c>
      <c r="J221" s="16"/>
      <c r="K221" s="17"/>
      <c r="L221" s="18"/>
      <c r="M221" s="18"/>
    </row>
    <row r="222" spans="1:13" ht="30" customHeight="1" x14ac:dyDescent="0.3">
      <c r="A222" s="193"/>
      <c r="B222" s="194"/>
      <c r="C222" s="196"/>
      <c r="D222" s="195"/>
      <c r="E222" s="195"/>
      <c r="F222" s="256"/>
      <c r="G222" s="256"/>
      <c r="H222" s="265">
        <f t="shared" si="3"/>
        <v>0</v>
      </c>
      <c r="J222" s="16"/>
      <c r="K222" s="17"/>
      <c r="L222" s="18"/>
      <c r="M222" s="18"/>
    </row>
    <row r="223" spans="1:13" ht="30" customHeight="1" x14ac:dyDescent="0.3">
      <c r="A223" s="193"/>
      <c r="B223" s="194"/>
      <c r="C223" s="196"/>
      <c r="D223" s="195"/>
      <c r="E223" s="195"/>
      <c r="F223" s="256"/>
      <c r="G223" s="256"/>
      <c r="H223" s="265">
        <f t="shared" si="3"/>
        <v>0</v>
      </c>
      <c r="J223" s="16"/>
      <c r="K223" s="17"/>
      <c r="L223" s="18"/>
      <c r="M223" s="18"/>
    </row>
    <row r="224" spans="1:13" ht="30" customHeight="1" x14ac:dyDescent="0.3">
      <c r="A224" s="193"/>
      <c r="B224" s="194"/>
      <c r="C224" s="196"/>
      <c r="D224" s="195"/>
      <c r="E224" s="195"/>
      <c r="F224" s="256"/>
      <c r="G224" s="256"/>
      <c r="H224" s="265">
        <f t="shared" si="3"/>
        <v>0</v>
      </c>
      <c r="J224" s="16"/>
      <c r="K224" s="17"/>
      <c r="L224" s="18"/>
      <c r="M224" s="18"/>
    </row>
    <row r="225" spans="1:13" ht="30" customHeight="1" x14ac:dyDescent="0.3">
      <c r="A225" s="193"/>
      <c r="B225" s="194"/>
      <c r="C225" s="196"/>
      <c r="D225" s="195"/>
      <c r="E225" s="195"/>
      <c r="F225" s="256"/>
      <c r="G225" s="256"/>
      <c r="H225" s="265">
        <f t="shared" si="3"/>
        <v>0</v>
      </c>
      <c r="J225" s="16"/>
      <c r="K225" s="17"/>
      <c r="L225" s="18"/>
      <c r="M225" s="18"/>
    </row>
    <row r="226" spans="1:13" ht="30" customHeight="1" x14ac:dyDescent="0.3">
      <c r="A226" s="193"/>
      <c r="B226" s="194"/>
      <c r="C226" s="196"/>
      <c r="D226" s="195"/>
      <c r="E226" s="195"/>
      <c r="F226" s="256"/>
      <c r="G226" s="256"/>
      <c r="H226" s="265">
        <f t="shared" si="3"/>
        <v>0</v>
      </c>
      <c r="J226" s="16"/>
      <c r="K226" s="17"/>
      <c r="L226" s="18"/>
      <c r="M226" s="18"/>
    </row>
    <row r="227" spans="1:13" ht="30" customHeight="1" x14ac:dyDescent="0.3">
      <c r="A227" s="193"/>
      <c r="B227" s="194"/>
      <c r="C227" s="196"/>
      <c r="D227" s="195"/>
      <c r="E227" s="195"/>
      <c r="F227" s="256"/>
      <c r="G227" s="256"/>
      <c r="H227" s="265">
        <f t="shared" si="3"/>
        <v>0</v>
      </c>
      <c r="J227" s="16"/>
      <c r="K227" s="17"/>
      <c r="L227" s="18"/>
      <c r="M227" s="18"/>
    </row>
    <row r="228" spans="1:13" ht="30" customHeight="1" x14ac:dyDescent="0.3">
      <c r="A228" s="193"/>
      <c r="B228" s="194"/>
      <c r="C228" s="196"/>
      <c r="D228" s="195"/>
      <c r="E228" s="195"/>
      <c r="F228" s="256"/>
      <c r="G228" s="256"/>
      <c r="H228" s="265">
        <f t="shared" si="3"/>
        <v>0</v>
      </c>
      <c r="J228" s="16"/>
      <c r="K228" s="17"/>
      <c r="L228" s="18"/>
      <c r="M228" s="18"/>
    </row>
    <row r="229" spans="1:13" ht="30" customHeight="1" x14ac:dyDescent="0.3">
      <c r="A229" s="193"/>
      <c r="B229" s="194"/>
      <c r="C229" s="196"/>
      <c r="D229" s="195"/>
      <c r="E229" s="195"/>
      <c r="F229" s="256"/>
      <c r="G229" s="256"/>
      <c r="H229" s="265">
        <f t="shared" si="3"/>
        <v>0</v>
      </c>
      <c r="J229" s="16"/>
      <c r="K229" s="17"/>
      <c r="L229" s="18"/>
      <c r="M229" s="18"/>
    </row>
    <row r="230" spans="1:13" ht="30" customHeight="1" x14ac:dyDescent="0.3">
      <c r="A230" s="193"/>
      <c r="B230" s="194"/>
      <c r="C230" s="196"/>
      <c r="D230" s="195"/>
      <c r="E230" s="195"/>
      <c r="F230" s="256"/>
      <c r="G230" s="256"/>
      <c r="H230" s="265">
        <f t="shared" si="3"/>
        <v>0</v>
      </c>
      <c r="J230" s="16"/>
      <c r="K230" s="17"/>
      <c r="L230" s="18"/>
      <c r="M230" s="18"/>
    </row>
    <row r="231" spans="1:13" ht="30" customHeight="1" x14ac:dyDescent="0.3">
      <c r="A231" s="193"/>
      <c r="B231" s="194"/>
      <c r="C231" s="196"/>
      <c r="D231" s="195"/>
      <c r="E231" s="195"/>
      <c r="F231" s="256"/>
      <c r="G231" s="256"/>
      <c r="H231" s="265">
        <f t="shared" si="3"/>
        <v>0</v>
      </c>
      <c r="J231" s="16"/>
      <c r="K231" s="17"/>
      <c r="L231" s="18"/>
      <c r="M231" s="18"/>
    </row>
    <row r="232" spans="1:13" ht="30" customHeight="1" x14ac:dyDescent="0.3">
      <c r="A232" s="193"/>
      <c r="B232" s="194"/>
      <c r="C232" s="196"/>
      <c r="D232" s="195"/>
      <c r="E232" s="195"/>
      <c r="F232" s="256"/>
      <c r="G232" s="256"/>
      <c r="H232" s="265">
        <f t="shared" si="3"/>
        <v>0</v>
      </c>
      <c r="J232" s="16"/>
      <c r="K232" s="17"/>
      <c r="L232" s="18"/>
      <c r="M232" s="18"/>
    </row>
    <row r="233" spans="1:13" ht="30" customHeight="1" x14ac:dyDescent="0.3">
      <c r="A233" s="193"/>
      <c r="B233" s="194"/>
      <c r="C233" s="196"/>
      <c r="D233" s="195"/>
      <c r="E233" s="195"/>
      <c r="F233" s="256"/>
      <c r="G233" s="256"/>
      <c r="H233" s="265">
        <f t="shared" si="3"/>
        <v>0</v>
      </c>
      <c r="J233" s="16"/>
      <c r="K233" s="17"/>
      <c r="L233" s="18"/>
      <c r="M233" s="18"/>
    </row>
    <row r="234" spans="1:13" ht="30" customHeight="1" x14ac:dyDescent="0.3">
      <c r="A234" s="193"/>
      <c r="B234" s="194"/>
      <c r="C234" s="196"/>
      <c r="D234" s="195"/>
      <c r="E234" s="195"/>
      <c r="F234" s="256"/>
      <c r="G234" s="256"/>
      <c r="H234" s="265">
        <f t="shared" si="3"/>
        <v>0</v>
      </c>
      <c r="J234" s="16"/>
      <c r="K234" s="17"/>
      <c r="L234" s="18"/>
      <c r="M234" s="18"/>
    </row>
    <row r="235" spans="1:13" ht="30" customHeight="1" x14ac:dyDescent="0.3">
      <c r="A235" s="193"/>
      <c r="B235" s="194"/>
      <c r="C235" s="196"/>
      <c r="D235" s="195"/>
      <c r="E235" s="195"/>
      <c r="F235" s="256"/>
      <c r="G235" s="256"/>
      <c r="H235" s="265">
        <f t="shared" si="3"/>
        <v>0</v>
      </c>
      <c r="J235" s="16"/>
      <c r="K235" s="17"/>
      <c r="L235" s="18"/>
      <c r="M235" s="18"/>
    </row>
    <row r="236" spans="1:13" ht="30" customHeight="1" x14ac:dyDescent="0.3">
      <c r="A236" s="193"/>
      <c r="B236" s="194"/>
      <c r="C236" s="196"/>
      <c r="D236" s="195"/>
      <c r="E236" s="195"/>
      <c r="F236" s="256"/>
      <c r="G236" s="256"/>
      <c r="H236" s="265">
        <f t="shared" si="3"/>
        <v>0</v>
      </c>
      <c r="J236" s="16"/>
      <c r="K236" s="17"/>
      <c r="L236" s="18"/>
      <c r="M236" s="18"/>
    </row>
    <row r="237" spans="1:13" ht="30" customHeight="1" x14ac:dyDescent="0.3">
      <c r="A237" s="193"/>
      <c r="B237" s="194"/>
      <c r="C237" s="196"/>
      <c r="D237" s="195"/>
      <c r="E237" s="195"/>
      <c r="F237" s="256"/>
      <c r="G237" s="256"/>
      <c r="H237" s="265">
        <f t="shared" si="3"/>
        <v>0</v>
      </c>
      <c r="J237" s="16"/>
      <c r="K237" s="17"/>
      <c r="L237" s="18"/>
      <c r="M237" s="18"/>
    </row>
    <row r="238" spans="1:13" ht="30" customHeight="1" x14ac:dyDescent="0.3">
      <c r="A238" s="193"/>
      <c r="B238" s="194"/>
      <c r="C238" s="196"/>
      <c r="D238" s="195"/>
      <c r="E238" s="195"/>
      <c r="F238" s="256"/>
      <c r="G238" s="256"/>
      <c r="H238" s="265">
        <f t="shared" si="3"/>
        <v>0</v>
      </c>
      <c r="J238" s="16"/>
      <c r="K238" s="17"/>
      <c r="L238" s="18"/>
      <c r="M238" s="18"/>
    </row>
    <row r="239" spans="1:13" ht="30" customHeight="1" x14ac:dyDescent="0.3">
      <c r="A239" s="193"/>
      <c r="B239" s="194"/>
      <c r="C239" s="196"/>
      <c r="D239" s="195"/>
      <c r="E239" s="195"/>
      <c r="F239" s="256"/>
      <c r="G239" s="256"/>
      <c r="H239" s="265">
        <f t="shared" si="3"/>
        <v>0</v>
      </c>
      <c r="J239" s="16"/>
      <c r="K239" s="17"/>
      <c r="L239" s="18"/>
      <c r="M239" s="18"/>
    </row>
    <row r="240" spans="1:13" ht="30" customHeight="1" x14ac:dyDescent="0.3">
      <c r="A240" s="193"/>
      <c r="B240" s="194"/>
      <c r="C240" s="196"/>
      <c r="D240" s="195"/>
      <c r="E240" s="195"/>
      <c r="F240" s="256"/>
      <c r="G240" s="256"/>
      <c r="H240" s="265">
        <f t="shared" si="3"/>
        <v>0</v>
      </c>
      <c r="J240" s="16"/>
      <c r="K240" s="17"/>
      <c r="L240" s="18"/>
      <c r="M240" s="18"/>
    </row>
    <row r="241" spans="1:13" ht="30" customHeight="1" x14ac:dyDescent="0.3">
      <c r="A241" s="193"/>
      <c r="B241" s="194"/>
      <c r="C241" s="196"/>
      <c r="D241" s="195"/>
      <c r="E241" s="195"/>
      <c r="F241" s="256"/>
      <c r="G241" s="256"/>
      <c r="H241" s="265">
        <f t="shared" si="3"/>
        <v>0</v>
      </c>
      <c r="J241" s="16"/>
      <c r="K241" s="17"/>
      <c r="L241" s="18"/>
      <c r="M241" s="18"/>
    </row>
    <row r="242" spans="1:13" ht="30" customHeight="1" x14ac:dyDescent="0.3">
      <c r="A242" s="193"/>
      <c r="B242" s="194"/>
      <c r="C242" s="196"/>
      <c r="D242" s="195"/>
      <c r="E242" s="195"/>
      <c r="F242" s="256"/>
      <c r="G242" s="256"/>
      <c r="H242" s="265">
        <f t="shared" si="3"/>
        <v>0</v>
      </c>
      <c r="J242" s="16"/>
      <c r="K242" s="17"/>
      <c r="L242" s="18"/>
      <c r="M242" s="18"/>
    </row>
    <row r="243" spans="1:13" ht="30" customHeight="1" x14ac:dyDescent="0.3">
      <c r="A243" s="193"/>
      <c r="B243" s="194"/>
      <c r="C243" s="196"/>
      <c r="D243" s="195"/>
      <c r="E243" s="195"/>
      <c r="F243" s="256"/>
      <c r="G243" s="256"/>
      <c r="H243" s="265">
        <f t="shared" si="3"/>
        <v>0</v>
      </c>
      <c r="J243" s="16"/>
      <c r="K243" s="17"/>
      <c r="L243" s="18"/>
      <c r="M243" s="18"/>
    </row>
    <row r="244" spans="1:13" ht="30" customHeight="1" x14ac:dyDescent="0.3">
      <c r="A244" s="193"/>
      <c r="B244" s="194"/>
      <c r="C244" s="196"/>
      <c r="D244" s="195"/>
      <c r="E244" s="195"/>
      <c r="F244" s="256"/>
      <c r="G244" s="256"/>
      <c r="H244" s="265">
        <f t="shared" si="3"/>
        <v>0</v>
      </c>
      <c r="J244" s="16"/>
      <c r="K244" s="17"/>
      <c r="L244" s="18"/>
      <c r="M244" s="18"/>
    </row>
    <row r="245" spans="1:13" ht="30" customHeight="1" x14ac:dyDescent="0.3">
      <c r="A245" s="193"/>
      <c r="B245" s="194"/>
      <c r="C245" s="196"/>
      <c r="D245" s="195"/>
      <c r="E245" s="195"/>
      <c r="F245" s="256"/>
      <c r="G245" s="256"/>
      <c r="H245" s="265">
        <f t="shared" si="3"/>
        <v>0</v>
      </c>
      <c r="J245" s="16"/>
      <c r="K245" s="17"/>
      <c r="L245" s="18"/>
      <c r="M245" s="18"/>
    </row>
    <row r="246" spans="1:13" ht="30" customHeight="1" x14ac:dyDescent="0.3">
      <c r="A246" s="193"/>
      <c r="B246" s="194"/>
      <c r="C246" s="196"/>
      <c r="D246" s="195"/>
      <c r="E246" s="195"/>
      <c r="F246" s="256"/>
      <c r="G246" s="256"/>
      <c r="H246" s="265">
        <f t="shared" si="3"/>
        <v>0</v>
      </c>
      <c r="J246" s="16"/>
      <c r="K246" s="17"/>
      <c r="L246" s="18"/>
      <c r="M246" s="18"/>
    </row>
    <row r="247" spans="1:13" ht="30" customHeight="1" x14ac:dyDescent="0.3">
      <c r="A247" s="193"/>
      <c r="B247" s="194"/>
      <c r="C247" s="196"/>
      <c r="D247" s="195"/>
      <c r="E247" s="195"/>
      <c r="F247" s="256"/>
      <c r="G247" s="256"/>
      <c r="H247" s="265">
        <f t="shared" si="3"/>
        <v>0</v>
      </c>
      <c r="J247" s="16"/>
      <c r="K247" s="17"/>
      <c r="L247" s="18"/>
      <c r="M247" s="18"/>
    </row>
    <row r="248" spans="1:13" ht="30" customHeight="1" x14ac:dyDescent="0.3">
      <c r="A248" s="193"/>
      <c r="B248" s="194"/>
      <c r="C248" s="196"/>
      <c r="D248" s="195"/>
      <c r="E248" s="195"/>
      <c r="F248" s="256"/>
      <c r="G248" s="256"/>
      <c r="H248" s="265">
        <f t="shared" si="3"/>
        <v>0</v>
      </c>
      <c r="J248" s="16"/>
      <c r="K248" s="17"/>
      <c r="L248" s="18"/>
      <c r="M248" s="18"/>
    </row>
    <row r="249" spans="1:13" ht="30" customHeight="1" x14ac:dyDescent="0.3">
      <c r="A249" s="193"/>
      <c r="B249" s="194"/>
      <c r="C249" s="196"/>
      <c r="D249" s="195"/>
      <c r="E249" s="195"/>
      <c r="F249" s="256"/>
      <c r="G249" s="256"/>
      <c r="H249" s="265">
        <f t="shared" si="3"/>
        <v>0</v>
      </c>
      <c r="J249" s="16"/>
      <c r="K249" s="17"/>
      <c r="L249" s="18"/>
      <c r="M249" s="18"/>
    </row>
    <row r="250" spans="1:13" ht="30" customHeight="1" x14ac:dyDescent="0.3">
      <c r="A250" s="193"/>
      <c r="B250" s="194"/>
      <c r="C250" s="196"/>
      <c r="D250" s="195"/>
      <c r="E250" s="195"/>
      <c r="F250" s="256"/>
      <c r="G250" s="256"/>
      <c r="H250" s="265">
        <f t="shared" si="3"/>
        <v>0</v>
      </c>
      <c r="J250" s="16"/>
      <c r="K250" s="17"/>
      <c r="L250" s="18"/>
      <c r="M250" s="18"/>
    </row>
    <row r="251" spans="1:13" ht="30" customHeight="1" x14ac:dyDescent="0.3">
      <c r="A251" s="193"/>
      <c r="B251" s="194"/>
      <c r="C251" s="196"/>
      <c r="D251" s="195"/>
      <c r="E251" s="195"/>
      <c r="F251" s="256"/>
      <c r="G251" s="256"/>
      <c r="H251" s="265">
        <f t="shared" si="3"/>
        <v>0</v>
      </c>
      <c r="J251" s="16"/>
      <c r="K251" s="17"/>
      <c r="L251" s="18"/>
      <c r="M251" s="18"/>
    </row>
    <row r="252" spans="1:13" ht="30" customHeight="1" x14ac:dyDescent="0.3">
      <c r="A252" s="193"/>
      <c r="B252" s="194"/>
      <c r="C252" s="196"/>
      <c r="D252" s="195"/>
      <c r="E252" s="195"/>
      <c r="F252" s="256"/>
      <c r="G252" s="256"/>
      <c r="H252" s="265">
        <f t="shared" si="3"/>
        <v>0</v>
      </c>
      <c r="J252" s="16"/>
      <c r="K252" s="17"/>
      <c r="L252" s="18"/>
      <c r="M252" s="18"/>
    </row>
    <row r="253" spans="1:13" ht="30" customHeight="1" x14ac:dyDescent="0.3">
      <c r="A253" s="193"/>
      <c r="B253" s="194"/>
      <c r="C253" s="196"/>
      <c r="D253" s="195"/>
      <c r="E253" s="195"/>
      <c r="F253" s="256"/>
      <c r="G253" s="256"/>
      <c r="H253" s="265">
        <f t="shared" si="3"/>
        <v>0</v>
      </c>
      <c r="J253" s="16"/>
      <c r="K253" s="17"/>
      <c r="L253" s="18"/>
      <c r="M253" s="18"/>
    </row>
    <row r="254" spans="1:13" ht="30" customHeight="1" x14ac:dyDescent="0.3">
      <c r="A254" s="193"/>
      <c r="B254" s="194"/>
      <c r="C254" s="196"/>
      <c r="D254" s="195"/>
      <c r="E254" s="195"/>
      <c r="F254" s="256"/>
      <c r="G254" s="256"/>
      <c r="H254" s="265">
        <f t="shared" si="3"/>
        <v>0</v>
      </c>
      <c r="J254" s="16"/>
      <c r="K254" s="17"/>
      <c r="L254" s="18"/>
      <c r="M254" s="18"/>
    </row>
    <row r="255" spans="1:13" ht="30" customHeight="1" x14ac:dyDescent="0.3">
      <c r="A255" s="193"/>
      <c r="B255" s="194"/>
      <c r="C255" s="196"/>
      <c r="D255" s="195"/>
      <c r="E255" s="195"/>
      <c r="F255" s="256"/>
      <c r="G255" s="256"/>
      <c r="H255" s="265">
        <f t="shared" si="3"/>
        <v>0</v>
      </c>
      <c r="J255" s="16"/>
      <c r="K255" s="17"/>
      <c r="L255" s="18"/>
      <c r="M255" s="18"/>
    </row>
    <row r="256" spans="1:13" ht="30" customHeight="1" x14ac:dyDescent="0.3">
      <c r="A256" s="193"/>
      <c r="B256" s="194"/>
      <c r="C256" s="196"/>
      <c r="D256" s="195"/>
      <c r="E256" s="195"/>
      <c r="F256" s="256"/>
      <c r="G256" s="256"/>
      <c r="H256" s="265">
        <f t="shared" si="3"/>
        <v>0</v>
      </c>
      <c r="J256" s="16"/>
      <c r="K256" s="17"/>
      <c r="L256" s="18"/>
      <c r="M256" s="18"/>
    </row>
    <row r="257" spans="1:13" ht="30" customHeight="1" x14ac:dyDescent="0.3">
      <c r="A257" s="193"/>
      <c r="B257" s="194"/>
      <c r="C257" s="196"/>
      <c r="D257" s="195"/>
      <c r="E257" s="195"/>
      <c r="F257" s="256"/>
      <c r="G257" s="256"/>
      <c r="H257" s="265">
        <f t="shared" si="3"/>
        <v>0</v>
      </c>
      <c r="J257" s="16"/>
      <c r="K257" s="17"/>
      <c r="L257" s="18"/>
      <c r="M257" s="18"/>
    </row>
    <row r="258" spans="1:13" ht="30" customHeight="1" x14ac:dyDescent="0.3">
      <c r="A258" s="193"/>
      <c r="B258" s="194"/>
      <c r="C258" s="196"/>
      <c r="D258" s="195"/>
      <c r="E258" s="195"/>
      <c r="F258" s="256"/>
      <c r="G258" s="256"/>
      <c r="H258" s="265">
        <f t="shared" si="3"/>
        <v>0</v>
      </c>
      <c r="J258" s="16"/>
      <c r="K258" s="17"/>
      <c r="L258" s="18"/>
      <c r="M258" s="18"/>
    </row>
    <row r="259" spans="1:13" ht="30" customHeight="1" x14ac:dyDescent="0.3">
      <c r="A259" s="193"/>
      <c r="B259" s="194"/>
      <c r="C259" s="196"/>
      <c r="D259" s="195"/>
      <c r="E259" s="195"/>
      <c r="F259" s="256"/>
      <c r="G259" s="256"/>
      <c r="H259" s="265">
        <f t="shared" si="3"/>
        <v>0</v>
      </c>
      <c r="J259" s="16"/>
      <c r="K259" s="17"/>
      <c r="L259" s="18"/>
      <c r="M259" s="18"/>
    </row>
    <row r="260" spans="1:13" ht="30" customHeight="1" x14ac:dyDescent="0.3">
      <c r="A260" s="193"/>
      <c r="B260" s="194"/>
      <c r="C260" s="196"/>
      <c r="D260" s="195"/>
      <c r="E260" s="195"/>
      <c r="F260" s="256"/>
      <c r="G260" s="256"/>
      <c r="H260" s="265">
        <f t="shared" si="3"/>
        <v>0</v>
      </c>
      <c r="J260" s="16"/>
      <c r="K260" s="17"/>
      <c r="L260" s="18"/>
      <c r="M260" s="18"/>
    </row>
    <row r="261" spans="1:13" ht="30" customHeight="1" x14ac:dyDescent="0.3">
      <c r="A261" s="193"/>
      <c r="B261" s="194"/>
      <c r="C261" s="196"/>
      <c r="D261" s="195"/>
      <c r="E261" s="195"/>
      <c r="F261" s="256"/>
      <c r="G261" s="256"/>
      <c r="H261" s="265">
        <f t="shared" si="3"/>
        <v>0</v>
      </c>
      <c r="J261" s="16"/>
      <c r="K261" s="17"/>
      <c r="L261" s="18"/>
      <c r="M261" s="18"/>
    </row>
    <row r="262" spans="1:13" ht="30" customHeight="1" x14ac:dyDescent="0.3">
      <c r="A262" s="193"/>
      <c r="B262" s="194"/>
      <c r="C262" s="196"/>
      <c r="D262" s="195"/>
      <c r="E262" s="195"/>
      <c r="F262" s="256"/>
      <c r="G262" s="256"/>
      <c r="H262" s="265">
        <f t="shared" si="3"/>
        <v>0</v>
      </c>
      <c r="J262" s="16"/>
      <c r="K262" s="17"/>
      <c r="L262" s="18"/>
      <c r="M262" s="18"/>
    </row>
    <row r="263" spans="1:13" ht="30" customHeight="1" x14ac:dyDescent="0.3">
      <c r="A263" s="193"/>
      <c r="B263" s="194"/>
      <c r="C263" s="196"/>
      <c r="D263" s="195"/>
      <c r="E263" s="195"/>
      <c r="F263" s="256"/>
      <c r="G263" s="256"/>
      <c r="H263" s="265">
        <f t="shared" si="3"/>
        <v>0</v>
      </c>
      <c r="J263" s="16"/>
      <c r="K263" s="17"/>
      <c r="L263" s="18"/>
      <c r="M263" s="18"/>
    </row>
    <row r="264" spans="1:13" ht="30" customHeight="1" x14ac:dyDescent="0.3">
      <c r="A264" s="193"/>
      <c r="B264" s="194"/>
      <c r="C264" s="196"/>
      <c r="D264" s="195"/>
      <c r="E264" s="195"/>
      <c r="F264" s="256"/>
      <c r="G264" s="256"/>
      <c r="H264" s="265">
        <f t="shared" ref="H264:H324" si="4">H263+F264-G264</f>
        <v>0</v>
      </c>
      <c r="J264" s="16"/>
      <c r="K264" s="17"/>
      <c r="L264" s="18"/>
      <c r="M264" s="18"/>
    </row>
    <row r="265" spans="1:13" ht="30" customHeight="1" x14ac:dyDescent="0.3">
      <c r="A265" s="193"/>
      <c r="B265" s="194"/>
      <c r="C265" s="196"/>
      <c r="D265" s="195"/>
      <c r="E265" s="195"/>
      <c r="F265" s="256"/>
      <c r="G265" s="256"/>
      <c r="H265" s="265">
        <f t="shared" si="4"/>
        <v>0</v>
      </c>
      <c r="J265" s="16"/>
      <c r="K265" s="17"/>
      <c r="L265" s="18"/>
      <c r="M265" s="18"/>
    </row>
    <row r="266" spans="1:13" ht="30" customHeight="1" x14ac:dyDescent="0.3">
      <c r="A266" s="193"/>
      <c r="B266" s="194"/>
      <c r="C266" s="196"/>
      <c r="D266" s="195"/>
      <c r="E266" s="195"/>
      <c r="F266" s="256"/>
      <c r="G266" s="256"/>
      <c r="H266" s="265">
        <f t="shared" si="4"/>
        <v>0</v>
      </c>
      <c r="J266" s="16"/>
      <c r="K266" s="17"/>
      <c r="L266" s="18"/>
      <c r="M266" s="18"/>
    </row>
    <row r="267" spans="1:13" ht="30" customHeight="1" x14ac:dyDescent="0.3">
      <c r="A267" s="193"/>
      <c r="B267" s="194"/>
      <c r="C267" s="196"/>
      <c r="D267" s="195"/>
      <c r="E267" s="195"/>
      <c r="F267" s="256"/>
      <c r="G267" s="256"/>
      <c r="H267" s="265">
        <f t="shared" si="4"/>
        <v>0</v>
      </c>
      <c r="J267" s="16"/>
      <c r="K267" s="17"/>
      <c r="L267" s="18"/>
      <c r="M267" s="18"/>
    </row>
    <row r="268" spans="1:13" ht="30" customHeight="1" x14ac:dyDescent="0.3">
      <c r="A268" s="193"/>
      <c r="B268" s="194"/>
      <c r="C268" s="196"/>
      <c r="D268" s="195"/>
      <c r="E268" s="195"/>
      <c r="F268" s="256"/>
      <c r="G268" s="256"/>
      <c r="H268" s="265">
        <f t="shared" si="4"/>
        <v>0</v>
      </c>
      <c r="J268" s="16"/>
      <c r="K268" s="17"/>
      <c r="L268" s="18"/>
      <c r="M268" s="18"/>
    </row>
    <row r="269" spans="1:13" ht="30" customHeight="1" x14ac:dyDescent="0.3">
      <c r="A269" s="193"/>
      <c r="B269" s="194"/>
      <c r="C269" s="196"/>
      <c r="D269" s="195"/>
      <c r="E269" s="195"/>
      <c r="F269" s="256"/>
      <c r="G269" s="256"/>
      <c r="H269" s="265">
        <f t="shared" si="4"/>
        <v>0</v>
      </c>
      <c r="J269" s="16"/>
      <c r="K269" s="17"/>
      <c r="L269" s="18"/>
      <c r="M269" s="18"/>
    </row>
    <row r="270" spans="1:13" ht="30" customHeight="1" x14ac:dyDescent="0.3">
      <c r="A270" s="193"/>
      <c r="B270" s="194"/>
      <c r="C270" s="196"/>
      <c r="D270" s="195"/>
      <c r="E270" s="195"/>
      <c r="F270" s="256"/>
      <c r="G270" s="256"/>
      <c r="H270" s="265">
        <f t="shared" si="4"/>
        <v>0</v>
      </c>
      <c r="J270" s="16"/>
      <c r="K270" s="17"/>
      <c r="L270" s="18"/>
      <c r="M270" s="18"/>
    </row>
    <row r="271" spans="1:13" ht="30" customHeight="1" x14ac:dyDescent="0.3">
      <c r="A271" s="193"/>
      <c r="B271" s="194"/>
      <c r="C271" s="196"/>
      <c r="D271" s="195"/>
      <c r="E271" s="195"/>
      <c r="F271" s="256"/>
      <c r="G271" s="256"/>
      <c r="H271" s="265">
        <f t="shared" si="4"/>
        <v>0</v>
      </c>
      <c r="J271" s="16"/>
      <c r="K271" s="17"/>
      <c r="L271" s="18"/>
      <c r="M271" s="18"/>
    </row>
    <row r="272" spans="1:13" ht="30" customHeight="1" x14ac:dyDescent="0.3">
      <c r="A272" s="193"/>
      <c r="B272" s="194"/>
      <c r="C272" s="196"/>
      <c r="D272" s="195"/>
      <c r="E272" s="195"/>
      <c r="F272" s="256"/>
      <c r="G272" s="256"/>
      <c r="H272" s="265">
        <f t="shared" si="4"/>
        <v>0</v>
      </c>
      <c r="J272" s="16"/>
      <c r="K272" s="17"/>
      <c r="L272" s="18"/>
      <c r="M272" s="18"/>
    </row>
    <row r="273" spans="1:13" ht="30" customHeight="1" x14ac:dyDescent="0.3">
      <c r="A273" s="193"/>
      <c r="B273" s="194"/>
      <c r="C273" s="196"/>
      <c r="D273" s="195"/>
      <c r="E273" s="195"/>
      <c r="F273" s="256"/>
      <c r="G273" s="256"/>
      <c r="H273" s="265">
        <f t="shared" si="4"/>
        <v>0</v>
      </c>
      <c r="J273" s="16"/>
      <c r="K273" s="17"/>
      <c r="L273" s="18"/>
      <c r="M273" s="18"/>
    </row>
    <row r="274" spans="1:13" ht="30" customHeight="1" x14ac:dyDescent="0.3">
      <c r="A274" s="193"/>
      <c r="B274" s="194"/>
      <c r="C274" s="196"/>
      <c r="D274" s="195"/>
      <c r="E274" s="195"/>
      <c r="F274" s="256"/>
      <c r="G274" s="256"/>
      <c r="H274" s="265">
        <f t="shared" si="4"/>
        <v>0</v>
      </c>
      <c r="J274" s="16"/>
      <c r="K274" s="17"/>
      <c r="L274" s="18"/>
      <c r="M274" s="18"/>
    </row>
    <row r="275" spans="1:13" ht="30" customHeight="1" x14ac:dyDescent="0.3">
      <c r="A275" s="193"/>
      <c r="B275" s="194"/>
      <c r="C275" s="196"/>
      <c r="D275" s="195"/>
      <c r="E275" s="195"/>
      <c r="F275" s="256"/>
      <c r="G275" s="256"/>
      <c r="H275" s="265">
        <f t="shared" si="4"/>
        <v>0</v>
      </c>
      <c r="J275" s="16"/>
      <c r="K275" s="17"/>
      <c r="L275" s="18"/>
      <c r="M275" s="18"/>
    </row>
    <row r="276" spans="1:13" ht="30" customHeight="1" x14ac:dyDescent="0.3">
      <c r="A276" s="193"/>
      <c r="B276" s="194"/>
      <c r="C276" s="196"/>
      <c r="D276" s="195"/>
      <c r="E276" s="195"/>
      <c r="F276" s="256"/>
      <c r="G276" s="256"/>
      <c r="H276" s="265">
        <f t="shared" si="4"/>
        <v>0</v>
      </c>
      <c r="J276" s="16"/>
      <c r="K276" s="17"/>
      <c r="L276" s="18"/>
      <c r="M276" s="18"/>
    </row>
    <row r="277" spans="1:13" ht="30" customHeight="1" x14ac:dyDescent="0.3">
      <c r="A277" s="193"/>
      <c r="B277" s="194"/>
      <c r="C277" s="196"/>
      <c r="D277" s="195"/>
      <c r="E277" s="195"/>
      <c r="F277" s="256"/>
      <c r="G277" s="256"/>
      <c r="H277" s="265">
        <f t="shared" si="4"/>
        <v>0</v>
      </c>
      <c r="J277" s="16"/>
      <c r="K277" s="17"/>
      <c r="L277" s="18"/>
      <c r="M277" s="18"/>
    </row>
    <row r="278" spans="1:13" ht="30" customHeight="1" x14ac:dyDescent="0.3">
      <c r="A278" s="193"/>
      <c r="B278" s="194"/>
      <c r="C278" s="196"/>
      <c r="D278" s="195"/>
      <c r="E278" s="195"/>
      <c r="F278" s="256"/>
      <c r="G278" s="256"/>
      <c r="H278" s="265">
        <f t="shared" si="4"/>
        <v>0</v>
      </c>
      <c r="J278" s="16"/>
      <c r="K278" s="17"/>
      <c r="L278" s="18"/>
      <c r="M278" s="18"/>
    </row>
    <row r="279" spans="1:13" ht="30" customHeight="1" x14ac:dyDescent="0.3">
      <c r="A279" s="193"/>
      <c r="B279" s="194"/>
      <c r="C279" s="196"/>
      <c r="D279" s="195"/>
      <c r="E279" s="195"/>
      <c r="F279" s="256"/>
      <c r="G279" s="256"/>
      <c r="H279" s="265">
        <f t="shared" si="4"/>
        <v>0</v>
      </c>
      <c r="J279" s="16"/>
      <c r="K279" s="17"/>
      <c r="L279" s="18"/>
      <c r="M279" s="18"/>
    </row>
    <row r="280" spans="1:13" ht="30" customHeight="1" x14ac:dyDescent="0.3">
      <c r="A280" s="193"/>
      <c r="B280" s="194"/>
      <c r="C280" s="196"/>
      <c r="D280" s="195"/>
      <c r="E280" s="195"/>
      <c r="F280" s="256"/>
      <c r="G280" s="256"/>
      <c r="H280" s="265">
        <f t="shared" si="4"/>
        <v>0</v>
      </c>
      <c r="J280" s="16"/>
      <c r="K280" s="17"/>
      <c r="L280" s="18"/>
      <c r="M280" s="18"/>
    </row>
    <row r="281" spans="1:13" ht="30" customHeight="1" x14ac:dyDescent="0.3">
      <c r="A281" s="193"/>
      <c r="B281" s="194"/>
      <c r="C281" s="196"/>
      <c r="D281" s="195"/>
      <c r="E281" s="195"/>
      <c r="F281" s="256"/>
      <c r="G281" s="256"/>
      <c r="H281" s="265">
        <f t="shared" si="4"/>
        <v>0</v>
      </c>
      <c r="J281" s="16"/>
      <c r="K281" s="17"/>
      <c r="L281" s="18"/>
      <c r="M281" s="18"/>
    </row>
    <row r="282" spans="1:13" ht="30" customHeight="1" x14ac:dyDescent="0.3">
      <c r="A282" s="193"/>
      <c r="B282" s="194"/>
      <c r="C282" s="196"/>
      <c r="D282" s="195"/>
      <c r="E282" s="195"/>
      <c r="F282" s="256"/>
      <c r="G282" s="256"/>
      <c r="H282" s="265">
        <f t="shared" si="4"/>
        <v>0</v>
      </c>
      <c r="J282" s="16"/>
      <c r="K282" s="17"/>
      <c r="L282" s="18"/>
      <c r="M282" s="18"/>
    </row>
    <row r="283" spans="1:13" ht="30" customHeight="1" x14ac:dyDescent="0.3">
      <c r="A283" s="193"/>
      <c r="B283" s="194"/>
      <c r="C283" s="196"/>
      <c r="D283" s="195"/>
      <c r="E283" s="195"/>
      <c r="F283" s="256"/>
      <c r="G283" s="256"/>
      <c r="H283" s="265">
        <f t="shared" si="4"/>
        <v>0</v>
      </c>
      <c r="J283" s="16"/>
      <c r="K283" s="17"/>
      <c r="L283" s="18"/>
      <c r="M283" s="18"/>
    </row>
    <row r="284" spans="1:13" ht="30" customHeight="1" x14ac:dyDescent="0.3">
      <c r="A284" s="193"/>
      <c r="B284" s="194"/>
      <c r="C284" s="196"/>
      <c r="D284" s="195"/>
      <c r="E284" s="195"/>
      <c r="F284" s="256"/>
      <c r="G284" s="256"/>
      <c r="H284" s="265">
        <f t="shared" si="4"/>
        <v>0</v>
      </c>
      <c r="J284" s="16"/>
      <c r="K284" s="17"/>
      <c r="L284" s="18"/>
      <c r="M284" s="18"/>
    </row>
    <row r="285" spans="1:13" ht="30" customHeight="1" x14ac:dyDescent="0.3">
      <c r="A285" s="193"/>
      <c r="B285" s="194"/>
      <c r="C285" s="196"/>
      <c r="D285" s="195"/>
      <c r="E285" s="195"/>
      <c r="F285" s="256"/>
      <c r="G285" s="256"/>
      <c r="H285" s="265">
        <f t="shared" si="4"/>
        <v>0</v>
      </c>
      <c r="J285" s="16"/>
      <c r="K285" s="17"/>
      <c r="L285" s="18"/>
      <c r="M285" s="18"/>
    </row>
    <row r="286" spans="1:13" ht="30" customHeight="1" x14ac:dyDescent="0.3">
      <c r="A286" s="193"/>
      <c r="B286" s="194"/>
      <c r="C286" s="196"/>
      <c r="D286" s="195"/>
      <c r="E286" s="195"/>
      <c r="F286" s="256"/>
      <c r="G286" s="256"/>
      <c r="H286" s="265">
        <f t="shared" si="4"/>
        <v>0</v>
      </c>
      <c r="J286" s="16"/>
      <c r="K286" s="17"/>
      <c r="L286" s="18"/>
      <c r="M286" s="18"/>
    </row>
    <row r="287" spans="1:13" ht="30" customHeight="1" x14ac:dyDescent="0.3">
      <c r="A287" s="193"/>
      <c r="B287" s="194"/>
      <c r="C287" s="196"/>
      <c r="D287" s="195"/>
      <c r="E287" s="195"/>
      <c r="F287" s="256"/>
      <c r="G287" s="256"/>
      <c r="H287" s="265">
        <f t="shared" si="4"/>
        <v>0</v>
      </c>
      <c r="J287" s="16"/>
      <c r="K287" s="17"/>
      <c r="L287" s="18"/>
      <c r="M287" s="18"/>
    </row>
    <row r="288" spans="1:13" ht="30" customHeight="1" x14ac:dyDescent="0.3">
      <c r="A288" s="193"/>
      <c r="B288" s="194"/>
      <c r="C288" s="196"/>
      <c r="D288" s="195"/>
      <c r="E288" s="195"/>
      <c r="F288" s="256"/>
      <c r="G288" s="256"/>
      <c r="H288" s="265">
        <f t="shared" si="4"/>
        <v>0</v>
      </c>
      <c r="J288" s="16"/>
      <c r="K288" s="17"/>
      <c r="L288" s="18"/>
      <c r="M288" s="18"/>
    </row>
    <row r="289" spans="1:13" ht="30" customHeight="1" x14ac:dyDescent="0.3">
      <c r="A289" s="193"/>
      <c r="B289" s="194"/>
      <c r="C289" s="196"/>
      <c r="D289" s="195"/>
      <c r="E289" s="195"/>
      <c r="F289" s="256"/>
      <c r="G289" s="256"/>
      <c r="H289" s="265">
        <f t="shared" si="4"/>
        <v>0</v>
      </c>
      <c r="J289" s="16"/>
      <c r="K289" s="17"/>
      <c r="L289" s="18"/>
      <c r="M289" s="18"/>
    </row>
    <row r="290" spans="1:13" ht="30" customHeight="1" x14ac:dyDescent="0.3">
      <c r="A290" s="193"/>
      <c r="B290" s="194"/>
      <c r="C290" s="196"/>
      <c r="D290" s="195"/>
      <c r="E290" s="195"/>
      <c r="F290" s="256"/>
      <c r="G290" s="256"/>
      <c r="H290" s="265">
        <f t="shared" si="4"/>
        <v>0</v>
      </c>
      <c r="J290" s="16"/>
      <c r="K290" s="17"/>
      <c r="L290" s="18"/>
      <c r="M290" s="18"/>
    </row>
    <row r="291" spans="1:13" ht="30" customHeight="1" x14ac:dyDescent="0.3">
      <c r="A291" s="193"/>
      <c r="B291" s="194"/>
      <c r="C291" s="196"/>
      <c r="D291" s="195"/>
      <c r="E291" s="195"/>
      <c r="F291" s="256"/>
      <c r="G291" s="256"/>
      <c r="H291" s="265">
        <f t="shared" si="4"/>
        <v>0</v>
      </c>
      <c r="J291" s="16"/>
      <c r="K291" s="17"/>
      <c r="L291" s="18"/>
      <c r="M291" s="18"/>
    </row>
    <row r="292" spans="1:13" ht="30" customHeight="1" x14ac:dyDescent="0.3">
      <c r="A292" s="193"/>
      <c r="B292" s="194"/>
      <c r="C292" s="196"/>
      <c r="D292" s="195"/>
      <c r="E292" s="195"/>
      <c r="F292" s="256"/>
      <c r="G292" s="256"/>
      <c r="H292" s="265">
        <f t="shared" si="4"/>
        <v>0</v>
      </c>
      <c r="J292" s="16"/>
      <c r="K292" s="17"/>
      <c r="L292" s="18"/>
      <c r="M292" s="18"/>
    </row>
    <row r="293" spans="1:13" ht="30" customHeight="1" x14ac:dyDescent="0.3">
      <c r="A293" s="193"/>
      <c r="B293" s="194"/>
      <c r="C293" s="196"/>
      <c r="D293" s="195"/>
      <c r="E293" s="195"/>
      <c r="F293" s="256"/>
      <c r="G293" s="256"/>
      <c r="H293" s="265">
        <f t="shared" si="4"/>
        <v>0</v>
      </c>
      <c r="J293" s="16"/>
      <c r="K293" s="17"/>
      <c r="L293" s="18"/>
      <c r="M293" s="18"/>
    </row>
    <row r="294" spans="1:13" ht="30" customHeight="1" x14ac:dyDescent="0.3">
      <c r="A294" s="193"/>
      <c r="B294" s="194"/>
      <c r="C294" s="196"/>
      <c r="D294" s="195"/>
      <c r="E294" s="195"/>
      <c r="F294" s="256"/>
      <c r="G294" s="256"/>
      <c r="H294" s="265">
        <f t="shared" si="4"/>
        <v>0</v>
      </c>
      <c r="J294" s="16"/>
      <c r="K294" s="17"/>
      <c r="L294" s="18"/>
      <c r="M294" s="18"/>
    </row>
    <row r="295" spans="1:13" ht="30" customHeight="1" x14ac:dyDescent="0.3">
      <c r="A295" s="193"/>
      <c r="B295" s="194"/>
      <c r="C295" s="196"/>
      <c r="D295" s="195"/>
      <c r="E295" s="195"/>
      <c r="F295" s="256"/>
      <c r="G295" s="256"/>
      <c r="H295" s="265">
        <f t="shared" si="4"/>
        <v>0</v>
      </c>
      <c r="J295" s="16"/>
      <c r="K295" s="17"/>
      <c r="L295" s="18"/>
      <c r="M295" s="18"/>
    </row>
    <row r="296" spans="1:13" ht="30" customHeight="1" x14ac:dyDescent="0.3">
      <c r="A296" s="193"/>
      <c r="B296" s="194"/>
      <c r="C296" s="196"/>
      <c r="D296" s="195"/>
      <c r="E296" s="195"/>
      <c r="F296" s="256"/>
      <c r="G296" s="256"/>
      <c r="H296" s="265">
        <f t="shared" si="4"/>
        <v>0</v>
      </c>
      <c r="J296" s="16"/>
      <c r="K296" s="17"/>
      <c r="L296" s="18"/>
      <c r="M296" s="18"/>
    </row>
    <row r="297" spans="1:13" ht="30" customHeight="1" x14ac:dyDescent="0.3">
      <c r="A297" s="193"/>
      <c r="B297" s="194"/>
      <c r="C297" s="196"/>
      <c r="D297" s="195"/>
      <c r="E297" s="195"/>
      <c r="F297" s="256"/>
      <c r="G297" s="256"/>
      <c r="H297" s="265">
        <f t="shared" si="4"/>
        <v>0</v>
      </c>
      <c r="J297" s="16"/>
      <c r="K297" s="17"/>
      <c r="L297" s="18"/>
      <c r="M297" s="18"/>
    </row>
    <row r="298" spans="1:13" ht="30" customHeight="1" x14ac:dyDescent="0.3">
      <c r="A298" s="193"/>
      <c r="B298" s="194"/>
      <c r="C298" s="196"/>
      <c r="D298" s="195"/>
      <c r="E298" s="195"/>
      <c r="F298" s="256"/>
      <c r="G298" s="256"/>
      <c r="H298" s="265">
        <f t="shared" si="4"/>
        <v>0</v>
      </c>
      <c r="J298" s="16"/>
      <c r="K298" s="17"/>
      <c r="L298" s="18"/>
      <c r="M298" s="18"/>
    </row>
    <row r="299" spans="1:13" ht="30" customHeight="1" x14ac:dyDescent="0.3">
      <c r="A299" s="193"/>
      <c r="B299" s="194"/>
      <c r="C299" s="196"/>
      <c r="D299" s="195"/>
      <c r="E299" s="195"/>
      <c r="F299" s="256"/>
      <c r="G299" s="256"/>
      <c r="H299" s="265">
        <f t="shared" si="4"/>
        <v>0</v>
      </c>
      <c r="J299" s="16"/>
      <c r="K299" s="17"/>
      <c r="L299" s="18"/>
      <c r="M299" s="18"/>
    </row>
    <row r="300" spans="1:13" ht="30" customHeight="1" x14ac:dyDescent="0.3">
      <c r="A300" s="193"/>
      <c r="B300" s="194"/>
      <c r="C300" s="196"/>
      <c r="D300" s="195"/>
      <c r="E300" s="195"/>
      <c r="F300" s="256"/>
      <c r="G300" s="256"/>
      <c r="H300" s="265">
        <f t="shared" si="4"/>
        <v>0</v>
      </c>
      <c r="J300" s="16"/>
      <c r="K300" s="17"/>
      <c r="L300" s="18"/>
      <c r="M300" s="18"/>
    </row>
    <row r="301" spans="1:13" ht="30" customHeight="1" x14ac:dyDescent="0.3">
      <c r="A301" s="193"/>
      <c r="B301" s="194"/>
      <c r="C301" s="196"/>
      <c r="D301" s="195"/>
      <c r="E301" s="195"/>
      <c r="F301" s="256"/>
      <c r="G301" s="256"/>
      <c r="H301" s="265">
        <f t="shared" si="4"/>
        <v>0</v>
      </c>
      <c r="J301" s="16"/>
      <c r="K301" s="17"/>
      <c r="L301" s="18"/>
      <c r="M301" s="18"/>
    </row>
    <row r="302" spans="1:13" ht="30" customHeight="1" x14ac:dyDescent="0.3">
      <c r="A302" s="193"/>
      <c r="B302" s="194"/>
      <c r="C302" s="196"/>
      <c r="D302" s="195"/>
      <c r="E302" s="195"/>
      <c r="F302" s="256"/>
      <c r="G302" s="256"/>
      <c r="H302" s="265">
        <f t="shared" si="4"/>
        <v>0</v>
      </c>
      <c r="J302" s="16"/>
      <c r="K302" s="17"/>
      <c r="L302" s="18"/>
      <c r="M302" s="18"/>
    </row>
    <row r="303" spans="1:13" ht="30" customHeight="1" x14ac:dyDescent="0.3">
      <c r="A303" s="193"/>
      <c r="B303" s="194"/>
      <c r="C303" s="196"/>
      <c r="D303" s="195"/>
      <c r="E303" s="195"/>
      <c r="F303" s="256"/>
      <c r="G303" s="256"/>
      <c r="H303" s="265">
        <f t="shared" si="4"/>
        <v>0</v>
      </c>
      <c r="J303" s="16"/>
      <c r="K303" s="17"/>
      <c r="L303" s="18"/>
      <c r="M303" s="18"/>
    </row>
    <row r="304" spans="1:13" ht="30" customHeight="1" x14ac:dyDescent="0.3">
      <c r="A304" s="193"/>
      <c r="B304" s="194"/>
      <c r="C304" s="196"/>
      <c r="D304" s="195"/>
      <c r="E304" s="195"/>
      <c r="F304" s="256"/>
      <c r="G304" s="256"/>
      <c r="H304" s="265">
        <f t="shared" si="4"/>
        <v>0</v>
      </c>
      <c r="J304" s="16"/>
      <c r="K304" s="17"/>
      <c r="L304" s="18"/>
      <c r="M304" s="18"/>
    </row>
    <row r="305" spans="1:13" ht="30" customHeight="1" x14ac:dyDescent="0.3">
      <c r="A305" s="193"/>
      <c r="B305" s="194"/>
      <c r="C305" s="196"/>
      <c r="D305" s="195"/>
      <c r="E305" s="195"/>
      <c r="F305" s="256"/>
      <c r="G305" s="256"/>
      <c r="H305" s="265">
        <f t="shared" si="4"/>
        <v>0</v>
      </c>
      <c r="J305" s="16"/>
      <c r="K305" s="17"/>
      <c r="L305" s="18"/>
      <c r="M305" s="18"/>
    </row>
    <row r="306" spans="1:13" ht="30" customHeight="1" x14ac:dyDescent="0.3">
      <c r="A306" s="193"/>
      <c r="B306" s="194"/>
      <c r="C306" s="196"/>
      <c r="D306" s="195"/>
      <c r="E306" s="195"/>
      <c r="F306" s="256"/>
      <c r="G306" s="256"/>
      <c r="H306" s="265">
        <f t="shared" si="4"/>
        <v>0</v>
      </c>
      <c r="J306" s="16"/>
      <c r="K306" s="17"/>
      <c r="L306" s="18"/>
      <c r="M306" s="18"/>
    </row>
    <row r="307" spans="1:13" ht="30" customHeight="1" x14ac:dyDescent="0.3">
      <c r="A307" s="193"/>
      <c r="B307" s="194"/>
      <c r="C307" s="196"/>
      <c r="D307" s="195"/>
      <c r="E307" s="195"/>
      <c r="F307" s="256"/>
      <c r="G307" s="256"/>
      <c r="H307" s="265">
        <f t="shared" si="4"/>
        <v>0</v>
      </c>
      <c r="J307" s="16"/>
      <c r="K307" s="17"/>
      <c r="L307" s="18"/>
      <c r="M307" s="18"/>
    </row>
    <row r="308" spans="1:13" ht="30" customHeight="1" x14ac:dyDescent="0.3">
      <c r="A308" s="193"/>
      <c r="B308" s="194"/>
      <c r="C308" s="196"/>
      <c r="D308" s="195"/>
      <c r="E308" s="195"/>
      <c r="F308" s="256"/>
      <c r="G308" s="256"/>
      <c r="H308" s="265">
        <f t="shared" si="4"/>
        <v>0</v>
      </c>
      <c r="J308" s="16"/>
      <c r="K308" s="17"/>
      <c r="L308" s="18"/>
      <c r="M308" s="18"/>
    </row>
    <row r="309" spans="1:13" ht="30" customHeight="1" x14ac:dyDescent="0.3">
      <c r="A309" s="193"/>
      <c r="B309" s="194"/>
      <c r="C309" s="196"/>
      <c r="D309" s="195"/>
      <c r="E309" s="195"/>
      <c r="F309" s="256"/>
      <c r="G309" s="256"/>
      <c r="H309" s="265">
        <f t="shared" si="4"/>
        <v>0</v>
      </c>
      <c r="J309" s="16"/>
      <c r="K309" s="17"/>
      <c r="L309" s="18"/>
      <c r="M309" s="18"/>
    </row>
    <row r="310" spans="1:13" ht="30" customHeight="1" x14ac:dyDescent="0.3">
      <c r="A310" s="193"/>
      <c r="B310" s="194"/>
      <c r="C310" s="196"/>
      <c r="D310" s="195"/>
      <c r="E310" s="195"/>
      <c r="F310" s="256"/>
      <c r="G310" s="256"/>
      <c r="H310" s="265">
        <f t="shared" si="4"/>
        <v>0</v>
      </c>
      <c r="J310" s="16"/>
      <c r="K310" s="17"/>
      <c r="L310" s="18"/>
      <c r="M310" s="18"/>
    </row>
    <row r="311" spans="1:13" ht="30" customHeight="1" x14ac:dyDescent="0.3">
      <c r="A311" s="193"/>
      <c r="B311" s="194"/>
      <c r="C311" s="196"/>
      <c r="D311" s="195"/>
      <c r="E311" s="195"/>
      <c r="F311" s="256"/>
      <c r="G311" s="256"/>
      <c r="H311" s="265">
        <f t="shared" si="4"/>
        <v>0</v>
      </c>
      <c r="J311" s="16"/>
      <c r="K311" s="17"/>
      <c r="L311" s="18"/>
      <c r="M311" s="18"/>
    </row>
    <row r="312" spans="1:13" ht="30" customHeight="1" x14ac:dyDescent="0.3">
      <c r="A312" s="193"/>
      <c r="B312" s="194"/>
      <c r="C312" s="196"/>
      <c r="D312" s="195"/>
      <c r="E312" s="195"/>
      <c r="F312" s="256"/>
      <c r="G312" s="256"/>
      <c r="H312" s="265">
        <f t="shared" si="4"/>
        <v>0</v>
      </c>
      <c r="J312" s="16"/>
      <c r="K312" s="17"/>
      <c r="L312" s="18"/>
      <c r="M312" s="18"/>
    </row>
    <row r="313" spans="1:13" ht="30" customHeight="1" x14ac:dyDescent="0.3">
      <c r="A313" s="193"/>
      <c r="B313" s="194"/>
      <c r="C313" s="196"/>
      <c r="D313" s="195"/>
      <c r="E313" s="195"/>
      <c r="F313" s="256"/>
      <c r="G313" s="256"/>
      <c r="H313" s="265">
        <f t="shared" si="4"/>
        <v>0</v>
      </c>
      <c r="J313" s="16"/>
      <c r="K313" s="17"/>
      <c r="L313" s="18"/>
      <c r="M313" s="18"/>
    </row>
    <row r="314" spans="1:13" ht="30" customHeight="1" x14ac:dyDescent="0.3">
      <c r="A314" s="193"/>
      <c r="B314" s="194"/>
      <c r="C314" s="196"/>
      <c r="D314" s="195"/>
      <c r="E314" s="195"/>
      <c r="F314" s="256"/>
      <c r="G314" s="256"/>
      <c r="H314" s="265">
        <f t="shared" si="4"/>
        <v>0</v>
      </c>
      <c r="J314" s="16"/>
      <c r="K314" s="17"/>
      <c r="L314" s="18"/>
      <c r="M314" s="18"/>
    </row>
    <row r="315" spans="1:13" ht="30" customHeight="1" x14ac:dyDescent="0.3">
      <c r="A315" s="193"/>
      <c r="B315" s="194"/>
      <c r="C315" s="196"/>
      <c r="D315" s="195"/>
      <c r="E315" s="195"/>
      <c r="F315" s="256"/>
      <c r="G315" s="256"/>
      <c r="H315" s="265">
        <f t="shared" si="4"/>
        <v>0</v>
      </c>
      <c r="J315" s="16"/>
      <c r="K315" s="17"/>
      <c r="L315" s="18"/>
      <c r="M315" s="18"/>
    </row>
    <row r="316" spans="1:13" ht="30" customHeight="1" x14ac:dyDescent="0.3">
      <c r="A316" s="193"/>
      <c r="B316" s="194"/>
      <c r="C316" s="196"/>
      <c r="D316" s="195"/>
      <c r="E316" s="195"/>
      <c r="F316" s="256"/>
      <c r="G316" s="256"/>
      <c r="H316" s="265">
        <f t="shared" si="4"/>
        <v>0</v>
      </c>
      <c r="J316" s="16"/>
      <c r="K316" s="17"/>
      <c r="L316" s="18"/>
      <c r="M316" s="18"/>
    </row>
    <row r="317" spans="1:13" ht="30" customHeight="1" x14ac:dyDescent="0.3">
      <c r="A317" s="193"/>
      <c r="B317" s="194"/>
      <c r="C317" s="196"/>
      <c r="D317" s="195"/>
      <c r="E317" s="195"/>
      <c r="F317" s="256"/>
      <c r="G317" s="256"/>
      <c r="H317" s="265">
        <f t="shared" si="4"/>
        <v>0</v>
      </c>
      <c r="J317" s="16"/>
      <c r="K317" s="17"/>
      <c r="L317" s="18"/>
      <c r="M317" s="18"/>
    </row>
    <row r="318" spans="1:13" ht="30" customHeight="1" x14ac:dyDescent="0.3">
      <c r="A318" s="193"/>
      <c r="B318" s="194"/>
      <c r="C318" s="196"/>
      <c r="D318" s="195"/>
      <c r="E318" s="195"/>
      <c r="F318" s="256"/>
      <c r="G318" s="256"/>
      <c r="H318" s="265">
        <f t="shared" si="4"/>
        <v>0</v>
      </c>
      <c r="J318" s="16"/>
      <c r="K318" s="17"/>
      <c r="L318" s="18"/>
      <c r="M318" s="18"/>
    </row>
    <row r="319" spans="1:13" ht="30" customHeight="1" x14ac:dyDescent="0.3">
      <c r="A319" s="193"/>
      <c r="B319" s="194"/>
      <c r="C319" s="196"/>
      <c r="D319" s="195"/>
      <c r="E319" s="195"/>
      <c r="F319" s="256"/>
      <c r="G319" s="256"/>
      <c r="H319" s="265">
        <f t="shared" si="4"/>
        <v>0</v>
      </c>
      <c r="J319" s="16"/>
      <c r="K319" s="17"/>
      <c r="L319" s="18"/>
      <c r="M319" s="18"/>
    </row>
    <row r="320" spans="1:13" ht="30" customHeight="1" x14ac:dyDescent="0.3">
      <c r="A320" s="193"/>
      <c r="B320" s="194"/>
      <c r="C320" s="196"/>
      <c r="D320" s="195"/>
      <c r="E320" s="195"/>
      <c r="F320" s="256"/>
      <c r="G320" s="256"/>
      <c r="H320" s="265">
        <f t="shared" si="4"/>
        <v>0</v>
      </c>
      <c r="J320" s="16"/>
      <c r="K320" s="17"/>
      <c r="L320" s="18"/>
      <c r="M320" s="18"/>
    </row>
    <row r="321" spans="1:13" ht="30" customHeight="1" x14ac:dyDescent="0.3">
      <c r="A321" s="193"/>
      <c r="B321" s="194"/>
      <c r="C321" s="196"/>
      <c r="D321" s="195"/>
      <c r="E321" s="195"/>
      <c r="F321" s="256"/>
      <c r="G321" s="256"/>
      <c r="H321" s="265">
        <f t="shared" si="4"/>
        <v>0</v>
      </c>
      <c r="J321" s="16"/>
      <c r="K321" s="17"/>
      <c r="L321" s="18"/>
      <c r="M321" s="18"/>
    </row>
    <row r="322" spans="1:13" ht="30" customHeight="1" x14ac:dyDescent="0.3">
      <c r="A322" s="193"/>
      <c r="B322" s="194"/>
      <c r="C322" s="196"/>
      <c r="D322" s="195"/>
      <c r="E322" s="195"/>
      <c r="F322" s="256"/>
      <c r="G322" s="256"/>
      <c r="H322" s="265">
        <f t="shared" si="4"/>
        <v>0</v>
      </c>
      <c r="J322" s="16"/>
      <c r="K322" s="17"/>
      <c r="L322" s="18"/>
      <c r="M322" s="18"/>
    </row>
    <row r="323" spans="1:13" ht="30" customHeight="1" x14ac:dyDescent="0.3">
      <c r="A323" s="193"/>
      <c r="B323" s="194"/>
      <c r="C323" s="196"/>
      <c r="D323" s="195"/>
      <c r="E323" s="195"/>
      <c r="F323" s="256"/>
      <c r="G323" s="256"/>
      <c r="H323" s="265">
        <f t="shared" si="4"/>
        <v>0</v>
      </c>
      <c r="J323" s="16"/>
      <c r="K323" s="17"/>
      <c r="L323" s="18"/>
      <c r="M323" s="18"/>
    </row>
    <row r="324" spans="1:13" ht="30" customHeight="1" thickBot="1" x14ac:dyDescent="0.35">
      <c r="A324" s="193"/>
      <c r="B324" s="194"/>
      <c r="C324" s="196"/>
      <c r="D324" s="195"/>
      <c r="E324" s="195"/>
      <c r="F324" s="256"/>
      <c r="G324" s="256"/>
      <c r="H324" s="265">
        <f t="shared" si="4"/>
        <v>0</v>
      </c>
      <c r="J324" s="16"/>
      <c r="K324" s="17"/>
      <c r="L324" s="18"/>
      <c r="M324" s="18"/>
    </row>
    <row r="325" spans="1:13" s="2" customFormat="1" ht="36" customHeight="1" thickBot="1" x14ac:dyDescent="0.35">
      <c r="A325" s="32"/>
      <c r="B325" s="20"/>
      <c r="C325" s="21"/>
      <c r="D325" s="179">
        <v>1</v>
      </c>
      <c r="E325" s="22"/>
      <c r="F325" s="267">
        <f>SUBTOTAL(9,F6:F324)</f>
        <v>0</v>
      </c>
      <c r="G325" s="267">
        <f>SUBTOTAL(9,G5:G324)</f>
        <v>0</v>
      </c>
      <c r="H325" s="268">
        <f>H324</f>
        <v>0</v>
      </c>
      <c r="I325"/>
      <c r="J325"/>
      <c r="K325"/>
      <c r="L325"/>
      <c r="M325"/>
    </row>
    <row r="326" spans="1:13" s="2" customFormat="1" ht="24.9" customHeight="1" thickTop="1" x14ac:dyDescent="0.3">
      <c r="A326"/>
      <c r="B326"/>
      <c r="C326" s="16"/>
      <c r="D326" s="17"/>
      <c r="E326" s="17"/>
      <c r="F326" s="16"/>
      <c r="G326" s="16"/>
      <c r="H326" s="269">
        <f>H5+F325-G325</f>
        <v>0</v>
      </c>
      <c r="I326"/>
      <c r="J326"/>
      <c r="K326"/>
      <c r="L326"/>
      <c r="M326"/>
    </row>
  </sheetData>
  <autoFilter ref="C4:H326"/>
  <mergeCells count="4">
    <mergeCell ref="A1:H1"/>
    <mergeCell ref="A2:H2"/>
    <mergeCell ref="J4:M4"/>
    <mergeCell ref="G3:H3"/>
  </mergeCells>
  <pageMargins left="0" right="0" top="0" bottom="0.25" header="0.31496062992126" footer="0.31496062992126"/>
  <pageSetup paperSize="5" scale="68" orientation="portrait" verticalDpi="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22"/>
  <sheetViews>
    <sheetView showGridLines="0" workbookViewId="0">
      <pane ySplit="4" topLeftCell="A5" activePane="bottomLeft" state="frozen"/>
      <selection pane="bottomLeft" activeCell="A7" sqref="A7"/>
    </sheetView>
  </sheetViews>
  <sheetFormatPr defaultRowHeight="14.4" x14ac:dyDescent="0.3"/>
  <cols>
    <col min="1" max="1" width="12.109375" customWidth="1"/>
    <col min="2" max="2" width="15.88671875" customWidth="1"/>
    <col min="3" max="3" width="12.33203125" customWidth="1"/>
    <col min="4" max="4" width="25.6640625" customWidth="1"/>
    <col min="5" max="5" width="34.109375" customWidth="1"/>
    <col min="6" max="7" width="11.6640625" customWidth="1"/>
  </cols>
  <sheetData>
    <row r="1" spans="1:8" ht="24.9" customHeight="1" x14ac:dyDescent="0.35">
      <c r="A1" s="453" t="str">
        <f>'Petty-Cash Book'!A1:H1</f>
        <v>LEAD GENERATION CO.,LTD</v>
      </c>
      <c r="B1" s="453"/>
      <c r="C1" s="453"/>
      <c r="D1" s="453"/>
      <c r="E1" s="453"/>
      <c r="F1" s="453"/>
      <c r="G1" s="453"/>
    </row>
    <row r="2" spans="1:8" ht="24.9" customHeight="1" x14ac:dyDescent="0.3">
      <c r="A2" s="454" t="s">
        <v>92</v>
      </c>
      <c r="B2" s="454"/>
      <c r="C2" s="454"/>
      <c r="D2" s="454"/>
      <c r="E2" s="454"/>
      <c r="F2" s="454"/>
      <c r="G2" s="454"/>
    </row>
    <row r="3" spans="1:8" ht="15" thickBot="1" x14ac:dyDescent="0.35">
      <c r="A3" t="s">
        <v>115</v>
      </c>
      <c r="F3" s="456" t="str">
        <f>'Petty-Cash Book'!G3</f>
        <v>For 1-06-2015 to 31-05-2016</v>
      </c>
      <c r="G3" s="456"/>
    </row>
    <row r="4" spans="1:8" ht="33" customHeight="1" thickBot="1" x14ac:dyDescent="0.35">
      <c r="A4" s="24" t="s">
        <v>61</v>
      </c>
      <c r="B4" s="25" t="s">
        <v>62</v>
      </c>
      <c r="C4" s="25" t="s">
        <v>63</v>
      </c>
      <c r="D4" s="25" t="s">
        <v>64</v>
      </c>
      <c r="E4" s="25" t="s">
        <v>65</v>
      </c>
      <c r="F4" s="26" t="s">
        <v>71</v>
      </c>
      <c r="G4" s="27" t="s">
        <v>72</v>
      </c>
    </row>
    <row r="5" spans="1:8" ht="30" customHeight="1" x14ac:dyDescent="0.3">
      <c r="A5" s="28">
        <f>'Petty-Cash Book'!A6</f>
        <v>0</v>
      </c>
      <c r="B5" s="29">
        <f>'Petty-Cash Book'!B6</f>
        <v>0</v>
      </c>
      <c r="C5" s="30">
        <f>'Petty-Cash Book'!C6</f>
        <v>0</v>
      </c>
      <c r="D5" s="31">
        <f>'Petty-Cash Book'!D6</f>
        <v>0</v>
      </c>
      <c r="E5" s="31">
        <f>'Petty-Cash Book'!E6</f>
        <v>0</v>
      </c>
      <c r="F5" s="270">
        <f>'Petty-Cash Book'!G6</f>
        <v>0</v>
      </c>
      <c r="G5" s="271">
        <f>'Petty-Cash Book'!F6</f>
        <v>0</v>
      </c>
    </row>
    <row r="6" spans="1:8" ht="30" customHeight="1" x14ac:dyDescent="0.3">
      <c r="A6" s="28">
        <f>'Petty-Cash Book'!A7</f>
        <v>0</v>
      </c>
      <c r="B6" s="29">
        <f>'Petty-Cash Book'!B7</f>
        <v>0</v>
      </c>
      <c r="C6" s="30">
        <f>'Petty-Cash Book'!C7</f>
        <v>0</v>
      </c>
      <c r="D6" s="31">
        <f>'Petty-Cash Book'!D7</f>
        <v>0</v>
      </c>
      <c r="E6" s="31">
        <f>'Petty-Cash Book'!E7</f>
        <v>0</v>
      </c>
      <c r="F6" s="270">
        <f>'Petty-Cash Book'!G7</f>
        <v>0</v>
      </c>
      <c r="G6" s="271">
        <f>'Petty-Cash Book'!F7</f>
        <v>0</v>
      </c>
    </row>
    <row r="7" spans="1:8" ht="30" customHeight="1" x14ac:dyDescent="0.3">
      <c r="A7" s="28">
        <f>'Petty-Cash Book'!A8</f>
        <v>0</v>
      </c>
      <c r="B7" s="29">
        <f>'Petty-Cash Book'!B8</f>
        <v>0</v>
      </c>
      <c r="C7" s="30">
        <f>'Petty-Cash Book'!C8</f>
        <v>0</v>
      </c>
      <c r="D7" s="31">
        <f>'Petty-Cash Book'!D8</f>
        <v>0</v>
      </c>
      <c r="E7" s="31">
        <f>'Petty-Cash Book'!E8</f>
        <v>0</v>
      </c>
      <c r="F7" s="270">
        <f>'Petty-Cash Book'!G8</f>
        <v>0</v>
      </c>
      <c r="G7" s="271">
        <f>'Petty-Cash Book'!F8</f>
        <v>0</v>
      </c>
    </row>
    <row r="8" spans="1:8" ht="30" customHeight="1" x14ac:dyDescent="0.3">
      <c r="A8" s="28">
        <f>'Petty-Cash Book'!A9</f>
        <v>0</v>
      </c>
      <c r="B8" s="29">
        <f>'Petty-Cash Book'!B9</f>
        <v>0</v>
      </c>
      <c r="C8" s="30">
        <f>'Petty-Cash Book'!C9</f>
        <v>0</v>
      </c>
      <c r="D8" s="31">
        <f>'Petty-Cash Book'!D9</f>
        <v>0</v>
      </c>
      <c r="E8" s="31">
        <f>'Petty-Cash Book'!E9</f>
        <v>0</v>
      </c>
      <c r="F8" s="270">
        <f>'Petty-Cash Book'!G9</f>
        <v>0</v>
      </c>
      <c r="G8" s="271">
        <f>'Petty-Cash Book'!F9</f>
        <v>0</v>
      </c>
    </row>
    <row r="9" spans="1:8" ht="30" customHeight="1" x14ac:dyDescent="0.3">
      <c r="A9" s="28">
        <f>'Petty-Cash Book'!A10</f>
        <v>0</v>
      </c>
      <c r="B9" s="29">
        <f>'Petty-Cash Book'!B10</f>
        <v>0</v>
      </c>
      <c r="C9" s="30">
        <f>'Petty-Cash Book'!C10</f>
        <v>0</v>
      </c>
      <c r="D9" s="31">
        <f>'Petty-Cash Book'!D10</f>
        <v>0</v>
      </c>
      <c r="E9" s="31">
        <f>'Petty-Cash Book'!E10</f>
        <v>0</v>
      </c>
      <c r="F9" s="270">
        <f>'Petty-Cash Book'!G10</f>
        <v>0</v>
      </c>
      <c r="G9" s="271">
        <f>'Petty-Cash Book'!F10</f>
        <v>0</v>
      </c>
    </row>
    <row r="10" spans="1:8" ht="30" customHeight="1" x14ac:dyDescent="0.3">
      <c r="A10" s="28">
        <f>'Petty-Cash Book'!A11</f>
        <v>0</v>
      </c>
      <c r="B10" s="29">
        <f>'Petty-Cash Book'!B11</f>
        <v>0</v>
      </c>
      <c r="C10" s="30">
        <f>'Petty-Cash Book'!C11</f>
        <v>0</v>
      </c>
      <c r="D10" s="31">
        <f>'Petty-Cash Book'!D11</f>
        <v>0</v>
      </c>
      <c r="E10" s="31">
        <f>'Petty-Cash Book'!E11</f>
        <v>0</v>
      </c>
      <c r="F10" s="270">
        <f>'Petty-Cash Book'!G11</f>
        <v>0</v>
      </c>
      <c r="G10" s="271">
        <f>'Petty-Cash Book'!F11</f>
        <v>0</v>
      </c>
    </row>
    <row r="11" spans="1:8" ht="30" customHeight="1" x14ac:dyDescent="0.3">
      <c r="A11" s="28">
        <f>'Petty-Cash Book'!A12</f>
        <v>0</v>
      </c>
      <c r="B11" s="29">
        <f>'Petty-Cash Book'!B12</f>
        <v>0</v>
      </c>
      <c r="C11" s="30">
        <f>'Petty-Cash Book'!C12</f>
        <v>0</v>
      </c>
      <c r="D11" s="31">
        <f>'Petty-Cash Book'!D12</f>
        <v>0</v>
      </c>
      <c r="E11" s="31">
        <f>'Petty-Cash Book'!E12</f>
        <v>0</v>
      </c>
      <c r="F11" s="270">
        <f>'Petty-Cash Book'!G12</f>
        <v>0</v>
      </c>
      <c r="G11" s="271">
        <f>'Petty-Cash Book'!F12</f>
        <v>0</v>
      </c>
    </row>
    <row r="12" spans="1:8" ht="30" customHeight="1" x14ac:dyDescent="0.3">
      <c r="A12" s="28">
        <f>'Petty-Cash Book'!A13</f>
        <v>0</v>
      </c>
      <c r="B12" s="29">
        <f>'Petty-Cash Book'!B13</f>
        <v>0</v>
      </c>
      <c r="C12" s="30">
        <f>'Petty-Cash Book'!C13</f>
        <v>0</v>
      </c>
      <c r="D12" s="31">
        <f>'Petty-Cash Book'!D13</f>
        <v>0</v>
      </c>
      <c r="E12" s="31">
        <f>'Petty-Cash Book'!E13</f>
        <v>0</v>
      </c>
      <c r="F12" s="270">
        <f>'Petty-Cash Book'!G13</f>
        <v>0</v>
      </c>
      <c r="G12" s="271">
        <f>'Petty-Cash Book'!F13</f>
        <v>0</v>
      </c>
      <c r="H12" s="250"/>
    </row>
    <row r="13" spans="1:8" ht="30" customHeight="1" x14ac:dyDescent="0.3">
      <c r="A13" s="28">
        <f>'Petty-Cash Book'!A14</f>
        <v>0</v>
      </c>
      <c r="B13" s="29">
        <f>'Petty-Cash Book'!B14</f>
        <v>0</v>
      </c>
      <c r="C13" s="30">
        <f>'Petty-Cash Book'!C14</f>
        <v>0</v>
      </c>
      <c r="D13" s="31">
        <f>'Petty-Cash Book'!D14</f>
        <v>0</v>
      </c>
      <c r="E13" s="31">
        <f>'Petty-Cash Book'!E14</f>
        <v>0</v>
      </c>
      <c r="F13" s="270">
        <f>'Petty-Cash Book'!G14</f>
        <v>0</v>
      </c>
      <c r="G13" s="271">
        <f>'Petty-Cash Book'!F14</f>
        <v>0</v>
      </c>
    </row>
    <row r="14" spans="1:8" ht="30" customHeight="1" x14ac:dyDescent="0.3">
      <c r="A14" s="28">
        <f>'Petty-Cash Book'!A15</f>
        <v>0</v>
      </c>
      <c r="B14" s="29">
        <f>'Petty-Cash Book'!B15</f>
        <v>0</v>
      </c>
      <c r="C14" s="30">
        <f>'Petty-Cash Book'!C15</f>
        <v>0</v>
      </c>
      <c r="D14" s="31">
        <f>'Petty-Cash Book'!D15</f>
        <v>0</v>
      </c>
      <c r="E14" s="31">
        <f>'Petty-Cash Book'!E15</f>
        <v>0</v>
      </c>
      <c r="F14" s="270">
        <f>'Petty-Cash Book'!G15</f>
        <v>0</v>
      </c>
      <c r="G14" s="271">
        <f>'Petty-Cash Book'!F15</f>
        <v>0</v>
      </c>
    </row>
    <row r="15" spans="1:8" ht="30" customHeight="1" x14ac:dyDescent="0.3">
      <c r="A15" s="28">
        <f>'Petty-Cash Book'!A16</f>
        <v>0</v>
      </c>
      <c r="B15" s="29">
        <f>'Petty-Cash Book'!B16</f>
        <v>0</v>
      </c>
      <c r="C15" s="30">
        <f>'Petty-Cash Book'!C16</f>
        <v>0</v>
      </c>
      <c r="D15" s="31">
        <f>'Petty-Cash Book'!D16</f>
        <v>0</v>
      </c>
      <c r="E15" s="31">
        <f>'Petty-Cash Book'!E16</f>
        <v>0</v>
      </c>
      <c r="F15" s="270">
        <f>'Petty-Cash Book'!G16</f>
        <v>0</v>
      </c>
      <c r="G15" s="271">
        <f>'Petty-Cash Book'!F16</f>
        <v>0</v>
      </c>
    </row>
    <row r="16" spans="1:8" ht="30" customHeight="1" x14ac:dyDescent="0.3">
      <c r="A16" s="28">
        <f>'Petty-Cash Book'!A17</f>
        <v>0</v>
      </c>
      <c r="B16" s="29">
        <f>'Petty-Cash Book'!B17</f>
        <v>0</v>
      </c>
      <c r="C16" s="30">
        <f>'Petty-Cash Book'!C17</f>
        <v>0</v>
      </c>
      <c r="D16" s="31">
        <f>'Petty-Cash Book'!D17</f>
        <v>0</v>
      </c>
      <c r="E16" s="31">
        <f>'Petty-Cash Book'!E17</f>
        <v>0</v>
      </c>
      <c r="F16" s="270">
        <f>'Petty-Cash Book'!G17</f>
        <v>0</v>
      </c>
      <c r="G16" s="271">
        <f>'Petty-Cash Book'!F17</f>
        <v>0</v>
      </c>
    </row>
    <row r="17" spans="1:8" ht="30" customHeight="1" x14ac:dyDescent="0.3">
      <c r="A17" s="28">
        <f>'Petty-Cash Book'!A18</f>
        <v>0</v>
      </c>
      <c r="B17" s="29">
        <f>'Petty-Cash Book'!B18</f>
        <v>0</v>
      </c>
      <c r="C17" s="30">
        <f>'Petty-Cash Book'!C18</f>
        <v>0</v>
      </c>
      <c r="D17" s="31">
        <f>'Petty-Cash Book'!D18</f>
        <v>0</v>
      </c>
      <c r="E17" s="31">
        <f>'Petty-Cash Book'!E18</f>
        <v>0</v>
      </c>
      <c r="F17" s="270">
        <f>'Petty-Cash Book'!G18</f>
        <v>0</v>
      </c>
      <c r="G17" s="271">
        <f>'Petty-Cash Book'!F18</f>
        <v>0</v>
      </c>
    </row>
    <row r="18" spans="1:8" ht="30" customHeight="1" x14ac:dyDescent="0.3">
      <c r="A18" s="28">
        <f>'Petty-Cash Book'!A19</f>
        <v>0</v>
      </c>
      <c r="B18" s="29">
        <f>'Petty-Cash Book'!B19</f>
        <v>0</v>
      </c>
      <c r="C18" s="30">
        <f>'Petty-Cash Book'!C19</f>
        <v>0</v>
      </c>
      <c r="D18" s="31">
        <f>'Petty-Cash Book'!D19</f>
        <v>0</v>
      </c>
      <c r="E18" s="31">
        <f>'Petty-Cash Book'!E19</f>
        <v>0</v>
      </c>
      <c r="F18" s="270">
        <f>'Petty-Cash Book'!G19</f>
        <v>0</v>
      </c>
      <c r="G18" s="271">
        <f>'Petty-Cash Book'!F19</f>
        <v>0</v>
      </c>
    </row>
    <row r="19" spans="1:8" ht="30" customHeight="1" x14ac:dyDescent="0.3">
      <c r="A19" s="28">
        <f>'Petty-Cash Book'!A20</f>
        <v>0</v>
      </c>
      <c r="B19" s="29">
        <f>'Petty-Cash Book'!B20</f>
        <v>0</v>
      </c>
      <c r="C19" s="30">
        <f>'Petty-Cash Book'!C20</f>
        <v>0</v>
      </c>
      <c r="D19" s="31">
        <f>'Petty-Cash Book'!D20</f>
        <v>0</v>
      </c>
      <c r="E19" s="31">
        <f>'Petty-Cash Book'!E20</f>
        <v>0</v>
      </c>
      <c r="F19" s="270">
        <f>'Petty-Cash Book'!G20</f>
        <v>0</v>
      </c>
      <c r="G19" s="271">
        <f>'Petty-Cash Book'!F20</f>
        <v>0</v>
      </c>
    </row>
    <row r="20" spans="1:8" ht="30" customHeight="1" x14ac:dyDescent="0.3">
      <c r="A20" s="28">
        <f>'Petty-Cash Book'!A21</f>
        <v>0</v>
      </c>
      <c r="B20" s="29">
        <f>'Petty-Cash Book'!B21</f>
        <v>0</v>
      </c>
      <c r="C20" s="30">
        <f>'Petty-Cash Book'!C21</f>
        <v>0</v>
      </c>
      <c r="D20" s="31">
        <f>'Petty-Cash Book'!D21</f>
        <v>0</v>
      </c>
      <c r="E20" s="31">
        <f>'Petty-Cash Book'!E21</f>
        <v>0</v>
      </c>
      <c r="F20" s="270">
        <f>'Petty-Cash Book'!G21</f>
        <v>0</v>
      </c>
      <c r="G20" s="271">
        <f>'Petty-Cash Book'!F21</f>
        <v>0</v>
      </c>
    </row>
    <row r="21" spans="1:8" ht="30" customHeight="1" x14ac:dyDescent="0.3">
      <c r="A21" s="28">
        <f>'Petty-Cash Book'!A22</f>
        <v>0</v>
      </c>
      <c r="B21" s="29">
        <f>'Petty-Cash Book'!B22</f>
        <v>0</v>
      </c>
      <c r="C21" s="30">
        <f>'Petty-Cash Book'!C22</f>
        <v>0</v>
      </c>
      <c r="D21" s="31">
        <f>'Petty-Cash Book'!D22</f>
        <v>0</v>
      </c>
      <c r="E21" s="31">
        <f>'Petty-Cash Book'!E22</f>
        <v>0</v>
      </c>
      <c r="F21" s="270">
        <f>'Petty-Cash Book'!G22</f>
        <v>0</v>
      </c>
      <c r="G21" s="271">
        <f>'Petty-Cash Book'!F22</f>
        <v>0</v>
      </c>
    </row>
    <row r="22" spans="1:8" ht="30" customHeight="1" x14ac:dyDescent="0.3">
      <c r="A22" s="28">
        <f>'Petty-Cash Book'!A23</f>
        <v>0</v>
      </c>
      <c r="B22" s="29">
        <f>'Petty-Cash Book'!B23</f>
        <v>0</v>
      </c>
      <c r="C22" s="30">
        <f>'Petty-Cash Book'!C23</f>
        <v>0</v>
      </c>
      <c r="D22" s="31">
        <f>'Petty-Cash Book'!D23</f>
        <v>0</v>
      </c>
      <c r="E22" s="31">
        <f>'Petty-Cash Book'!E23</f>
        <v>0</v>
      </c>
      <c r="F22" s="270">
        <f>'Petty-Cash Book'!G23</f>
        <v>0</v>
      </c>
      <c r="G22" s="271">
        <f>'Petty-Cash Book'!F23</f>
        <v>0</v>
      </c>
    </row>
    <row r="23" spans="1:8" ht="30" customHeight="1" x14ac:dyDescent="0.3">
      <c r="A23" s="28">
        <f>'Petty-Cash Book'!A24</f>
        <v>0</v>
      </c>
      <c r="B23" s="29">
        <f>'Petty-Cash Book'!B24</f>
        <v>0</v>
      </c>
      <c r="C23" s="30">
        <f>'Petty-Cash Book'!C24</f>
        <v>0</v>
      </c>
      <c r="D23" s="31">
        <f>'Petty-Cash Book'!D24</f>
        <v>0</v>
      </c>
      <c r="E23" s="31">
        <f>'Petty-Cash Book'!E24</f>
        <v>0</v>
      </c>
      <c r="F23" s="270">
        <f>'Petty-Cash Book'!G24</f>
        <v>0</v>
      </c>
      <c r="G23" s="271">
        <f>'Petty-Cash Book'!F24</f>
        <v>0</v>
      </c>
    </row>
    <row r="24" spans="1:8" ht="30" customHeight="1" x14ac:dyDescent="0.3">
      <c r="A24" s="28">
        <f>'Petty-Cash Book'!A25</f>
        <v>0</v>
      </c>
      <c r="B24" s="29">
        <f>'Petty-Cash Book'!B25</f>
        <v>0</v>
      </c>
      <c r="C24" s="30">
        <f>'Petty-Cash Book'!C25</f>
        <v>0</v>
      </c>
      <c r="D24" s="31">
        <f>'Petty-Cash Book'!D25</f>
        <v>0</v>
      </c>
      <c r="E24" s="31">
        <f>'Petty-Cash Book'!E25</f>
        <v>0</v>
      </c>
      <c r="F24" s="270">
        <f>'Petty-Cash Book'!G25</f>
        <v>0</v>
      </c>
      <c r="G24" s="271">
        <f>'Petty-Cash Book'!F25</f>
        <v>0</v>
      </c>
    </row>
    <row r="25" spans="1:8" ht="30" customHeight="1" x14ac:dyDescent="0.3">
      <c r="A25" s="28">
        <f>'Petty-Cash Book'!A26</f>
        <v>0</v>
      </c>
      <c r="B25" s="29">
        <f>'Petty-Cash Book'!B26</f>
        <v>0</v>
      </c>
      <c r="C25" s="30">
        <f>'Petty-Cash Book'!C26</f>
        <v>0</v>
      </c>
      <c r="D25" s="31">
        <f>'Petty-Cash Book'!D26</f>
        <v>0</v>
      </c>
      <c r="E25" s="31">
        <f>'Petty-Cash Book'!E26</f>
        <v>0</v>
      </c>
      <c r="F25" s="270">
        <f>'Petty-Cash Book'!G26</f>
        <v>0</v>
      </c>
      <c r="G25" s="271">
        <f>'Petty-Cash Book'!F26</f>
        <v>0</v>
      </c>
    </row>
    <row r="26" spans="1:8" ht="30" customHeight="1" x14ac:dyDescent="0.3">
      <c r="A26" s="28">
        <f>'Petty-Cash Book'!A27</f>
        <v>0</v>
      </c>
      <c r="B26" s="29">
        <f>'Petty-Cash Book'!B27</f>
        <v>0</v>
      </c>
      <c r="C26" s="30">
        <f>'Petty-Cash Book'!C27</f>
        <v>0</v>
      </c>
      <c r="D26" s="31">
        <f>'Petty-Cash Book'!D27</f>
        <v>0</v>
      </c>
      <c r="E26" s="31">
        <f>'Petty-Cash Book'!E27</f>
        <v>0</v>
      </c>
      <c r="F26" s="270">
        <f>'Petty-Cash Book'!G27</f>
        <v>0</v>
      </c>
      <c r="G26" s="271">
        <f>'Petty-Cash Book'!F27</f>
        <v>0</v>
      </c>
    </row>
    <row r="27" spans="1:8" ht="30" customHeight="1" x14ac:dyDescent="0.3">
      <c r="A27" s="28">
        <f>'Petty-Cash Book'!A28</f>
        <v>0</v>
      </c>
      <c r="B27" s="29">
        <f>'Petty-Cash Book'!B28</f>
        <v>0</v>
      </c>
      <c r="C27" s="30">
        <f>'Petty-Cash Book'!C28</f>
        <v>0</v>
      </c>
      <c r="D27" s="31">
        <f>'Petty-Cash Book'!D28</f>
        <v>0</v>
      </c>
      <c r="E27" s="31">
        <f>'Petty-Cash Book'!E28</f>
        <v>0</v>
      </c>
      <c r="F27" s="270">
        <f>'Petty-Cash Book'!G28</f>
        <v>0</v>
      </c>
      <c r="G27" s="271">
        <f>'Petty-Cash Book'!F28</f>
        <v>0</v>
      </c>
      <c r="H27" s="250"/>
    </row>
    <row r="28" spans="1:8" ht="30" customHeight="1" x14ac:dyDescent="0.3">
      <c r="A28" s="28">
        <f>'Petty-Cash Book'!A29</f>
        <v>0</v>
      </c>
      <c r="B28" s="29">
        <f>'Petty-Cash Book'!B29</f>
        <v>0</v>
      </c>
      <c r="C28" s="30">
        <f>'Petty-Cash Book'!C29</f>
        <v>0</v>
      </c>
      <c r="D28" s="31">
        <f>'Petty-Cash Book'!D29</f>
        <v>0</v>
      </c>
      <c r="E28" s="31">
        <f>'Petty-Cash Book'!E29</f>
        <v>0</v>
      </c>
      <c r="F28" s="270">
        <f>'Petty-Cash Book'!G29</f>
        <v>0</v>
      </c>
      <c r="G28" s="271">
        <f>'Petty-Cash Book'!F29</f>
        <v>0</v>
      </c>
    </row>
    <row r="29" spans="1:8" ht="30" customHeight="1" x14ac:dyDescent="0.3">
      <c r="A29" s="28">
        <f>'Petty-Cash Book'!A30</f>
        <v>0</v>
      </c>
      <c r="B29" s="29">
        <f>'Petty-Cash Book'!B30</f>
        <v>0</v>
      </c>
      <c r="C29" s="30">
        <f>'Petty-Cash Book'!C30</f>
        <v>0</v>
      </c>
      <c r="D29" s="31">
        <f>'Petty-Cash Book'!D30</f>
        <v>0</v>
      </c>
      <c r="E29" s="31">
        <f>'Petty-Cash Book'!E30</f>
        <v>0</v>
      </c>
      <c r="F29" s="270">
        <f>'Petty-Cash Book'!G30</f>
        <v>0</v>
      </c>
      <c r="G29" s="271">
        <f>'Petty-Cash Book'!F30</f>
        <v>0</v>
      </c>
    </row>
    <row r="30" spans="1:8" ht="30" customHeight="1" x14ac:dyDescent="0.3">
      <c r="A30" s="28">
        <f>'Petty-Cash Book'!A31</f>
        <v>0</v>
      </c>
      <c r="B30" s="29">
        <f>'Petty-Cash Book'!B31</f>
        <v>0</v>
      </c>
      <c r="C30" s="30">
        <f>'Petty-Cash Book'!C31</f>
        <v>0</v>
      </c>
      <c r="D30" s="31">
        <f>'Petty-Cash Book'!D31</f>
        <v>0</v>
      </c>
      <c r="E30" s="31">
        <f>'Petty-Cash Book'!E31</f>
        <v>0</v>
      </c>
      <c r="F30" s="270">
        <f>'Petty-Cash Book'!G31</f>
        <v>0</v>
      </c>
      <c r="G30" s="271">
        <f>'Petty-Cash Book'!F31</f>
        <v>0</v>
      </c>
    </row>
    <row r="31" spans="1:8" ht="30" customHeight="1" x14ac:dyDescent="0.3">
      <c r="A31" s="28">
        <f>'Petty-Cash Book'!A32</f>
        <v>0</v>
      </c>
      <c r="B31" s="29">
        <f>'Petty-Cash Book'!B32</f>
        <v>0</v>
      </c>
      <c r="C31" s="30">
        <f>'Petty-Cash Book'!C32</f>
        <v>0</v>
      </c>
      <c r="D31" s="31">
        <f>'Petty-Cash Book'!D32</f>
        <v>0</v>
      </c>
      <c r="E31" s="31">
        <f>'Petty-Cash Book'!E32</f>
        <v>0</v>
      </c>
      <c r="F31" s="270">
        <f>'Petty-Cash Book'!G32</f>
        <v>0</v>
      </c>
      <c r="G31" s="271">
        <f>'Petty-Cash Book'!F32</f>
        <v>0</v>
      </c>
    </row>
    <row r="32" spans="1:8" ht="30" customHeight="1" x14ac:dyDescent="0.3">
      <c r="A32" s="28">
        <f>'Petty-Cash Book'!A33</f>
        <v>0</v>
      </c>
      <c r="B32" s="29">
        <f>'Petty-Cash Book'!B33</f>
        <v>0</v>
      </c>
      <c r="C32" s="30">
        <f>'Petty-Cash Book'!C33</f>
        <v>0</v>
      </c>
      <c r="D32" s="31">
        <f>'Petty-Cash Book'!D33</f>
        <v>0</v>
      </c>
      <c r="E32" s="31">
        <f>'Petty-Cash Book'!E33</f>
        <v>0</v>
      </c>
      <c r="F32" s="270">
        <f>'Petty-Cash Book'!G33</f>
        <v>0</v>
      </c>
      <c r="G32" s="271">
        <f>'Petty-Cash Book'!F33</f>
        <v>0</v>
      </c>
    </row>
    <row r="33" spans="1:8" ht="30" customHeight="1" x14ac:dyDescent="0.3">
      <c r="A33" s="28">
        <f>'Petty-Cash Book'!A34</f>
        <v>0</v>
      </c>
      <c r="B33" s="29">
        <f>'Petty-Cash Book'!B34</f>
        <v>0</v>
      </c>
      <c r="C33" s="30">
        <f>'Petty-Cash Book'!C34</f>
        <v>0</v>
      </c>
      <c r="D33" s="31">
        <f>'Petty-Cash Book'!D34</f>
        <v>0</v>
      </c>
      <c r="E33" s="31">
        <f>'Petty-Cash Book'!E34</f>
        <v>0</v>
      </c>
      <c r="F33" s="270">
        <f>'Petty-Cash Book'!G34</f>
        <v>0</v>
      </c>
      <c r="G33" s="271">
        <f>'Petty-Cash Book'!F34</f>
        <v>0</v>
      </c>
    </row>
    <row r="34" spans="1:8" ht="30" customHeight="1" x14ac:dyDescent="0.3">
      <c r="A34" s="28">
        <f>'Petty-Cash Book'!A35</f>
        <v>0</v>
      </c>
      <c r="B34" s="29">
        <f>'Petty-Cash Book'!B35</f>
        <v>0</v>
      </c>
      <c r="C34" s="30">
        <f>'Petty-Cash Book'!C35</f>
        <v>0</v>
      </c>
      <c r="D34" s="31">
        <f>'Petty-Cash Book'!D35</f>
        <v>0</v>
      </c>
      <c r="E34" s="31">
        <f>'Petty-Cash Book'!E35</f>
        <v>0</v>
      </c>
      <c r="F34" s="270">
        <f>'Petty-Cash Book'!G35</f>
        <v>0</v>
      </c>
      <c r="G34" s="271">
        <f>'Petty-Cash Book'!F35</f>
        <v>0</v>
      </c>
      <c r="H34" s="250"/>
    </row>
    <row r="35" spans="1:8" ht="30" customHeight="1" x14ac:dyDescent="0.3">
      <c r="A35" s="28">
        <f>'Petty-Cash Book'!A36</f>
        <v>0</v>
      </c>
      <c r="B35" s="29">
        <f>'Petty-Cash Book'!B36</f>
        <v>0</v>
      </c>
      <c r="C35" s="30">
        <f>'Petty-Cash Book'!C36</f>
        <v>0</v>
      </c>
      <c r="D35" s="31">
        <f>'Petty-Cash Book'!D36</f>
        <v>0</v>
      </c>
      <c r="E35" s="31">
        <f>'Petty-Cash Book'!E36</f>
        <v>0</v>
      </c>
      <c r="F35" s="270">
        <f>'Petty-Cash Book'!G36</f>
        <v>0</v>
      </c>
      <c r="G35" s="271">
        <f>'Petty-Cash Book'!F36</f>
        <v>0</v>
      </c>
      <c r="H35" s="250"/>
    </row>
    <row r="36" spans="1:8" ht="30" customHeight="1" x14ac:dyDescent="0.3">
      <c r="A36" s="28">
        <f>'Petty-Cash Book'!A37</f>
        <v>0</v>
      </c>
      <c r="B36" s="29">
        <f>'Petty-Cash Book'!B37</f>
        <v>0</v>
      </c>
      <c r="C36" s="30">
        <f>'Petty-Cash Book'!C37</f>
        <v>0</v>
      </c>
      <c r="D36" s="31">
        <f>'Petty-Cash Book'!D37</f>
        <v>0</v>
      </c>
      <c r="E36" s="31">
        <f>'Petty-Cash Book'!E37</f>
        <v>0</v>
      </c>
      <c r="F36" s="270">
        <f>'Petty-Cash Book'!G37</f>
        <v>0</v>
      </c>
      <c r="G36" s="271">
        <f>'Petty-Cash Book'!F37</f>
        <v>0</v>
      </c>
    </row>
    <row r="37" spans="1:8" ht="30" customHeight="1" x14ac:dyDescent="0.3">
      <c r="A37" s="28">
        <f>'Petty-Cash Book'!A38</f>
        <v>0</v>
      </c>
      <c r="B37" s="29">
        <f>'Petty-Cash Book'!B38</f>
        <v>0</v>
      </c>
      <c r="C37" s="30">
        <f>'Petty-Cash Book'!C38</f>
        <v>0</v>
      </c>
      <c r="D37" s="31">
        <f>'Petty-Cash Book'!D38</f>
        <v>0</v>
      </c>
      <c r="E37" s="31">
        <f>'Petty-Cash Book'!E38</f>
        <v>0</v>
      </c>
      <c r="F37" s="270">
        <f>'Petty-Cash Book'!G38</f>
        <v>0</v>
      </c>
      <c r="G37" s="271">
        <f>'Petty-Cash Book'!F38</f>
        <v>0</v>
      </c>
    </row>
    <row r="38" spans="1:8" ht="30" customHeight="1" x14ac:dyDescent="0.3">
      <c r="A38" s="28">
        <f>'Petty-Cash Book'!A39</f>
        <v>0</v>
      </c>
      <c r="B38" s="29">
        <f>'Petty-Cash Book'!B39</f>
        <v>0</v>
      </c>
      <c r="C38" s="30">
        <f>'Petty-Cash Book'!C39</f>
        <v>0</v>
      </c>
      <c r="D38" s="31">
        <f>'Petty-Cash Book'!D39</f>
        <v>0</v>
      </c>
      <c r="E38" s="31">
        <f>'Petty-Cash Book'!E39</f>
        <v>0</v>
      </c>
      <c r="F38" s="270">
        <f>'Petty-Cash Book'!G39</f>
        <v>0</v>
      </c>
      <c r="G38" s="271">
        <f>'Petty-Cash Book'!F39</f>
        <v>0</v>
      </c>
    </row>
    <row r="39" spans="1:8" ht="30" customHeight="1" x14ac:dyDescent="0.3">
      <c r="A39" s="28">
        <f>'Petty-Cash Book'!A40</f>
        <v>0</v>
      </c>
      <c r="B39" s="29">
        <f>'Petty-Cash Book'!B40</f>
        <v>0</v>
      </c>
      <c r="C39" s="30">
        <f>'Petty-Cash Book'!C40</f>
        <v>0</v>
      </c>
      <c r="D39" s="31">
        <f>'Petty-Cash Book'!D40</f>
        <v>0</v>
      </c>
      <c r="E39" s="31">
        <f>'Petty-Cash Book'!E40</f>
        <v>0</v>
      </c>
      <c r="F39" s="270">
        <f>'Petty-Cash Book'!G40</f>
        <v>0</v>
      </c>
      <c r="G39" s="271">
        <f>'Petty-Cash Book'!F40</f>
        <v>0</v>
      </c>
    </row>
    <row r="40" spans="1:8" ht="30" customHeight="1" x14ac:dyDescent="0.3">
      <c r="A40" s="28">
        <f>'Petty-Cash Book'!A41</f>
        <v>0</v>
      </c>
      <c r="B40" s="29">
        <f>'Petty-Cash Book'!B41</f>
        <v>0</v>
      </c>
      <c r="C40" s="30">
        <f>'Petty-Cash Book'!C41</f>
        <v>0</v>
      </c>
      <c r="D40" s="31">
        <f>'Petty-Cash Book'!D41</f>
        <v>0</v>
      </c>
      <c r="E40" s="31">
        <f>'Petty-Cash Book'!E41</f>
        <v>0</v>
      </c>
      <c r="F40" s="270">
        <f>'Petty-Cash Book'!G41</f>
        <v>0</v>
      </c>
      <c r="G40" s="271">
        <f>'Petty-Cash Book'!F41</f>
        <v>0</v>
      </c>
    </row>
    <row r="41" spans="1:8" ht="30" customHeight="1" x14ac:dyDescent="0.3">
      <c r="A41" s="28">
        <f>'Petty-Cash Book'!A42</f>
        <v>0</v>
      </c>
      <c r="B41" s="29">
        <f>'Petty-Cash Book'!B42</f>
        <v>0</v>
      </c>
      <c r="C41" s="30">
        <f>'Petty-Cash Book'!C42</f>
        <v>0</v>
      </c>
      <c r="D41" s="31">
        <f>'Petty-Cash Book'!D42</f>
        <v>0</v>
      </c>
      <c r="E41" s="31">
        <f>'Petty-Cash Book'!E42</f>
        <v>0</v>
      </c>
      <c r="F41" s="270">
        <f>'Petty-Cash Book'!G42</f>
        <v>0</v>
      </c>
      <c r="G41" s="271">
        <f>'Petty-Cash Book'!F42</f>
        <v>0</v>
      </c>
    </row>
    <row r="42" spans="1:8" ht="30" customHeight="1" x14ac:dyDescent="0.3">
      <c r="A42" s="28">
        <f>'Petty-Cash Book'!A43</f>
        <v>0</v>
      </c>
      <c r="B42" s="29">
        <f>'Petty-Cash Book'!B43</f>
        <v>0</v>
      </c>
      <c r="C42" s="30">
        <f>'Petty-Cash Book'!C43</f>
        <v>0</v>
      </c>
      <c r="D42" s="31">
        <f>'Petty-Cash Book'!D43</f>
        <v>0</v>
      </c>
      <c r="E42" s="31">
        <f>'Petty-Cash Book'!E43</f>
        <v>0</v>
      </c>
      <c r="F42" s="270">
        <f>'Petty-Cash Book'!G43</f>
        <v>0</v>
      </c>
      <c r="G42" s="271">
        <f>'Petty-Cash Book'!F43</f>
        <v>0</v>
      </c>
    </row>
    <row r="43" spans="1:8" ht="30" customHeight="1" x14ac:dyDescent="0.3">
      <c r="A43" s="28">
        <f>'Petty-Cash Book'!A44</f>
        <v>0</v>
      </c>
      <c r="B43" s="29">
        <f>'Petty-Cash Book'!B44</f>
        <v>0</v>
      </c>
      <c r="C43" s="30">
        <f>'Petty-Cash Book'!C44</f>
        <v>0</v>
      </c>
      <c r="D43" s="31">
        <f>'Petty-Cash Book'!D44</f>
        <v>0</v>
      </c>
      <c r="E43" s="31">
        <f>'Petty-Cash Book'!E44</f>
        <v>0</v>
      </c>
      <c r="F43" s="270">
        <f>'Petty-Cash Book'!G44</f>
        <v>0</v>
      </c>
      <c r="G43" s="271">
        <f>'Petty-Cash Book'!F44</f>
        <v>0</v>
      </c>
    </row>
    <row r="44" spans="1:8" ht="30" customHeight="1" x14ac:dyDescent="0.3">
      <c r="A44" s="28">
        <f>'Petty-Cash Book'!A45</f>
        <v>0</v>
      </c>
      <c r="B44" s="29">
        <f>'Petty-Cash Book'!B45</f>
        <v>0</v>
      </c>
      <c r="C44" s="30">
        <f>'Petty-Cash Book'!C45</f>
        <v>0</v>
      </c>
      <c r="D44" s="31">
        <f>'Petty-Cash Book'!D45</f>
        <v>0</v>
      </c>
      <c r="E44" s="31">
        <f>'Petty-Cash Book'!E45</f>
        <v>0</v>
      </c>
      <c r="F44" s="270">
        <f>'Petty-Cash Book'!G45</f>
        <v>0</v>
      </c>
      <c r="G44" s="271">
        <f>'Petty-Cash Book'!F45</f>
        <v>0</v>
      </c>
    </row>
    <row r="45" spans="1:8" ht="30" customHeight="1" x14ac:dyDescent="0.3">
      <c r="A45" s="28">
        <f>'Petty-Cash Book'!A46</f>
        <v>0</v>
      </c>
      <c r="B45" s="29">
        <f>'Petty-Cash Book'!B46</f>
        <v>0</v>
      </c>
      <c r="C45" s="30">
        <f>'Petty-Cash Book'!C46</f>
        <v>0</v>
      </c>
      <c r="D45" s="31">
        <f>'Petty-Cash Book'!D46</f>
        <v>0</v>
      </c>
      <c r="E45" s="31">
        <f>'Petty-Cash Book'!E46</f>
        <v>0</v>
      </c>
      <c r="F45" s="270">
        <f>'Petty-Cash Book'!G46</f>
        <v>0</v>
      </c>
      <c r="G45" s="271">
        <f>'Petty-Cash Book'!F46</f>
        <v>0</v>
      </c>
    </row>
    <row r="46" spans="1:8" ht="30" customHeight="1" x14ac:dyDescent="0.3">
      <c r="A46" s="28">
        <f>'Petty-Cash Book'!A47</f>
        <v>0</v>
      </c>
      <c r="B46" s="29">
        <f>'Petty-Cash Book'!B47</f>
        <v>0</v>
      </c>
      <c r="C46" s="30">
        <f>'Petty-Cash Book'!C47</f>
        <v>0</v>
      </c>
      <c r="D46" s="31">
        <f>'Petty-Cash Book'!D47</f>
        <v>0</v>
      </c>
      <c r="E46" s="31">
        <f>'Petty-Cash Book'!E47</f>
        <v>0</v>
      </c>
      <c r="F46" s="270">
        <f>'Petty-Cash Book'!G47</f>
        <v>0</v>
      </c>
      <c r="G46" s="271">
        <f>'Petty-Cash Book'!F47</f>
        <v>0</v>
      </c>
    </row>
    <row r="47" spans="1:8" ht="30" customHeight="1" x14ac:dyDescent="0.3">
      <c r="A47" s="28">
        <f>'Petty-Cash Book'!A48</f>
        <v>0</v>
      </c>
      <c r="B47" s="29">
        <f>'Petty-Cash Book'!B48</f>
        <v>0</v>
      </c>
      <c r="C47" s="30">
        <f>'Petty-Cash Book'!C48</f>
        <v>0</v>
      </c>
      <c r="D47" s="31">
        <f>'Petty-Cash Book'!D48</f>
        <v>0</v>
      </c>
      <c r="E47" s="31">
        <f>'Petty-Cash Book'!E48</f>
        <v>0</v>
      </c>
      <c r="F47" s="270">
        <f>'Petty-Cash Book'!G48</f>
        <v>0</v>
      </c>
      <c r="G47" s="271">
        <f>'Petty-Cash Book'!F48</f>
        <v>0</v>
      </c>
    </row>
    <row r="48" spans="1:8" ht="30" customHeight="1" x14ac:dyDescent="0.3">
      <c r="A48" s="28">
        <f>'Petty-Cash Book'!A49</f>
        <v>0</v>
      </c>
      <c r="B48" s="29">
        <f>'Petty-Cash Book'!B49</f>
        <v>0</v>
      </c>
      <c r="C48" s="30">
        <f>'Petty-Cash Book'!C49</f>
        <v>0</v>
      </c>
      <c r="D48" s="31">
        <f>'Petty-Cash Book'!D49</f>
        <v>0</v>
      </c>
      <c r="E48" s="31">
        <f>'Petty-Cash Book'!E49</f>
        <v>0</v>
      </c>
      <c r="F48" s="270">
        <f>'Petty-Cash Book'!G49</f>
        <v>0</v>
      </c>
      <c r="G48" s="271">
        <f>'Petty-Cash Book'!F49</f>
        <v>0</v>
      </c>
    </row>
    <row r="49" spans="1:8" ht="30" customHeight="1" x14ac:dyDescent="0.3">
      <c r="A49" s="28">
        <f>'Petty-Cash Book'!A50</f>
        <v>0</v>
      </c>
      <c r="B49" s="29">
        <f>'Petty-Cash Book'!B50</f>
        <v>0</v>
      </c>
      <c r="C49" s="30">
        <f>'Petty-Cash Book'!C50</f>
        <v>0</v>
      </c>
      <c r="D49" s="31">
        <f>'Petty-Cash Book'!D50</f>
        <v>0</v>
      </c>
      <c r="E49" s="31">
        <f>'Petty-Cash Book'!E50</f>
        <v>0</v>
      </c>
      <c r="F49" s="270">
        <f>'Petty-Cash Book'!G50</f>
        <v>0</v>
      </c>
      <c r="G49" s="271">
        <f>'Petty-Cash Book'!F50</f>
        <v>0</v>
      </c>
    </row>
    <row r="50" spans="1:8" ht="30" customHeight="1" x14ac:dyDescent="0.3">
      <c r="A50" s="28">
        <f>'Petty-Cash Book'!A51</f>
        <v>0</v>
      </c>
      <c r="B50" s="29">
        <f>'Petty-Cash Book'!B51</f>
        <v>0</v>
      </c>
      <c r="C50" s="30">
        <f>'Petty-Cash Book'!C51</f>
        <v>0</v>
      </c>
      <c r="D50" s="31">
        <f>'Petty-Cash Book'!D51</f>
        <v>0</v>
      </c>
      <c r="E50" s="31">
        <f>'Petty-Cash Book'!E51</f>
        <v>0</v>
      </c>
      <c r="F50" s="270">
        <f>'Petty-Cash Book'!G51</f>
        <v>0</v>
      </c>
      <c r="G50" s="271">
        <f>'Petty-Cash Book'!F51</f>
        <v>0</v>
      </c>
      <c r="H50" s="250"/>
    </row>
    <row r="51" spans="1:8" ht="30" customHeight="1" x14ac:dyDescent="0.3">
      <c r="A51" s="28">
        <f>'Petty-Cash Book'!A52</f>
        <v>0</v>
      </c>
      <c r="B51" s="29">
        <f>'Petty-Cash Book'!B52</f>
        <v>0</v>
      </c>
      <c r="C51" s="30">
        <f>'Petty-Cash Book'!C52</f>
        <v>0</v>
      </c>
      <c r="D51" s="31">
        <f>'Petty-Cash Book'!D52</f>
        <v>0</v>
      </c>
      <c r="E51" s="31">
        <f>'Petty-Cash Book'!E52</f>
        <v>0</v>
      </c>
      <c r="F51" s="270">
        <f>'Petty-Cash Book'!G52</f>
        <v>0</v>
      </c>
      <c r="G51" s="271">
        <f>'Petty-Cash Book'!F52</f>
        <v>0</v>
      </c>
    </row>
    <row r="52" spans="1:8" ht="30" customHeight="1" x14ac:dyDescent="0.3">
      <c r="A52" s="28">
        <f>'Petty-Cash Book'!A53</f>
        <v>0</v>
      </c>
      <c r="B52" s="29">
        <f>'Petty-Cash Book'!B53</f>
        <v>0</v>
      </c>
      <c r="C52" s="30">
        <f>'Petty-Cash Book'!C53</f>
        <v>0</v>
      </c>
      <c r="D52" s="31">
        <f>'Petty-Cash Book'!D53</f>
        <v>0</v>
      </c>
      <c r="E52" s="31">
        <f>'Petty-Cash Book'!E53</f>
        <v>0</v>
      </c>
      <c r="F52" s="270">
        <f>'Petty-Cash Book'!G53</f>
        <v>0</v>
      </c>
      <c r="G52" s="271">
        <f>'Petty-Cash Book'!F53</f>
        <v>0</v>
      </c>
    </row>
    <row r="53" spans="1:8" ht="30" customHeight="1" x14ac:dyDescent="0.3">
      <c r="A53" s="28">
        <f>'Petty-Cash Book'!A54</f>
        <v>0</v>
      </c>
      <c r="B53" s="29">
        <f>'Petty-Cash Book'!B54</f>
        <v>0</v>
      </c>
      <c r="C53" s="30">
        <f>'Petty-Cash Book'!C54</f>
        <v>0</v>
      </c>
      <c r="D53" s="31">
        <f>'Petty-Cash Book'!D54</f>
        <v>0</v>
      </c>
      <c r="E53" s="31">
        <f>'Petty-Cash Book'!E54</f>
        <v>0</v>
      </c>
      <c r="F53" s="270">
        <f>'Petty-Cash Book'!G54</f>
        <v>0</v>
      </c>
      <c r="G53" s="271">
        <f>'Petty-Cash Book'!F54</f>
        <v>0</v>
      </c>
    </row>
    <row r="54" spans="1:8" ht="30" customHeight="1" x14ac:dyDescent="0.3">
      <c r="A54" s="28">
        <f>'Petty-Cash Book'!A55</f>
        <v>0</v>
      </c>
      <c r="B54" s="29">
        <f>'Petty-Cash Book'!B55</f>
        <v>0</v>
      </c>
      <c r="C54" s="30">
        <f>'Petty-Cash Book'!C55</f>
        <v>0</v>
      </c>
      <c r="D54" s="31">
        <f>'Petty-Cash Book'!D55</f>
        <v>0</v>
      </c>
      <c r="E54" s="31">
        <f>'Petty-Cash Book'!E55</f>
        <v>0</v>
      </c>
      <c r="F54" s="270">
        <f>'Petty-Cash Book'!G55</f>
        <v>0</v>
      </c>
      <c r="G54" s="271">
        <f>'Petty-Cash Book'!F55</f>
        <v>0</v>
      </c>
    </row>
    <row r="55" spans="1:8" ht="30" customHeight="1" x14ac:dyDescent="0.3">
      <c r="A55" s="28">
        <f>'Petty-Cash Book'!A56</f>
        <v>0</v>
      </c>
      <c r="B55" s="29">
        <f>'Petty-Cash Book'!B56</f>
        <v>0</v>
      </c>
      <c r="C55" s="30">
        <f>'Petty-Cash Book'!C56</f>
        <v>0</v>
      </c>
      <c r="D55" s="31">
        <f>'Petty-Cash Book'!D56</f>
        <v>0</v>
      </c>
      <c r="E55" s="31">
        <f>'Petty-Cash Book'!E56</f>
        <v>0</v>
      </c>
      <c r="F55" s="270">
        <f>'Petty-Cash Book'!G56</f>
        <v>0</v>
      </c>
      <c r="G55" s="271">
        <f>'Petty-Cash Book'!F56</f>
        <v>0</v>
      </c>
    </row>
    <row r="56" spans="1:8" ht="30" customHeight="1" x14ac:dyDescent="0.3">
      <c r="A56" s="28">
        <f>'Petty-Cash Book'!A57</f>
        <v>0</v>
      </c>
      <c r="B56" s="29">
        <f>'Petty-Cash Book'!B57</f>
        <v>0</v>
      </c>
      <c r="C56" s="30">
        <f>'Petty-Cash Book'!C57</f>
        <v>0</v>
      </c>
      <c r="D56" s="31">
        <f>'Petty-Cash Book'!D57</f>
        <v>0</v>
      </c>
      <c r="E56" s="31">
        <f>'Petty-Cash Book'!E57</f>
        <v>0</v>
      </c>
      <c r="F56" s="270">
        <f>'Petty-Cash Book'!G57</f>
        <v>0</v>
      </c>
      <c r="G56" s="271">
        <f>'Petty-Cash Book'!F57</f>
        <v>0</v>
      </c>
    </row>
    <row r="57" spans="1:8" ht="30" customHeight="1" x14ac:dyDescent="0.3">
      <c r="A57" s="28">
        <f>'Petty-Cash Book'!A58</f>
        <v>0</v>
      </c>
      <c r="B57" s="29">
        <f>'Petty-Cash Book'!B58</f>
        <v>0</v>
      </c>
      <c r="C57" s="30">
        <f>'Petty-Cash Book'!C58</f>
        <v>0</v>
      </c>
      <c r="D57" s="31">
        <f>'Petty-Cash Book'!D58</f>
        <v>0</v>
      </c>
      <c r="E57" s="31">
        <f>'Petty-Cash Book'!E58</f>
        <v>0</v>
      </c>
      <c r="F57" s="270">
        <f>'Petty-Cash Book'!G58</f>
        <v>0</v>
      </c>
      <c r="G57" s="271">
        <f>'Petty-Cash Book'!F58</f>
        <v>0</v>
      </c>
    </row>
    <row r="58" spans="1:8" ht="30" customHeight="1" x14ac:dyDescent="0.3">
      <c r="A58" s="28">
        <f>'Petty-Cash Book'!A59</f>
        <v>0</v>
      </c>
      <c r="B58" s="29">
        <f>'Petty-Cash Book'!B59</f>
        <v>0</v>
      </c>
      <c r="C58" s="30">
        <f>'Petty-Cash Book'!C59</f>
        <v>0</v>
      </c>
      <c r="D58" s="31">
        <f>'Petty-Cash Book'!D59</f>
        <v>0</v>
      </c>
      <c r="E58" s="31">
        <f>'Petty-Cash Book'!E59</f>
        <v>0</v>
      </c>
      <c r="F58" s="270">
        <f>'Petty-Cash Book'!G59</f>
        <v>0</v>
      </c>
      <c r="G58" s="271">
        <f>'Petty-Cash Book'!F59</f>
        <v>0</v>
      </c>
    </row>
    <row r="59" spans="1:8" ht="30" customHeight="1" x14ac:dyDescent="0.3">
      <c r="A59" s="28">
        <f>'Petty-Cash Book'!A60</f>
        <v>0</v>
      </c>
      <c r="B59" s="29">
        <f>'Petty-Cash Book'!B60</f>
        <v>0</v>
      </c>
      <c r="C59" s="30">
        <f>'Petty-Cash Book'!C60</f>
        <v>0</v>
      </c>
      <c r="D59" s="31">
        <f>'Petty-Cash Book'!D60</f>
        <v>0</v>
      </c>
      <c r="E59" s="31">
        <f>'Petty-Cash Book'!E60</f>
        <v>0</v>
      </c>
      <c r="F59" s="270">
        <f>'Petty-Cash Book'!G60</f>
        <v>0</v>
      </c>
      <c r="G59" s="271">
        <f>'Petty-Cash Book'!F60</f>
        <v>0</v>
      </c>
    </row>
    <row r="60" spans="1:8" ht="30" customHeight="1" x14ac:dyDescent="0.3">
      <c r="A60" s="28">
        <f>'Petty-Cash Book'!A61</f>
        <v>0</v>
      </c>
      <c r="B60" s="29">
        <f>'Petty-Cash Book'!B61</f>
        <v>0</v>
      </c>
      <c r="C60" s="30">
        <f>'Petty-Cash Book'!C61</f>
        <v>0</v>
      </c>
      <c r="D60" s="31">
        <f>'Petty-Cash Book'!D61</f>
        <v>0</v>
      </c>
      <c r="E60" s="31">
        <f>'Petty-Cash Book'!E61</f>
        <v>0</v>
      </c>
      <c r="F60" s="270">
        <f>'Petty-Cash Book'!G61</f>
        <v>0</v>
      </c>
      <c r="G60" s="271">
        <f>'Petty-Cash Book'!F61</f>
        <v>0</v>
      </c>
      <c r="H60" s="250"/>
    </row>
    <row r="61" spans="1:8" ht="30" customHeight="1" x14ac:dyDescent="0.3">
      <c r="A61" s="28">
        <f>'Petty-Cash Book'!A62</f>
        <v>0</v>
      </c>
      <c r="B61" s="29">
        <f>'Petty-Cash Book'!B62</f>
        <v>0</v>
      </c>
      <c r="C61" s="30">
        <f>'Petty-Cash Book'!C62</f>
        <v>0</v>
      </c>
      <c r="D61" s="31">
        <f>'Petty-Cash Book'!D62</f>
        <v>0</v>
      </c>
      <c r="E61" s="31">
        <f>'Petty-Cash Book'!E62</f>
        <v>0</v>
      </c>
      <c r="F61" s="270">
        <f>'Petty-Cash Book'!G62</f>
        <v>0</v>
      </c>
      <c r="G61" s="271">
        <f>'Petty-Cash Book'!F62</f>
        <v>0</v>
      </c>
    </row>
    <row r="62" spans="1:8" ht="30" customHeight="1" x14ac:dyDescent="0.3">
      <c r="A62" s="28">
        <f>'Petty-Cash Book'!A63</f>
        <v>0</v>
      </c>
      <c r="B62" s="29">
        <f>'Petty-Cash Book'!B63</f>
        <v>0</v>
      </c>
      <c r="C62" s="30">
        <f>'Petty-Cash Book'!C63</f>
        <v>0</v>
      </c>
      <c r="D62" s="31">
        <f>'Petty-Cash Book'!D63</f>
        <v>0</v>
      </c>
      <c r="E62" s="31">
        <f>'Petty-Cash Book'!E63</f>
        <v>0</v>
      </c>
      <c r="F62" s="270">
        <f>'Petty-Cash Book'!G63</f>
        <v>0</v>
      </c>
      <c r="G62" s="271">
        <f>'Petty-Cash Book'!F63</f>
        <v>0</v>
      </c>
    </row>
    <row r="63" spans="1:8" ht="30" customHeight="1" x14ac:dyDescent="0.3">
      <c r="A63" s="28">
        <f>'Petty-Cash Book'!A64</f>
        <v>0</v>
      </c>
      <c r="B63" s="29">
        <f>'Petty-Cash Book'!B64</f>
        <v>0</v>
      </c>
      <c r="C63" s="30">
        <f>'Petty-Cash Book'!C64</f>
        <v>0</v>
      </c>
      <c r="D63" s="31">
        <f>'Petty-Cash Book'!D64</f>
        <v>0</v>
      </c>
      <c r="E63" s="31">
        <f>'Petty-Cash Book'!E64</f>
        <v>0</v>
      </c>
      <c r="F63" s="270">
        <f>'Petty-Cash Book'!G64</f>
        <v>0</v>
      </c>
      <c r="G63" s="271">
        <f>'Petty-Cash Book'!F64</f>
        <v>0</v>
      </c>
    </row>
    <row r="64" spans="1:8" ht="30" customHeight="1" x14ac:dyDescent="0.3">
      <c r="A64" s="28">
        <f>'Petty-Cash Book'!A65</f>
        <v>0</v>
      </c>
      <c r="B64" s="29">
        <f>'Petty-Cash Book'!B65</f>
        <v>0</v>
      </c>
      <c r="C64" s="30">
        <f>'Petty-Cash Book'!C65</f>
        <v>0</v>
      </c>
      <c r="D64" s="31">
        <f>'Petty-Cash Book'!D65</f>
        <v>0</v>
      </c>
      <c r="E64" s="31">
        <f>'Petty-Cash Book'!E65</f>
        <v>0</v>
      </c>
      <c r="F64" s="270">
        <f>'Petty-Cash Book'!G65</f>
        <v>0</v>
      </c>
      <c r="G64" s="271">
        <f>'Petty-Cash Book'!F65</f>
        <v>0</v>
      </c>
    </row>
    <row r="65" spans="1:7" ht="30" customHeight="1" x14ac:dyDescent="0.3">
      <c r="A65" s="28">
        <f>'Petty-Cash Book'!A66</f>
        <v>0</v>
      </c>
      <c r="B65" s="29">
        <f>'Petty-Cash Book'!B66</f>
        <v>0</v>
      </c>
      <c r="C65" s="30">
        <f>'Petty-Cash Book'!C66</f>
        <v>0</v>
      </c>
      <c r="D65" s="31">
        <f>'Petty-Cash Book'!D66</f>
        <v>0</v>
      </c>
      <c r="E65" s="31">
        <f>'Petty-Cash Book'!E66</f>
        <v>0</v>
      </c>
      <c r="F65" s="270">
        <f>'Petty-Cash Book'!G66</f>
        <v>0</v>
      </c>
      <c r="G65" s="271">
        <f>'Petty-Cash Book'!F66</f>
        <v>0</v>
      </c>
    </row>
    <row r="66" spans="1:7" ht="30" customHeight="1" x14ac:dyDescent="0.3">
      <c r="A66" s="28">
        <f>'Petty-Cash Book'!A67</f>
        <v>0</v>
      </c>
      <c r="B66" s="29">
        <f>'Petty-Cash Book'!B67</f>
        <v>0</v>
      </c>
      <c r="C66" s="30">
        <f>'Petty-Cash Book'!C67</f>
        <v>0</v>
      </c>
      <c r="D66" s="31">
        <f>'Petty-Cash Book'!D67</f>
        <v>0</v>
      </c>
      <c r="E66" s="31">
        <f>'Petty-Cash Book'!E67</f>
        <v>0</v>
      </c>
      <c r="F66" s="270">
        <f>'Petty-Cash Book'!G67</f>
        <v>0</v>
      </c>
      <c r="G66" s="271">
        <f>'Petty-Cash Book'!F67</f>
        <v>0</v>
      </c>
    </row>
    <row r="67" spans="1:7" ht="30" customHeight="1" x14ac:dyDescent="0.3">
      <c r="A67" s="28">
        <f>'Petty-Cash Book'!A68</f>
        <v>0</v>
      </c>
      <c r="B67" s="29">
        <f>'Petty-Cash Book'!B68</f>
        <v>0</v>
      </c>
      <c r="C67" s="30">
        <f>'Petty-Cash Book'!C68</f>
        <v>0</v>
      </c>
      <c r="D67" s="31">
        <f>'Petty-Cash Book'!D68</f>
        <v>0</v>
      </c>
      <c r="E67" s="31">
        <f>'Petty-Cash Book'!E68</f>
        <v>0</v>
      </c>
      <c r="F67" s="270">
        <f>'Petty-Cash Book'!G68</f>
        <v>0</v>
      </c>
      <c r="G67" s="271">
        <f>'Petty-Cash Book'!F68</f>
        <v>0</v>
      </c>
    </row>
    <row r="68" spans="1:7" ht="30" customHeight="1" x14ac:dyDescent="0.3">
      <c r="A68" s="28">
        <f>'Petty-Cash Book'!A69</f>
        <v>0</v>
      </c>
      <c r="B68" s="29">
        <f>'Petty-Cash Book'!B69</f>
        <v>0</v>
      </c>
      <c r="C68" s="30">
        <f>'Petty-Cash Book'!C69</f>
        <v>0</v>
      </c>
      <c r="D68" s="31">
        <f>'Petty-Cash Book'!D69</f>
        <v>0</v>
      </c>
      <c r="E68" s="31">
        <f>'Petty-Cash Book'!E69</f>
        <v>0</v>
      </c>
      <c r="F68" s="270">
        <f>'Petty-Cash Book'!G69</f>
        <v>0</v>
      </c>
      <c r="G68" s="271">
        <f>'Petty-Cash Book'!F69</f>
        <v>0</v>
      </c>
    </row>
    <row r="69" spans="1:7" ht="30" customHeight="1" x14ac:dyDescent="0.3">
      <c r="A69" s="28">
        <f>'Petty-Cash Book'!A70</f>
        <v>0</v>
      </c>
      <c r="B69" s="29">
        <f>'Petty-Cash Book'!B70</f>
        <v>0</v>
      </c>
      <c r="C69" s="30">
        <f>'Petty-Cash Book'!C70</f>
        <v>0</v>
      </c>
      <c r="D69" s="31">
        <f>'Petty-Cash Book'!D70</f>
        <v>0</v>
      </c>
      <c r="E69" s="31">
        <f>'Petty-Cash Book'!E70</f>
        <v>0</v>
      </c>
      <c r="F69" s="270">
        <f>'Petty-Cash Book'!G70</f>
        <v>0</v>
      </c>
      <c r="G69" s="271">
        <f>'Petty-Cash Book'!F70</f>
        <v>0</v>
      </c>
    </row>
    <row r="70" spans="1:7" ht="30" customHeight="1" x14ac:dyDescent="0.3">
      <c r="A70" s="28">
        <f>'Petty-Cash Book'!A71</f>
        <v>0</v>
      </c>
      <c r="B70" s="29">
        <f>'Petty-Cash Book'!B71</f>
        <v>0</v>
      </c>
      <c r="C70" s="30">
        <f>'Petty-Cash Book'!C71</f>
        <v>0</v>
      </c>
      <c r="D70" s="31">
        <f>'Petty-Cash Book'!D71</f>
        <v>0</v>
      </c>
      <c r="E70" s="31">
        <f>'Petty-Cash Book'!E71</f>
        <v>0</v>
      </c>
      <c r="F70" s="270">
        <f>'Petty-Cash Book'!G71</f>
        <v>0</v>
      </c>
      <c r="G70" s="271">
        <f>'Petty-Cash Book'!F71</f>
        <v>0</v>
      </c>
    </row>
    <row r="71" spans="1:7" ht="30" customHeight="1" x14ac:dyDescent="0.3">
      <c r="A71" s="28">
        <f>'Petty-Cash Book'!A72</f>
        <v>0</v>
      </c>
      <c r="B71" s="29">
        <f>'Petty-Cash Book'!B72</f>
        <v>0</v>
      </c>
      <c r="C71" s="30">
        <f>'Petty-Cash Book'!C72</f>
        <v>0</v>
      </c>
      <c r="D71" s="31">
        <f>'Petty-Cash Book'!D72</f>
        <v>0</v>
      </c>
      <c r="E71" s="31">
        <f>'Petty-Cash Book'!E72</f>
        <v>0</v>
      </c>
      <c r="F71" s="270">
        <f>'Petty-Cash Book'!G72</f>
        <v>0</v>
      </c>
      <c r="G71" s="271">
        <f>'Petty-Cash Book'!F72</f>
        <v>0</v>
      </c>
    </row>
    <row r="72" spans="1:7" ht="30" customHeight="1" x14ac:dyDescent="0.3">
      <c r="A72" s="28">
        <f>'Petty-Cash Book'!A73</f>
        <v>0</v>
      </c>
      <c r="B72" s="29">
        <f>'Petty-Cash Book'!B73</f>
        <v>0</v>
      </c>
      <c r="C72" s="30">
        <f>'Petty-Cash Book'!C73</f>
        <v>0</v>
      </c>
      <c r="D72" s="31">
        <f>'Petty-Cash Book'!D73</f>
        <v>0</v>
      </c>
      <c r="E72" s="31">
        <f>'Petty-Cash Book'!E73</f>
        <v>0</v>
      </c>
      <c r="F72" s="270">
        <f>'Petty-Cash Book'!G73</f>
        <v>0</v>
      </c>
      <c r="G72" s="271">
        <f>'Petty-Cash Book'!F73</f>
        <v>0</v>
      </c>
    </row>
    <row r="73" spans="1:7" ht="30" customHeight="1" x14ac:dyDescent="0.3">
      <c r="A73" s="28">
        <f>'Petty-Cash Book'!A74</f>
        <v>0</v>
      </c>
      <c r="B73" s="29">
        <f>'Petty-Cash Book'!B74</f>
        <v>0</v>
      </c>
      <c r="C73" s="30">
        <f>'Petty-Cash Book'!C74</f>
        <v>0</v>
      </c>
      <c r="D73" s="31">
        <f>'Petty-Cash Book'!D74</f>
        <v>0</v>
      </c>
      <c r="E73" s="31">
        <f>'Petty-Cash Book'!E74</f>
        <v>0</v>
      </c>
      <c r="F73" s="270">
        <f>'Petty-Cash Book'!G74</f>
        <v>0</v>
      </c>
      <c r="G73" s="271">
        <f>'Petty-Cash Book'!F74</f>
        <v>0</v>
      </c>
    </row>
    <row r="74" spans="1:7" ht="30" customHeight="1" x14ac:dyDescent="0.3">
      <c r="A74" s="28">
        <f>'Petty-Cash Book'!A75</f>
        <v>0</v>
      </c>
      <c r="B74" s="29">
        <f>'Petty-Cash Book'!B75</f>
        <v>0</v>
      </c>
      <c r="C74" s="30">
        <f>'Petty-Cash Book'!C75</f>
        <v>0</v>
      </c>
      <c r="D74" s="31">
        <f>'Petty-Cash Book'!D75</f>
        <v>0</v>
      </c>
      <c r="E74" s="31">
        <f>'Petty-Cash Book'!E75</f>
        <v>0</v>
      </c>
      <c r="F74" s="270">
        <f>'Petty-Cash Book'!G75</f>
        <v>0</v>
      </c>
      <c r="G74" s="271">
        <f>'Petty-Cash Book'!F75</f>
        <v>0</v>
      </c>
    </row>
    <row r="75" spans="1:7" ht="30" customHeight="1" x14ac:dyDescent="0.3">
      <c r="A75" s="28">
        <f>'Petty-Cash Book'!A76</f>
        <v>0</v>
      </c>
      <c r="B75" s="29">
        <f>'Petty-Cash Book'!B76</f>
        <v>0</v>
      </c>
      <c r="C75" s="30">
        <f>'Petty-Cash Book'!C76</f>
        <v>0</v>
      </c>
      <c r="D75" s="31">
        <f>'Petty-Cash Book'!D76</f>
        <v>0</v>
      </c>
      <c r="E75" s="31">
        <f>'Petty-Cash Book'!E76</f>
        <v>0</v>
      </c>
      <c r="F75" s="270">
        <f>'Petty-Cash Book'!G76</f>
        <v>0</v>
      </c>
      <c r="G75" s="271">
        <f>'Petty-Cash Book'!F76</f>
        <v>0</v>
      </c>
    </row>
    <row r="76" spans="1:7" ht="30" customHeight="1" x14ac:dyDescent="0.3">
      <c r="A76" s="28">
        <f>'Petty-Cash Book'!A77</f>
        <v>0</v>
      </c>
      <c r="B76" s="29">
        <f>'Petty-Cash Book'!B77</f>
        <v>0</v>
      </c>
      <c r="C76" s="30">
        <f>'Petty-Cash Book'!C77</f>
        <v>0</v>
      </c>
      <c r="D76" s="31">
        <f>'Petty-Cash Book'!D77</f>
        <v>0</v>
      </c>
      <c r="E76" s="31">
        <f>'Petty-Cash Book'!E77</f>
        <v>0</v>
      </c>
      <c r="F76" s="270">
        <f>'Petty-Cash Book'!G77</f>
        <v>0</v>
      </c>
      <c r="G76" s="271">
        <f>'Petty-Cash Book'!F77</f>
        <v>0</v>
      </c>
    </row>
    <row r="77" spans="1:7" ht="30" customHeight="1" x14ac:dyDescent="0.3">
      <c r="A77" s="28">
        <f>'Petty-Cash Book'!A78</f>
        <v>0</v>
      </c>
      <c r="B77" s="29">
        <f>'Petty-Cash Book'!B78</f>
        <v>0</v>
      </c>
      <c r="C77" s="30">
        <f>'Petty-Cash Book'!C78</f>
        <v>0</v>
      </c>
      <c r="D77" s="31">
        <f>'Petty-Cash Book'!D78</f>
        <v>0</v>
      </c>
      <c r="E77" s="31">
        <f>'Petty-Cash Book'!E78</f>
        <v>0</v>
      </c>
      <c r="F77" s="270">
        <f>'Petty-Cash Book'!G78</f>
        <v>0</v>
      </c>
      <c r="G77" s="271">
        <f>'Petty-Cash Book'!F78</f>
        <v>0</v>
      </c>
    </row>
    <row r="78" spans="1:7" ht="30" customHeight="1" x14ac:dyDescent="0.3">
      <c r="A78" s="28">
        <f>'Petty-Cash Book'!A79</f>
        <v>0</v>
      </c>
      <c r="B78" s="29">
        <f>'Petty-Cash Book'!B79</f>
        <v>0</v>
      </c>
      <c r="C78" s="30">
        <f>'Petty-Cash Book'!C79</f>
        <v>0</v>
      </c>
      <c r="D78" s="31">
        <f>'Petty-Cash Book'!D79</f>
        <v>0</v>
      </c>
      <c r="E78" s="31">
        <f>'Petty-Cash Book'!E79</f>
        <v>0</v>
      </c>
      <c r="F78" s="270">
        <f>'Petty-Cash Book'!G79</f>
        <v>0</v>
      </c>
      <c r="G78" s="271">
        <f>'Petty-Cash Book'!F79</f>
        <v>0</v>
      </c>
    </row>
    <row r="79" spans="1:7" ht="30" customHeight="1" x14ac:dyDescent="0.3">
      <c r="A79" s="28">
        <f>'Petty-Cash Book'!A80</f>
        <v>0</v>
      </c>
      <c r="B79" s="29">
        <f>'Petty-Cash Book'!B80</f>
        <v>0</v>
      </c>
      <c r="C79" s="30">
        <f>'Petty-Cash Book'!C80</f>
        <v>0</v>
      </c>
      <c r="D79" s="31">
        <f>'Petty-Cash Book'!D80</f>
        <v>0</v>
      </c>
      <c r="E79" s="31">
        <f>'Petty-Cash Book'!E80</f>
        <v>0</v>
      </c>
      <c r="F79" s="270">
        <f>'Petty-Cash Book'!G80</f>
        <v>0</v>
      </c>
      <c r="G79" s="271">
        <f>'Petty-Cash Book'!F80</f>
        <v>0</v>
      </c>
    </row>
    <row r="80" spans="1:7" ht="30" customHeight="1" x14ac:dyDescent="0.3">
      <c r="A80" s="28">
        <f>'Petty-Cash Book'!A81</f>
        <v>0</v>
      </c>
      <c r="B80" s="29">
        <f>'Petty-Cash Book'!B81</f>
        <v>0</v>
      </c>
      <c r="C80" s="30">
        <f>'Petty-Cash Book'!C81</f>
        <v>0</v>
      </c>
      <c r="D80" s="31">
        <f>'Petty-Cash Book'!D81</f>
        <v>0</v>
      </c>
      <c r="E80" s="31">
        <f>'Petty-Cash Book'!E81</f>
        <v>0</v>
      </c>
      <c r="F80" s="270">
        <f>'Petty-Cash Book'!G81</f>
        <v>0</v>
      </c>
      <c r="G80" s="271">
        <f>'Petty-Cash Book'!F81</f>
        <v>0</v>
      </c>
    </row>
    <row r="81" spans="1:8" ht="30" customHeight="1" x14ac:dyDescent="0.3">
      <c r="A81" s="28">
        <f>'Petty-Cash Book'!A82</f>
        <v>0</v>
      </c>
      <c r="B81" s="29">
        <f>'Petty-Cash Book'!B82</f>
        <v>0</v>
      </c>
      <c r="C81" s="30">
        <f>'Petty-Cash Book'!C82</f>
        <v>0</v>
      </c>
      <c r="D81" s="31">
        <f>'Petty-Cash Book'!D82</f>
        <v>0</v>
      </c>
      <c r="E81" s="31">
        <f>'Petty-Cash Book'!E82</f>
        <v>0</v>
      </c>
      <c r="F81" s="270">
        <f>'Petty-Cash Book'!G82</f>
        <v>0</v>
      </c>
      <c r="G81" s="271">
        <f>'Petty-Cash Book'!F82</f>
        <v>0</v>
      </c>
    </row>
    <row r="82" spans="1:8" ht="30" customHeight="1" x14ac:dyDescent="0.3">
      <c r="A82" s="28">
        <f>'Petty-Cash Book'!A83</f>
        <v>0</v>
      </c>
      <c r="B82" s="29">
        <f>'Petty-Cash Book'!B83</f>
        <v>0</v>
      </c>
      <c r="C82" s="30">
        <f>'Petty-Cash Book'!C83</f>
        <v>0</v>
      </c>
      <c r="D82" s="31">
        <f>'Petty-Cash Book'!D83</f>
        <v>0</v>
      </c>
      <c r="E82" s="31">
        <f>'Petty-Cash Book'!E83</f>
        <v>0</v>
      </c>
      <c r="F82" s="270">
        <f>'Petty-Cash Book'!G83</f>
        <v>0</v>
      </c>
      <c r="G82" s="271">
        <f>'Petty-Cash Book'!F83</f>
        <v>0</v>
      </c>
      <c r="H82" s="250"/>
    </row>
    <row r="83" spans="1:8" ht="30" customHeight="1" x14ac:dyDescent="0.3">
      <c r="A83" s="28">
        <f>'Petty-Cash Book'!A84</f>
        <v>0</v>
      </c>
      <c r="B83" s="29">
        <f>'Petty-Cash Book'!B84</f>
        <v>0</v>
      </c>
      <c r="C83" s="30">
        <f>'Petty-Cash Book'!C84</f>
        <v>0</v>
      </c>
      <c r="D83" s="31">
        <f>'Petty-Cash Book'!D84</f>
        <v>0</v>
      </c>
      <c r="E83" s="31">
        <f>'Petty-Cash Book'!E84</f>
        <v>0</v>
      </c>
      <c r="F83" s="270">
        <f>'Petty-Cash Book'!G84</f>
        <v>0</v>
      </c>
      <c r="G83" s="271">
        <f>'Petty-Cash Book'!F84</f>
        <v>0</v>
      </c>
    </row>
    <row r="84" spans="1:8" ht="30" customHeight="1" x14ac:dyDescent="0.3">
      <c r="A84" s="28">
        <f>'Petty-Cash Book'!A85</f>
        <v>0</v>
      </c>
      <c r="B84" s="29">
        <f>'Petty-Cash Book'!B85</f>
        <v>0</v>
      </c>
      <c r="C84" s="30">
        <f>'Petty-Cash Book'!C85</f>
        <v>0</v>
      </c>
      <c r="D84" s="31">
        <f>'Petty-Cash Book'!D85</f>
        <v>0</v>
      </c>
      <c r="E84" s="31">
        <f>'Petty-Cash Book'!E85</f>
        <v>0</v>
      </c>
      <c r="F84" s="270">
        <f>'Petty-Cash Book'!G85</f>
        <v>0</v>
      </c>
      <c r="G84" s="271">
        <f>'Petty-Cash Book'!F85</f>
        <v>0</v>
      </c>
    </row>
    <row r="85" spans="1:8" ht="30" customHeight="1" x14ac:dyDescent="0.3">
      <c r="A85" s="28">
        <f>'Petty-Cash Book'!A86</f>
        <v>0</v>
      </c>
      <c r="B85" s="29">
        <f>'Petty-Cash Book'!B86</f>
        <v>0</v>
      </c>
      <c r="C85" s="30">
        <f>'Petty-Cash Book'!C86</f>
        <v>0</v>
      </c>
      <c r="D85" s="31">
        <f>'Petty-Cash Book'!D86</f>
        <v>0</v>
      </c>
      <c r="E85" s="31">
        <f>'Petty-Cash Book'!E86</f>
        <v>0</v>
      </c>
      <c r="F85" s="270">
        <f>'Petty-Cash Book'!G86</f>
        <v>0</v>
      </c>
      <c r="G85" s="271">
        <f>'Petty-Cash Book'!F86</f>
        <v>0</v>
      </c>
    </row>
    <row r="86" spans="1:8" ht="30" customHeight="1" x14ac:dyDescent="0.3">
      <c r="A86" s="28">
        <f>'Petty-Cash Book'!A87</f>
        <v>0</v>
      </c>
      <c r="B86" s="29">
        <f>'Petty-Cash Book'!B87</f>
        <v>0</v>
      </c>
      <c r="C86" s="30">
        <f>'Petty-Cash Book'!C87</f>
        <v>0</v>
      </c>
      <c r="D86" s="31">
        <f>'Petty-Cash Book'!D87</f>
        <v>0</v>
      </c>
      <c r="E86" s="31">
        <f>'Petty-Cash Book'!E87</f>
        <v>0</v>
      </c>
      <c r="F86" s="270">
        <f>'Petty-Cash Book'!G87</f>
        <v>0</v>
      </c>
      <c r="G86" s="271">
        <f>'Petty-Cash Book'!F87</f>
        <v>0</v>
      </c>
    </row>
    <row r="87" spans="1:8" ht="30" customHeight="1" x14ac:dyDescent="0.3">
      <c r="A87" s="28">
        <f>'Petty-Cash Book'!A88</f>
        <v>0</v>
      </c>
      <c r="B87" s="29">
        <f>'Petty-Cash Book'!B88</f>
        <v>0</v>
      </c>
      <c r="C87" s="30">
        <f>'Petty-Cash Book'!C88</f>
        <v>0</v>
      </c>
      <c r="D87" s="31">
        <f>'Petty-Cash Book'!D88</f>
        <v>0</v>
      </c>
      <c r="E87" s="31">
        <f>'Petty-Cash Book'!E88</f>
        <v>0</v>
      </c>
      <c r="F87" s="270">
        <f>'Petty-Cash Book'!G88</f>
        <v>0</v>
      </c>
      <c r="G87" s="271">
        <f>'Petty-Cash Book'!F88</f>
        <v>0</v>
      </c>
    </row>
    <row r="88" spans="1:8" ht="30" customHeight="1" x14ac:dyDescent="0.3">
      <c r="A88" s="28">
        <f>'Petty-Cash Book'!A89</f>
        <v>0</v>
      </c>
      <c r="B88" s="29">
        <f>'Petty-Cash Book'!B89</f>
        <v>0</v>
      </c>
      <c r="C88" s="30">
        <f>'Petty-Cash Book'!C89</f>
        <v>0</v>
      </c>
      <c r="D88" s="31">
        <f>'Petty-Cash Book'!D89</f>
        <v>0</v>
      </c>
      <c r="E88" s="31">
        <f>'Petty-Cash Book'!E89</f>
        <v>0</v>
      </c>
      <c r="F88" s="270">
        <f>'Petty-Cash Book'!G89</f>
        <v>0</v>
      </c>
      <c r="G88" s="271">
        <f>'Petty-Cash Book'!F89</f>
        <v>0</v>
      </c>
    </row>
    <row r="89" spans="1:8" ht="30" customHeight="1" x14ac:dyDescent="0.3">
      <c r="A89" s="28">
        <f>'Petty-Cash Book'!A90</f>
        <v>0</v>
      </c>
      <c r="B89" s="29">
        <f>'Petty-Cash Book'!B90</f>
        <v>0</v>
      </c>
      <c r="C89" s="30">
        <f>'Petty-Cash Book'!C90</f>
        <v>0</v>
      </c>
      <c r="D89" s="31">
        <f>'Petty-Cash Book'!D90</f>
        <v>0</v>
      </c>
      <c r="E89" s="31">
        <f>'Petty-Cash Book'!E90</f>
        <v>0</v>
      </c>
      <c r="F89" s="270">
        <f>'Petty-Cash Book'!G90</f>
        <v>0</v>
      </c>
      <c r="G89" s="271">
        <f>'Petty-Cash Book'!F90</f>
        <v>0</v>
      </c>
    </row>
    <row r="90" spans="1:8" ht="30" customHeight="1" x14ac:dyDescent="0.3">
      <c r="A90" s="28">
        <f>'Petty-Cash Book'!A91</f>
        <v>0</v>
      </c>
      <c r="B90" s="29">
        <f>'Petty-Cash Book'!B91</f>
        <v>0</v>
      </c>
      <c r="C90" s="30">
        <f>'Petty-Cash Book'!C91</f>
        <v>0</v>
      </c>
      <c r="D90" s="31">
        <f>'Petty-Cash Book'!D91</f>
        <v>0</v>
      </c>
      <c r="E90" s="31">
        <f>'Petty-Cash Book'!E91</f>
        <v>0</v>
      </c>
      <c r="F90" s="270">
        <f>'Petty-Cash Book'!G91</f>
        <v>0</v>
      </c>
      <c r="G90" s="271">
        <f>'Petty-Cash Book'!F91</f>
        <v>0</v>
      </c>
    </row>
    <row r="91" spans="1:8" ht="30" customHeight="1" x14ac:dyDescent="0.3">
      <c r="A91" s="28">
        <f>'Petty-Cash Book'!A92</f>
        <v>0</v>
      </c>
      <c r="B91" s="29">
        <f>'Petty-Cash Book'!B92</f>
        <v>0</v>
      </c>
      <c r="C91" s="30">
        <f>'Petty-Cash Book'!C92</f>
        <v>0</v>
      </c>
      <c r="D91" s="31">
        <f>'Petty-Cash Book'!D92</f>
        <v>0</v>
      </c>
      <c r="E91" s="31">
        <f>'Petty-Cash Book'!E92</f>
        <v>0</v>
      </c>
      <c r="F91" s="270">
        <f>'Petty-Cash Book'!G92</f>
        <v>0</v>
      </c>
      <c r="G91" s="271">
        <f>'Petty-Cash Book'!F92</f>
        <v>0</v>
      </c>
    </row>
    <row r="92" spans="1:8" ht="30" customHeight="1" x14ac:dyDescent="0.3">
      <c r="A92" s="28">
        <f>'Petty-Cash Book'!A93</f>
        <v>0</v>
      </c>
      <c r="B92" s="29">
        <f>'Petty-Cash Book'!B93</f>
        <v>0</v>
      </c>
      <c r="C92" s="30">
        <f>'Petty-Cash Book'!C93</f>
        <v>0</v>
      </c>
      <c r="D92" s="31">
        <f>'Petty-Cash Book'!D93</f>
        <v>0</v>
      </c>
      <c r="E92" s="31">
        <f>'Petty-Cash Book'!E93</f>
        <v>0</v>
      </c>
      <c r="F92" s="270">
        <f>'Petty-Cash Book'!G93</f>
        <v>0</v>
      </c>
      <c r="G92" s="271">
        <f>'Petty-Cash Book'!F93</f>
        <v>0</v>
      </c>
    </row>
    <row r="93" spans="1:8" ht="30" customHeight="1" x14ac:dyDescent="0.3">
      <c r="A93" s="28">
        <f>'Petty-Cash Book'!A94</f>
        <v>0</v>
      </c>
      <c r="B93" s="29">
        <f>'Petty-Cash Book'!B94</f>
        <v>0</v>
      </c>
      <c r="C93" s="30">
        <f>'Petty-Cash Book'!C94</f>
        <v>0</v>
      </c>
      <c r="D93" s="31">
        <f>'Petty-Cash Book'!D94</f>
        <v>0</v>
      </c>
      <c r="E93" s="31">
        <f>'Petty-Cash Book'!E94</f>
        <v>0</v>
      </c>
      <c r="F93" s="270">
        <f>'Petty-Cash Book'!G94</f>
        <v>0</v>
      </c>
      <c r="G93" s="271">
        <f>'Petty-Cash Book'!F94</f>
        <v>0</v>
      </c>
    </row>
    <row r="94" spans="1:8" ht="30" customHeight="1" x14ac:dyDescent="0.3">
      <c r="A94" s="28">
        <f>'Petty-Cash Book'!A95</f>
        <v>0</v>
      </c>
      <c r="B94" s="29">
        <f>'Petty-Cash Book'!B95</f>
        <v>0</v>
      </c>
      <c r="C94" s="30">
        <f>'Petty-Cash Book'!C95</f>
        <v>0</v>
      </c>
      <c r="D94" s="31">
        <f>'Petty-Cash Book'!D95</f>
        <v>0</v>
      </c>
      <c r="E94" s="31">
        <f>'Petty-Cash Book'!E95</f>
        <v>0</v>
      </c>
      <c r="F94" s="270">
        <f>'Petty-Cash Book'!G95</f>
        <v>0</v>
      </c>
      <c r="G94" s="271">
        <f>'Petty-Cash Book'!F95</f>
        <v>0</v>
      </c>
    </row>
    <row r="95" spans="1:8" ht="30" customHeight="1" x14ac:dyDescent="0.3">
      <c r="A95" s="28">
        <f>'Petty-Cash Book'!A96</f>
        <v>0</v>
      </c>
      <c r="B95" s="29">
        <f>'Petty-Cash Book'!B96</f>
        <v>0</v>
      </c>
      <c r="C95" s="30">
        <f>'Petty-Cash Book'!C96</f>
        <v>0</v>
      </c>
      <c r="D95" s="31">
        <f>'Petty-Cash Book'!D96</f>
        <v>0</v>
      </c>
      <c r="E95" s="31">
        <f>'Petty-Cash Book'!E96</f>
        <v>0</v>
      </c>
      <c r="F95" s="270">
        <f>'Petty-Cash Book'!G96</f>
        <v>0</v>
      </c>
      <c r="G95" s="271">
        <f>'Petty-Cash Book'!F96</f>
        <v>0</v>
      </c>
    </row>
    <row r="96" spans="1:8" ht="30" customHeight="1" x14ac:dyDescent="0.3">
      <c r="A96" s="28">
        <f>'Petty-Cash Book'!A97</f>
        <v>0</v>
      </c>
      <c r="B96" s="29">
        <f>'Petty-Cash Book'!B97</f>
        <v>0</v>
      </c>
      <c r="C96" s="30">
        <f>'Petty-Cash Book'!C97</f>
        <v>0</v>
      </c>
      <c r="D96" s="31">
        <f>'Petty-Cash Book'!D97</f>
        <v>0</v>
      </c>
      <c r="E96" s="31">
        <f>'Petty-Cash Book'!E97</f>
        <v>0</v>
      </c>
      <c r="F96" s="270">
        <f>'Petty-Cash Book'!G97</f>
        <v>0</v>
      </c>
      <c r="G96" s="271">
        <f>'Petty-Cash Book'!F97</f>
        <v>0</v>
      </c>
    </row>
    <row r="97" spans="1:8" ht="30" customHeight="1" x14ac:dyDescent="0.3">
      <c r="A97" s="28">
        <f>'Petty-Cash Book'!A98</f>
        <v>0</v>
      </c>
      <c r="B97" s="29">
        <f>'Petty-Cash Book'!B98</f>
        <v>0</v>
      </c>
      <c r="C97" s="30">
        <f>'Petty-Cash Book'!C98</f>
        <v>0</v>
      </c>
      <c r="D97" s="31">
        <f>'Petty-Cash Book'!D98</f>
        <v>0</v>
      </c>
      <c r="E97" s="31">
        <f>'Petty-Cash Book'!E98</f>
        <v>0</v>
      </c>
      <c r="F97" s="270">
        <f>'Petty-Cash Book'!G98</f>
        <v>0</v>
      </c>
      <c r="G97" s="271">
        <f>'Petty-Cash Book'!F98</f>
        <v>0</v>
      </c>
    </row>
    <row r="98" spans="1:8" ht="30" customHeight="1" x14ac:dyDescent="0.3">
      <c r="A98" s="28">
        <f>'Petty-Cash Book'!A99</f>
        <v>0</v>
      </c>
      <c r="B98" s="29">
        <f>'Petty-Cash Book'!B99</f>
        <v>0</v>
      </c>
      <c r="C98" s="30">
        <f>'Petty-Cash Book'!C99</f>
        <v>0</v>
      </c>
      <c r="D98" s="31">
        <f>'Petty-Cash Book'!D99</f>
        <v>0</v>
      </c>
      <c r="E98" s="31">
        <f>'Petty-Cash Book'!E99</f>
        <v>0</v>
      </c>
      <c r="F98" s="270">
        <f>'Petty-Cash Book'!G99</f>
        <v>0</v>
      </c>
      <c r="G98" s="271">
        <f>'Petty-Cash Book'!F99</f>
        <v>0</v>
      </c>
    </row>
    <row r="99" spans="1:8" ht="30" customHeight="1" x14ac:dyDescent="0.3">
      <c r="A99" s="28">
        <f>'Petty-Cash Book'!A100</f>
        <v>0</v>
      </c>
      <c r="B99" s="29">
        <f>'Petty-Cash Book'!B100</f>
        <v>0</v>
      </c>
      <c r="C99" s="30">
        <f>'Petty-Cash Book'!C100</f>
        <v>0</v>
      </c>
      <c r="D99" s="31">
        <f>'Petty-Cash Book'!D100</f>
        <v>0</v>
      </c>
      <c r="E99" s="31">
        <f>'Petty-Cash Book'!E100</f>
        <v>0</v>
      </c>
      <c r="F99" s="270">
        <f>'Petty-Cash Book'!G100</f>
        <v>0</v>
      </c>
      <c r="G99" s="271">
        <f>'Petty-Cash Book'!F100</f>
        <v>0</v>
      </c>
      <c r="H99" s="250"/>
    </row>
    <row r="100" spans="1:8" ht="30" customHeight="1" x14ac:dyDescent="0.3">
      <c r="A100" s="28">
        <f>'Petty-Cash Book'!A101</f>
        <v>0</v>
      </c>
      <c r="B100" s="29">
        <f>'Petty-Cash Book'!B101</f>
        <v>0</v>
      </c>
      <c r="C100" s="30">
        <f>'Petty-Cash Book'!C101</f>
        <v>0</v>
      </c>
      <c r="D100" s="31">
        <f>'Petty-Cash Book'!D101</f>
        <v>0</v>
      </c>
      <c r="E100" s="31">
        <f>'Petty-Cash Book'!E101</f>
        <v>0</v>
      </c>
      <c r="F100" s="270">
        <f>'Petty-Cash Book'!G101</f>
        <v>0</v>
      </c>
      <c r="G100" s="271">
        <f>'Petty-Cash Book'!F101</f>
        <v>0</v>
      </c>
    </row>
    <row r="101" spans="1:8" ht="30" customHeight="1" x14ac:dyDescent="0.3">
      <c r="A101" s="28">
        <f>'Petty-Cash Book'!A102</f>
        <v>0</v>
      </c>
      <c r="B101" s="29">
        <f>'Petty-Cash Book'!B102</f>
        <v>0</v>
      </c>
      <c r="C101" s="30">
        <f>'Petty-Cash Book'!C102</f>
        <v>0</v>
      </c>
      <c r="D101" s="31">
        <f>'Petty-Cash Book'!D102</f>
        <v>0</v>
      </c>
      <c r="E101" s="31">
        <f>'Petty-Cash Book'!E102</f>
        <v>0</v>
      </c>
      <c r="F101" s="270">
        <f>'Petty-Cash Book'!G102</f>
        <v>0</v>
      </c>
      <c r="G101" s="271">
        <f>'Petty-Cash Book'!F102</f>
        <v>0</v>
      </c>
    </row>
    <row r="102" spans="1:8" ht="30" customHeight="1" x14ac:dyDescent="0.3">
      <c r="A102" s="28">
        <f>'Petty-Cash Book'!A103</f>
        <v>0</v>
      </c>
      <c r="B102" s="29">
        <f>'Petty-Cash Book'!B103</f>
        <v>0</v>
      </c>
      <c r="C102" s="30">
        <f>'Petty-Cash Book'!C103</f>
        <v>0</v>
      </c>
      <c r="D102" s="31">
        <f>'Petty-Cash Book'!D103</f>
        <v>0</v>
      </c>
      <c r="E102" s="31">
        <f>'Petty-Cash Book'!E103</f>
        <v>0</v>
      </c>
      <c r="F102" s="270">
        <f>'Petty-Cash Book'!G103</f>
        <v>0</v>
      </c>
      <c r="G102" s="271">
        <f>'Petty-Cash Book'!F103</f>
        <v>0</v>
      </c>
    </row>
    <row r="103" spans="1:8" ht="30" customHeight="1" x14ac:dyDescent="0.3">
      <c r="A103" s="28">
        <f>'Petty-Cash Book'!A104</f>
        <v>0</v>
      </c>
      <c r="B103" s="29">
        <f>'Petty-Cash Book'!B104</f>
        <v>0</v>
      </c>
      <c r="C103" s="30">
        <f>'Petty-Cash Book'!C104</f>
        <v>0</v>
      </c>
      <c r="D103" s="31">
        <f>'Petty-Cash Book'!D104</f>
        <v>0</v>
      </c>
      <c r="E103" s="31">
        <f>'Petty-Cash Book'!E104</f>
        <v>0</v>
      </c>
      <c r="F103" s="270">
        <f>'Petty-Cash Book'!G104</f>
        <v>0</v>
      </c>
      <c r="G103" s="271">
        <f>'Petty-Cash Book'!F104</f>
        <v>0</v>
      </c>
    </row>
    <row r="104" spans="1:8" ht="30" customHeight="1" x14ac:dyDescent="0.3">
      <c r="A104" s="28">
        <f>'Petty-Cash Book'!A105</f>
        <v>0</v>
      </c>
      <c r="B104" s="29">
        <f>'Petty-Cash Book'!B105</f>
        <v>0</v>
      </c>
      <c r="C104" s="30">
        <f>'Petty-Cash Book'!C105</f>
        <v>0</v>
      </c>
      <c r="D104" s="31">
        <f>'Petty-Cash Book'!D105</f>
        <v>0</v>
      </c>
      <c r="E104" s="31">
        <f>'Petty-Cash Book'!E105</f>
        <v>0</v>
      </c>
      <c r="F104" s="270">
        <f>'Petty-Cash Book'!G105</f>
        <v>0</v>
      </c>
      <c r="G104" s="271">
        <f>'Petty-Cash Book'!F105</f>
        <v>0</v>
      </c>
    </row>
    <row r="105" spans="1:8" ht="30" customHeight="1" x14ac:dyDescent="0.3">
      <c r="A105" s="28">
        <f>'Petty-Cash Book'!A106</f>
        <v>0</v>
      </c>
      <c r="B105" s="29">
        <f>'Petty-Cash Book'!B106</f>
        <v>0</v>
      </c>
      <c r="C105" s="30">
        <f>'Petty-Cash Book'!C106</f>
        <v>0</v>
      </c>
      <c r="D105" s="31">
        <f>'Petty-Cash Book'!D106</f>
        <v>0</v>
      </c>
      <c r="E105" s="31">
        <f>'Petty-Cash Book'!E106</f>
        <v>0</v>
      </c>
      <c r="F105" s="270">
        <f>'Petty-Cash Book'!G106</f>
        <v>0</v>
      </c>
      <c r="G105" s="271">
        <f>'Petty-Cash Book'!F106</f>
        <v>0</v>
      </c>
    </row>
    <row r="106" spans="1:8" ht="30" customHeight="1" x14ac:dyDescent="0.3">
      <c r="A106" s="28">
        <f>'Petty-Cash Book'!A107</f>
        <v>0</v>
      </c>
      <c r="B106" s="29">
        <f>'Petty-Cash Book'!B107</f>
        <v>0</v>
      </c>
      <c r="C106" s="30">
        <f>'Petty-Cash Book'!C107</f>
        <v>0</v>
      </c>
      <c r="D106" s="31">
        <f>'Petty-Cash Book'!D107</f>
        <v>0</v>
      </c>
      <c r="E106" s="31">
        <f>'Petty-Cash Book'!E107</f>
        <v>0</v>
      </c>
      <c r="F106" s="270">
        <f>'Petty-Cash Book'!G107</f>
        <v>0</v>
      </c>
      <c r="G106" s="271">
        <f>'Petty-Cash Book'!F107</f>
        <v>0</v>
      </c>
    </row>
    <row r="107" spans="1:8" ht="30" customHeight="1" x14ac:dyDescent="0.3">
      <c r="A107" s="28">
        <f>'Petty-Cash Book'!A108</f>
        <v>0</v>
      </c>
      <c r="B107" s="29">
        <f>'Petty-Cash Book'!B108</f>
        <v>0</v>
      </c>
      <c r="C107" s="30">
        <f>'Petty-Cash Book'!C108</f>
        <v>0</v>
      </c>
      <c r="D107" s="31">
        <f>'Petty-Cash Book'!D108</f>
        <v>0</v>
      </c>
      <c r="E107" s="31">
        <f>'Petty-Cash Book'!E108</f>
        <v>0</v>
      </c>
      <c r="F107" s="270">
        <f>'Petty-Cash Book'!G108</f>
        <v>0</v>
      </c>
      <c r="G107" s="271">
        <f>'Petty-Cash Book'!F108</f>
        <v>0</v>
      </c>
    </row>
    <row r="108" spans="1:8" ht="30" customHeight="1" x14ac:dyDescent="0.3">
      <c r="A108" s="28">
        <f>'Petty-Cash Book'!A109</f>
        <v>0</v>
      </c>
      <c r="B108" s="29">
        <f>'Petty-Cash Book'!B109</f>
        <v>0</v>
      </c>
      <c r="C108" s="30">
        <f>'Petty-Cash Book'!C109</f>
        <v>0</v>
      </c>
      <c r="D108" s="31">
        <f>'Petty-Cash Book'!D109</f>
        <v>0</v>
      </c>
      <c r="E108" s="31">
        <f>'Petty-Cash Book'!E109</f>
        <v>0</v>
      </c>
      <c r="F108" s="270">
        <f>'Petty-Cash Book'!G109</f>
        <v>0</v>
      </c>
      <c r="G108" s="271">
        <f>'Petty-Cash Book'!F109</f>
        <v>0</v>
      </c>
    </row>
    <row r="109" spans="1:8" ht="30" customHeight="1" x14ac:dyDescent="0.3">
      <c r="A109" s="28">
        <f>'Petty-Cash Book'!A110</f>
        <v>0</v>
      </c>
      <c r="B109" s="29">
        <f>'Petty-Cash Book'!B110</f>
        <v>0</v>
      </c>
      <c r="C109" s="30">
        <f>'Petty-Cash Book'!C110</f>
        <v>0</v>
      </c>
      <c r="D109" s="31">
        <f>'Petty-Cash Book'!D110</f>
        <v>0</v>
      </c>
      <c r="E109" s="31">
        <f>'Petty-Cash Book'!E110</f>
        <v>0</v>
      </c>
      <c r="F109" s="270">
        <f>'Petty-Cash Book'!G110</f>
        <v>0</v>
      </c>
      <c r="G109" s="271">
        <f>'Petty-Cash Book'!F110</f>
        <v>0</v>
      </c>
    </row>
    <row r="110" spans="1:8" ht="30" customHeight="1" x14ac:dyDescent="0.3">
      <c r="A110" s="28">
        <f>'Petty-Cash Book'!A111</f>
        <v>0</v>
      </c>
      <c r="B110" s="29">
        <f>'Petty-Cash Book'!B111</f>
        <v>0</v>
      </c>
      <c r="C110" s="30">
        <f>'Petty-Cash Book'!C111</f>
        <v>0</v>
      </c>
      <c r="D110" s="31">
        <f>'Petty-Cash Book'!D111</f>
        <v>0</v>
      </c>
      <c r="E110" s="31">
        <f>'Petty-Cash Book'!E111</f>
        <v>0</v>
      </c>
      <c r="F110" s="270">
        <f>'Petty-Cash Book'!G111</f>
        <v>0</v>
      </c>
      <c r="G110" s="271">
        <f>'Petty-Cash Book'!F111</f>
        <v>0</v>
      </c>
    </row>
    <row r="111" spans="1:8" ht="30" customHeight="1" x14ac:dyDescent="0.3">
      <c r="A111" s="28">
        <f>'Petty-Cash Book'!A112</f>
        <v>0</v>
      </c>
      <c r="B111" s="29">
        <f>'Petty-Cash Book'!B112</f>
        <v>0</v>
      </c>
      <c r="C111" s="30">
        <f>'Petty-Cash Book'!C112</f>
        <v>0</v>
      </c>
      <c r="D111" s="31">
        <f>'Petty-Cash Book'!D112</f>
        <v>0</v>
      </c>
      <c r="E111" s="31">
        <f>'Petty-Cash Book'!E112</f>
        <v>0</v>
      </c>
      <c r="F111" s="270">
        <f>'Petty-Cash Book'!G112</f>
        <v>0</v>
      </c>
      <c r="G111" s="271">
        <f>'Petty-Cash Book'!F112</f>
        <v>0</v>
      </c>
    </row>
    <row r="112" spans="1:8" ht="30" customHeight="1" x14ac:dyDescent="0.3">
      <c r="A112" s="28">
        <f>'Petty-Cash Book'!A113</f>
        <v>0</v>
      </c>
      <c r="B112" s="29">
        <f>'Petty-Cash Book'!B113</f>
        <v>0</v>
      </c>
      <c r="C112" s="30">
        <f>'Petty-Cash Book'!C113</f>
        <v>0</v>
      </c>
      <c r="D112" s="31">
        <f>'Petty-Cash Book'!D113</f>
        <v>0</v>
      </c>
      <c r="E112" s="31">
        <f>'Petty-Cash Book'!E113</f>
        <v>0</v>
      </c>
      <c r="F112" s="270">
        <f>'Petty-Cash Book'!G113</f>
        <v>0</v>
      </c>
      <c r="G112" s="271">
        <f>'Petty-Cash Book'!F113</f>
        <v>0</v>
      </c>
      <c r="H112" s="250"/>
    </row>
    <row r="113" spans="1:8" ht="30" customHeight="1" x14ac:dyDescent="0.3">
      <c r="A113" s="28">
        <f>'Petty-Cash Book'!A114</f>
        <v>0</v>
      </c>
      <c r="B113" s="29">
        <f>'Petty-Cash Book'!B114</f>
        <v>0</v>
      </c>
      <c r="C113" s="30">
        <f>'Petty-Cash Book'!C114</f>
        <v>0</v>
      </c>
      <c r="D113" s="31">
        <f>'Petty-Cash Book'!D114</f>
        <v>0</v>
      </c>
      <c r="E113" s="31">
        <f>'Petty-Cash Book'!E114</f>
        <v>0</v>
      </c>
      <c r="F113" s="270">
        <f>'Petty-Cash Book'!G114</f>
        <v>0</v>
      </c>
      <c r="G113" s="271">
        <f>'Petty-Cash Book'!F114</f>
        <v>0</v>
      </c>
    </row>
    <row r="114" spans="1:8" ht="30" customHeight="1" x14ac:dyDescent="0.3">
      <c r="A114" s="28">
        <f>'Petty-Cash Book'!A115</f>
        <v>0</v>
      </c>
      <c r="B114" s="29">
        <f>'Petty-Cash Book'!B115</f>
        <v>0</v>
      </c>
      <c r="C114" s="30">
        <f>'Petty-Cash Book'!C115</f>
        <v>0</v>
      </c>
      <c r="D114" s="31">
        <f>'Petty-Cash Book'!D115</f>
        <v>0</v>
      </c>
      <c r="E114" s="31">
        <f>'Petty-Cash Book'!E115</f>
        <v>0</v>
      </c>
      <c r="F114" s="270">
        <f>'Petty-Cash Book'!G115</f>
        <v>0</v>
      </c>
      <c r="G114" s="271">
        <f>'Petty-Cash Book'!F115</f>
        <v>0</v>
      </c>
    </row>
    <row r="115" spans="1:8" ht="30" customHeight="1" x14ac:dyDescent="0.3">
      <c r="A115" s="28">
        <f>'Petty-Cash Book'!A116</f>
        <v>0</v>
      </c>
      <c r="B115" s="29">
        <f>'Petty-Cash Book'!B116</f>
        <v>0</v>
      </c>
      <c r="C115" s="30">
        <f>'Petty-Cash Book'!C116</f>
        <v>0</v>
      </c>
      <c r="D115" s="31">
        <f>'Petty-Cash Book'!D116</f>
        <v>0</v>
      </c>
      <c r="E115" s="31">
        <f>'Petty-Cash Book'!E116</f>
        <v>0</v>
      </c>
      <c r="F115" s="270">
        <f>'Petty-Cash Book'!G116</f>
        <v>0</v>
      </c>
      <c r="G115" s="271">
        <f>'Petty-Cash Book'!F116</f>
        <v>0</v>
      </c>
    </row>
    <row r="116" spans="1:8" ht="30" customHeight="1" x14ac:dyDescent="0.3">
      <c r="A116" s="28">
        <f>'Petty-Cash Book'!A117</f>
        <v>0</v>
      </c>
      <c r="B116" s="29">
        <f>'Petty-Cash Book'!B117</f>
        <v>0</v>
      </c>
      <c r="C116" s="30">
        <f>'Petty-Cash Book'!C117</f>
        <v>0</v>
      </c>
      <c r="D116" s="31">
        <f>'Petty-Cash Book'!D117</f>
        <v>0</v>
      </c>
      <c r="E116" s="31">
        <f>'Petty-Cash Book'!E117</f>
        <v>0</v>
      </c>
      <c r="F116" s="270">
        <f>'Petty-Cash Book'!G117</f>
        <v>0</v>
      </c>
      <c r="G116" s="271">
        <f>'Petty-Cash Book'!F117</f>
        <v>0</v>
      </c>
    </row>
    <row r="117" spans="1:8" ht="30" customHeight="1" x14ac:dyDescent="0.3">
      <c r="A117" s="28">
        <f>'Petty-Cash Book'!A118</f>
        <v>0</v>
      </c>
      <c r="B117" s="29">
        <f>'Petty-Cash Book'!B118</f>
        <v>0</v>
      </c>
      <c r="C117" s="30">
        <f>'Petty-Cash Book'!C118</f>
        <v>0</v>
      </c>
      <c r="D117" s="31">
        <f>'Petty-Cash Book'!D118</f>
        <v>0</v>
      </c>
      <c r="E117" s="31">
        <f>'Petty-Cash Book'!E118</f>
        <v>0</v>
      </c>
      <c r="F117" s="270">
        <f>'Petty-Cash Book'!G118</f>
        <v>0</v>
      </c>
      <c r="G117" s="271">
        <f>'Petty-Cash Book'!F118</f>
        <v>0</v>
      </c>
    </row>
    <row r="118" spans="1:8" ht="30" customHeight="1" x14ac:dyDescent="0.3">
      <c r="A118" s="28">
        <f>'Petty-Cash Book'!A119</f>
        <v>0</v>
      </c>
      <c r="B118" s="29">
        <f>'Petty-Cash Book'!B119</f>
        <v>0</v>
      </c>
      <c r="C118" s="30">
        <f>'Petty-Cash Book'!C119</f>
        <v>0</v>
      </c>
      <c r="D118" s="31">
        <f>'Petty-Cash Book'!D119</f>
        <v>0</v>
      </c>
      <c r="E118" s="31">
        <f>'Petty-Cash Book'!E119</f>
        <v>0</v>
      </c>
      <c r="F118" s="270">
        <f>'Petty-Cash Book'!G119</f>
        <v>0</v>
      </c>
      <c r="G118" s="271">
        <f>'Petty-Cash Book'!F119</f>
        <v>0</v>
      </c>
    </row>
    <row r="119" spans="1:8" ht="30" customHeight="1" x14ac:dyDescent="0.3">
      <c r="A119" s="28">
        <f>'Petty-Cash Book'!A120</f>
        <v>0</v>
      </c>
      <c r="B119" s="29">
        <f>'Petty-Cash Book'!B120</f>
        <v>0</v>
      </c>
      <c r="C119" s="30">
        <f>'Petty-Cash Book'!C120</f>
        <v>0</v>
      </c>
      <c r="D119" s="31">
        <f>'Petty-Cash Book'!D120</f>
        <v>0</v>
      </c>
      <c r="E119" s="31">
        <f>'Petty-Cash Book'!E120</f>
        <v>0</v>
      </c>
      <c r="F119" s="270">
        <f>'Petty-Cash Book'!G120</f>
        <v>0</v>
      </c>
      <c r="G119" s="271">
        <f>'Petty-Cash Book'!F120</f>
        <v>0</v>
      </c>
    </row>
    <row r="120" spans="1:8" ht="30" customHeight="1" x14ac:dyDescent="0.3">
      <c r="A120" s="28">
        <f>'Petty-Cash Book'!A121</f>
        <v>0</v>
      </c>
      <c r="B120" s="29">
        <f>'Petty-Cash Book'!B121</f>
        <v>0</v>
      </c>
      <c r="C120" s="30">
        <f>'Petty-Cash Book'!C121</f>
        <v>0</v>
      </c>
      <c r="D120" s="31">
        <f>'Petty-Cash Book'!D121</f>
        <v>0</v>
      </c>
      <c r="E120" s="31">
        <f>'Petty-Cash Book'!E121</f>
        <v>0</v>
      </c>
      <c r="F120" s="270">
        <f>'Petty-Cash Book'!G121</f>
        <v>0</v>
      </c>
      <c r="G120" s="271">
        <f>'Petty-Cash Book'!F121</f>
        <v>0</v>
      </c>
    </row>
    <row r="121" spans="1:8" ht="30" customHeight="1" x14ac:dyDescent="0.3">
      <c r="A121" s="28">
        <f>'Petty-Cash Book'!A122</f>
        <v>0</v>
      </c>
      <c r="B121" s="29">
        <f>'Petty-Cash Book'!B122</f>
        <v>0</v>
      </c>
      <c r="C121" s="30">
        <f>'Petty-Cash Book'!C122</f>
        <v>0</v>
      </c>
      <c r="D121" s="31">
        <f>'Petty-Cash Book'!D122</f>
        <v>0</v>
      </c>
      <c r="E121" s="31">
        <f>'Petty-Cash Book'!E122</f>
        <v>0</v>
      </c>
      <c r="F121" s="270">
        <f>'Petty-Cash Book'!G122</f>
        <v>0</v>
      </c>
      <c r="G121" s="271">
        <f>'Petty-Cash Book'!F122</f>
        <v>0</v>
      </c>
    </row>
    <row r="122" spans="1:8" ht="30" customHeight="1" x14ac:dyDescent="0.3">
      <c r="A122" s="28">
        <f>'Petty-Cash Book'!A123</f>
        <v>0</v>
      </c>
      <c r="B122" s="29">
        <f>'Petty-Cash Book'!B123</f>
        <v>0</v>
      </c>
      <c r="C122" s="30">
        <f>'Petty-Cash Book'!C123</f>
        <v>0</v>
      </c>
      <c r="D122" s="31">
        <f>'Petty-Cash Book'!D123</f>
        <v>0</v>
      </c>
      <c r="E122" s="31">
        <f>'Petty-Cash Book'!E123</f>
        <v>0</v>
      </c>
      <c r="F122" s="270">
        <f>'Petty-Cash Book'!G123</f>
        <v>0</v>
      </c>
      <c r="G122" s="271">
        <f>'Petty-Cash Book'!F123</f>
        <v>0</v>
      </c>
      <c r="H122" s="250"/>
    </row>
    <row r="123" spans="1:8" ht="30" customHeight="1" x14ac:dyDescent="0.3">
      <c r="A123" s="28">
        <f>'Petty-Cash Book'!A124</f>
        <v>0</v>
      </c>
      <c r="B123" s="29">
        <f>'Petty-Cash Book'!B124</f>
        <v>0</v>
      </c>
      <c r="C123" s="30">
        <f>'Petty-Cash Book'!C124</f>
        <v>0</v>
      </c>
      <c r="D123" s="31">
        <f>'Petty-Cash Book'!D124</f>
        <v>0</v>
      </c>
      <c r="E123" s="31">
        <f>'Petty-Cash Book'!E124</f>
        <v>0</v>
      </c>
      <c r="F123" s="270">
        <f>'Petty-Cash Book'!G124</f>
        <v>0</v>
      </c>
      <c r="G123" s="271">
        <f>'Petty-Cash Book'!F124</f>
        <v>0</v>
      </c>
    </row>
    <row r="124" spans="1:8" ht="30" customHeight="1" x14ac:dyDescent="0.3">
      <c r="A124" s="28">
        <f>'Petty-Cash Book'!A125</f>
        <v>0</v>
      </c>
      <c r="B124" s="29">
        <f>'Petty-Cash Book'!B125</f>
        <v>0</v>
      </c>
      <c r="C124" s="30">
        <f>'Petty-Cash Book'!C125</f>
        <v>0</v>
      </c>
      <c r="D124" s="31">
        <f>'Petty-Cash Book'!D125</f>
        <v>0</v>
      </c>
      <c r="E124" s="31">
        <f>'Petty-Cash Book'!E125</f>
        <v>0</v>
      </c>
      <c r="F124" s="270">
        <f>'Petty-Cash Book'!G125</f>
        <v>0</v>
      </c>
      <c r="G124" s="271">
        <f>'Petty-Cash Book'!F125</f>
        <v>0</v>
      </c>
    </row>
    <row r="125" spans="1:8" ht="30" customHeight="1" x14ac:dyDescent="0.3">
      <c r="A125" s="28">
        <f>'Petty-Cash Book'!A126</f>
        <v>0</v>
      </c>
      <c r="B125" s="29">
        <f>'Petty-Cash Book'!B126</f>
        <v>0</v>
      </c>
      <c r="C125" s="30">
        <f>'Petty-Cash Book'!C126</f>
        <v>0</v>
      </c>
      <c r="D125" s="31">
        <f>'Petty-Cash Book'!D126</f>
        <v>0</v>
      </c>
      <c r="E125" s="31">
        <f>'Petty-Cash Book'!E126</f>
        <v>0</v>
      </c>
      <c r="F125" s="270">
        <f>'Petty-Cash Book'!G126</f>
        <v>0</v>
      </c>
      <c r="G125" s="271">
        <f>'Petty-Cash Book'!F126</f>
        <v>0</v>
      </c>
    </row>
    <row r="126" spans="1:8" ht="30" customHeight="1" x14ac:dyDescent="0.3">
      <c r="A126" s="28">
        <f>'Petty-Cash Book'!A127</f>
        <v>0</v>
      </c>
      <c r="B126" s="29">
        <f>'Petty-Cash Book'!B127</f>
        <v>0</v>
      </c>
      <c r="C126" s="30">
        <f>'Petty-Cash Book'!C127</f>
        <v>0</v>
      </c>
      <c r="D126" s="31">
        <f>'Petty-Cash Book'!D127</f>
        <v>0</v>
      </c>
      <c r="E126" s="31">
        <f>'Petty-Cash Book'!E127</f>
        <v>0</v>
      </c>
      <c r="F126" s="270">
        <f>'Petty-Cash Book'!G127</f>
        <v>0</v>
      </c>
      <c r="G126" s="271">
        <f>'Petty-Cash Book'!F127</f>
        <v>0</v>
      </c>
    </row>
    <row r="127" spans="1:8" ht="30" customHeight="1" x14ac:dyDescent="0.3">
      <c r="A127" s="28">
        <f>'Petty-Cash Book'!A128</f>
        <v>0</v>
      </c>
      <c r="B127" s="29">
        <f>'Petty-Cash Book'!B128</f>
        <v>0</v>
      </c>
      <c r="C127" s="30">
        <f>'Petty-Cash Book'!C128</f>
        <v>0</v>
      </c>
      <c r="D127" s="31">
        <f>'Petty-Cash Book'!D128</f>
        <v>0</v>
      </c>
      <c r="E127" s="31">
        <f>'Petty-Cash Book'!E128</f>
        <v>0</v>
      </c>
      <c r="F127" s="270">
        <f>'Petty-Cash Book'!G128</f>
        <v>0</v>
      </c>
      <c r="G127" s="271">
        <f>'Petty-Cash Book'!F128</f>
        <v>0</v>
      </c>
    </row>
    <row r="128" spans="1:8" ht="30" customHeight="1" x14ac:dyDescent="0.3">
      <c r="A128" s="28">
        <f>'Petty-Cash Book'!A129</f>
        <v>0</v>
      </c>
      <c r="B128" s="29">
        <f>'Petty-Cash Book'!B129</f>
        <v>0</v>
      </c>
      <c r="C128" s="30">
        <f>'Petty-Cash Book'!C129</f>
        <v>0</v>
      </c>
      <c r="D128" s="31">
        <f>'Petty-Cash Book'!D129</f>
        <v>0</v>
      </c>
      <c r="E128" s="31">
        <f>'Petty-Cash Book'!E129</f>
        <v>0</v>
      </c>
      <c r="F128" s="270">
        <f>'Petty-Cash Book'!G129</f>
        <v>0</v>
      </c>
      <c r="G128" s="271">
        <f>'Petty-Cash Book'!F129</f>
        <v>0</v>
      </c>
    </row>
    <row r="129" spans="1:8" ht="30" customHeight="1" x14ac:dyDescent="0.3">
      <c r="A129" s="28">
        <f>'Petty-Cash Book'!A130</f>
        <v>0</v>
      </c>
      <c r="B129" s="29">
        <f>'Petty-Cash Book'!B130</f>
        <v>0</v>
      </c>
      <c r="C129" s="30">
        <f>'Petty-Cash Book'!C130</f>
        <v>0</v>
      </c>
      <c r="D129" s="31">
        <f>'Petty-Cash Book'!D130</f>
        <v>0</v>
      </c>
      <c r="E129" s="31">
        <f>'Petty-Cash Book'!E130</f>
        <v>0</v>
      </c>
      <c r="F129" s="270">
        <f>'Petty-Cash Book'!G130</f>
        <v>0</v>
      </c>
      <c r="G129" s="271">
        <f>'Petty-Cash Book'!F130</f>
        <v>0</v>
      </c>
    </row>
    <row r="130" spans="1:8" ht="30" customHeight="1" x14ac:dyDescent="0.3">
      <c r="A130" s="28">
        <f>'Petty-Cash Book'!A131</f>
        <v>0</v>
      </c>
      <c r="B130" s="29">
        <f>'Petty-Cash Book'!B131</f>
        <v>0</v>
      </c>
      <c r="C130" s="30">
        <f>'Petty-Cash Book'!C131</f>
        <v>0</v>
      </c>
      <c r="D130" s="31">
        <f>'Petty-Cash Book'!D131</f>
        <v>0</v>
      </c>
      <c r="E130" s="31">
        <f>'Petty-Cash Book'!E131</f>
        <v>0</v>
      </c>
      <c r="F130" s="270">
        <f>'Petty-Cash Book'!G131</f>
        <v>0</v>
      </c>
      <c r="G130" s="271">
        <f>'Petty-Cash Book'!F131</f>
        <v>0</v>
      </c>
    </row>
    <row r="131" spans="1:8" ht="30" customHeight="1" x14ac:dyDescent="0.3">
      <c r="A131" s="28">
        <f>'Petty-Cash Book'!A132</f>
        <v>0</v>
      </c>
      <c r="B131" s="29">
        <f>'Petty-Cash Book'!B132</f>
        <v>0</v>
      </c>
      <c r="C131" s="30">
        <f>'Petty-Cash Book'!C132</f>
        <v>0</v>
      </c>
      <c r="D131" s="31">
        <f>'Petty-Cash Book'!D132</f>
        <v>0</v>
      </c>
      <c r="E131" s="31">
        <f>'Petty-Cash Book'!E132</f>
        <v>0</v>
      </c>
      <c r="F131" s="270">
        <f>'Petty-Cash Book'!G132</f>
        <v>0</v>
      </c>
      <c r="G131" s="271">
        <f>'Petty-Cash Book'!F132</f>
        <v>0</v>
      </c>
    </row>
    <row r="132" spans="1:8" ht="30" customHeight="1" x14ac:dyDescent="0.3">
      <c r="A132" s="28">
        <f>'Petty-Cash Book'!A133</f>
        <v>0</v>
      </c>
      <c r="B132" s="29">
        <f>'Petty-Cash Book'!B133</f>
        <v>0</v>
      </c>
      <c r="C132" s="30">
        <f>'Petty-Cash Book'!C133</f>
        <v>0</v>
      </c>
      <c r="D132" s="31">
        <f>'Petty-Cash Book'!D133</f>
        <v>0</v>
      </c>
      <c r="E132" s="31">
        <f>'Petty-Cash Book'!E133</f>
        <v>0</v>
      </c>
      <c r="F132" s="270">
        <f>'Petty-Cash Book'!G133</f>
        <v>0</v>
      </c>
      <c r="G132" s="271">
        <f>'Petty-Cash Book'!F133</f>
        <v>0</v>
      </c>
    </row>
    <row r="133" spans="1:8" ht="30" customHeight="1" x14ac:dyDescent="0.3">
      <c r="A133" s="28">
        <f>'Petty-Cash Book'!A134</f>
        <v>0</v>
      </c>
      <c r="B133" s="29">
        <f>'Petty-Cash Book'!B134</f>
        <v>0</v>
      </c>
      <c r="C133" s="30">
        <f>'Petty-Cash Book'!C134</f>
        <v>0</v>
      </c>
      <c r="D133" s="31">
        <f>'Petty-Cash Book'!D134</f>
        <v>0</v>
      </c>
      <c r="E133" s="31">
        <f>'Petty-Cash Book'!E134</f>
        <v>0</v>
      </c>
      <c r="F133" s="270">
        <f>'Petty-Cash Book'!G134</f>
        <v>0</v>
      </c>
      <c r="G133" s="271">
        <f>'Petty-Cash Book'!F134</f>
        <v>0</v>
      </c>
    </row>
    <row r="134" spans="1:8" ht="30" customHeight="1" x14ac:dyDescent="0.3">
      <c r="A134" s="28">
        <f>'Petty-Cash Book'!A135</f>
        <v>0</v>
      </c>
      <c r="B134" s="29">
        <f>'Petty-Cash Book'!B135</f>
        <v>0</v>
      </c>
      <c r="C134" s="30">
        <f>'Petty-Cash Book'!C135</f>
        <v>0</v>
      </c>
      <c r="D134" s="31">
        <f>'Petty-Cash Book'!D135</f>
        <v>0</v>
      </c>
      <c r="E134" s="31">
        <f>'Petty-Cash Book'!E135</f>
        <v>0</v>
      </c>
      <c r="F134" s="270">
        <f>'Petty-Cash Book'!G135</f>
        <v>0</v>
      </c>
      <c r="G134" s="271">
        <f>'Petty-Cash Book'!F135</f>
        <v>0</v>
      </c>
    </row>
    <row r="135" spans="1:8" ht="30" customHeight="1" x14ac:dyDescent="0.3">
      <c r="A135" s="28">
        <f>'Petty-Cash Book'!A136</f>
        <v>0</v>
      </c>
      <c r="B135" s="29">
        <f>'Petty-Cash Book'!B136</f>
        <v>0</v>
      </c>
      <c r="C135" s="30">
        <f>'Petty-Cash Book'!C136</f>
        <v>0</v>
      </c>
      <c r="D135" s="31">
        <f>'Petty-Cash Book'!D136</f>
        <v>0</v>
      </c>
      <c r="E135" s="31">
        <f>'Petty-Cash Book'!E136</f>
        <v>0</v>
      </c>
      <c r="F135" s="270">
        <f>'Petty-Cash Book'!G136</f>
        <v>0</v>
      </c>
      <c r="G135" s="271">
        <f>'Petty-Cash Book'!F136</f>
        <v>0</v>
      </c>
      <c r="H135" s="250"/>
    </row>
    <row r="136" spans="1:8" ht="30" customHeight="1" x14ac:dyDescent="0.3">
      <c r="A136" s="28">
        <f>'Petty-Cash Book'!A137</f>
        <v>0</v>
      </c>
      <c r="B136" s="29">
        <f>'Petty-Cash Book'!B137</f>
        <v>0</v>
      </c>
      <c r="C136" s="30">
        <f>'Petty-Cash Book'!C137</f>
        <v>0</v>
      </c>
      <c r="D136" s="31">
        <f>'Petty-Cash Book'!D137</f>
        <v>0</v>
      </c>
      <c r="E136" s="31">
        <f>'Petty-Cash Book'!E137</f>
        <v>0</v>
      </c>
      <c r="F136" s="270">
        <f>'Petty-Cash Book'!G137</f>
        <v>0</v>
      </c>
      <c r="G136" s="271">
        <f>'Petty-Cash Book'!F137</f>
        <v>0</v>
      </c>
    </row>
    <row r="137" spans="1:8" ht="30" customHeight="1" x14ac:dyDescent="0.3">
      <c r="A137" s="28">
        <f>'Petty-Cash Book'!A138</f>
        <v>0</v>
      </c>
      <c r="B137" s="29">
        <f>'Petty-Cash Book'!B138</f>
        <v>0</v>
      </c>
      <c r="C137" s="30">
        <f>'Petty-Cash Book'!C138</f>
        <v>0</v>
      </c>
      <c r="D137" s="31">
        <f>'Petty-Cash Book'!D138</f>
        <v>0</v>
      </c>
      <c r="E137" s="31">
        <f>'Petty-Cash Book'!E138</f>
        <v>0</v>
      </c>
      <c r="F137" s="270">
        <f>'Petty-Cash Book'!G138</f>
        <v>0</v>
      </c>
      <c r="G137" s="271">
        <f>'Petty-Cash Book'!F138</f>
        <v>0</v>
      </c>
    </row>
    <row r="138" spans="1:8" ht="30" customHeight="1" x14ac:dyDescent="0.3">
      <c r="A138" s="28">
        <f>'Petty-Cash Book'!A139</f>
        <v>0</v>
      </c>
      <c r="B138" s="29">
        <f>'Petty-Cash Book'!B139</f>
        <v>0</v>
      </c>
      <c r="C138" s="30">
        <f>'Petty-Cash Book'!C139</f>
        <v>0</v>
      </c>
      <c r="D138" s="31">
        <f>'Petty-Cash Book'!D139</f>
        <v>0</v>
      </c>
      <c r="E138" s="31">
        <f>'Petty-Cash Book'!E139</f>
        <v>0</v>
      </c>
      <c r="F138" s="270">
        <f>'Petty-Cash Book'!G139</f>
        <v>0</v>
      </c>
      <c r="G138" s="271">
        <f>'Petty-Cash Book'!F139</f>
        <v>0</v>
      </c>
    </row>
    <row r="139" spans="1:8" ht="30" customHeight="1" x14ac:dyDescent="0.3">
      <c r="A139" s="28">
        <f>'Petty-Cash Book'!A140</f>
        <v>0</v>
      </c>
      <c r="B139" s="29">
        <f>'Petty-Cash Book'!B140</f>
        <v>0</v>
      </c>
      <c r="C139" s="30">
        <f>'Petty-Cash Book'!C140</f>
        <v>0</v>
      </c>
      <c r="D139" s="31">
        <f>'Petty-Cash Book'!D140</f>
        <v>0</v>
      </c>
      <c r="E139" s="31">
        <f>'Petty-Cash Book'!E140</f>
        <v>0</v>
      </c>
      <c r="F139" s="270">
        <f>'Petty-Cash Book'!G140</f>
        <v>0</v>
      </c>
      <c r="G139" s="271">
        <f>'Petty-Cash Book'!F140</f>
        <v>0</v>
      </c>
    </row>
    <row r="140" spans="1:8" ht="30" customHeight="1" x14ac:dyDescent="0.3">
      <c r="A140" s="28">
        <f>'Petty-Cash Book'!A141</f>
        <v>0</v>
      </c>
      <c r="B140" s="29">
        <f>'Petty-Cash Book'!B141</f>
        <v>0</v>
      </c>
      <c r="C140" s="30">
        <f>'Petty-Cash Book'!C141</f>
        <v>0</v>
      </c>
      <c r="D140" s="31">
        <f>'Petty-Cash Book'!D141</f>
        <v>0</v>
      </c>
      <c r="E140" s="31">
        <f>'Petty-Cash Book'!E141</f>
        <v>0</v>
      </c>
      <c r="F140" s="270">
        <f>'Petty-Cash Book'!G141</f>
        <v>0</v>
      </c>
      <c r="G140" s="271">
        <f>'Petty-Cash Book'!F141</f>
        <v>0</v>
      </c>
    </row>
    <row r="141" spans="1:8" ht="30" customHeight="1" x14ac:dyDescent="0.3">
      <c r="A141" s="28">
        <f>'Petty-Cash Book'!A142</f>
        <v>0</v>
      </c>
      <c r="B141" s="29">
        <f>'Petty-Cash Book'!B142</f>
        <v>0</v>
      </c>
      <c r="C141" s="30">
        <f>'Petty-Cash Book'!C142</f>
        <v>0</v>
      </c>
      <c r="D141" s="31">
        <f>'Petty-Cash Book'!D142</f>
        <v>0</v>
      </c>
      <c r="E141" s="31">
        <f>'Petty-Cash Book'!E142</f>
        <v>0</v>
      </c>
      <c r="F141" s="270">
        <f>'Petty-Cash Book'!G142</f>
        <v>0</v>
      </c>
      <c r="G141" s="271">
        <f>'Petty-Cash Book'!F142</f>
        <v>0</v>
      </c>
    </row>
    <row r="142" spans="1:8" ht="30" customHeight="1" x14ac:dyDescent="0.3">
      <c r="A142" s="28">
        <f>'Petty-Cash Book'!A143</f>
        <v>0</v>
      </c>
      <c r="B142" s="29">
        <f>'Petty-Cash Book'!B143</f>
        <v>0</v>
      </c>
      <c r="C142" s="30">
        <f>'Petty-Cash Book'!C143</f>
        <v>0</v>
      </c>
      <c r="D142" s="31">
        <f>'Petty-Cash Book'!D143</f>
        <v>0</v>
      </c>
      <c r="E142" s="31">
        <f>'Petty-Cash Book'!E143</f>
        <v>0</v>
      </c>
      <c r="F142" s="270">
        <f>'Petty-Cash Book'!G143</f>
        <v>0</v>
      </c>
      <c r="G142" s="271">
        <f>'Petty-Cash Book'!F143</f>
        <v>0</v>
      </c>
    </row>
    <row r="143" spans="1:8" ht="30" customHeight="1" x14ac:dyDescent="0.3">
      <c r="A143" s="28">
        <f>'Petty-Cash Book'!A144</f>
        <v>0</v>
      </c>
      <c r="B143" s="29">
        <f>'Petty-Cash Book'!B144</f>
        <v>0</v>
      </c>
      <c r="C143" s="30">
        <f>'Petty-Cash Book'!C144</f>
        <v>0</v>
      </c>
      <c r="D143" s="31">
        <f>'Petty-Cash Book'!D144</f>
        <v>0</v>
      </c>
      <c r="E143" s="31">
        <f>'Petty-Cash Book'!E144</f>
        <v>0</v>
      </c>
      <c r="F143" s="270">
        <f>'Petty-Cash Book'!G144</f>
        <v>0</v>
      </c>
      <c r="G143" s="271">
        <f>'Petty-Cash Book'!F144</f>
        <v>0</v>
      </c>
    </row>
    <row r="144" spans="1:8" ht="30" customHeight="1" x14ac:dyDescent="0.3">
      <c r="A144" s="28">
        <f>'Petty-Cash Book'!A145</f>
        <v>0</v>
      </c>
      <c r="B144" s="29">
        <f>'Petty-Cash Book'!B145</f>
        <v>0</v>
      </c>
      <c r="C144" s="30">
        <f>'Petty-Cash Book'!C145</f>
        <v>0</v>
      </c>
      <c r="D144" s="31">
        <f>'Petty-Cash Book'!D145</f>
        <v>0</v>
      </c>
      <c r="E144" s="31">
        <f>'Petty-Cash Book'!E145</f>
        <v>0</v>
      </c>
      <c r="F144" s="270">
        <f>'Petty-Cash Book'!G145</f>
        <v>0</v>
      </c>
      <c r="G144" s="271">
        <f>'Petty-Cash Book'!F145</f>
        <v>0</v>
      </c>
    </row>
    <row r="145" spans="1:8" ht="30" customHeight="1" x14ac:dyDescent="0.3">
      <c r="A145" s="28">
        <f>'Petty-Cash Book'!A146</f>
        <v>0</v>
      </c>
      <c r="B145" s="29">
        <f>'Petty-Cash Book'!B146</f>
        <v>0</v>
      </c>
      <c r="C145" s="30">
        <f>'Petty-Cash Book'!C146</f>
        <v>0</v>
      </c>
      <c r="D145" s="31">
        <f>'Petty-Cash Book'!D146</f>
        <v>0</v>
      </c>
      <c r="E145" s="31">
        <f>'Petty-Cash Book'!E146</f>
        <v>0</v>
      </c>
      <c r="F145" s="270">
        <f>'Petty-Cash Book'!G146</f>
        <v>0</v>
      </c>
      <c r="G145" s="271">
        <f>'Petty-Cash Book'!F146</f>
        <v>0</v>
      </c>
    </row>
    <row r="146" spans="1:8" ht="30" customHeight="1" x14ac:dyDescent="0.3">
      <c r="A146" s="28">
        <f>'Petty-Cash Book'!A147</f>
        <v>0</v>
      </c>
      <c r="B146" s="29">
        <f>'Petty-Cash Book'!B147</f>
        <v>0</v>
      </c>
      <c r="C146" s="30">
        <f>'Petty-Cash Book'!C147</f>
        <v>0</v>
      </c>
      <c r="D146" s="31">
        <f>'Petty-Cash Book'!D147</f>
        <v>0</v>
      </c>
      <c r="E146" s="31">
        <f>'Petty-Cash Book'!E147</f>
        <v>0</v>
      </c>
      <c r="F146" s="270">
        <f>'Petty-Cash Book'!G147</f>
        <v>0</v>
      </c>
      <c r="G146" s="271">
        <f>'Petty-Cash Book'!F147</f>
        <v>0</v>
      </c>
    </row>
    <row r="147" spans="1:8" ht="30" customHeight="1" x14ac:dyDescent="0.3">
      <c r="A147" s="28">
        <f>'Petty-Cash Book'!A148</f>
        <v>0</v>
      </c>
      <c r="B147" s="29">
        <f>'Petty-Cash Book'!B148</f>
        <v>0</v>
      </c>
      <c r="C147" s="30">
        <f>'Petty-Cash Book'!C148</f>
        <v>0</v>
      </c>
      <c r="D147" s="31">
        <f>'Petty-Cash Book'!D148</f>
        <v>0</v>
      </c>
      <c r="E147" s="31">
        <f>'Petty-Cash Book'!E148</f>
        <v>0</v>
      </c>
      <c r="F147" s="270">
        <f>'Petty-Cash Book'!G148</f>
        <v>0</v>
      </c>
      <c r="G147" s="271">
        <f>'Petty-Cash Book'!F148</f>
        <v>0</v>
      </c>
    </row>
    <row r="148" spans="1:8" ht="30" customHeight="1" x14ac:dyDescent="0.3">
      <c r="A148" s="28">
        <f>'Petty-Cash Book'!A149</f>
        <v>0</v>
      </c>
      <c r="B148" s="29">
        <f>'Petty-Cash Book'!B149</f>
        <v>0</v>
      </c>
      <c r="C148" s="30">
        <f>'Petty-Cash Book'!C149</f>
        <v>0</v>
      </c>
      <c r="D148" s="31">
        <f>'Petty-Cash Book'!D149</f>
        <v>0</v>
      </c>
      <c r="E148" s="31">
        <f>'Petty-Cash Book'!E149</f>
        <v>0</v>
      </c>
      <c r="F148" s="270">
        <f>'Petty-Cash Book'!G149</f>
        <v>0</v>
      </c>
      <c r="G148" s="271">
        <f>'Petty-Cash Book'!F149</f>
        <v>0</v>
      </c>
    </row>
    <row r="149" spans="1:8" ht="30" customHeight="1" x14ac:dyDescent="0.3">
      <c r="A149" s="28">
        <f>'Petty-Cash Book'!A150</f>
        <v>0</v>
      </c>
      <c r="B149" s="29">
        <f>'Petty-Cash Book'!B150</f>
        <v>0</v>
      </c>
      <c r="C149" s="30">
        <f>'Petty-Cash Book'!C150</f>
        <v>0</v>
      </c>
      <c r="D149" s="31">
        <f>'Petty-Cash Book'!D150</f>
        <v>0</v>
      </c>
      <c r="E149" s="31">
        <f>'Petty-Cash Book'!E150</f>
        <v>0</v>
      </c>
      <c r="F149" s="270">
        <f>'Petty-Cash Book'!G150</f>
        <v>0</v>
      </c>
      <c r="G149" s="271">
        <f>'Petty-Cash Book'!F150</f>
        <v>0</v>
      </c>
    </row>
    <row r="150" spans="1:8" ht="30" customHeight="1" x14ac:dyDescent="0.3">
      <c r="A150" s="28">
        <f>'Petty-Cash Book'!A151</f>
        <v>0</v>
      </c>
      <c r="B150" s="29">
        <f>'Petty-Cash Book'!B151</f>
        <v>0</v>
      </c>
      <c r="C150" s="30">
        <f>'Petty-Cash Book'!C151</f>
        <v>0</v>
      </c>
      <c r="D150" s="31">
        <f>'Petty-Cash Book'!D151</f>
        <v>0</v>
      </c>
      <c r="E150" s="31">
        <f>'Petty-Cash Book'!E151</f>
        <v>0</v>
      </c>
      <c r="F150" s="270">
        <f>'Petty-Cash Book'!G151</f>
        <v>0</v>
      </c>
      <c r="G150" s="271">
        <f>'Petty-Cash Book'!F151</f>
        <v>0</v>
      </c>
    </row>
    <row r="151" spans="1:8" ht="30" customHeight="1" x14ac:dyDescent="0.3">
      <c r="A151" s="28">
        <f>'Petty-Cash Book'!A152</f>
        <v>0</v>
      </c>
      <c r="B151" s="29">
        <f>'Petty-Cash Book'!B152</f>
        <v>0</v>
      </c>
      <c r="C151" s="30">
        <f>'Petty-Cash Book'!C152</f>
        <v>0</v>
      </c>
      <c r="D151" s="31">
        <f>'Petty-Cash Book'!D152</f>
        <v>0</v>
      </c>
      <c r="E151" s="31">
        <f>'Petty-Cash Book'!E152</f>
        <v>0</v>
      </c>
      <c r="F151" s="270">
        <f>'Petty-Cash Book'!G152</f>
        <v>0</v>
      </c>
      <c r="G151" s="271">
        <f>'Petty-Cash Book'!F152</f>
        <v>0</v>
      </c>
    </row>
    <row r="152" spans="1:8" ht="30" customHeight="1" x14ac:dyDescent="0.3">
      <c r="A152" s="28">
        <f>'Petty-Cash Book'!A153</f>
        <v>0</v>
      </c>
      <c r="B152" s="29">
        <f>'Petty-Cash Book'!B153</f>
        <v>0</v>
      </c>
      <c r="C152" s="30">
        <f>'Petty-Cash Book'!C153</f>
        <v>0</v>
      </c>
      <c r="D152" s="31">
        <f>'Petty-Cash Book'!D153</f>
        <v>0</v>
      </c>
      <c r="E152" s="31">
        <f>'Petty-Cash Book'!E153</f>
        <v>0</v>
      </c>
      <c r="F152" s="270">
        <f>'Petty-Cash Book'!G153</f>
        <v>0</v>
      </c>
      <c r="G152" s="271">
        <f>'Petty-Cash Book'!F153</f>
        <v>0</v>
      </c>
    </row>
    <row r="153" spans="1:8" ht="30" customHeight="1" x14ac:dyDescent="0.3">
      <c r="A153" s="28">
        <f>'Petty-Cash Book'!A154</f>
        <v>0</v>
      </c>
      <c r="B153" s="29">
        <f>'Petty-Cash Book'!B154</f>
        <v>0</v>
      </c>
      <c r="C153" s="30">
        <f>'Petty-Cash Book'!C154</f>
        <v>0</v>
      </c>
      <c r="D153" s="31">
        <f>'Petty-Cash Book'!D154</f>
        <v>0</v>
      </c>
      <c r="E153" s="31">
        <f>'Petty-Cash Book'!E154</f>
        <v>0</v>
      </c>
      <c r="F153" s="270">
        <f>'Petty-Cash Book'!G154</f>
        <v>0</v>
      </c>
      <c r="G153" s="271">
        <f>'Petty-Cash Book'!F154</f>
        <v>0</v>
      </c>
    </row>
    <row r="154" spans="1:8" ht="30" customHeight="1" x14ac:dyDescent="0.3">
      <c r="A154" s="28">
        <f>'Petty-Cash Book'!A155</f>
        <v>0</v>
      </c>
      <c r="B154" s="29">
        <f>'Petty-Cash Book'!B155</f>
        <v>0</v>
      </c>
      <c r="C154" s="30">
        <f>'Petty-Cash Book'!C155</f>
        <v>0</v>
      </c>
      <c r="D154" s="31">
        <f>'Petty-Cash Book'!D155</f>
        <v>0</v>
      </c>
      <c r="E154" s="31">
        <f>'Petty-Cash Book'!E155</f>
        <v>0</v>
      </c>
      <c r="F154" s="270">
        <f>'Petty-Cash Book'!G155</f>
        <v>0</v>
      </c>
      <c r="G154" s="271">
        <f>'Petty-Cash Book'!F155</f>
        <v>0</v>
      </c>
    </row>
    <row r="155" spans="1:8" ht="30" customHeight="1" x14ac:dyDescent="0.3">
      <c r="A155" s="28">
        <f>'Petty-Cash Book'!A156</f>
        <v>0</v>
      </c>
      <c r="B155" s="29">
        <f>'Petty-Cash Book'!B156</f>
        <v>0</v>
      </c>
      <c r="C155" s="30">
        <f>'Petty-Cash Book'!C156</f>
        <v>0</v>
      </c>
      <c r="D155" s="31">
        <f>'Petty-Cash Book'!D156</f>
        <v>0</v>
      </c>
      <c r="E155" s="31">
        <f>'Petty-Cash Book'!E156</f>
        <v>0</v>
      </c>
      <c r="F155" s="270">
        <f>'Petty-Cash Book'!G156</f>
        <v>0</v>
      </c>
      <c r="G155" s="271">
        <f>'Petty-Cash Book'!F156</f>
        <v>0</v>
      </c>
    </row>
    <row r="156" spans="1:8" ht="30" customHeight="1" x14ac:dyDescent="0.3">
      <c r="A156" s="28">
        <f>'Petty-Cash Book'!A157</f>
        <v>0</v>
      </c>
      <c r="B156" s="29">
        <f>'Petty-Cash Book'!B157</f>
        <v>0</v>
      </c>
      <c r="C156" s="30">
        <f>'Petty-Cash Book'!C157</f>
        <v>0</v>
      </c>
      <c r="D156" s="31">
        <f>'Petty-Cash Book'!D157</f>
        <v>0</v>
      </c>
      <c r="E156" s="31">
        <f>'Petty-Cash Book'!E157</f>
        <v>0</v>
      </c>
      <c r="F156" s="270">
        <f>'Petty-Cash Book'!G157</f>
        <v>0</v>
      </c>
      <c r="G156" s="271">
        <f>'Petty-Cash Book'!F157</f>
        <v>0</v>
      </c>
    </row>
    <row r="157" spans="1:8" ht="30" customHeight="1" x14ac:dyDescent="0.3">
      <c r="A157" s="28">
        <f>'Petty-Cash Book'!A158</f>
        <v>0</v>
      </c>
      <c r="B157" s="29">
        <f>'Petty-Cash Book'!B158</f>
        <v>0</v>
      </c>
      <c r="C157" s="30">
        <f>'Petty-Cash Book'!C158</f>
        <v>0</v>
      </c>
      <c r="D157" s="31">
        <f>'Petty-Cash Book'!D158</f>
        <v>0</v>
      </c>
      <c r="E157" s="31">
        <f>'Petty-Cash Book'!E158</f>
        <v>0</v>
      </c>
      <c r="F157" s="270">
        <f>'Petty-Cash Book'!G158</f>
        <v>0</v>
      </c>
      <c r="G157" s="271">
        <f>'Petty-Cash Book'!F158</f>
        <v>0</v>
      </c>
      <c r="H157" s="250"/>
    </row>
    <row r="158" spans="1:8" ht="30" customHeight="1" x14ac:dyDescent="0.3">
      <c r="A158" s="28">
        <f>'Petty-Cash Book'!A159</f>
        <v>0</v>
      </c>
      <c r="B158" s="29">
        <f>'Petty-Cash Book'!B159</f>
        <v>0</v>
      </c>
      <c r="C158" s="30">
        <f>'Petty-Cash Book'!C159</f>
        <v>0</v>
      </c>
      <c r="D158" s="31">
        <f>'Petty-Cash Book'!D159</f>
        <v>0</v>
      </c>
      <c r="E158" s="31">
        <f>'Petty-Cash Book'!E159</f>
        <v>0</v>
      </c>
      <c r="F158" s="270">
        <f>'Petty-Cash Book'!G159</f>
        <v>0</v>
      </c>
      <c r="G158" s="271">
        <f>'Petty-Cash Book'!F159</f>
        <v>0</v>
      </c>
    </row>
    <row r="159" spans="1:8" ht="30" customHeight="1" x14ac:dyDescent="0.3">
      <c r="A159" s="28">
        <f>'Petty-Cash Book'!A160</f>
        <v>0</v>
      </c>
      <c r="B159" s="29">
        <f>'Petty-Cash Book'!B160</f>
        <v>0</v>
      </c>
      <c r="C159" s="30">
        <f>'Petty-Cash Book'!C160</f>
        <v>0</v>
      </c>
      <c r="D159" s="31">
        <f>'Petty-Cash Book'!D160</f>
        <v>0</v>
      </c>
      <c r="E159" s="31">
        <f>'Petty-Cash Book'!E160</f>
        <v>0</v>
      </c>
      <c r="F159" s="270">
        <f>'Petty-Cash Book'!G160</f>
        <v>0</v>
      </c>
      <c r="G159" s="271">
        <f>'Petty-Cash Book'!F160</f>
        <v>0</v>
      </c>
    </row>
    <row r="160" spans="1:8" ht="30" customHeight="1" x14ac:dyDescent="0.3">
      <c r="A160" s="28">
        <f>'Petty-Cash Book'!A161</f>
        <v>0</v>
      </c>
      <c r="B160" s="29">
        <f>'Petty-Cash Book'!B161</f>
        <v>0</v>
      </c>
      <c r="C160" s="30">
        <f>'Petty-Cash Book'!C161</f>
        <v>0</v>
      </c>
      <c r="D160" s="31">
        <f>'Petty-Cash Book'!D161</f>
        <v>0</v>
      </c>
      <c r="E160" s="31">
        <f>'Petty-Cash Book'!E161</f>
        <v>0</v>
      </c>
      <c r="F160" s="270">
        <f>'Petty-Cash Book'!G161</f>
        <v>0</v>
      </c>
      <c r="G160" s="271">
        <f>'Petty-Cash Book'!F161</f>
        <v>0</v>
      </c>
    </row>
    <row r="161" spans="1:8" ht="30" customHeight="1" x14ac:dyDescent="0.3">
      <c r="A161" s="28">
        <f>'Petty-Cash Book'!A162</f>
        <v>0</v>
      </c>
      <c r="B161" s="29">
        <f>'Petty-Cash Book'!B162</f>
        <v>0</v>
      </c>
      <c r="C161" s="30">
        <f>'Petty-Cash Book'!C162</f>
        <v>0</v>
      </c>
      <c r="D161" s="31">
        <f>'Petty-Cash Book'!D162</f>
        <v>0</v>
      </c>
      <c r="E161" s="31">
        <f>'Petty-Cash Book'!E162</f>
        <v>0</v>
      </c>
      <c r="F161" s="270">
        <f>'Petty-Cash Book'!G162</f>
        <v>0</v>
      </c>
      <c r="G161" s="271">
        <f>'Petty-Cash Book'!F162</f>
        <v>0</v>
      </c>
    </row>
    <row r="162" spans="1:8" ht="30" customHeight="1" x14ac:dyDescent="0.3">
      <c r="A162" s="28">
        <f>'Petty-Cash Book'!A163</f>
        <v>0</v>
      </c>
      <c r="B162" s="29">
        <f>'Petty-Cash Book'!B163</f>
        <v>0</v>
      </c>
      <c r="C162" s="30">
        <f>'Petty-Cash Book'!C163</f>
        <v>0</v>
      </c>
      <c r="D162" s="31">
        <f>'Petty-Cash Book'!D163</f>
        <v>0</v>
      </c>
      <c r="E162" s="31">
        <f>'Petty-Cash Book'!E163</f>
        <v>0</v>
      </c>
      <c r="F162" s="270">
        <f>'Petty-Cash Book'!G163</f>
        <v>0</v>
      </c>
      <c r="G162" s="271">
        <f>'Petty-Cash Book'!F163</f>
        <v>0</v>
      </c>
      <c r="H162" s="250"/>
    </row>
    <row r="163" spans="1:8" ht="30" customHeight="1" x14ac:dyDescent="0.3">
      <c r="A163" s="28">
        <f>'Petty-Cash Book'!A164</f>
        <v>0</v>
      </c>
      <c r="B163" s="29">
        <f>'Petty-Cash Book'!B164</f>
        <v>0</v>
      </c>
      <c r="C163" s="30">
        <f>'Petty-Cash Book'!C164</f>
        <v>0</v>
      </c>
      <c r="D163" s="31">
        <f>'Petty-Cash Book'!D164</f>
        <v>0</v>
      </c>
      <c r="E163" s="31">
        <f>'Petty-Cash Book'!E164</f>
        <v>0</v>
      </c>
      <c r="F163" s="270">
        <f>'Petty-Cash Book'!G164</f>
        <v>0</v>
      </c>
      <c r="G163" s="271">
        <f>'Petty-Cash Book'!F164</f>
        <v>0</v>
      </c>
    </row>
    <row r="164" spans="1:8" ht="30" customHeight="1" x14ac:dyDescent="0.3">
      <c r="A164" s="28">
        <f>'Petty-Cash Book'!A165</f>
        <v>0</v>
      </c>
      <c r="B164" s="29">
        <f>'Petty-Cash Book'!B165</f>
        <v>0</v>
      </c>
      <c r="C164" s="30">
        <f>'Petty-Cash Book'!C165</f>
        <v>0</v>
      </c>
      <c r="D164" s="31">
        <f>'Petty-Cash Book'!D165</f>
        <v>0</v>
      </c>
      <c r="E164" s="31">
        <f>'Petty-Cash Book'!E165</f>
        <v>0</v>
      </c>
      <c r="F164" s="270">
        <f>'Petty-Cash Book'!G165</f>
        <v>0</v>
      </c>
      <c r="G164" s="271">
        <f>'Petty-Cash Book'!F165</f>
        <v>0</v>
      </c>
    </row>
    <row r="165" spans="1:8" ht="30" customHeight="1" x14ac:dyDescent="0.3">
      <c r="A165" s="28">
        <f>'Petty-Cash Book'!A166</f>
        <v>0</v>
      </c>
      <c r="B165" s="29">
        <f>'Petty-Cash Book'!B166</f>
        <v>0</v>
      </c>
      <c r="C165" s="30">
        <f>'Petty-Cash Book'!C166</f>
        <v>0</v>
      </c>
      <c r="D165" s="31">
        <f>'Petty-Cash Book'!D166</f>
        <v>0</v>
      </c>
      <c r="E165" s="31">
        <f>'Petty-Cash Book'!E166</f>
        <v>0</v>
      </c>
      <c r="F165" s="270">
        <f>'Petty-Cash Book'!G166</f>
        <v>0</v>
      </c>
      <c r="G165" s="271">
        <f>'Petty-Cash Book'!F166</f>
        <v>0</v>
      </c>
    </row>
    <row r="166" spans="1:8" ht="30" customHeight="1" x14ac:dyDescent="0.3">
      <c r="A166" s="28">
        <f>'Petty-Cash Book'!A167</f>
        <v>0</v>
      </c>
      <c r="B166" s="29">
        <f>'Petty-Cash Book'!B167</f>
        <v>0</v>
      </c>
      <c r="C166" s="30">
        <f>'Petty-Cash Book'!C167</f>
        <v>0</v>
      </c>
      <c r="D166" s="31">
        <f>'Petty-Cash Book'!D167</f>
        <v>0</v>
      </c>
      <c r="E166" s="31">
        <f>'Petty-Cash Book'!E167</f>
        <v>0</v>
      </c>
      <c r="F166" s="270">
        <f>'Petty-Cash Book'!G167</f>
        <v>0</v>
      </c>
      <c r="G166" s="271">
        <f>'Petty-Cash Book'!F167</f>
        <v>0</v>
      </c>
    </row>
    <row r="167" spans="1:8" ht="30" customHeight="1" x14ac:dyDescent="0.3">
      <c r="A167" s="28">
        <f>'Petty-Cash Book'!A168</f>
        <v>0</v>
      </c>
      <c r="B167" s="29">
        <f>'Petty-Cash Book'!B168</f>
        <v>0</v>
      </c>
      <c r="C167" s="30">
        <f>'Petty-Cash Book'!C168</f>
        <v>0</v>
      </c>
      <c r="D167" s="31">
        <f>'Petty-Cash Book'!D168</f>
        <v>0</v>
      </c>
      <c r="E167" s="31">
        <f>'Petty-Cash Book'!E168</f>
        <v>0</v>
      </c>
      <c r="F167" s="270">
        <f>'Petty-Cash Book'!G168</f>
        <v>0</v>
      </c>
      <c r="G167" s="271">
        <f>'Petty-Cash Book'!F168</f>
        <v>0</v>
      </c>
    </row>
    <row r="168" spans="1:8" ht="30" customHeight="1" x14ac:dyDescent="0.3">
      <c r="A168" s="28">
        <f>'Petty-Cash Book'!A169</f>
        <v>0</v>
      </c>
      <c r="B168" s="29">
        <f>'Petty-Cash Book'!B169</f>
        <v>0</v>
      </c>
      <c r="C168" s="30">
        <f>'Petty-Cash Book'!C169</f>
        <v>0</v>
      </c>
      <c r="D168" s="31">
        <f>'Petty-Cash Book'!D169</f>
        <v>0</v>
      </c>
      <c r="E168" s="31">
        <f>'Petty-Cash Book'!E169</f>
        <v>0</v>
      </c>
      <c r="F168" s="270">
        <f>'Petty-Cash Book'!G169</f>
        <v>0</v>
      </c>
      <c r="G168" s="271">
        <f>'Petty-Cash Book'!F169</f>
        <v>0</v>
      </c>
    </row>
    <row r="169" spans="1:8" ht="30" customHeight="1" x14ac:dyDescent="0.3">
      <c r="A169" s="28">
        <f>'Petty-Cash Book'!A170</f>
        <v>0</v>
      </c>
      <c r="B169" s="29">
        <f>'Petty-Cash Book'!B170</f>
        <v>0</v>
      </c>
      <c r="C169" s="30">
        <f>'Petty-Cash Book'!C170</f>
        <v>0</v>
      </c>
      <c r="D169" s="31">
        <f>'Petty-Cash Book'!D170</f>
        <v>0</v>
      </c>
      <c r="E169" s="31">
        <f>'Petty-Cash Book'!E170</f>
        <v>0</v>
      </c>
      <c r="F169" s="270">
        <f>'Petty-Cash Book'!G170</f>
        <v>0</v>
      </c>
      <c r="G169" s="271">
        <f>'Petty-Cash Book'!F170</f>
        <v>0</v>
      </c>
    </row>
    <row r="170" spans="1:8" ht="30" customHeight="1" x14ac:dyDescent="0.3">
      <c r="A170" s="28">
        <f>'Petty-Cash Book'!A171</f>
        <v>0</v>
      </c>
      <c r="B170" s="29">
        <f>'Petty-Cash Book'!B171</f>
        <v>0</v>
      </c>
      <c r="C170" s="30">
        <f>'Petty-Cash Book'!C171</f>
        <v>0</v>
      </c>
      <c r="D170" s="31">
        <f>'Petty-Cash Book'!D171</f>
        <v>0</v>
      </c>
      <c r="E170" s="31">
        <f>'Petty-Cash Book'!E171</f>
        <v>0</v>
      </c>
      <c r="F170" s="270">
        <f>'Petty-Cash Book'!G171</f>
        <v>0</v>
      </c>
      <c r="G170" s="271">
        <f>'Petty-Cash Book'!F171</f>
        <v>0</v>
      </c>
    </row>
    <row r="171" spans="1:8" ht="30" customHeight="1" x14ac:dyDescent="0.3">
      <c r="A171" s="28">
        <f>'Petty-Cash Book'!A172</f>
        <v>0</v>
      </c>
      <c r="B171" s="29">
        <f>'Petty-Cash Book'!B172</f>
        <v>0</v>
      </c>
      <c r="C171" s="30">
        <f>'Petty-Cash Book'!C172</f>
        <v>0</v>
      </c>
      <c r="D171" s="31">
        <f>'Petty-Cash Book'!D172</f>
        <v>0</v>
      </c>
      <c r="E171" s="31">
        <f>'Petty-Cash Book'!E172</f>
        <v>0</v>
      </c>
      <c r="F171" s="270">
        <f>'Petty-Cash Book'!G172</f>
        <v>0</v>
      </c>
      <c r="G171" s="271">
        <f>'Petty-Cash Book'!F172</f>
        <v>0</v>
      </c>
      <c r="H171" s="250"/>
    </row>
    <row r="172" spans="1:8" ht="30" customHeight="1" x14ac:dyDescent="0.3">
      <c r="A172" s="28">
        <f>'Petty-Cash Book'!A173</f>
        <v>0</v>
      </c>
      <c r="B172" s="29">
        <f>'Petty-Cash Book'!B173</f>
        <v>0</v>
      </c>
      <c r="C172" s="30">
        <f>'Petty-Cash Book'!C173</f>
        <v>0</v>
      </c>
      <c r="D172" s="31">
        <f>'Petty-Cash Book'!D173</f>
        <v>0</v>
      </c>
      <c r="E172" s="31">
        <f>'Petty-Cash Book'!E173</f>
        <v>0</v>
      </c>
      <c r="F172" s="270">
        <f>'Petty-Cash Book'!G173</f>
        <v>0</v>
      </c>
      <c r="G172" s="271">
        <f>'Petty-Cash Book'!F173</f>
        <v>0</v>
      </c>
    </row>
    <row r="173" spans="1:8" ht="30" customHeight="1" x14ac:dyDescent="0.3">
      <c r="A173" s="28">
        <f>'Petty-Cash Book'!A174</f>
        <v>0</v>
      </c>
      <c r="B173" s="29">
        <f>'Petty-Cash Book'!B174</f>
        <v>0</v>
      </c>
      <c r="C173" s="30">
        <f>'Petty-Cash Book'!C174</f>
        <v>0</v>
      </c>
      <c r="D173" s="31">
        <f>'Petty-Cash Book'!D174</f>
        <v>0</v>
      </c>
      <c r="E173" s="31">
        <f>'Petty-Cash Book'!E174</f>
        <v>0</v>
      </c>
      <c r="F173" s="270">
        <f>'Petty-Cash Book'!G174</f>
        <v>0</v>
      </c>
      <c r="G173" s="271">
        <f>'Petty-Cash Book'!F174</f>
        <v>0</v>
      </c>
    </row>
    <row r="174" spans="1:8" ht="30" customHeight="1" x14ac:dyDescent="0.3">
      <c r="A174" s="28">
        <f>'Petty-Cash Book'!A175</f>
        <v>0</v>
      </c>
      <c r="B174" s="29">
        <f>'Petty-Cash Book'!B175</f>
        <v>0</v>
      </c>
      <c r="C174" s="30">
        <f>'Petty-Cash Book'!C175</f>
        <v>0</v>
      </c>
      <c r="D174" s="31">
        <f>'Petty-Cash Book'!D175</f>
        <v>0</v>
      </c>
      <c r="E174" s="31">
        <f>'Petty-Cash Book'!E175</f>
        <v>0</v>
      </c>
      <c r="F174" s="270">
        <f>'Petty-Cash Book'!G175</f>
        <v>0</v>
      </c>
      <c r="G174" s="271">
        <f>'Petty-Cash Book'!F175</f>
        <v>0</v>
      </c>
    </row>
    <row r="175" spans="1:8" ht="30" customHeight="1" x14ac:dyDescent="0.3">
      <c r="A175" s="28">
        <f>'Petty-Cash Book'!A176</f>
        <v>0</v>
      </c>
      <c r="B175" s="29">
        <f>'Petty-Cash Book'!B176</f>
        <v>0</v>
      </c>
      <c r="C175" s="30">
        <f>'Petty-Cash Book'!C176</f>
        <v>0</v>
      </c>
      <c r="D175" s="31">
        <f>'Petty-Cash Book'!D176</f>
        <v>0</v>
      </c>
      <c r="E175" s="31">
        <f>'Petty-Cash Book'!E176</f>
        <v>0</v>
      </c>
      <c r="F175" s="270">
        <f>'Petty-Cash Book'!G176</f>
        <v>0</v>
      </c>
      <c r="G175" s="271">
        <f>'Petty-Cash Book'!F176</f>
        <v>0</v>
      </c>
    </row>
    <row r="176" spans="1:8" ht="30" customHeight="1" x14ac:dyDescent="0.3">
      <c r="A176" s="28">
        <f>'Petty-Cash Book'!A177</f>
        <v>0</v>
      </c>
      <c r="B176" s="29">
        <f>'Petty-Cash Book'!B177</f>
        <v>0</v>
      </c>
      <c r="C176" s="30">
        <f>'Petty-Cash Book'!C177</f>
        <v>0</v>
      </c>
      <c r="D176" s="31">
        <f>'Petty-Cash Book'!D177</f>
        <v>0</v>
      </c>
      <c r="E176" s="31">
        <f>'Petty-Cash Book'!E177</f>
        <v>0</v>
      </c>
      <c r="F176" s="270">
        <f>'Petty-Cash Book'!G177</f>
        <v>0</v>
      </c>
      <c r="G176" s="271">
        <f>'Petty-Cash Book'!F177</f>
        <v>0</v>
      </c>
    </row>
    <row r="177" spans="1:8" ht="30" customHeight="1" x14ac:dyDescent="0.3">
      <c r="A177" s="28">
        <f>'Petty-Cash Book'!A178</f>
        <v>0</v>
      </c>
      <c r="B177" s="29">
        <f>'Petty-Cash Book'!B178</f>
        <v>0</v>
      </c>
      <c r="C177" s="30">
        <f>'Petty-Cash Book'!C178</f>
        <v>0</v>
      </c>
      <c r="D177" s="31">
        <f>'Petty-Cash Book'!D178</f>
        <v>0</v>
      </c>
      <c r="E177" s="31">
        <f>'Petty-Cash Book'!E178</f>
        <v>0</v>
      </c>
      <c r="F177" s="270">
        <f>'Petty-Cash Book'!G178</f>
        <v>0</v>
      </c>
      <c r="G177" s="271">
        <f>'Petty-Cash Book'!F178</f>
        <v>0</v>
      </c>
    </row>
    <row r="178" spans="1:8" ht="30" customHeight="1" x14ac:dyDescent="0.3">
      <c r="A178" s="28">
        <f>'Petty-Cash Book'!A179</f>
        <v>0</v>
      </c>
      <c r="B178" s="29">
        <f>'Petty-Cash Book'!B179</f>
        <v>0</v>
      </c>
      <c r="C178" s="30">
        <f>'Petty-Cash Book'!C179</f>
        <v>0</v>
      </c>
      <c r="D178" s="31">
        <f>'Petty-Cash Book'!D179</f>
        <v>0</v>
      </c>
      <c r="E178" s="31">
        <f>'Petty-Cash Book'!E179</f>
        <v>0</v>
      </c>
      <c r="F178" s="270">
        <f>'Petty-Cash Book'!G179</f>
        <v>0</v>
      </c>
      <c r="G178" s="271">
        <f>'Petty-Cash Book'!F179</f>
        <v>0</v>
      </c>
    </row>
    <row r="179" spans="1:8" ht="30" customHeight="1" x14ac:dyDescent="0.3">
      <c r="A179" s="28">
        <f>'Petty-Cash Book'!A180</f>
        <v>0</v>
      </c>
      <c r="B179" s="29">
        <f>'Petty-Cash Book'!B180</f>
        <v>0</v>
      </c>
      <c r="C179" s="30">
        <f>'Petty-Cash Book'!C180</f>
        <v>0</v>
      </c>
      <c r="D179" s="31">
        <f>'Petty-Cash Book'!D180</f>
        <v>0</v>
      </c>
      <c r="E179" s="31">
        <f>'Petty-Cash Book'!E180</f>
        <v>0</v>
      </c>
      <c r="F179" s="270">
        <f>'Petty-Cash Book'!G180</f>
        <v>0</v>
      </c>
      <c r="G179" s="271">
        <f>'Petty-Cash Book'!F180</f>
        <v>0</v>
      </c>
      <c r="H179" s="250"/>
    </row>
    <row r="180" spans="1:8" ht="30" customHeight="1" x14ac:dyDescent="0.3">
      <c r="A180" s="28">
        <f>'Petty-Cash Book'!A181</f>
        <v>0</v>
      </c>
      <c r="B180" s="29">
        <f>'Petty-Cash Book'!B181</f>
        <v>0</v>
      </c>
      <c r="C180" s="30">
        <f>'Petty-Cash Book'!C181</f>
        <v>0</v>
      </c>
      <c r="D180" s="31">
        <f>'Petty-Cash Book'!D181</f>
        <v>0</v>
      </c>
      <c r="E180" s="31">
        <f>'Petty-Cash Book'!E181</f>
        <v>0</v>
      </c>
      <c r="F180" s="270">
        <f>'Petty-Cash Book'!G181</f>
        <v>0</v>
      </c>
      <c r="G180" s="271">
        <f>'Petty-Cash Book'!F181</f>
        <v>0</v>
      </c>
    </row>
    <row r="181" spans="1:8" ht="30" customHeight="1" x14ac:dyDescent="0.3">
      <c r="A181" s="28">
        <f>'Petty-Cash Book'!A182</f>
        <v>0</v>
      </c>
      <c r="B181" s="29">
        <f>'Petty-Cash Book'!B182</f>
        <v>0</v>
      </c>
      <c r="C181" s="30">
        <f>'Petty-Cash Book'!C182</f>
        <v>0</v>
      </c>
      <c r="D181" s="31">
        <f>'Petty-Cash Book'!D182</f>
        <v>0</v>
      </c>
      <c r="E181" s="31">
        <f>'Petty-Cash Book'!E182</f>
        <v>0</v>
      </c>
      <c r="F181" s="270">
        <f>'Petty-Cash Book'!G182</f>
        <v>0</v>
      </c>
      <c r="G181" s="271">
        <f>'Petty-Cash Book'!F182</f>
        <v>0</v>
      </c>
    </row>
    <row r="182" spans="1:8" ht="30" customHeight="1" x14ac:dyDescent="0.3">
      <c r="A182" s="28">
        <f>'Petty-Cash Book'!A183</f>
        <v>0</v>
      </c>
      <c r="B182" s="29">
        <f>'Petty-Cash Book'!B183</f>
        <v>0</v>
      </c>
      <c r="C182" s="30">
        <f>'Petty-Cash Book'!C183</f>
        <v>0</v>
      </c>
      <c r="D182" s="31">
        <f>'Petty-Cash Book'!D183</f>
        <v>0</v>
      </c>
      <c r="E182" s="31">
        <f>'Petty-Cash Book'!E183</f>
        <v>0</v>
      </c>
      <c r="F182" s="270">
        <f>'Petty-Cash Book'!G183</f>
        <v>0</v>
      </c>
      <c r="G182" s="271">
        <f>'Petty-Cash Book'!F183</f>
        <v>0</v>
      </c>
    </row>
    <row r="183" spans="1:8" ht="30" customHeight="1" x14ac:dyDescent="0.3">
      <c r="A183" s="28">
        <f>'Petty-Cash Book'!A184</f>
        <v>0</v>
      </c>
      <c r="B183" s="29">
        <f>'Petty-Cash Book'!B184</f>
        <v>0</v>
      </c>
      <c r="C183" s="30">
        <f>'Petty-Cash Book'!C184</f>
        <v>0</v>
      </c>
      <c r="D183" s="31">
        <f>'Petty-Cash Book'!D184</f>
        <v>0</v>
      </c>
      <c r="E183" s="31">
        <f>'Petty-Cash Book'!E184</f>
        <v>0</v>
      </c>
      <c r="F183" s="270">
        <f>'Petty-Cash Book'!G184</f>
        <v>0</v>
      </c>
      <c r="G183" s="271">
        <f>'Petty-Cash Book'!F184</f>
        <v>0</v>
      </c>
      <c r="H183" s="250"/>
    </row>
    <row r="184" spans="1:8" ht="30" customHeight="1" x14ac:dyDescent="0.3">
      <c r="A184" s="28">
        <f>'Petty-Cash Book'!A185</f>
        <v>0</v>
      </c>
      <c r="B184" s="29">
        <f>'Petty-Cash Book'!B185</f>
        <v>0</v>
      </c>
      <c r="C184" s="30">
        <f>'Petty-Cash Book'!C185</f>
        <v>0</v>
      </c>
      <c r="D184" s="31">
        <f>'Petty-Cash Book'!D185</f>
        <v>0</v>
      </c>
      <c r="E184" s="31">
        <f>'Petty-Cash Book'!E185</f>
        <v>0</v>
      </c>
      <c r="F184" s="270">
        <f>'Petty-Cash Book'!G185</f>
        <v>0</v>
      </c>
      <c r="G184" s="271">
        <f>'Petty-Cash Book'!F185</f>
        <v>0</v>
      </c>
    </row>
    <row r="185" spans="1:8" ht="30" customHeight="1" x14ac:dyDescent="0.3">
      <c r="A185" s="28">
        <f>'Petty-Cash Book'!A186</f>
        <v>0</v>
      </c>
      <c r="B185" s="29">
        <f>'Petty-Cash Book'!B186</f>
        <v>0</v>
      </c>
      <c r="C185" s="30">
        <f>'Petty-Cash Book'!C186</f>
        <v>0</v>
      </c>
      <c r="D185" s="31">
        <f>'Petty-Cash Book'!D186</f>
        <v>0</v>
      </c>
      <c r="E185" s="31">
        <f>'Petty-Cash Book'!E186</f>
        <v>0</v>
      </c>
      <c r="F185" s="270">
        <f>'Petty-Cash Book'!G186</f>
        <v>0</v>
      </c>
      <c r="G185" s="271">
        <f>'Petty-Cash Book'!F186</f>
        <v>0</v>
      </c>
    </row>
    <row r="186" spans="1:8" ht="30" customHeight="1" x14ac:dyDescent="0.3">
      <c r="A186" s="28">
        <f>'Petty-Cash Book'!A187</f>
        <v>0</v>
      </c>
      <c r="B186" s="29">
        <f>'Petty-Cash Book'!B187</f>
        <v>0</v>
      </c>
      <c r="C186" s="30">
        <f>'Petty-Cash Book'!C187</f>
        <v>0</v>
      </c>
      <c r="D186" s="31">
        <f>'Petty-Cash Book'!D187</f>
        <v>0</v>
      </c>
      <c r="E186" s="31">
        <f>'Petty-Cash Book'!E187</f>
        <v>0</v>
      </c>
      <c r="F186" s="270">
        <f>'Petty-Cash Book'!G187</f>
        <v>0</v>
      </c>
      <c r="G186" s="271">
        <f>'Petty-Cash Book'!F187</f>
        <v>0</v>
      </c>
    </row>
    <row r="187" spans="1:8" ht="30" customHeight="1" x14ac:dyDescent="0.3">
      <c r="A187" s="28">
        <f>'Petty-Cash Book'!A188</f>
        <v>0</v>
      </c>
      <c r="B187" s="29">
        <f>'Petty-Cash Book'!B188</f>
        <v>0</v>
      </c>
      <c r="C187" s="30">
        <f>'Petty-Cash Book'!C188</f>
        <v>0</v>
      </c>
      <c r="D187" s="31">
        <f>'Petty-Cash Book'!D188</f>
        <v>0</v>
      </c>
      <c r="E187" s="31">
        <f>'Petty-Cash Book'!E188</f>
        <v>0</v>
      </c>
      <c r="F187" s="270">
        <f>'Petty-Cash Book'!G188</f>
        <v>0</v>
      </c>
      <c r="G187" s="271">
        <f>'Petty-Cash Book'!F188</f>
        <v>0</v>
      </c>
    </row>
    <row r="188" spans="1:8" ht="30" customHeight="1" x14ac:dyDescent="0.3">
      <c r="A188" s="28">
        <f>'Petty-Cash Book'!A189</f>
        <v>0</v>
      </c>
      <c r="B188" s="29">
        <f>'Petty-Cash Book'!B189</f>
        <v>0</v>
      </c>
      <c r="C188" s="30">
        <f>'Petty-Cash Book'!C189</f>
        <v>0</v>
      </c>
      <c r="D188" s="31">
        <f>'Petty-Cash Book'!D189</f>
        <v>0</v>
      </c>
      <c r="E188" s="31">
        <f>'Petty-Cash Book'!E189</f>
        <v>0</v>
      </c>
      <c r="F188" s="270">
        <f>'Petty-Cash Book'!G189</f>
        <v>0</v>
      </c>
      <c r="G188" s="271">
        <f>'Petty-Cash Book'!F189</f>
        <v>0</v>
      </c>
    </row>
    <row r="189" spans="1:8" ht="30" customHeight="1" x14ac:dyDescent="0.3">
      <c r="A189" s="28">
        <f>'Petty-Cash Book'!A190</f>
        <v>0</v>
      </c>
      <c r="B189" s="29">
        <f>'Petty-Cash Book'!B190</f>
        <v>0</v>
      </c>
      <c r="C189" s="30">
        <f>'Petty-Cash Book'!C190</f>
        <v>0</v>
      </c>
      <c r="D189" s="31">
        <f>'Petty-Cash Book'!D190</f>
        <v>0</v>
      </c>
      <c r="E189" s="31">
        <f>'Petty-Cash Book'!E190</f>
        <v>0</v>
      </c>
      <c r="F189" s="270">
        <f>'Petty-Cash Book'!G190</f>
        <v>0</v>
      </c>
      <c r="G189" s="271">
        <f>'Petty-Cash Book'!F190</f>
        <v>0</v>
      </c>
    </row>
    <row r="190" spans="1:8" ht="30" customHeight="1" x14ac:dyDescent="0.3">
      <c r="A190" s="28">
        <f>'Petty-Cash Book'!A191</f>
        <v>0</v>
      </c>
      <c r="B190" s="29">
        <f>'Petty-Cash Book'!B191</f>
        <v>0</v>
      </c>
      <c r="C190" s="30">
        <f>'Petty-Cash Book'!C191</f>
        <v>0</v>
      </c>
      <c r="D190" s="31">
        <f>'Petty-Cash Book'!D191</f>
        <v>0</v>
      </c>
      <c r="E190" s="31">
        <f>'Petty-Cash Book'!E191</f>
        <v>0</v>
      </c>
      <c r="F190" s="270">
        <f>'Petty-Cash Book'!G191</f>
        <v>0</v>
      </c>
      <c r="G190" s="271">
        <f>'Petty-Cash Book'!F191</f>
        <v>0</v>
      </c>
    </row>
    <row r="191" spans="1:8" ht="30" customHeight="1" x14ac:dyDescent="0.3">
      <c r="A191" s="28">
        <f>'Petty-Cash Book'!A192</f>
        <v>0</v>
      </c>
      <c r="B191" s="29">
        <f>'Petty-Cash Book'!B192</f>
        <v>0</v>
      </c>
      <c r="C191" s="30">
        <f>'Petty-Cash Book'!C192</f>
        <v>0</v>
      </c>
      <c r="D191" s="31">
        <f>'Petty-Cash Book'!D192</f>
        <v>0</v>
      </c>
      <c r="E191" s="31">
        <f>'Petty-Cash Book'!E192</f>
        <v>0</v>
      </c>
      <c r="F191" s="270">
        <f>'Petty-Cash Book'!G192</f>
        <v>0</v>
      </c>
      <c r="G191" s="271">
        <f>'Petty-Cash Book'!F192</f>
        <v>0</v>
      </c>
    </row>
    <row r="192" spans="1:8" ht="30" customHeight="1" x14ac:dyDescent="0.3">
      <c r="A192" s="28">
        <f>'Petty-Cash Book'!A193</f>
        <v>0</v>
      </c>
      <c r="B192" s="29">
        <f>'Petty-Cash Book'!B193</f>
        <v>0</v>
      </c>
      <c r="C192" s="30">
        <f>'Petty-Cash Book'!C193</f>
        <v>0</v>
      </c>
      <c r="D192" s="31">
        <f>'Petty-Cash Book'!D193</f>
        <v>0</v>
      </c>
      <c r="E192" s="31">
        <f>'Petty-Cash Book'!E193</f>
        <v>0</v>
      </c>
      <c r="F192" s="270">
        <f>'Petty-Cash Book'!G193</f>
        <v>0</v>
      </c>
      <c r="G192" s="271">
        <f>'Petty-Cash Book'!F193</f>
        <v>0</v>
      </c>
      <c r="H192" s="250"/>
    </row>
    <row r="193" spans="1:8" ht="30" customHeight="1" x14ac:dyDescent="0.3">
      <c r="A193" s="28">
        <f>'Petty-Cash Book'!A194</f>
        <v>0</v>
      </c>
      <c r="B193" s="29">
        <f>'Petty-Cash Book'!B194</f>
        <v>0</v>
      </c>
      <c r="C193" s="30">
        <f>'Petty-Cash Book'!C194</f>
        <v>0</v>
      </c>
      <c r="D193" s="31">
        <f>'Petty-Cash Book'!D194</f>
        <v>0</v>
      </c>
      <c r="E193" s="31">
        <f>'Petty-Cash Book'!E194</f>
        <v>0</v>
      </c>
      <c r="F193" s="270">
        <f>'Petty-Cash Book'!G194</f>
        <v>0</v>
      </c>
      <c r="G193" s="271">
        <f>'Petty-Cash Book'!F194</f>
        <v>0</v>
      </c>
    </row>
    <row r="194" spans="1:8" ht="30" customHeight="1" x14ac:dyDescent="0.3">
      <c r="A194" s="28">
        <f>'Petty-Cash Book'!A195</f>
        <v>0</v>
      </c>
      <c r="B194" s="29">
        <f>'Petty-Cash Book'!B195</f>
        <v>0</v>
      </c>
      <c r="C194" s="30">
        <f>'Petty-Cash Book'!C195</f>
        <v>0</v>
      </c>
      <c r="D194" s="31">
        <f>'Petty-Cash Book'!D195</f>
        <v>0</v>
      </c>
      <c r="E194" s="31">
        <f>'Petty-Cash Book'!E195</f>
        <v>0</v>
      </c>
      <c r="F194" s="270">
        <f>'Petty-Cash Book'!G195</f>
        <v>0</v>
      </c>
      <c r="G194" s="271">
        <f>'Petty-Cash Book'!F195</f>
        <v>0</v>
      </c>
    </row>
    <row r="195" spans="1:8" ht="30" customHeight="1" x14ac:dyDescent="0.3">
      <c r="A195" s="28">
        <f>'Petty-Cash Book'!A196</f>
        <v>0</v>
      </c>
      <c r="B195" s="29">
        <f>'Petty-Cash Book'!B196</f>
        <v>0</v>
      </c>
      <c r="C195" s="30">
        <f>'Petty-Cash Book'!C196</f>
        <v>0</v>
      </c>
      <c r="D195" s="31">
        <f>'Petty-Cash Book'!D196</f>
        <v>0</v>
      </c>
      <c r="E195" s="31">
        <f>'Petty-Cash Book'!E196</f>
        <v>0</v>
      </c>
      <c r="F195" s="270">
        <f>'Petty-Cash Book'!G196</f>
        <v>0</v>
      </c>
      <c r="G195" s="271">
        <f>'Petty-Cash Book'!F196</f>
        <v>0</v>
      </c>
      <c r="H195" s="250"/>
    </row>
    <row r="196" spans="1:8" ht="30" customHeight="1" x14ac:dyDescent="0.3">
      <c r="A196" s="28">
        <f>'Petty-Cash Book'!A197</f>
        <v>0</v>
      </c>
      <c r="B196" s="29">
        <f>'Petty-Cash Book'!B197</f>
        <v>0</v>
      </c>
      <c r="C196" s="30">
        <f>'Petty-Cash Book'!C197</f>
        <v>0</v>
      </c>
      <c r="D196" s="31">
        <f>'Petty-Cash Book'!D197</f>
        <v>0</v>
      </c>
      <c r="E196" s="31">
        <f>'Petty-Cash Book'!E197</f>
        <v>0</v>
      </c>
      <c r="F196" s="270">
        <f>'Petty-Cash Book'!G197</f>
        <v>0</v>
      </c>
      <c r="G196" s="271">
        <f>'Petty-Cash Book'!F197</f>
        <v>0</v>
      </c>
      <c r="H196" s="250"/>
    </row>
    <row r="197" spans="1:8" ht="30" customHeight="1" x14ac:dyDescent="0.3">
      <c r="A197" s="28">
        <f>'Petty-Cash Book'!A198</f>
        <v>0</v>
      </c>
      <c r="B197" s="29">
        <f>'Petty-Cash Book'!B198</f>
        <v>0</v>
      </c>
      <c r="C197" s="30">
        <f>'Petty-Cash Book'!C198</f>
        <v>0</v>
      </c>
      <c r="D197" s="31">
        <f>'Petty-Cash Book'!D198</f>
        <v>0</v>
      </c>
      <c r="E197" s="31">
        <f>'Petty-Cash Book'!E198</f>
        <v>0</v>
      </c>
      <c r="F197" s="270">
        <f>'Petty-Cash Book'!G198</f>
        <v>0</v>
      </c>
      <c r="G197" s="271">
        <f>'Petty-Cash Book'!F198</f>
        <v>0</v>
      </c>
    </row>
    <row r="198" spans="1:8" ht="30" customHeight="1" x14ac:dyDescent="0.3">
      <c r="A198" s="28">
        <f>'Petty-Cash Book'!A199</f>
        <v>0</v>
      </c>
      <c r="B198" s="29">
        <f>'Petty-Cash Book'!B199</f>
        <v>0</v>
      </c>
      <c r="C198" s="30">
        <f>'Petty-Cash Book'!C199</f>
        <v>0</v>
      </c>
      <c r="D198" s="31">
        <f>'Petty-Cash Book'!D199</f>
        <v>0</v>
      </c>
      <c r="E198" s="31">
        <f>'Petty-Cash Book'!E199</f>
        <v>0</v>
      </c>
      <c r="F198" s="270">
        <f>'Petty-Cash Book'!G199</f>
        <v>0</v>
      </c>
      <c r="G198" s="271">
        <f>'Petty-Cash Book'!F199</f>
        <v>0</v>
      </c>
    </row>
    <row r="199" spans="1:8" ht="30" customHeight="1" x14ac:dyDescent="0.3">
      <c r="A199" s="28">
        <f>'Petty-Cash Book'!A200</f>
        <v>0</v>
      </c>
      <c r="B199" s="29">
        <f>'Petty-Cash Book'!B200</f>
        <v>0</v>
      </c>
      <c r="C199" s="30">
        <f>'Petty-Cash Book'!C200</f>
        <v>0</v>
      </c>
      <c r="D199" s="31">
        <f>'Petty-Cash Book'!D200</f>
        <v>0</v>
      </c>
      <c r="E199" s="31">
        <f>'Petty-Cash Book'!E200</f>
        <v>0</v>
      </c>
      <c r="F199" s="270">
        <f>'Petty-Cash Book'!G200</f>
        <v>0</v>
      </c>
      <c r="G199" s="271">
        <f>'Petty-Cash Book'!F200</f>
        <v>0</v>
      </c>
    </row>
    <row r="200" spans="1:8" ht="30" customHeight="1" x14ac:dyDescent="0.3">
      <c r="A200" s="28">
        <f>'Petty-Cash Book'!A201</f>
        <v>0</v>
      </c>
      <c r="B200" s="29">
        <f>'Petty-Cash Book'!B201</f>
        <v>0</v>
      </c>
      <c r="C200" s="30">
        <f>'Petty-Cash Book'!C201</f>
        <v>0</v>
      </c>
      <c r="D200" s="31">
        <f>'Petty-Cash Book'!D201</f>
        <v>0</v>
      </c>
      <c r="E200" s="31">
        <f>'Petty-Cash Book'!E201</f>
        <v>0</v>
      </c>
      <c r="F200" s="270">
        <f>'Petty-Cash Book'!G201</f>
        <v>0</v>
      </c>
      <c r="G200" s="271">
        <f>'Petty-Cash Book'!F201</f>
        <v>0</v>
      </c>
    </row>
    <row r="201" spans="1:8" ht="30" customHeight="1" x14ac:dyDescent="0.3">
      <c r="A201" s="28">
        <f>'Petty-Cash Book'!A202</f>
        <v>0</v>
      </c>
      <c r="B201" s="29">
        <f>'Petty-Cash Book'!B202</f>
        <v>0</v>
      </c>
      <c r="C201" s="30">
        <f>'Petty-Cash Book'!C202</f>
        <v>0</v>
      </c>
      <c r="D201" s="31">
        <f>'Petty-Cash Book'!D202</f>
        <v>0</v>
      </c>
      <c r="E201" s="31">
        <f>'Petty-Cash Book'!E202</f>
        <v>0</v>
      </c>
      <c r="F201" s="270">
        <f>'Petty-Cash Book'!G202</f>
        <v>0</v>
      </c>
      <c r="G201" s="271">
        <f>'Petty-Cash Book'!F202</f>
        <v>0</v>
      </c>
    </row>
    <row r="202" spans="1:8" ht="30" customHeight="1" x14ac:dyDescent="0.3">
      <c r="A202" s="28">
        <f>'Petty-Cash Book'!A203</f>
        <v>0</v>
      </c>
      <c r="B202" s="29">
        <f>'Petty-Cash Book'!B203</f>
        <v>0</v>
      </c>
      <c r="C202" s="30">
        <f>'Petty-Cash Book'!C203</f>
        <v>0</v>
      </c>
      <c r="D202" s="31">
        <f>'Petty-Cash Book'!D203</f>
        <v>0</v>
      </c>
      <c r="E202" s="31">
        <f>'Petty-Cash Book'!E203</f>
        <v>0</v>
      </c>
      <c r="F202" s="270">
        <f>'Petty-Cash Book'!G203</f>
        <v>0</v>
      </c>
      <c r="G202" s="271">
        <f>'Petty-Cash Book'!F203</f>
        <v>0</v>
      </c>
    </row>
    <row r="203" spans="1:8" ht="30" customHeight="1" x14ac:dyDescent="0.3">
      <c r="A203" s="28">
        <f>'Petty-Cash Book'!A204</f>
        <v>0</v>
      </c>
      <c r="B203" s="29">
        <f>'Petty-Cash Book'!B204</f>
        <v>0</v>
      </c>
      <c r="C203" s="30">
        <f>'Petty-Cash Book'!C204</f>
        <v>0</v>
      </c>
      <c r="D203" s="31">
        <f>'Petty-Cash Book'!D204</f>
        <v>0</v>
      </c>
      <c r="E203" s="31">
        <f>'Petty-Cash Book'!E204</f>
        <v>0</v>
      </c>
      <c r="F203" s="270">
        <f>'Petty-Cash Book'!G204</f>
        <v>0</v>
      </c>
      <c r="G203" s="271">
        <f>'Petty-Cash Book'!F204</f>
        <v>0</v>
      </c>
    </row>
    <row r="204" spans="1:8" ht="30" customHeight="1" x14ac:dyDescent="0.3">
      <c r="A204" s="28">
        <f>'Petty-Cash Book'!A205</f>
        <v>0</v>
      </c>
      <c r="B204" s="29">
        <f>'Petty-Cash Book'!B205</f>
        <v>0</v>
      </c>
      <c r="C204" s="30">
        <f>'Petty-Cash Book'!C205</f>
        <v>0</v>
      </c>
      <c r="D204" s="31">
        <f>'Petty-Cash Book'!D205</f>
        <v>0</v>
      </c>
      <c r="E204" s="31">
        <f>'Petty-Cash Book'!E205</f>
        <v>0</v>
      </c>
      <c r="F204" s="270">
        <f>'Petty-Cash Book'!G205</f>
        <v>0</v>
      </c>
      <c r="G204" s="271">
        <f>'Petty-Cash Book'!F205</f>
        <v>0</v>
      </c>
    </row>
    <row r="205" spans="1:8" ht="30" customHeight="1" x14ac:dyDescent="0.3">
      <c r="A205" s="28">
        <f>'Petty-Cash Book'!A206</f>
        <v>0</v>
      </c>
      <c r="B205" s="29">
        <f>'Petty-Cash Book'!B206</f>
        <v>0</v>
      </c>
      <c r="C205" s="30">
        <f>'Petty-Cash Book'!C206</f>
        <v>0</v>
      </c>
      <c r="D205" s="31">
        <f>'Petty-Cash Book'!D206</f>
        <v>0</v>
      </c>
      <c r="E205" s="31">
        <f>'Petty-Cash Book'!E206</f>
        <v>0</v>
      </c>
      <c r="F205" s="270">
        <f>'Petty-Cash Book'!G206</f>
        <v>0</v>
      </c>
      <c r="G205" s="271">
        <f>'Petty-Cash Book'!F206</f>
        <v>0</v>
      </c>
    </row>
    <row r="206" spans="1:8" ht="30" customHeight="1" x14ac:dyDescent="0.3">
      <c r="A206" s="28">
        <f>'Petty-Cash Book'!A207</f>
        <v>0</v>
      </c>
      <c r="B206" s="29">
        <f>'Petty-Cash Book'!B207</f>
        <v>0</v>
      </c>
      <c r="C206" s="30">
        <f>'Petty-Cash Book'!C207</f>
        <v>0</v>
      </c>
      <c r="D206" s="31">
        <f>'Petty-Cash Book'!D207</f>
        <v>0</v>
      </c>
      <c r="E206" s="31">
        <f>'Petty-Cash Book'!E207</f>
        <v>0</v>
      </c>
      <c r="F206" s="270">
        <f>'Petty-Cash Book'!G207</f>
        <v>0</v>
      </c>
      <c r="G206" s="271">
        <f>'Petty-Cash Book'!F207</f>
        <v>0</v>
      </c>
    </row>
    <row r="207" spans="1:8" ht="30" customHeight="1" x14ac:dyDescent="0.3">
      <c r="A207" s="28">
        <f>'Petty-Cash Book'!A208</f>
        <v>0</v>
      </c>
      <c r="B207" s="29">
        <f>'Petty-Cash Book'!B208</f>
        <v>0</v>
      </c>
      <c r="C207" s="30">
        <f>'Petty-Cash Book'!C208</f>
        <v>0</v>
      </c>
      <c r="D207" s="31">
        <f>'Petty-Cash Book'!D208</f>
        <v>0</v>
      </c>
      <c r="E207" s="31">
        <f>'Petty-Cash Book'!E208</f>
        <v>0</v>
      </c>
      <c r="F207" s="270">
        <f>'Petty-Cash Book'!G208</f>
        <v>0</v>
      </c>
      <c r="G207" s="271">
        <f>'Petty-Cash Book'!F208</f>
        <v>0</v>
      </c>
    </row>
    <row r="208" spans="1:8" ht="30" customHeight="1" x14ac:dyDescent="0.3">
      <c r="A208" s="28">
        <f>'Petty-Cash Book'!A209</f>
        <v>0</v>
      </c>
      <c r="B208" s="29">
        <f>'Petty-Cash Book'!B209</f>
        <v>0</v>
      </c>
      <c r="C208" s="30">
        <f>'Petty-Cash Book'!C209</f>
        <v>0</v>
      </c>
      <c r="D208" s="31">
        <f>'Petty-Cash Book'!D209</f>
        <v>0</v>
      </c>
      <c r="E208" s="31">
        <f>'Petty-Cash Book'!E209</f>
        <v>0</v>
      </c>
      <c r="F208" s="270">
        <f>'Petty-Cash Book'!G209</f>
        <v>0</v>
      </c>
      <c r="G208" s="271">
        <f>'Petty-Cash Book'!F209</f>
        <v>0</v>
      </c>
    </row>
    <row r="209" spans="1:8" ht="30" customHeight="1" x14ac:dyDescent="0.3">
      <c r="A209" s="28">
        <f>'Petty-Cash Book'!A210</f>
        <v>0</v>
      </c>
      <c r="B209" s="29">
        <f>'Petty-Cash Book'!B210</f>
        <v>0</v>
      </c>
      <c r="C209" s="30">
        <f>'Petty-Cash Book'!C210</f>
        <v>0</v>
      </c>
      <c r="D209" s="31">
        <f>'Petty-Cash Book'!D210</f>
        <v>0</v>
      </c>
      <c r="E209" s="31">
        <f>'Petty-Cash Book'!E210</f>
        <v>0</v>
      </c>
      <c r="F209" s="270">
        <f>'Petty-Cash Book'!G210</f>
        <v>0</v>
      </c>
      <c r="G209" s="271">
        <f>'Petty-Cash Book'!F210</f>
        <v>0</v>
      </c>
    </row>
    <row r="210" spans="1:8" ht="30" customHeight="1" x14ac:dyDescent="0.3">
      <c r="A210" s="28">
        <f>'Petty-Cash Book'!A211</f>
        <v>0</v>
      </c>
      <c r="B210" s="29">
        <f>'Petty-Cash Book'!B211</f>
        <v>0</v>
      </c>
      <c r="C210" s="30">
        <f>'Petty-Cash Book'!C211</f>
        <v>0</v>
      </c>
      <c r="D210" s="31">
        <f>'Petty-Cash Book'!D211</f>
        <v>0</v>
      </c>
      <c r="E210" s="31">
        <f>'Petty-Cash Book'!E211</f>
        <v>0</v>
      </c>
      <c r="F210" s="270">
        <f>'Petty-Cash Book'!G211</f>
        <v>0</v>
      </c>
      <c r="G210" s="271">
        <f>'Petty-Cash Book'!F211</f>
        <v>0</v>
      </c>
    </row>
    <row r="211" spans="1:8" ht="30" customHeight="1" x14ac:dyDescent="0.3">
      <c r="A211" s="28">
        <f>'Petty-Cash Book'!A212</f>
        <v>0</v>
      </c>
      <c r="B211" s="29">
        <f>'Petty-Cash Book'!B212</f>
        <v>0</v>
      </c>
      <c r="C211" s="30">
        <f>'Petty-Cash Book'!C212</f>
        <v>0</v>
      </c>
      <c r="D211" s="31">
        <f>'Petty-Cash Book'!D212</f>
        <v>0</v>
      </c>
      <c r="E211" s="31">
        <f>'Petty-Cash Book'!E212</f>
        <v>0</v>
      </c>
      <c r="F211" s="270">
        <f>'Petty-Cash Book'!G212</f>
        <v>0</v>
      </c>
      <c r="G211" s="271">
        <f>'Petty-Cash Book'!F212</f>
        <v>0</v>
      </c>
    </row>
    <row r="212" spans="1:8" ht="30" customHeight="1" x14ac:dyDescent="0.3">
      <c r="A212" s="28">
        <f>'Petty-Cash Book'!A213</f>
        <v>0</v>
      </c>
      <c r="B212" s="29">
        <f>'Petty-Cash Book'!B213</f>
        <v>0</v>
      </c>
      <c r="C212" s="30">
        <f>'Petty-Cash Book'!C213</f>
        <v>0</v>
      </c>
      <c r="D212" s="31">
        <f>'Petty-Cash Book'!D213</f>
        <v>0</v>
      </c>
      <c r="E212" s="31">
        <f>'Petty-Cash Book'!E213</f>
        <v>0</v>
      </c>
      <c r="F212" s="270">
        <f>'Petty-Cash Book'!G213</f>
        <v>0</v>
      </c>
      <c r="G212" s="271">
        <f>'Petty-Cash Book'!F213</f>
        <v>0</v>
      </c>
    </row>
    <row r="213" spans="1:8" ht="30" customHeight="1" x14ac:dyDescent="0.3">
      <c r="A213" s="28">
        <f>'Petty-Cash Book'!A214</f>
        <v>0</v>
      </c>
      <c r="B213" s="29">
        <f>'Petty-Cash Book'!B214</f>
        <v>0</v>
      </c>
      <c r="C213" s="30">
        <f>'Petty-Cash Book'!C214</f>
        <v>0</v>
      </c>
      <c r="D213" s="31">
        <f>'Petty-Cash Book'!D214</f>
        <v>0</v>
      </c>
      <c r="E213" s="31">
        <f>'Petty-Cash Book'!E214</f>
        <v>0</v>
      </c>
      <c r="F213" s="270">
        <f>'Petty-Cash Book'!G214</f>
        <v>0</v>
      </c>
      <c r="G213" s="271">
        <f>'Petty-Cash Book'!F214</f>
        <v>0</v>
      </c>
    </row>
    <row r="214" spans="1:8" ht="30" customHeight="1" x14ac:dyDescent="0.3">
      <c r="A214" s="28">
        <f>'Petty-Cash Book'!A215</f>
        <v>0</v>
      </c>
      <c r="B214" s="29">
        <f>'Petty-Cash Book'!B215</f>
        <v>0</v>
      </c>
      <c r="C214" s="30">
        <f>'Petty-Cash Book'!C215</f>
        <v>0</v>
      </c>
      <c r="D214" s="31">
        <f>'Petty-Cash Book'!D215</f>
        <v>0</v>
      </c>
      <c r="E214" s="31">
        <f>'Petty-Cash Book'!E215</f>
        <v>0</v>
      </c>
      <c r="F214" s="270">
        <f>'Petty-Cash Book'!G215</f>
        <v>0</v>
      </c>
      <c r="G214" s="271">
        <f>'Petty-Cash Book'!F215</f>
        <v>0</v>
      </c>
    </row>
    <row r="215" spans="1:8" ht="30" customHeight="1" x14ac:dyDescent="0.3">
      <c r="A215" s="28">
        <f>'Petty-Cash Book'!A216</f>
        <v>0</v>
      </c>
      <c r="B215" s="29">
        <f>'Petty-Cash Book'!B216</f>
        <v>0</v>
      </c>
      <c r="C215" s="30">
        <f>'Petty-Cash Book'!C216</f>
        <v>0</v>
      </c>
      <c r="D215" s="31">
        <f>'Petty-Cash Book'!D216</f>
        <v>0</v>
      </c>
      <c r="E215" s="31">
        <f>'Petty-Cash Book'!E216</f>
        <v>0</v>
      </c>
      <c r="F215" s="270">
        <f>'Petty-Cash Book'!G216</f>
        <v>0</v>
      </c>
      <c r="G215" s="271">
        <f>'Petty-Cash Book'!F216</f>
        <v>0</v>
      </c>
    </row>
    <row r="216" spans="1:8" ht="30" customHeight="1" x14ac:dyDescent="0.3">
      <c r="A216" s="28">
        <f>'Petty-Cash Book'!A217</f>
        <v>0</v>
      </c>
      <c r="B216" s="29">
        <f>'Petty-Cash Book'!B217</f>
        <v>0</v>
      </c>
      <c r="C216" s="30">
        <f>'Petty-Cash Book'!C217</f>
        <v>0</v>
      </c>
      <c r="D216" s="31">
        <f>'Petty-Cash Book'!D217</f>
        <v>0</v>
      </c>
      <c r="E216" s="31">
        <f>'Petty-Cash Book'!E217</f>
        <v>0</v>
      </c>
      <c r="F216" s="270">
        <f>'Petty-Cash Book'!G217</f>
        <v>0</v>
      </c>
      <c r="G216" s="271">
        <f>'Petty-Cash Book'!F217</f>
        <v>0</v>
      </c>
    </row>
    <row r="217" spans="1:8" ht="30" customHeight="1" x14ac:dyDescent="0.3">
      <c r="A217" s="28">
        <f>'Petty-Cash Book'!A218</f>
        <v>0</v>
      </c>
      <c r="B217" s="29">
        <f>'Petty-Cash Book'!B218</f>
        <v>0</v>
      </c>
      <c r="C217" s="30">
        <f>'Petty-Cash Book'!C218</f>
        <v>0</v>
      </c>
      <c r="D217" s="31">
        <f>'Petty-Cash Book'!D218</f>
        <v>0</v>
      </c>
      <c r="E217" s="31">
        <f>'Petty-Cash Book'!E218</f>
        <v>0</v>
      </c>
      <c r="F217" s="270">
        <f>'Petty-Cash Book'!G218</f>
        <v>0</v>
      </c>
      <c r="G217" s="271">
        <f>'Petty-Cash Book'!F218</f>
        <v>0</v>
      </c>
    </row>
    <row r="218" spans="1:8" ht="30" customHeight="1" x14ac:dyDescent="0.3">
      <c r="A218" s="28">
        <f>'Petty-Cash Book'!A219</f>
        <v>0</v>
      </c>
      <c r="B218" s="29">
        <f>'Petty-Cash Book'!B219</f>
        <v>0</v>
      </c>
      <c r="C218" s="30">
        <f>'Petty-Cash Book'!C219</f>
        <v>0</v>
      </c>
      <c r="D218" s="31">
        <f>'Petty-Cash Book'!D219</f>
        <v>0</v>
      </c>
      <c r="E218" s="31">
        <f>'Petty-Cash Book'!E219</f>
        <v>0</v>
      </c>
      <c r="F218" s="270">
        <f>'Petty-Cash Book'!G219</f>
        <v>0</v>
      </c>
      <c r="G218" s="271">
        <f>'Petty-Cash Book'!F219</f>
        <v>0</v>
      </c>
    </row>
    <row r="219" spans="1:8" ht="30" customHeight="1" x14ac:dyDescent="0.3">
      <c r="A219" s="28">
        <f>'Petty-Cash Book'!A220</f>
        <v>0</v>
      </c>
      <c r="B219" s="29">
        <f>'Petty-Cash Book'!B220</f>
        <v>0</v>
      </c>
      <c r="C219" s="30">
        <f>'Petty-Cash Book'!C220</f>
        <v>0</v>
      </c>
      <c r="D219" s="31">
        <f>'Petty-Cash Book'!D220</f>
        <v>0</v>
      </c>
      <c r="E219" s="31">
        <f>'Petty-Cash Book'!E220</f>
        <v>0</v>
      </c>
      <c r="F219" s="270">
        <f>'Petty-Cash Book'!G220</f>
        <v>0</v>
      </c>
      <c r="G219" s="271">
        <f>'Petty-Cash Book'!F220</f>
        <v>0</v>
      </c>
    </row>
    <row r="220" spans="1:8" ht="30" customHeight="1" x14ac:dyDescent="0.3">
      <c r="A220" s="28">
        <f>'Petty-Cash Book'!A221</f>
        <v>0</v>
      </c>
      <c r="B220" s="29">
        <f>'Petty-Cash Book'!B221</f>
        <v>0</v>
      </c>
      <c r="C220" s="30">
        <f>'Petty-Cash Book'!C221</f>
        <v>0</v>
      </c>
      <c r="D220" s="31">
        <f>'Petty-Cash Book'!D221</f>
        <v>0</v>
      </c>
      <c r="E220" s="31">
        <f>'Petty-Cash Book'!E221</f>
        <v>0</v>
      </c>
      <c r="F220" s="270">
        <f>'Petty-Cash Book'!G221</f>
        <v>0</v>
      </c>
      <c r="G220" s="271">
        <f>'Petty-Cash Book'!F221</f>
        <v>0</v>
      </c>
    </row>
    <row r="221" spans="1:8" ht="30" customHeight="1" x14ac:dyDescent="0.3">
      <c r="A221" s="28">
        <f>'Petty-Cash Book'!A222</f>
        <v>0</v>
      </c>
      <c r="B221" s="29">
        <f>'Petty-Cash Book'!B222</f>
        <v>0</v>
      </c>
      <c r="C221" s="30">
        <f>'Petty-Cash Book'!C222</f>
        <v>0</v>
      </c>
      <c r="D221" s="31">
        <f>'Petty-Cash Book'!D222</f>
        <v>0</v>
      </c>
      <c r="E221" s="31">
        <f>'Petty-Cash Book'!E222</f>
        <v>0</v>
      </c>
      <c r="F221" s="270">
        <f>'Petty-Cash Book'!G222</f>
        <v>0</v>
      </c>
      <c r="G221" s="271">
        <f>'Petty-Cash Book'!F222</f>
        <v>0</v>
      </c>
    </row>
    <row r="222" spans="1:8" ht="30" customHeight="1" x14ac:dyDescent="0.3">
      <c r="A222" s="28">
        <f>'Petty-Cash Book'!A223</f>
        <v>0</v>
      </c>
      <c r="B222" s="29">
        <f>'Petty-Cash Book'!B223</f>
        <v>0</v>
      </c>
      <c r="C222" s="30">
        <f>'Petty-Cash Book'!C223</f>
        <v>0</v>
      </c>
      <c r="D222" s="31">
        <f>'Petty-Cash Book'!D223</f>
        <v>0</v>
      </c>
      <c r="E222" s="31">
        <f>'Petty-Cash Book'!E223</f>
        <v>0</v>
      </c>
      <c r="F222" s="270">
        <f>'Petty-Cash Book'!G223</f>
        <v>0</v>
      </c>
      <c r="G222" s="271">
        <f>'Petty-Cash Book'!F223</f>
        <v>0</v>
      </c>
    </row>
    <row r="223" spans="1:8" ht="30" customHeight="1" x14ac:dyDescent="0.3">
      <c r="A223" s="28">
        <f>'Petty-Cash Book'!A224</f>
        <v>0</v>
      </c>
      <c r="B223" s="29">
        <f>'Petty-Cash Book'!B224</f>
        <v>0</v>
      </c>
      <c r="C223" s="30">
        <f>'Petty-Cash Book'!C224</f>
        <v>0</v>
      </c>
      <c r="D223" s="31">
        <f>'Petty-Cash Book'!D224</f>
        <v>0</v>
      </c>
      <c r="E223" s="31">
        <f>'Petty-Cash Book'!E224</f>
        <v>0</v>
      </c>
      <c r="F223" s="270">
        <f>'Petty-Cash Book'!G224</f>
        <v>0</v>
      </c>
      <c r="G223" s="271">
        <f>'Petty-Cash Book'!F224</f>
        <v>0</v>
      </c>
    </row>
    <row r="224" spans="1:8" ht="30" customHeight="1" x14ac:dyDescent="0.3">
      <c r="A224" s="28">
        <f>'Petty-Cash Book'!A225</f>
        <v>0</v>
      </c>
      <c r="B224" s="29">
        <f>'Petty-Cash Book'!B225</f>
        <v>0</v>
      </c>
      <c r="C224" s="30">
        <f>'Petty-Cash Book'!C225</f>
        <v>0</v>
      </c>
      <c r="D224" s="31">
        <f>'Petty-Cash Book'!D225</f>
        <v>0</v>
      </c>
      <c r="E224" s="31">
        <f>'Petty-Cash Book'!E225</f>
        <v>0</v>
      </c>
      <c r="F224" s="270">
        <f>'Petty-Cash Book'!G225</f>
        <v>0</v>
      </c>
      <c r="G224" s="271">
        <f>'Petty-Cash Book'!F225</f>
        <v>0</v>
      </c>
      <c r="H224" s="250"/>
    </row>
    <row r="225" spans="1:8" ht="30" customHeight="1" x14ac:dyDescent="0.3">
      <c r="A225" s="28">
        <f>'Petty-Cash Book'!A226</f>
        <v>0</v>
      </c>
      <c r="B225" s="29">
        <f>'Petty-Cash Book'!B226</f>
        <v>0</v>
      </c>
      <c r="C225" s="30">
        <f>'Petty-Cash Book'!C226</f>
        <v>0</v>
      </c>
      <c r="D225" s="31">
        <f>'Petty-Cash Book'!D226</f>
        <v>0</v>
      </c>
      <c r="E225" s="31">
        <f>'Petty-Cash Book'!E226</f>
        <v>0</v>
      </c>
      <c r="F225" s="270">
        <f>'Petty-Cash Book'!G226</f>
        <v>0</v>
      </c>
      <c r="G225" s="271">
        <f>'Petty-Cash Book'!F226</f>
        <v>0</v>
      </c>
      <c r="H225" s="250"/>
    </row>
    <row r="226" spans="1:8" ht="30" customHeight="1" x14ac:dyDescent="0.3">
      <c r="A226" s="28">
        <f>'Petty-Cash Book'!A227</f>
        <v>0</v>
      </c>
      <c r="B226" s="29">
        <f>'Petty-Cash Book'!B227</f>
        <v>0</v>
      </c>
      <c r="C226" s="30">
        <f>'Petty-Cash Book'!C227</f>
        <v>0</v>
      </c>
      <c r="D226" s="31">
        <f>'Petty-Cash Book'!D227</f>
        <v>0</v>
      </c>
      <c r="E226" s="31">
        <f>'Petty-Cash Book'!E227</f>
        <v>0</v>
      </c>
      <c r="F226" s="270">
        <f>'Petty-Cash Book'!G227</f>
        <v>0</v>
      </c>
      <c r="G226" s="271">
        <f>'Petty-Cash Book'!F227</f>
        <v>0</v>
      </c>
    </row>
    <row r="227" spans="1:8" ht="30" customHeight="1" x14ac:dyDescent="0.3">
      <c r="A227" s="28">
        <f>'Petty-Cash Book'!A228</f>
        <v>0</v>
      </c>
      <c r="B227" s="29">
        <f>'Petty-Cash Book'!B228</f>
        <v>0</v>
      </c>
      <c r="C227" s="30">
        <f>'Petty-Cash Book'!C228</f>
        <v>0</v>
      </c>
      <c r="D227" s="31">
        <f>'Petty-Cash Book'!D228</f>
        <v>0</v>
      </c>
      <c r="E227" s="31">
        <f>'Petty-Cash Book'!E228</f>
        <v>0</v>
      </c>
      <c r="F227" s="270">
        <f>'Petty-Cash Book'!G228</f>
        <v>0</v>
      </c>
      <c r="G227" s="271">
        <f>'Petty-Cash Book'!F228</f>
        <v>0</v>
      </c>
    </row>
    <row r="228" spans="1:8" ht="30" customHeight="1" x14ac:dyDescent="0.3">
      <c r="A228" s="28">
        <f>'Petty-Cash Book'!A229</f>
        <v>0</v>
      </c>
      <c r="B228" s="29">
        <f>'Petty-Cash Book'!B229</f>
        <v>0</v>
      </c>
      <c r="C228" s="30">
        <f>'Petty-Cash Book'!C229</f>
        <v>0</v>
      </c>
      <c r="D228" s="31">
        <f>'Petty-Cash Book'!D229</f>
        <v>0</v>
      </c>
      <c r="E228" s="31">
        <f>'Petty-Cash Book'!E229</f>
        <v>0</v>
      </c>
      <c r="F228" s="270">
        <f>'Petty-Cash Book'!G229</f>
        <v>0</v>
      </c>
      <c r="G228" s="271">
        <f>'Petty-Cash Book'!F229</f>
        <v>0</v>
      </c>
    </row>
    <row r="229" spans="1:8" ht="30" customHeight="1" x14ac:dyDescent="0.3">
      <c r="A229" s="28">
        <f>'Petty-Cash Book'!A230</f>
        <v>0</v>
      </c>
      <c r="B229" s="29">
        <f>'Petty-Cash Book'!B230</f>
        <v>0</v>
      </c>
      <c r="C229" s="30">
        <f>'Petty-Cash Book'!C230</f>
        <v>0</v>
      </c>
      <c r="D229" s="31">
        <f>'Petty-Cash Book'!D230</f>
        <v>0</v>
      </c>
      <c r="E229" s="31">
        <f>'Petty-Cash Book'!E230</f>
        <v>0</v>
      </c>
      <c r="F229" s="270">
        <f>'Petty-Cash Book'!G230</f>
        <v>0</v>
      </c>
      <c r="G229" s="271">
        <f>'Petty-Cash Book'!F230</f>
        <v>0</v>
      </c>
    </row>
    <row r="230" spans="1:8" ht="30" customHeight="1" x14ac:dyDescent="0.3">
      <c r="A230" s="28">
        <f>'Petty-Cash Book'!A231</f>
        <v>0</v>
      </c>
      <c r="B230" s="29">
        <f>'Petty-Cash Book'!B231</f>
        <v>0</v>
      </c>
      <c r="C230" s="30">
        <f>'Petty-Cash Book'!C231</f>
        <v>0</v>
      </c>
      <c r="D230" s="31">
        <f>'Petty-Cash Book'!D231</f>
        <v>0</v>
      </c>
      <c r="E230" s="31">
        <f>'Petty-Cash Book'!E231</f>
        <v>0</v>
      </c>
      <c r="F230" s="270">
        <f>'Petty-Cash Book'!G231</f>
        <v>0</v>
      </c>
      <c r="G230" s="271">
        <f>'Petty-Cash Book'!F231</f>
        <v>0</v>
      </c>
    </row>
    <row r="231" spans="1:8" ht="30" customHeight="1" x14ac:dyDescent="0.3">
      <c r="A231" s="28">
        <f>'Petty-Cash Book'!A232</f>
        <v>0</v>
      </c>
      <c r="B231" s="29">
        <f>'Petty-Cash Book'!B232</f>
        <v>0</v>
      </c>
      <c r="C231" s="30">
        <f>'Petty-Cash Book'!C232</f>
        <v>0</v>
      </c>
      <c r="D231" s="31">
        <f>'Petty-Cash Book'!D232</f>
        <v>0</v>
      </c>
      <c r="E231" s="31">
        <f>'Petty-Cash Book'!E232</f>
        <v>0</v>
      </c>
      <c r="F231" s="270">
        <f>'Petty-Cash Book'!G232</f>
        <v>0</v>
      </c>
      <c r="G231" s="271">
        <f>'Petty-Cash Book'!F232</f>
        <v>0</v>
      </c>
    </row>
    <row r="232" spans="1:8" ht="30" customHeight="1" x14ac:dyDescent="0.3">
      <c r="A232" s="28">
        <f>'Petty-Cash Book'!A233</f>
        <v>0</v>
      </c>
      <c r="B232" s="29">
        <f>'Petty-Cash Book'!B233</f>
        <v>0</v>
      </c>
      <c r="C232" s="30">
        <f>'Petty-Cash Book'!C233</f>
        <v>0</v>
      </c>
      <c r="D232" s="31">
        <f>'Petty-Cash Book'!D233</f>
        <v>0</v>
      </c>
      <c r="E232" s="31">
        <f>'Petty-Cash Book'!E233</f>
        <v>0</v>
      </c>
      <c r="F232" s="270">
        <f>'Petty-Cash Book'!G233</f>
        <v>0</v>
      </c>
      <c r="G232" s="271">
        <f>'Petty-Cash Book'!F233</f>
        <v>0</v>
      </c>
    </row>
    <row r="233" spans="1:8" ht="30" customHeight="1" x14ac:dyDescent="0.3">
      <c r="A233" s="28">
        <f>'Petty-Cash Book'!A234</f>
        <v>0</v>
      </c>
      <c r="B233" s="29">
        <f>'Petty-Cash Book'!B234</f>
        <v>0</v>
      </c>
      <c r="C233" s="30">
        <f>'Petty-Cash Book'!C234</f>
        <v>0</v>
      </c>
      <c r="D233" s="31">
        <f>'Petty-Cash Book'!D234</f>
        <v>0</v>
      </c>
      <c r="E233" s="31">
        <f>'Petty-Cash Book'!E234</f>
        <v>0</v>
      </c>
      <c r="F233" s="270">
        <f>'Petty-Cash Book'!G234</f>
        <v>0</v>
      </c>
      <c r="G233" s="271">
        <f>'Petty-Cash Book'!F234</f>
        <v>0</v>
      </c>
    </row>
    <row r="234" spans="1:8" ht="30" customHeight="1" x14ac:dyDescent="0.3">
      <c r="A234" s="28">
        <f>'Petty-Cash Book'!A235</f>
        <v>0</v>
      </c>
      <c r="B234" s="29">
        <f>'Petty-Cash Book'!B235</f>
        <v>0</v>
      </c>
      <c r="C234" s="30">
        <f>'Petty-Cash Book'!C235</f>
        <v>0</v>
      </c>
      <c r="D234" s="31">
        <f>'Petty-Cash Book'!D235</f>
        <v>0</v>
      </c>
      <c r="E234" s="31">
        <f>'Petty-Cash Book'!E235</f>
        <v>0</v>
      </c>
      <c r="F234" s="270">
        <f>'Petty-Cash Book'!G235</f>
        <v>0</v>
      </c>
      <c r="G234" s="271">
        <f>'Petty-Cash Book'!F235</f>
        <v>0</v>
      </c>
    </row>
    <row r="235" spans="1:8" ht="30" customHeight="1" x14ac:dyDescent="0.3">
      <c r="A235" s="28">
        <f>'Petty-Cash Book'!A236</f>
        <v>0</v>
      </c>
      <c r="B235" s="29">
        <f>'Petty-Cash Book'!B236</f>
        <v>0</v>
      </c>
      <c r="C235" s="30">
        <f>'Petty-Cash Book'!C236</f>
        <v>0</v>
      </c>
      <c r="D235" s="31">
        <f>'Petty-Cash Book'!D236</f>
        <v>0</v>
      </c>
      <c r="E235" s="31">
        <f>'Petty-Cash Book'!E236</f>
        <v>0</v>
      </c>
      <c r="F235" s="270">
        <f>'Petty-Cash Book'!G236</f>
        <v>0</v>
      </c>
      <c r="G235" s="271">
        <f>'Petty-Cash Book'!F236</f>
        <v>0</v>
      </c>
    </row>
    <row r="236" spans="1:8" ht="30" customHeight="1" x14ac:dyDescent="0.3">
      <c r="A236" s="28">
        <f>'Petty-Cash Book'!A237</f>
        <v>0</v>
      </c>
      <c r="B236" s="29">
        <f>'Petty-Cash Book'!B237</f>
        <v>0</v>
      </c>
      <c r="C236" s="30">
        <f>'Petty-Cash Book'!C237</f>
        <v>0</v>
      </c>
      <c r="D236" s="31">
        <f>'Petty-Cash Book'!D237</f>
        <v>0</v>
      </c>
      <c r="E236" s="31">
        <f>'Petty-Cash Book'!E237</f>
        <v>0</v>
      </c>
      <c r="F236" s="270">
        <f>'Petty-Cash Book'!G237</f>
        <v>0</v>
      </c>
      <c r="G236" s="271">
        <f>'Petty-Cash Book'!F237</f>
        <v>0</v>
      </c>
    </row>
    <row r="237" spans="1:8" ht="30" customHeight="1" x14ac:dyDescent="0.3">
      <c r="A237" s="28">
        <f>'Petty-Cash Book'!A238</f>
        <v>0</v>
      </c>
      <c r="B237" s="29">
        <f>'Petty-Cash Book'!B238</f>
        <v>0</v>
      </c>
      <c r="C237" s="30">
        <f>'Petty-Cash Book'!C238</f>
        <v>0</v>
      </c>
      <c r="D237" s="31">
        <f>'Petty-Cash Book'!D238</f>
        <v>0</v>
      </c>
      <c r="E237" s="31">
        <f>'Petty-Cash Book'!E238</f>
        <v>0</v>
      </c>
      <c r="F237" s="270">
        <f>'Petty-Cash Book'!G238</f>
        <v>0</v>
      </c>
      <c r="G237" s="271">
        <f>'Petty-Cash Book'!F238</f>
        <v>0</v>
      </c>
      <c r="H237" s="250"/>
    </row>
    <row r="238" spans="1:8" ht="30" customHeight="1" x14ac:dyDescent="0.3">
      <c r="A238" s="28">
        <f>'Petty-Cash Book'!A239</f>
        <v>0</v>
      </c>
      <c r="B238" s="29">
        <f>'Petty-Cash Book'!B239</f>
        <v>0</v>
      </c>
      <c r="C238" s="30">
        <f>'Petty-Cash Book'!C239</f>
        <v>0</v>
      </c>
      <c r="D238" s="31">
        <f>'Petty-Cash Book'!D239</f>
        <v>0</v>
      </c>
      <c r="E238" s="31">
        <f>'Petty-Cash Book'!E239</f>
        <v>0</v>
      </c>
      <c r="F238" s="270">
        <f>'Petty-Cash Book'!G239</f>
        <v>0</v>
      </c>
      <c r="G238" s="271">
        <f>'Petty-Cash Book'!F239</f>
        <v>0</v>
      </c>
    </row>
    <row r="239" spans="1:8" ht="30" customHeight="1" x14ac:dyDescent="0.3">
      <c r="A239" s="28">
        <f>'Petty-Cash Book'!A240</f>
        <v>0</v>
      </c>
      <c r="B239" s="29">
        <f>'Petty-Cash Book'!B240</f>
        <v>0</v>
      </c>
      <c r="C239" s="30">
        <f>'Petty-Cash Book'!C240</f>
        <v>0</v>
      </c>
      <c r="D239" s="31">
        <f>'Petty-Cash Book'!D240</f>
        <v>0</v>
      </c>
      <c r="E239" s="31">
        <f>'Petty-Cash Book'!E240</f>
        <v>0</v>
      </c>
      <c r="F239" s="270">
        <f>'Petty-Cash Book'!G240</f>
        <v>0</v>
      </c>
      <c r="G239" s="271">
        <f>'Petty-Cash Book'!F240</f>
        <v>0</v>
      </c>
    </row>
    <row r="240" spans="1:8" ht="30" customHeight="1" x14ac:dyDescent="0.3">
      <c r="A240" s="28">
        <f>'Petty-Cash Book'!A241</f>
        <v>0</v>
      </c>
      <c r="B240" s="29">
        <f>'Petty-Cash Book'!B241</f>
        <v>0</v>
      </c>
      <c r="C240" s="30">
        <f>'Petty-Cash Book'!C241</f>
        <v>0</v>
      </c>
      <c r="D240" s="31">
        <f>'Petty-Cash Book'!D241</f>
        <v>0</v>
      </c>
      <c r="E240" s="31">
        <f>'Petty-Cash Book'!E241</f>
        <v>0</v>
      </c>
      <c r="F240" s="270">
        <f>'Petty-Cash Book'!G241</f>
        <v>0</v>
      </c>
      <c r="G240" s="271">
        <f>'Petty-Cash Book'!F241</f>
        <v>0</v>
      </c>
    </row>
    <row r="241" spans="1:8" ht="30" customHeight="1" x14ac:dyDescent="0.3">
      <c r="A241" s="28">
        <f>'Petty-Cash Book'!A242</f>
        <v>0</v>
      </c>
      <c r="B241" s="29">
        <f>'Petty-Cash Book'!B242</f>
        <v>0</v>
      </c>
      <c r="C241" s="30">
        <f>'Petty-Cash Book'!C242</f>
        <v>0</v>
      </c>
      <c r="D241" s="31">
        <f>'Petty-Cash Book'!D242</f>
        <v>0</v>
      </c>
      <c r="E241" s="31">
        <f>'Petty-Cash Book'!E242</f>
        <v>0</v>
      </c>
      <c r="F241" s="270">
        <f>'Petty-Cash Book'!G242</f>
        <v>0</v>
      </c>
      <c r="G241" s="271">
        <f>'Petty-Cash Book'!F242</f>
        <v>0</v>
      </c>
    </row>
    <row r="242" spans="1:8" ht="30" customHeight="1" x14ac:dyDescent="0.3">
      <c r="A242" s="28">
        <f>'Petty-Cash Book'!A243</f>
        <v>0</v>
      </c>
      <c r="B242" s="29">
        <f>'Petty-Cash Book'!B243</f>
        <v>0</v>
      </c>
      <c r="C242" s="30">
        <f>'Petty-Cash Book'!C243</f>
        <v>0</v>
      </c>
      <c r="D242" s="31">
        <f>'Petty-Cash Book'!D243</f>
        <v>0</v>
      </c>
      <c r="E242" s="31">
        <f>'Petty-Cash Book'!E243</f>
        <v>0</v>
      </c>
      <c r="F242" s="270">
        <f>'Petty-Cash Book'!G243</f>
        <v>0</v>
      </c>
      <c r="G242" s="271">
        <f>'Petty-Cash Book'!F243</f>
        <v>0</v>
      </c>
    </row>
    <row r="243" spans="1:8" ht="30" customHeight="1" x14ac:dyDescent="0.3">
      <c r="A243" s="28">
        <f>'Petty-Cash Book'!A244</f>
        <v>0</v>
      </c>
      <c r="B243" s="29">
        <f>'Petty-Cash Book'!B244</f>
        <v>0</v>
      </c>
      <c r="C243" s="30">
        <f>'Petty-Cash Book'!C244</f>
        <v>0</v>
      </c>
      <c r="D243" s="31">
        <f>'Petty-Cash Book'!D244</f>
        <v>0</v>
      </c>
      <c r="E243" s="31">
        <f>'Petty-Cash Book'!E244</f>
        <v>0</v>
      </c>
      <c r="F243" s="270">
        <f>'Petty-Cash Book'!G244</f>
        <v>0</v>
      </c>
      <c r="G243" s="271">
        <f>'Petty-Cash Book'!F244</f>
        <v>0</v>
      </c>
    </row>
    <row r="244" spans="1:8" ht="30" customHeight="1" x14ac:dyDescent="0.3">
      <c r="A244" s="28">
        <f>'Petty-Cash Book'!A245</f>
        <v>0</v>
      </c>
      <c r="B244" s="29">
        <f>'Petty-Cash Book'!B245</f>
        <v>0</v>
      </c>
      <c r="C244" s="30">
        <f>'Petty-Cash Book'!C245</f>
        <v>0</v>
      </c>
      <c r="D244" s="31">
        <f>'Petty-Cash Book'!D245</f>
        <v>0</v>
      </c>
      <c r="E244" s="31">
        <f>'Petty-Cash Book'!E245</f>
        <v>0</v>
      </c>
      <c r="F244" s="270">
        <f>'Petty-Cash Book'!G245</f>
        <v>0</v>
      </c>
      <c r="G244" s="271">
        <f>'Petty-Cash Book'!F245</f>
        <v>0</v>
      </c>
      <c r="H244" s="250"/>
    </row>
    <row r="245" spans="1:8" ht="30" customHeight="1" x14ac:dyDescent="0.3">
      <c r="A245" s="28">
        <f>'Petty-Cash Book'!A246</f>
        <v>0</v>
      </c>
      <c r="B245" s="29">
        <f>'Petty-Cash Book'!B246</f>
        <v>0</v>
      </c>
      <c r="C245" s="30">
        <f>'Petty-Cash Book'!C246</f>
        <v>0</v>
      </c>
      <c r="D245" s="31">
        <f>'Petty-Cash Book'!D246</f>
        <v>0</v>
      </c>
      <c r="E245" s="31">
        <f>'Petty-Cash Book'!E246</f>
        <v>0</v>
      </c>
      <c r="F245" s="270">
        <f>'Petty-Cash Book'!G246</f>
        <v>0</v>
      </c>
      <c r="G245" s="271">
        <f>'Petty-Cash Book'!F246</f>
        <v>0</v>
      </c>
    </row>
    <row r="246" spans="1:8" ht="30" customHeight="1" x14ac:dyDescent="0.3">
      <c r="A246" s="28">
        <f>'Petty-Cash Book'!A247</f>
        <v>0</v>
      </c>
      <c r="B246" s="29">
        <f>'Petty-Cash Book'!B247</f>
        <v>0</v>
      </c>
      <c r="C246" s="30">
        <f>'Petty-Cash Book'!C247</f>
        <v>0</v>
      </c>
      <c r="D246" s="31">
        <f>'Petty-Cash Book'!D247</f>
        <v>0</v>
      </c>
      <c r="E246" s="31">
        <f>'Petty-Cash Book'!E247</f>
        <v>0</v>
      </c>
      <c r="F246" s="270">
        <f>'Petty-Cash Book'!G247</f>
        <v>0</v>
      </c>
      <c r="G246" s="271">
        <f>'Petty-Cash Book'!F247</f>
        <v>0</v>
      </c>
    </row>
    <row r="247" spans="1:8" ht="30" customHeight="1" x14ac:dyDescent="0.3">
      <c r="A247" s="28">
        <f>'Petty-Cash Book'!A248</f>
        <v>0</v>
      </c>
      <c r="B247" s="29">
        <f>'Petty-Cash Book'!B248</f>
        <v>0</v>
      </c>
      <c r="C247" s="30">
        <f>'Petty-Cash Book'!C248</f>
        <v>0</v>
      </c>
      <c r="D247" s="31">
        <f>'Petty-Cash Book'!D248</f>
        <v>0</v>
      </c>
      <c r="E247" s="31">
        <f>'Petty-Cash Book'!E248</f>
        <v>0</v>
      </c>
      <c r="F247" s="270">
        <f>'Petty-Cash Book'!G248</f>
        <v>0</v>
      </c>
      <c r="G247" s="271">
        <f>'Petty-Cash Book'!F248</f>
        <v>0</v>
      </c>
      <c r="H247" s="250"/>
    </row>
    <row r="248" spans="1:8" ht="30" customHeight="1" x14ac:dyDescent="0.3">
      <c r="A248" s="28">
        <f>'Petty-Cash Book'!A249</f>
        <v>0</v>
      </c>
      <c r="B248" s="29">
        <f>'Petty-Cash Book'!B249</f>
        <v>0</v>
      </c>
      <c r="C248" s="30">
        <f>'Petty-Cash Book'!C249</f>
        <v>0</v>
      </c>
      <c r="D248" s="31">
        <f>'Petty-Cash Book'!D249</f>
        <v>0</v>
      </c>
      <c r="E248" s="31">
        <f>'Petty-Cash Book'!E249</f>
        <v>0</v>
      </c>
      <c r="F248" s="270">
        <f>'Petty-Cash Book'!G249</f>
        <v>0</v>
      </c>
      <c r="G248" s="271">
        <f>'Petty-Cash Book'!F249</f>
        <v>0</v>
      </c>
    </row>
    <row r="249" spans="1:8" ht="30" customHeight="1" x14ac:dyDescent="0.3">
      <c r="A249" s="28">
        <f>'Petty-Cash Book'!A250</f>
        <v>0</v>
      </c>
      <c r="B249" s="29">
        <f>'Petty-Cash Book'!B250</f>
        <v>0</v>
      </c>
      <c r="C249" s="30">
        <f>'Petty-Cash Book'!C250</f>
        <v>0</v>
      </c>
      <c r="D249" s="31">
        <f>'Petty-Cash Book'!D250</f>
        <v>0</v>
      </c>
      <c r="E249" s="31">
        <f>'Petty-Cash Book'!E250</f>
        <v>0</v>
      </c>
      <c r="F249" s="270">
        <f>'Petty-Cash Book'!G250</f>
        <v>0</v>
      </c>
      <c r="G249" s="271">
        <f>'Petty-Cash Book'!F250</f>
        <v>0</v>
      </c>
    </row>
    <row r="250" spans="1:8" ht="30" customHeight="1" x14ac:dyDescent="0.3">
      <c r="A250" s="28">
        <f>'Petty-Cash Book'!A251</f>
        <v>0</v>
      </c>
      <c r="B250" s="29">
        <f>'Petty-Cash Book'!B251</f>
        <v>0</v>
      </c>
      <c r="C250" s="30">
        <f>'Petty-Cash Book'!C251</f>
        <v>0</v>
      </c>
      <c r="D250" s="31">
        <f>'Petty-Cash Book'!D251</f>
        <v>0</v>
      </c>
      <c r="E250" s="31">
        <f>'Petty-Cash Book'!E251</f>
        <v>0</v>
      </c>
      <c r="F250" s="270">
        <f>'Petty-Cash Book'!G251</f>
        <v>0</v>
      </c>
      <c r="G250" s="271">
        <f>'Petty-Cash Book'!F251</f>
        <v>0</v>
      </c>
    </row>
    <row r="251" spans="1:8" ht="30" customHeight="1" x14ac:dyDescent="0.3">
      <c r="A251" s="28">
        <f>'Petty-Cash Book'!A252</f>
        <v>0</v>
      </c>
      <c r="B251" s="29">
        <f>'Petty-Cash Book'!B252</f>
        <v>0</v>
      </c>
      <c r="C251" s="30">
        <f>'Petty-Cash Book'!C252</f>
        <v>0</v>
      </c>
      <c r="D251" s="31">
        <f>'Petty-Cash Book'!D252</f>
        <v>0</v>
      </c>
      <c r="E251" s="31">
        <f>'Petty-Cash Book'!E252</f>
        <v>0</v>
      </c>
      <c r="F251" s="270">
        <f>'Petty-Cash Book'!G252</f>
        <v>0</v>
      </c>
      <c r="G251" s="271">
        <f>'Petty-Cash Book'!F252</f>
        <v>0</v>
      </c>
    </row>
    <row r="252" spans="1:8" ht="30" customHeight="1" x14ac:dyDescent="0.3">
      <c r="A252" s="28">
        <f>'Petty-Cash Book'!A253</f>
        <v>0</v>
      </c>
      <c r="B252" s="29">
        <f>'Petty-Cash Book'!B253</f>
        <v>0</v>
      </c>
      <c r="C252" s="30">
        <f>'Petty-Cash Book'!C253</f>
        <v>0</v>
      </c>
      <c r="D252" s="31">
        <f>'Petty-Cash Book'!D253</f>
        <v>0</v>
      </c>
      <c r="E252" s="31">
        <f>'Petty-Cash Book'!E253</f>
        <v>0</v>
      </c>
      <c r="F252" s="270">
        <f>'Petty-Cash Book'!G253</f>
        <v>0</v>
      </c>
      <c r="G252" s="271">
        <f>'Petty-Cash Book'!F253</f>
        <v>0</v>
      </c>
    </row>
    <row r="253" spans="1:8" ht="30" customHeight="1" x14ac:dyDescent="0.3">
      <c r="A253" s="28">
        <f>'Petty-Cash Book'!A254</f>
        <v>0</v>
      </c>
      <c r="B253" s="29">
        <f>'Petty-Cash Book'!B254</f>
        <v>0</v>
      </c>
      <c r="C253" s="30">
        <f>'Petty-Cash Book'!C254</f>
        <v>0</v>
      </c>
      <c r="D253" s="31">
        <f>'Petty-Cash Book'!D254</f>
        <v>0</v>
      </c>
      <c r="E253" s="31">
        <f>'Petty-Cash Book'!E254</f>
        <v>0</v>
      </c>
      <c r="F253" s="270">
        <f>'Petty-Cash Book'!G254</f>
        <v>0</v>
      </c>
      <c r="G253" s="271">
        <f>'Petty-Cash Book'!F254</f>
        <v>0</v>
      </c>
    </row>
    <row r="254" spans="1:8" ht="30" customHeight="1" x14ac:dyDescent="0.3">
      <c r="A254" s="28">
        <f>'Petty-Cash Book'!A255</f>
        <v>0</v>
      </c>
      <c r="B254" s="29">
        <f>'Petty-Cash Book'!B255</f>
        <v>0</v>
      </c>
      <c r="C254" s="30">
        <f>'Petty-Cash Book'!C255</f>
        <v>0</v>
      </c>
      <c r="D254" s="31">
        <f>'Petty-Cash Book'!D255</f>
        <v>0</v>
      </c>
      <c r="E254" s="31">
        <f>'Petty-Cash Book'!E255</f>
        <v>0</v>
      </c>
      <c r="F254" s="270">
        <f>'Petty-Cash Book'!G255</f>
        <v>0</v>
      </c>
      <c r="G254" s="271">
        <f>'Petty-Cash Book'!F255</f>
        <v>0</v>
      </c>
    </row>
    <row r="255" spans="1:8" ht="30" customHeight="1" x14ac:dyDescent="0.3">
      <c r="A255" s="28">
        <f>'Petty-Cash Book'!A256</f>
        <v>0</v>
      </c>
      <c r="B255" s="29">
        <f>'Petty-Cash Book'!B256</f>
        <v>0</v>
      </c>
      <c r="C255" s="30">
        <f>'Petty-Cash Book'!C256</f>
        <v>0</v>
      </c>
      <c r="D255" s="31">
        <f>'Petty-Cash Book'!D256</f>
        <v>0</v>
      </c>
      <c r="E255" s="31">
        <f>'Petty-Cash Book'!E256</f>
        <v>0</v>
      </c>
      <c r="F255" s="270">
        <f>'Petty-Cash Book'!G256</f>
        <v>0</v>
      </c>
      <c r="G255" s="271">
        <f>'Petty-Cash Book'!F256</f>
        <v>0</v>
      </c>
    </row>
    <row r="256" spans="1:8" ht="30" customHeight="1" x14ac:dyDescent="0.3">
      <c r="A256" s="28">
        <f>'Petty-Cash Book'!A257</f>
        <v>0</v>
      </c>
      <c r="B256" s="29">
        <f>'Petty-Cash Book'!B257</f>
        <v>0</v>
      </c>
      <c r="C256" s="30">
        <f>'Petty-Cash Book'!C257</f>
        <v>0</v>
      </c>
      <c r="D256" s="31">
        <f>'Petty-Cash Book'!D257</f>
        <v>0</v>
      </c>
      <c r="E256" s="31">
        <f>'Petty-Cash Book'!E257</f>
        <v>0</v>
      </c>
      <c r="F256" s="270">
        <f>'Petty-Cash Book'!G257</f>
        <v>0</v>
      </c>
      <c r="G256" s="271">
        <f>'Petty-Cash Book'!F257</f>
        <v>0</v>
      </c>
    </row>
    <row r="257" spans="1:8" ht="30" customHeight="1" x14ac:dyDescent="0.3">
      <c r="A257" s="28">
        <f>'Petty-Cash Book'!A258</f>
        <v>0</v>
      </c>
      <c r="B257" s="29">
        <f>'Petty-Cash Book'!B258</f>
        <v>0</v>
      </c>
      <c r="C257" s="30">
        <f>'Petty-Cash Book'!C258</f>
        <v>0</v>
      </c>
      <c r="D257" s="31">
        <f>'Petty-Cash Book'!D258</f>
        <v>0</v>
      </c>
      <c r="E257" s="31">
        <f>'Petty-Cash Book'!E258</f>
        <v>0</v>
      </c>
      <c r="F257" s="270">
        <f>'Petty-Cash Book'!G258</f>
        <v>0</v>
      </c>
      <c r="G257" s="271">
        <f>'Petty-Cash Book'!F258</f>
        <v>0</v>
      </c>
    </row>
    <row r="258" spans="1:8" ht="30" customHeight="1" x14ac:dyDescent="0.3">
      <c r="A258" s="28">
        <f>'Petty-Cash Book'!A259</f>
        <v>0</v>
      </c>
      <c r="B258" s="29">
        <f>'Petty-Cash Book'!B259</f>
        <v>0</v>
      </c>
      <c r="C258" s="30">
        <f>'Petty-Cash Book'!C259</f>
        <v>0</v>
      </c>
      <c r="D258" s="31">
        <f>'Petty-Cash Book'!D259</f>
        <v>0</v>
      </c>
      <c r="E258" s="31">
        <f>'Petty-Cash Book'!E259</f>
        <v>0</v>
      </c>
      <c r="F258" s="270">
        <f>'Petty-Cash Book'!G259</f>
        <v>0</v>
      </c>
      <c r="G258" s="271">
        <f>'Petty-Cash Book'!F259</f>
        <v>0</v>
      </c>
    </row>
    <row r="259" spans="1:8" ht="30" customHeight="1" x14ac:dyDescent="0.3">
      <c r="A259" s="28">
        <f>'Petty-Cash Book'!A260</f>
        <v>0</v>
      </c>
      <c r="B259" s="29">
        <f>'Petty-Cash Book'!B260</f>
        <v>0</v>
      </c>
      <c r="C259" s="30">
        <f>'Petty-Cash Book'!C260</f>
        <v>0</v>
      </c>
      <c r="D259" s="31">
        <f>'Petty-Cash Book'!D260</f>
        <v>0</v>
      </c>
      <c r="E259" s="31">
        <f>'Petty-Cash Book'!E260</f>
        <v>0</v>
      </c>
      <c r="F259" s="270">
        <f>'Petty-Cash Book'!G260</f>
        <v>0</v>
      </c>
      <c r="G259" s="271">
        <f>'Petty-Cash Book'!F260</f>
        <v>0</v>
      </c>
    </row>
    <row r="260" spans="1:8" ht="30" customHeight="1" x14ac:dyDescent="0.3">
      <c r="A260" s="28">
        <f>'Petty-Cash Book'!A261</f>
        <v>0</v>
      </c>
      <c r="B260" s="29">
        <f>'Petty-Cash Book'!B261</f>
        <v>0</v>
      </c>
      <c r="C260" s="30">
        <f>'Petty-Cash Book'!C261</f>
        <v>0</v>
      </c>
      <c r="D260" s="31">
        <f>'Petty-Cash Book'!D261</f>
        <v>0</v>
      </c>
      <c r="E260" s="31">
        <f>'Petty-Cash Book'!E261</f>
        <v>0</v>
      </c>
      <c r="F260" s="270">
        <f>'Petty-Cash Book'!G261</f>
        <v>0</v>
      </c>
      <c r="G260" s="271">
        <f>'Petty-Cash Book'!F261</f>
        <v>0</v>
      </c>
    </row>
    <row r="261" spans="1:8" ht="30" customHeight="1" x14ac:dyDescent="0.3">
      <c r="A261" s="28">
        <f>'Petty-Cash Book'!A262</f>
        <v>0</v>
      </c>
      <c r="B261" s="29">
        <f>'Petty-Cash Book'!B262</f>
        <v>0</v>
      </c>
      <c r="C261" s="30">
        <f>'Petty-Cash Book'!C262</f>
        <v>0</v>
      </c>
      <c r="D261" s="31">
        <f>'Petty-Cash Book'!D262</f>
        <v>0</v>
      </c>
      <c r="E261" s="31">
        <f>'Petty-Cash Book'!E262</f>
        <v>0</v>
      </c>
      <c r="F261" s="270">
        <f>'Petty-Cash Book'!G262</f>
        <v>0</v>
      </c>
      <c r="G261" s="271">
        <f>'Petty-Cash Book'!F262</f>
        <v>0</v>
      </c>
    </row>
    <row r="262" spans="1:8" ht="30" customHeight="1" x14ac:dyDescent="0.3">
      <c r="A262" s="28">
        <f>'Petty-Cash Book'!A263</f>
        <v>0</v>
      </c>
      <c r="B262" s="29">
        <f>'Petty-Cash Book'!B263</f>
        <v>0</v>
      </c>
      <c r="C262" s="30">
        <f>'Petty-Cash Book'!C263</f>
        <v>0</v>
      </c>
      <c r="D262" s="31">
        <f>'Petty-Cash Book'!D263</f>
        <v>0</v>
      </c>
      <c r="E262" s="31">
        <f>'Petty-Cash Book'!E263</f>
        <v>0</v>
      </c>
      <c r="F262" s="270">
        <f>'Petty-Cash Book'!G263</f>
        <v>0</v>
      </c>
      <c r="G262" s="271">
        <f>'Petty-Cash Book'!F263</f>
        <v>0</v>
      </c>
    </row>
    <row r="263" spans="1:8" ht="30" customHeight="1" x14ac:dyDescent="0.3">
      <c r="A263" s="28">
        <f>'Petty-Cash Book'!A264</f>
        <v>0</v>
      </c>
      <c r="B263" s="29">
        <f>'Petty-Cash Book'!B264</f>
        <v>0</v>
      </c>
      <c r="C263" s="30">
        <f>'Petty-Cash Book'!C264</f>
        <v>0</v>
      </c>
      <c r="D263" s="31">
        <f>'Petty-Cash Book'!D264</f>
        <v>0</v>
      </c>
      <c r="E263" s="31">
        <f>'Petty-Cash Book'!E264</f>
        <v>0</v>
      </c>
      <c r="F263" s="270">
        <f>'Petty-Cash Book'!G264</f>
        <v>0</v>
      </c>
      <c r="G263" s="271">
        <f>'Petty-Cash Book'!F264</f>
        <v>0</v>
      </c>
      <c r="H263" s="250"/>
    </row>
    <row r="264" spans="1:8" ht="30" customHeight="1" x14ac:dyDescent="0.3">
      <c r="A264" s="28">
        <f>'Petty-Cash Book'!A265</f>
        <v>0</v>
      </c>
      <c r="B264" s="29">
        <f>'Petty-Cash Book'!B265</f>
        <v>0</v>
      </c>
      <c r="C264" s="30">
        <f>'Petty-Cash Book'!C265</f>
        <v>0</v>
      </c>
      <c r="D264" s="31">
        <f>'Petty-Cash Book'!D265</f>
        <v>0</v>
      </c>
      <c r="E264" s="31">
        <f>'Petty-Cash Book'!E265</f>
        <v>0</v>
      </c>
      <c r="F264" s="270">
        <f>'Petty-Cash Book'!G265</f>
        <v>0</v>
      </c>
      <c r="G264" s="271">
        <f>'Petty-Cash Book'!F265</f>
        <v>0</v>
      </c>
    </row>
    <row r="265" spans="1:8" ht="30" customHeight="1" x14ac:dyDescent="0.3">
      <c r="A265" s="28">
        <f>'Petty-Cash Book'!A266</f>
        <v>0</v>
      </c>
      <c r="B265" s="29">
        <f>'Petty-Cash Book'!B266</f>
        <v>0</v>
      </c>
      <c r="C265" s="30">
        <f>'Petty-Cash Book'!C266</f>
        <v>0</v>
      </c>
      <c r="D265" s="31">
        <f>'Petty-Cash Book'!D266</f>
        <v>0</v>
      </c>
      <c r="E265" s="31">
        <f>'Petty-Cash Book'!E266</f>
        <v>0</v>
      </c>
      <c r="F265" s="270">
        <f>'Petty-Cash Book'!G266</f>
        <v>0</v>
      </c>
      <c r="G265" s="271">
        <f>'Petty-Cash Book'!F266</f>
        <v>0</v>
      </c>
    </row>
    <row r="266" spans="1:8" ht="30" customHeight="1" x14ac:dyDescent="0.3">
      <c r="A266" s="28">
        <f>'Petty-Cash Book'!A267</f>
        <v>0</v>
      </c>
      <c r="B266" s="29">
        <f>'Petty-Cash Book'!B267</f>
        <v>0</v>
      </c>
      <c r="C266" s="30">
        <f>'Petty-Cash Book'!C267</f>
        <v>0</v>
      </c>
      <c r="D266" s="31">
        <f>'Petty-Cash Book'!D267</f>
        <v>0</v>
      </c>
      <c r="E266" s="31">
        <f>'Petty-Cash Book'!E267</f>
        <v>0</v>
      </c>
      <c r="F266" s="270">
        <f>'Petty-Cash Book'!G267</f>
        <v>0</v>
      </c>
      <c r="G266" s="271">
        <f>'Petty-Cash Book'!F267</f>
        <v>0</v>
      </c>
    </row>
    <row r="267" spans="1:8" ht="30" customHeight="1" x14ac:dyDescent="0.3">
      <c r="A267" s="28">
        <f>'Petty-Cash Book'!A268</f>
        <v>0</v>
      </c>
      <c r="B267" s="29">
        <f>'Petty-Cash Book'!B268</f>
        <v>0</v>
      </c>
      <c r="C267" s="30">
        <f>'Petty-Cash Book'!C268</f>
        <v>0</v>
      </c>
      <c r="D267" s="31">
        <f>'Petty-Cash Book'!D268</f>
        <v>0</v>
      </c>
      <c r="E267" s="31">
        <f>'Petty-Cash Book'!E268</f>
        <v>0</v>
      </c>
      <c r="F267" s="270">
        <f>'Petty-Cash Book'!G268</f>
        <v>0</v>
      </c>
      <c r="G267" s="271">
        <f>'Petty-Cash Book'!F268</f>
        <v>0</v>
      </c>
    </row>
    <row r="268" spans="1:8" ht="30" customHeight="1" x14ac:dyDescent="0.3">
      <c r="A268" s="28">
        <f>'Petty-Cash Book'!A269</f>
        <v>0</v>
      </c>
      <c r="B268" s="29">
        <f>'Petty-Cash Book'!B269</f>
        <v>0</v>
      </c>
      <c r="C268" s="30">
        <f>'Petty-Cash Book'!C269</f>
        <v>0</v>
      </c>
      <c r="D268" s="31">
        <f>'Petty-Cash Book'!D269</f>
        <v>0</v>
      </c>
      <c r="E268" s="31">
        <f>'Petty-Cash Book'!E269</f>
        <v>0</v>
      </c>
      <c r="F268" s="270">
        <f>'Petty-Cash Book'!G269</f>
        <v>0</v>
      </c>
      <c r="G268" s="271">
        <f>'Petty-Cash Book'!F269</f>
        <v>0</v>
      </c>
    </row>
    <row r="269" spans="1:8" ht="30" customHeight="1" x14ac:dyDescent="0.3">
      <c r="A269" s="28">
        <f>'Petty-Cash Book'!A270</f>
        <v>0</v>
      </c>
      <c r="B269" s="29">
        <f>'Petty-Cash Book'!B270</f>
        <v>0</v>
      </c>
      <c r="C269" s="30">
        <f>'Petty-Cash Book'!C270</f>
        <v>0</v>
      </c>
      <c r="D269" s="31">
        <f>'Petty-Cash Book'!D270</f>
        <v>0</v>
      </c>
      <c r="E269" s="31">
        <f>'Petty-Cash Book'!E270</f>
        <v>0</v>
      </c>
      <c r="F269" s="270">
        <f>'Petty-Cash Book'!G270</f>
        <v>0</v>
      </c>
      <c r="G269" s="271">
        <f>'Petty-Cash Book'!F270</f>
        <v>0</v>
      </c>
    </row>
    <row r="270" spans="1:8" ht="30" customHeight="1" x14ac:dyDescent="0.3">
      <c r="A270" s="28">
        <f>'Petty-Cash Book'!A271</f>
        <v>0</v>
      </c>
      <c r="B270" s="29">
        <f>'Petty-Cash Book'!B271</f>
        <v>0</v>
      </c>
      <c r="C270" s="30">
        <f>'Petty-Cash Book'!C271</f>
        <v>0</v>
      </c>
      <c r="D270" s="31">
        <f>'Petty-Cash Book'!D271</f>
        <v>0</v>
      </c>
      <c r="E270" s="31">
        <f>'Petty-Cash Book'!E271</f>
        <v>0</v>
      </c>
      <c r="F270" s="270">
        <f>'Petty-Cash Book'!G271</f>
        <v>0</v>
      </c>
      <c r="G270" s="271">
        <f>'Petty-Cash Book'!F271</f>
        <v>0</v>
      </c>
      <c r="H270" s="250"/>
    </row>
    <row r="271" spans="1:8" ht="30" customHeight="1" x14ac:dyDescent="0.3">
      <c r="A271" s="28">
        <f>'Petty-Cash Book'!A272</f>
        <v>0</v>
      </c>
      <c r="B271" s="29">
        <f>'Petty-Cash Book'!B272</f>
        <v>0</v>
      </c>
      <c r="C271" s="30">
        <f>'Petty-Cash Book'!C272</f>
        <v>0</v>
      </c>
      <c r="D271" s="31">
        <f>'Petty-Cash Book'!D272</f>
        <v>0</v>
      </c>
      <c r="E271" s="31">
        <f>'Petty-Cash Book'!E272</f>
        <v>0</v>
      </c>
      <c r="F271" s="270">
        <f>'Petty-Cash Book'!G272</f>
        <v>0</v>
      </c>
      <c r="G271" s="271">
        <f>'Petty-Cash Book'!F272</f>
        <v>0</v>
      </c>
    </row>
    <row r="272" spans="1:8" ht="30" customHeight="1" x14ac:dyDescent="0.3">
      <c r="A272" s="28">
        <f>'Petty-Cash Book'!A273</f>
        <v>0</v>
      </c>
      <c r="B272" s="29">
        <f>'Petty-Cash Book'!B273</f>
        <v>0</v>
      </c>
      <c r="C272" s="30">
        <f>'Petty-Cash Book'!C273</f>
        <v>0</v>
      </c>
      <c r="D272" s="31">
        <f>'Petty-Cash Book'!D273</f>
        <v>0</v>
      </c>
      <c r="E272" s="31">
        <f>'Petty-Cash Book'!E273</f>
        <v>0</v>
      </c>
      <c r="F272" s="270">
        <f>'Petty-Cash Book'!G273</f>
        <v>0</v>
      </c>
      <c r="G272" s="271">
        <f>'Petty-Cash Book'!F273</f>
        <v>0</v>
      </c>
    </row>
    <row r="273" spans="1:8" ht="30" customHeight="1" x14ac:dyDescent="0.3">
      <c r="A273" s="28">
        <f>'Petty-Cash Book'!A274</f>
        <v>0</v>
      </c>
      <c r="B273" s="29">
        <f>'Petty-Cash Book'!B274</f>
        <v>0</v>
      </c>
      <c r="C273" s="30">
        <f>'Petty-Cash Book'!C274</f>
        <v>0</v>
      </c>
      <c r="D273" s="31">
        <f>'Petty-Cash Book'!D274</f>
        <v>0</v>
      </c>
      <c r="E273" s="31">
        <f>'Petty-Cash Book'!E274</f>
        <v>0</v>
      </c>
      <c r="F273" s="270">
        <f>'Petty-Cash Book'!G274</f>
        <v>0</v>
      </c>
      <c r="G273" s="271">
        <f>'Petty-Cash Book'!F274</f>
        <v>0</v>
      </c>
      <c r="H273" s="250"/>
    </row>
    <row r="274" spans="1:8" ht="30" customHeight="1" x14ac:dyDescent="0.3">
      <c r="A274" s="28">
        <f>'Petty-Cash Book'!A275</f>
        <v>0</v>
      </c>
      <c r="B274" s="29">
        <f>'Petty-Cash Book'!B275</f>
        <v>0</v>
      </c>
      <c r="C274" s="30">
        <f>'Petty-Cash Book'!C275</f>
        <v>0</v>
      </c>
      <c r="D274" s="31">
        <f>'Petty-Cash Book'!D275</f>
        <v>0</v>
      </c>
      <c r="E274" s="31">
        <f>'Petty-Cash Book'!E275</f>
        <v>0</v>
      </c>
      <c r="F274" s="270">
        <f>'Petty-Cash Book'!G275</f>
        <v>0</v>
      </c>
      <c r="G274" s="271">
        <f>'Petty-Cash Book'!F275</f>
        <v>0</v>
      </c>
    </row>
    <row r="275" spans="1:8" ht="30" customHeight="1" x14ac:dyDescent="0.3">
      <c r="A275" s="28">
        <f>'Petty-Cash Book'!A276</f>
        <v>0</v>
      </c>
      <c r="B275" s="29">
        <f>'Petty-Cash Book'!B276</f>
        <v>0</v>
      </c>
      <c r="C275" s="30">
        <f>'Petty-Cash Book'!C276</f>
        <v>0</v>
      </c>
      <c r="D275" s="31">
        <f>'Petty-Cash Book'!D276</f>
        <v>0</v>
      </c>
      <c r="E275" s="31">
        <f>'Petty-Cash Book'!E276</f>
        <v>0</v>
      </c>
      <c r="F275" s="270">
        <f>'Petty-Cash Book'!G276</f>
        <v>0</v>
      </c>
      <c r="G275" s="271">
        <f>'Petty-Cash Book'!F276</f>
        <v>0</v>
      </c>
    </row>
    <row r="276" spans="1:8" ht="30" customHeight="1" x14ac:dyDescent="0.3">
      <c r="A276" s="28">
        <f>'Petty-Cash Book'!A277</f>
        <v>0</v>
      </c>
      <c r="B276" s="29">
        <f>'Petty-Cash Book'!B277</f>
        <v>0</v>
      </c>
      <c r="C276" s="30">
        <f>'Petty-Cash Book'!C277</f>
        <v>0</v>
      </c>
      <c r="D276" s="31">
        <f>'Petty-Cash Book'!D277</f>
        <v>0</v>
      </c>
      <c r="E276" s="31">
        <f>'Petty-Cash Book'!E277</f>
        <v>0</v>
      </c>
      <c r="F276" s="270">
        <f>'Petty-Cash Book'!G277</f>
        <v>0</v>
      </c>
      <c r="G276" s="271">
        <f>'Petty-Cash Book'!F277</f>
        <v>0</v>
      </c>
    </row>
    <row r="277" spans="1:8" ht="30" customHeight="1" x14ac:dyDescent="0.3">
      <c r="A277" s="28">
        <f>'Petty-Cash Book'!A278</f>
        <v>0</v>
      </c>
      <c r="B277" s="29">
        <f>'Petty-Cash Book'!B278</f>
        <v>0</v>
      </c>
      <c r="C277" s="30">
        <f>'Petty-Cash Book'!C278</f>
        <v>0</v>
      </c>
      <c r="D277" s="31">
        <f>'Petty-Cash Book'!D278</f>
        <v>0</v>
      </c>
      <c r="E277" s="31">
        <f>'Petty-Cash Book'!E278</f>
        <v>0</v>
      </c>
      <c r="F277" s="270">
        <f>'Petty-Cash Book'!G278</f>
        <v>0</v>
      </c>
      <c r="G277" s="271">
        <f>'Petty-Cash Book'!F278</f>
        <v>0</v>
      </c>
    </row>
    <row r="278" spans="1:8" ht="30" customHeight="1" x14ac:dyDescent="0.3">
      <c r="A278" s="28">
        <f>'Petty-Cash Book'!A279</f>
        <v>0</v>
      </c>
      <c r="B278" s="29">
        <f>'Petty-Cash Book'!B279</f>
        <v>0</v>
      </c>
      <c r="C278" s="30">
        <f>'Petty-Cash Book'!C279</f>
        <v>0</v>
      </c>
      <c r="D278" s="31">
        <f>'Petty-Cash Book'!D279</f>
        <v>0</v>
      </c>
      <c r="E278" s="31">
        <f>'Petty-Cash Book'!E279</f>
        <v>0</v>
      </c>
      <c r="F278" s="270">
        <f>'Petty-Cash Book'!G279</f>
        <v>0</v>
      </c>
      <c r="G278" s="271">
        <f>'Petty-Cash Book'!F279</f>
        <v>0</v>
      </c>
    </row>
    <row r="279" spans="1:8" ht="30" customHeight="1" x14ac:dyDescent="0.3">
      <c r="A279" s="28">
        <f>'Petty-Cash Book'!A280</f>
        <v>0</v>
      </c>
      <c r="B279" s="29">
        <f>'Petty-Cash Book'!B280</f>
        <v>0</v>
      </c>
      <c r="C279" s="30">
        <f>'Petty-Cash Book'!C280</f>
        <v>0</v>
      </c>
      <c r="D279" s="31">
        <f>'Petty-Cash Book'!D280</f>
        <v>0</v>
      </c>
      <c r="E279" s="31">
        <f>'Petty-Cash Book'!E280</f>
        <v>0</v>
      </c>
      <c r="F279" s="270">
        <f>'Petty-Cash Book'!G280</f>
        <v>0</v>
      </c>
      <c r="G279" s="271">
        <f>'Petty-Cash Book'!F280</f>
        <v>0</v>
      </c>
    </row>
    <row r="280" spans="1:8" ht="30" customHeight="1" x14ac:dyDescent="0.3">
      <c r="A280" s="28">
        <f>'Petty-Cash Book'!A281</f>
        <v>0</v>
      </c>
      <c r="B280" s="29">
        <f>'Petty-Cash Book'!B281</f>
        <v>0</v>
      </c>
      <c r="C280" s="30">
        <f>'Petty-Cash Book'!C281</f>
        <v>0</v>
      </c>
      <c r="D280" s="31">
        <f>'Petty-Cash Book'!D281</f>
        <v>0</v>
      </c>
      <c r="E280" s="31">
        <f>'Petty-Cash Book'!E281</f>
        <v>0</v>
      </c>
      <c r="F280" s="270">
        <f>'Petty-Cash Book'!G281</f>
        <v>0</v>
      </c>
      <c r="G280" s="271">
        <f>'Petty-Cash Book'!F281</f>
        <v>0</v>
      </c>
    </row>
    <row r="281" spans="1:8" ht="30" customHeight="1" x14ac:dyDescent="0.3">
      <c r="A281" s="28">
        <f>'Petty-Cash Book'!A282</f>
        <v>0</v>
      </c>
      <c r="B281" s="29">
        <f>'Petty-Cash Book'!B282</f>
        <v>0</v>
      </c>
      <c r="C281" s="30">
        <f>'Petty-Cash Book'!C282</f>
        <v>0</v>
      </c>
      <c r="D281" s="31">
        <f>'Petty-Cash Book'!D282</f>
        <v>0</v>
      </c>
      <c r="E281" s="31">
        <f>'Petty-Cash Book'!E282</f>
        <v>0</v>
      </c>
      <c r="F281" s="270">
        <f>'Petty-Cash Book'!G282</f>
        <v>0</v>
      </c>
      <c r="G281" s="271">
        <f>'Petty-Cash Book'!F282</f>
        <v>0</v>
      </c>
      <c r="H281" s="250"/>
    </row>
    <row r="282" spans="1:8" ht="30" customHeight="1" x14ac:dyDescent="0.3">
      <c r="A282" s="28">
        <f>'Petty-Cash Book'!A283</f>
        <v>0</v>
      </c>
      <c r="B282" s="29">
        <f>'Petty-Cash Book'!B283</f>
        <v>0</v>
      </c>
      <c r="C282" s="30">
        <f>'Petty-Cash Book'!C283</f>
        <v>0</v>
      </c>
      <c r="D282" s="31">
        <f>'Petty-Cash Book'!D283</f>
        <v>0</v>
      </c>
      <c r="E282" s="31">
        <f>'Petty-Cash Book'!E283</f>
        <v>0</v>
      </c>
      <c r="F282" s="270">
        <f>'Petty-Cash Book'!G283</f>
        <v>0</v>
      </c>
      <c r="G282" s="271">
        <f>'Petty-Cash Book'!F283</f>
        <v>0</v>
      </c>
    </row>
    <row r="283" spans="1:8" ht="30" customHeight="1" x14ac:dyDescent="0.3">
      <c r="A283" s="28">
        <f>'Petty-Cash Book'!A284</f>
        <v>0</v>
      </c>
      <c r="B283" s="29">
        <f>'Petty-Cash Book'!B284</f>
        <v>0</v>
      </c>
      <c r="C283" s="30">
        <f>'Petty-Cash Book'!C284</f>
        <v>0</v>
      </c>
      <c r="D283" s="31">
        <f>'Petty-Cash Book'!D284</f>
        <v>0</v>
      </c>
      <c r="E283" s="31">
        <f>'Petty-Cash Book'!E284</f>
        <v>0</v>
      </c>
      <c r="F283" s="270">
        <f>'Petty-Cash Book'!G284</f>
        <v>0</v>
      </c>
      <c r="G283" s="271">
        <f>'Petty-Cash Book'!F284</f>
        <v>0</v>
      </c>
      <c r="H283" s="250"/>
    </row>
    <row r="284" spans="1:8" ht="30" customHeight="1" x14ac:dyDescent="0.3">
      <c r="A284" s="28">
        <f>'Petty-Cash Book'!A285</f>
        <v>0</v>
      </c>
      <c r="B284" s="29">
        <f>'Petty-Cash Book'!B285</f>
        <v>0</v>
      </c>
      <c r="C284" s="30">
        <f>'Petty-Cash Book'!C285</f>
        <v>0</v>
      </c>
      <c r="D284" s="31">
        <f>'Petty-Cash Book'!D285</f>
        <v>0</v>
      </c>
      <c r="E284" s="31">
        <f>'Petty-Cash Book'!E285</f>
        <v>0</v>
      </c>
      <c r="F284" s="270">
        <f>'Petty-Cash Book'!G285</f>
        <v>0</v>
      </c>
      <c r="G284" s="271">
        <f>'Petty-Cash Book'!F285</f>
        <v>0</v>
      </c>
    </row>
    <row r="285" spans="1:8" ht="30" customHeight="1" x14ac:dyDescent="0.3">
      <c r="A285" s="28">
        <f>'Petty-Cash Book'!A286</f>
        <v>0</v>
      </c>
      <c r="B285" s="29">
        <f>'Petty-Cash Book'!B286</f>
        <v>0</v>
      </c>
      <c r="C285" s="30">
        <f>'Petty-Cash Book'!C286</f>
        <v>0</v>
      </c>
      <c r="D285" s="31">
        <f>'Petty-Cash Book'!D286</f>
        <v>0</v>
      </c>
      <c r="E285" s="31">
        <f>'Petty-Cash Book'!E286</f>
        <v>0</v>
      </c>
      <c r="F285" s="270">
        <f>'Petty-Cash Book'!G286</f>
        <v>0</v>
      </c>
      <c r="G285" s="271">
        <f>'Petty-Cash Book'!F286</f>
        <v>0</v>
      </c>
    </row>
    <row r="286" spans="1:8" ht="30" customHeight="1" x14ac:dyDescent="0.3">
      <c r="A286" s="28">
        <f>'Petty-Cash Book'!A287</f>
        <v>0</v>
      </c>
      <c r="B286" s="29">
        <f>'Petty-Cash Book'!B287</f>
        <v>0</v>
      </c>
      <c r="C286" s="30">
        <f>'Petty-Cash Book'!C287</f>
        <v>0</v>
      </c>
      <c r="D286" s="31">
        <f>'Petty-Cash Book'!D287</f>
        <v>0</v>
      </c>
      <c r="E286" s="31">
        <f>'Petty-Cash Book'!E287</f>
        <v>0</v>
      </c>
      <c r="F286" s="270">
        <f>'Petty-Cash Book'!G287</f>
        <v>0</v>
      </c>
      <c r="G286" s="271">
        <f>'Petty-Cash Book'!F287</f>
        <v>0</v>
      </c>
    </row>
    <row r="287" spans="1:8" ht="30" customHeight="1" x14ac:dyDescent="0.3">
      <c r="A287" s="28">
        <f>'Petty-Cash Book'!A288</f>
        <v>0</v>
      </c>
      <c r="B287" s="29">
        <f>'Petty-Cash Book'!B288</f>
        <v>0</v>
      </c>
      <c r="C287" s="30">
        <f>'Petty-Cash Book'!C288</f>
        <v>0</v>
      </c>
      <c r="D287" s="31">
        <f>'Petty-Cash Book'!D288</f>
        <v>0</v>
      </c>
      <c r="E287" s="31">
        <f>'Petty-Cash Book'!E288</f>
        <v>0</v>
      </c>
      <c r="F287" s="270">
        <f>'Petty-Cash Book'!G288</f>
        <v>0</v>
      </c>
      <c r="G287" s="271">
        <f>'Petty-Cash Book'!F288</f>
        <v>0</v>
      </c>
    </row>
    <row r="288" spans="1:8" ht="30" customHeight="1" x14ac:dyDescent="0.3">
      <c r="A288" s="28">
        <f>'Petty-Cash Book'!A289</f>
        <v>0</v>
      </c>
      <c r="B288" s="29">
        <f>'Petty-Cash Book'!B289</f>
        <v>0</v>
      </c>
      <c r="C288" s="30">
        <f>'Petty-Cash Book'!C289</f>
        <v>0</v>
      </c>
      <c r="D288" s="31">
        <f>'Petty-Cash Book'!D289</f>
        <v>0</v>
      </c>
      <c r="E288" s="31">
        <f>'Petty-Cash Book'!E289</f>
        <v>0</v>
      </c>
      <c r="F288" s="270">
        <f>'Petty-Cash Book'!G289</f>
        <v>0</v>
      </c>
      <c r="G288" s="271">
        <f>'Petty-Cash Book'!F289</f>
        <v>0</v>
      </c>
    </row>
    <row r="289" spans="1:8" ht="30" customHeight="1" x14ac:dyDescent="0.3">
      <c r="A289" s="28">
        <f>'Petty-Cash Book'!A290</f>
        <v>0</v>
      </c>
      <c r="B289" s="29">
        <f>'Petty-Cash Book'!B290</f>
        <v>0</v>
      </c>
      <c r="C289" s="30">
        <f>'Petty-Cash Book'!C290</f>
        <v>0</v>
      </c>
      <c r="D289" s="31">
        <f>'Petty-Cash Book'!D290</f>
        <v>0</v>
      </c>
      <c r="E289" s="31">
        <f>'Petty-Cash Book'!E290</f>
        <v>0</v>
      </c>
      <c r="F289" s="270">
        <f>'Petty-Cash Book'!G290</f>
        <v>0</v>
      </c>
      <c r="G289" s="271">
        <f>'Petty-Cash Book'!F290</f>
        <v>0</v>
      </c>
    </row>
    <row r="290" spans="1:8" ht="30" customHeight="1" x14ac:dyDescent="0.3">
      <c r="A290" s="28">
        <f>'Petty-Cash Book'!A291</f>
        <v>0</v>
      </c>
      <c r="B290" s="29">
        <f>'Petty-Cash Book'!B291</f>
        <v>0</v>
      </c>
      <c r="C290" s="30">
        <f>'Petty-Cash Book'!C291</f>
        <v>0</v>
      </c>
      <c r="D290" s="31">
        <f>'Petty-Cash Book'!D291</f>
        <v>0</v>
      </c>
      <c r="E290" s="31">
        <f>'Petty-Cash Book'!E291</f>
        <v>0</v>
      </c>
      <c r="F290" s="270">
        <f>'Petty-Cash Book'!G291</f>
        <v>0</v>
      </c>
      <c r="G290" s="271">
        <f>'Petty-Cash Book'!F291</f>
        <v>0</v>
      </c>
      <c r="H290" s="250"/>
    </row>
    <row r="291" spans="1:8" ht="30" customHeight="1" x14ac:dyDescent="0.3">
      <c r="A291" s="28">
        <f>'Petty-Cash Book'!A292</f>
        <v>0</v>
      </c>
      <c r="B291" s="29">
        <f>'Petty-Cash Book'!B292</f>
        <v>0</v>
      </c>
      <c r="C291" s="30">
        <f>'Petty-Cash Book'!C292</f>
        <v>0</v>
      </c>
      <c r="D291" s="31">
        <f>'Petty-Cash Book'!D292</f>
        <v>0</v>
      </c>
      <c r="E291" s="31">
        <f>'Petty-Cash Book'!E292</f>
        <v>0</v>
      </c>
      <c r="F291" s="270">
        <f>'Petty-Cash Book'!G292</f>
        <v>0</v>
      </c>
      <c r="G291" s="271">
        <f>'Petty-Cash Book'!F292</f>
        <v>0</v>
      </c>
    </row>
    <row r="292" spans="1:8" ht="30" customHeight="1" x14ac:dyDescent="0.3">
      <c r="A292" s="28">
        <f>'Petty-Cash Book'!A293</f>
        <v>0</v>
      </c>
      <c r="B292" s="29">
        <f>'Petty-Cash Book'!B293</f>
        <v>0</v>
      </c>
      <c r="C292" s="30">
        <f>'Petty-Cash Book'!C293</f>
        <v>0</v>
      </c>
      <c r="D292" s="31">
        <f>'Petty-Cash Book'!D293</f>
        <v>0</v>
      </c>
      <c r="E292" s="31">
        <f>'Petty-Cash Book'!E293</f>
        <v>0</v>
      </c>
      <c r="F292" s="270">
        <f>'Petty-Cash Book'!G293</f>
        <v>0</v>
      </c>
      <c r="G292" s="271">
        <f>'Petty-Cash Book'!F293</f>
        <v>0</v>
      </c>
    </row>
    <row r="293" spans="1:8" ht="30" customHeight="1" x14ac:dyDescent="0.3">
      <c r="A293" s="28">
        <f>'Petty-Cash Book'!A294</f>
        <v>0</v>
      </c>
      <c r="B293" s="29">
        <f>'Petty-Cash Book'!B294</f>
        <v>0</v>
      </c>
      <c r="C293" s="30">
        <f>'Petty-Cash Book'!C294</f>
        <v>0</v>
      </c>
      <c r="D293" s="31">
        <f>'Petty-Cash Book'!D294</f>
        <v>0</v>
      </c>
      <c r="E293" s="31">
        <f>'Petty-Cash Book'!E294</f>
        <v>0</v>
      </c>
      <c r="F293" s="270">
        <f>'Petty-Cash Book'!G294</f>
        <v>0</v>
      </c>
      <c r="G293" s="271">
        <f>'Petty-Cash Book'!F294</f>
        <v>0</v>
      </c>
    </row>
    <row r="294" spans="1:8" ht="30" customHeight="1" x14ac:dyDescent="0.3">
      <c r="A294" s="28">
        <f>'Petty-Cash Book'!A295</f>
        <v>0</v>
      </c>
      <c r="B294" s="29">
        <f>'Petty-Cash Book'!B295</f>
        <v>0</v>
      </c>
      <c r="C294" s="30">
        <f>'Petty-Cash Book'!C295</f>
        <v>0</v>
      </c>
      <c r="D294" s="31">
        <f>'Petty-Cash Book'!D295</f>
        <v>0</v>
      </c>
      <c r="E294" s="31">
        <f>'Petty-Cash Book'!E295</f>
        <v>0</v>
      </c>
      <c r="F294" s="270">
        <f>'Petty-Cash Book'!G295</f>
        <v>0</v>
      </c>
      <c r="G294" s="271">
        <f>'Petty-Cash Book'!F295</f>
        <v>0</v>
      </c>
      <c r="H294" s="250"/>
    </row>
    <row r="295" spans="1:8" ht="30" customHeight="1" x14ac:dyDescent="0.3">
      <c r="A295" s="28">
        <f>'Petty-Cash Book'!A296</f>
        <v>0</v>
      </c>
      <c r="B295" s="29">
        <f>'Petty-Cash Book'!B296</f>
        <v>0</v>
      </c>
      <c r="C295" s="30">
        <f>'Petty-Cash Book'!C296</f>
        <v>0</v>
      </c>
      <c r="D295" s="31">
        <f>'Petty-Cash Book'!D296</f>
        <v>0</v>
      </c>
      <c r="E295" s="31">
        <f>'Petty-Cash Book'!E296</f>
        <v>0</v>
      </c>
      <c r="F295" s="270">
        <f>'Petty-Cash Book'!G296</f>
        <v>0</v>
      </c>
      <c r="G295" s="271">
        <f>'Petty-Cash Book'!F296</f>
        <v>0</v>
      </c>
    </row>
    <row r="296" spans="1:8" ht="30" customHeight="1" x14ac:dyDescent="0.3">
      <c r="A296" s="28">
        <f>'Petty-Cash Book'!A297</f>
        <v>0</v>
      </c>
      <c r="B296" s="29">
        <f>'Petty-Cash Book'!B297</f>
        <v>0</v>
      </c>
      <c r="C296" s="30">
        <f>'Petty-Cash Book'!C297</f>
        <v>0</v>
      </c>
      <c r="D296" s="31">
        <f>'Petty-Cash Book'!D297</f>
        <v>0</v>
      </c>
      <c r="E296" s="31">
        <f>'Petty-Cash Book'!E297</f>
        <v>0</v>
      </c>
      <c r="F296" s="270">
        <f>'Petty-Cash Book'!G297</f>
        <v>0</v>
      </c>
      <c r="G296" s="271">
        <f>'Petty-Cash Book'!F297</f>
        <v>0</v>
      </c>
      <c r="H296" s="250"/>
    </row>
    <row r="297" spans="1:8" ht="30" customHeight="1" x14ac:dyDescent="0.3">
      <c r="A297" s="28">
        <f>'Petty-Cash Book'!A298</f>
        <v>0</v>
      </c>
      <c r="B297" s="29">
        <f>'Petty-Cash Book'!B298</f>
        <v>0</v>
      </c>
      <c r="C297" s="30">
        <f>'Petty-Cash Book'!C298</f>
        <v>0</v>
      </c>
      <c r="D297" s="31">
        <f>'Petty-Cash Book'!D298</f>
        <v>0</v>
      </c>
      <c r="E297" s="31">
        <f>'Petty-Cash Book'!E298</f>
        <v>0</v>
      </c>
      <c r="F297" s="270">
        <f>'Petty-Cash Book'!G298</f>
        <v>0</v>
      </c>
      <c r="G297" s="271">
        <f>'Petty-Cash Book'!F298</f>
        <v>0</v>
      </c>
    </row>
    <row r="298" spans="1:8" ht="30" customHeight="1" x14ac:dyDescent="0.3">
      <c r="A298" s="28">
        <f>'Petty-Cash Book'!A299</f>
        <v>0</v>
      </c>
      <c r="B298" s="29">
        <f>'Petty-Cash Book'!B299</f>
        <v>0</v>
      </c>
      <c r="C298" s="30">
        <f>'Petty-Cash Book'!C299</f>
        <v>0</v>
      </c>
      <c r="D298" s="31">
        <f>'Petty-Cash Book'!D299</f>
        <v>0</v>
      </c>
      <c r="E298" s="31">
        <f>'Petty-Cash Book'!E299</f>
        <v>0</v>
      </c>
      <c r="F298" s="270">
        <f>'Petty-Cash Book'!G299</f>
        <v>0</v>
      </c>
      <c r="G298" s="271">
        <f>'Petty-Cash Book'!F299</f>
        <v>0</v>
      </c>
    </row>
    <row r="299" spans="1:8" ht="30" customHeight="1" x14ac:dyDescent="0.3">
      <c r="A299" s="28">
        <f>'Petty-Cash Book'!A300</f>
        <v>0</v>
      </c>
      <c r="B299" s="29">
        <f>'Petty-Cash Book'!B300</f>
        <v>0</v>
      </c>
      <c r="C299" s="30">
        <f>'Petty-Cash Book'!C300</f>
        <v>0</v>
      </c>
      <c r="D299" s="31">
        <f>'Petty-Cash Book'!D300</f>
        <v>0</v>
      </c>
      <c r="E299" s="31">
        <f>'Petty-Cash Book'!E300</f>
        <v>0</v>
      </c>
      <c r="F299" s="270">
        <f>'Petty-Cash Book'!G300</f>
        <v>0</v>
      </c>
      <c r="G299" s="271">
        <f>'Petty-Cash Book'!F300</f>
        <v>0</v>
      </c>
    </row>
    <row r="300" spans="1:8" ht="30" customHeight="1" x14ac:dyDescent="0.3">
      <c r="A300" s="28">
        <f>'Petty-Cash Book'!A301</f>
        <v>0</v>
      </c>
      <c r="B300" s="29">
        <f>'Petty-Cash Book'!B301</f>
        <v>0</v>
      </c>
      <c r="C300" s="30">
        <f>'Petty-Cash Book'!C301</f>
        <v>0</v>
      </c>
      <c r="D300" s="31">
        <f>'Petty-Cash Book'!D301</f>
        <v>0</v>
      </c>
      <c r="E300" s="31">
        <f>'Petty-Cash Book'!E301</f>
        <v>0</v>
      </c>
      <c r="F300" s="270">
        <f>'Petty-Cash Book'!G301</f>
        <v>0</v>
      </c>
      <c r="G300" s="271">
        <f>'Petty-Cash Book'!F301</f>
        <v>0</v>
      </c>
    </row>
    <row r="301" spans="1:8" ht="30" customHeight="1" x14ac:dyDescent="0.3">
      <c r="A301" s="28">
        <f>'Petty-Cash Book'!A302</f>
        <v>0</v>
      </c>
      <c r="B301" s="29">
        <f>'Petty-Cash Book'!B302</f>
        <v>0</v>
      </c>
      <c r="C301" s="30">
        <f>'Petty-Cash Book'!C302</f>
        <v>0</v>
      </c>
      <c r="D301" s="31">
        <f>'Petty-Cash Book'!D302</f>
        <v>0</v>
      </c>
      <c r="E301" s="31">
        <f>'Petty-Cash Book'!E302</f>
        <v>0</v>
      </c>
      <c r="F301" s="270">
        <f>'Petty-Cash Book'!G302</f>
        <v>0</v>
      </c>
      <c r="G301" s="271">
        <f>'Petty-Cash Book'!F302</f>
        <v>0</v>
      </c>
    </row>
    <row r="302" spans="1:8" ht="30" customHeight="1" x14ac:dyDescent="0.3">
      <c r="A302" s="28">
        <f>'Petty-Cash Book'!A303</f>
        <v>0</v>
      </c>
      <c r="B302" s="29">
        <f>'Petty-Cash Book'!B303</f>
        <v>0</v>
      </c>
      <c r="C302" s="30">
        <f>'Petty-Cash Book'!C303</f>
        <v>0</v>
      </c>
      <c r="D302" s="31">
        <f>'Petty-Cash Book'!D303</f>
        <v>0</v>
      </c>
      <c r="E302" s="31">
        <f>'Petty-Cash Book'!E303</f>
        <v>0</v>
      </c>
      <c r="F302" s="270">
        <f>'Petty-Cash Book'!G303</f>
        <v>0</v>
      </c>
      <c r="G302" s="271">
        <f>'Petty-Cash Book'!F303</f>
        <v>0</v>
      </c>
    </row>
    <row r="303" spans="1:8" ht="30" customHeight="1" x14ac:dyDescent="0.3">
      <c r="A303" s="28">
        <f>'Petty-Cash Book'!A304</f>
        <v>0</v>
      </c>
      <c r="B303" s="29">
        <f>'Petty-Cash Book'!B304</f>
        <v>0</v>
      </c>
      <c r="C303" s="30">
        <f>'Petty-Cash Book'!C304</f>
        <v>0</v>
      </c>
      <c r="D303" s="31">
        <f>'Petty-Cash Book'!D304</f>
        <v>0</v>
      </c>
      <c r="E303" s="31">
        <f>'Petty-Cash Book'!E304</f>
        <v>0</v>
      </c>
      <c r="F303" s="270">
        <f>'Petty-Cash Book'!G304</f>
        <v>0</v>
      </c>
      <c r="G303" s="271">
        <f>'Petty-Cash Book'!F304</f>
        <v>0</v>
      </c>
      <c r="H303" s="250"/>
    </row>
    <row r="304" spans="1:8" ht="30" customHeight="1" x14ac:dyDescent="0.3">
      <c r="A304" s="28">
        <f>'Petty-Cash Book'!A305</f>
        <v>0</v>
      </c>
      <c r="B304" s="29">
        <f>'Petty-Cash Book'!B305</f>
        <v>0</v>
      </c>
      <c r="C304" s="30">
        <f>'Petty-Cash Book'!C305</f>
        <v>0</v>
      </c>
      <c r="D304" s="31">
        <f>'Petty-Cash Book'!D305</f>
        <v>0</v>
      </c>
      <c r="E304" s="31">
        <f>'Petty-Cash Book'!E305</f>
        <v>0</v>
      </c>
      <c r="F304" s="270">
        <f>'Petty-Cash Book'!G305</f>
        <v>0</v>
      </c>
      <c r="G304" s="271">
        <f>'Petty-Cash Book'!F305</f>
        <v>0</v>
      </c>
    </row>
    <row r="305" spans="1:8" ht="30" customHeight="1" x14ac:dyDescent="0.3">
      <c r="A305" s="28">
        <f>'Petty-Cash Book'!A306</f>
        <v>0</v>
      </c>
      <c r="B305" s="29">
        <f>'Petty-Cash Book'!B306</f>
        <v>0</v>
      </c>
      <c r="C305" s="30">
        <f>'Petty-Cash Book'!C306</f>
        <v>0</v>
      </c>
      <c r="D305" s="31">
        <f>'Petty-Cash Book'!D306</f>
        <v>0</v>
      </c>
      <c r="E305" s="31">
        <f>'Petty-Cash Book'!E306</f>
        <v>0</v>
      </c>
      <c r="F305" s="270">
        <f>'Petty-Cash Book'!G306</f>
        <v>0</v>
      </c>
      <c r="G305" s="271">
        <f>'Petty-Cash Book'!F306</f>
        <v>0</v>
      </c>
    </row>
    <row r="306" spans="1:8" ht="30" customHeight="1" x14ac:dyDescent="0.3">
      <c r="A306" s="28">
        <f>'Petty-Cash Book'!A307</f>
        <v>0</v>
      </c>
      <c r="B306" s="29">
        <f>'Petty-Cash Book'!B307</f>
        <v>0</v>
      </c>
      <c r="C306" s="30">
        <f>'Petty-Cash Book'!C307</f>
        <v>0</v>
      </c>
      <c r="D306" s="31">
        <f>'Petty-Cash Book'!D307</f>
        <v>0</v>
      </c>
      <c r="E306" s="31">
        <f>'Petty-Cash Book'!E307</f>
        <v>0</v>
      </c>
      <c r="F306" s="270">
        <f>'Petty-Cash Book'!G307</f>
        <v>0</v>
      </c>
      <c r="G306" s="271">
        <f>'Petty-Cash Book'!F307</f>
        <v>0</v>
      </c>
    </row>
    <row r="307" spans="1:8" ht="30" customHeight="1" x14ac:dyDescent="0.3">
      <c r="A307" s="28">
        <f>'Petty-Cash Book'!A308</f>
        <v>0</v>
      </c>
      <c r="B307" s="29">
        <f>'Petty-Cash Book'!B308</f>
        <v>0</v>
      </c>
      <c r="C307" s="30">
        <f>'Petty-Cash Book'!C308</f>
        <v>0</v>
      </c>
      <c r="D307" s="31">
        <f>'Petty-Cash Book'!D308</f>
        <v>0</v>
      </c>
      <c r="E307" s="31">
        <f>'Petty-Cash Book'!E308</f>
        <v>0</v>
      </c>
      <c r="F307" s="270">
        <f>'Petty-Cash Book'!G308</f>
        <v>0</v>
      </c>
      <c r="G307" s="271">
        <f>'Petty-Cash Book'!F308</f>
        <v>0</v>
      </c>
    </row>
    <row r="308" spans="1:8" ht="30" customHeight="1" x14ac:dyDescent="0.3">
      <c r="A308" s="28">
        <f>'Petty-Cash Book'!A309</f>
        <v>0</v>
      </c>
      <c r="B308" s="29">
        <f>'Petty-Cash Book'!B309</f>
        <v>0</v>
      </c>
      <c r="C308" s="30">
        <f>'Petty-Cash Book'!C309</f>
        <v>0</v>
      </c>
      <c r="D308" s="31">
        <f>'Petty-Cash Book'!D309</f>
        <v>0</v>
      </c>
      <c r="E308" s="31">
        <f>'Petty-Cash Book'!E309</f>
        <v>0</v>
      </c>
      <c r="F308" s="270">
        <f>'Petty-Cash Book'!G309</f>
        <v>0</v>
      </c>
      <c r="G308" s="271">
        <f>'Petty-Cash Book'!F309</f>
        <v>0</v>
      </c>
    </row>
    <row r="309" spans="1:8" ht="30" customHeight="1" x14ac:dyDescent="0.3">
      <c r="A309" s="28">
        <f>'Petty-Cash Book'!A310</f>
        <v>0</v>
      </c>
      <c r="B309" s="29">
        <f>'Petty-Cash Book'!B310</f>
        <v>0</v>
      </c>
      <c r="C309" s="30">
        <f>'Petty-Cash Book'!C310</f>
        <v>0</v>
      </c>
      <c r="D309" s="31">
        <f>'Petty-Cash Book'!D310</f>
        <v>0</v>
      </c>
      <c r="E309" s="31">
        <f>'Petty-Cash Book'!E310</f>
        <v>0</v>
      </c>
      <c r="F309" s="270">
        <f>'Petty-Cash Book'!G310</f>
        <v>0</v>
      </c>
      <c r="G309" s="271">
        <f>'Petty-Cash Book'!F310</f>
        <v>0</v>
      </c>
    </row>
    <row r="310" spans="1:8" ht="30" customHeight="1" x14ac:dyDescent="0.3">
      <c r="A310" s="28">
        <f>'Petty-Cash Book'!A311</f>
        <v>0</v>
      </c>
      <c r="B310" s="29">
        <f>'Petty-Cash Book'!B311</f>
        <v>0</v>
      </c>
      <c r="C310" s="30">
        <f>'Petty-Cash Book'!C311</f>
        <v>0</v>
      </c>
      <c r="D310" s="31">
        <f>'Petty-Cash Book'!D311</f>
        <v>0</v>
      </c>
      <c r="E310" s="31">
        <f>'Petty-Cash Book'!E311</f>
        <v>0</v>
      </c>
      <c r="F310" s="270">
        <f>'Petty-Cash Book'!G311</f>
        <v>0</v>
      </c>
      <c r="G310" s="271">
        <f>'Petty-Cash Book'!F311</f>
        <v>0</v>
      </c>
      <c r="H310" s="250"/>
    </row>
    <row r="311" spans="1:8" ht="30" customHeight="1" x14ac:dyDescent="0.3">
      <c r="A311" s="28">
        <f>'Petty-Cash Book'!A312</f>
        <v>0</v>
      </c>
      <c r="B311" s="29">
        <f>'Petty-Cash Book'!B312</f>
        <v>0</v>
      </c>
      <c r="C311" s="30">
        <f>'Petty-Cash Book'!C312</f>
        <v>0</v>
      </c>
      <c r="D311" s="31">
        <f>'Petty-Cash Book'!D312</f>
        <v>0</v>
      </c>
      <c r="E311" s="31">
        <f>'Petty-Cash Book'!E312</f>
        <v>0</v>
      </c>
      <c r="F311" s="270">
        <f>'Petty-Cash Book'!G312</f>
        <v>0</v>
      </c>
      <c r="G311" s="271">
        <f>'Petty-Cash Book'!F312</f>
        <v>0</v>
      </c>
    </row>
    <row r="312" spans="1:8" ht="30" customHeight="1" x14ac:dyDescent="0.3">
      <c r="A312" s="28">
        <f>'Petty-Cash Book'!A313</f>
        <v>0</v>
      </c>
      <c r="B312" s="29">
        <f>'Petty-Cash Book'!B313</f>
        <v>0</v>
      </c>
      <c r="C312" s="30">
        <f>'Petty-Cash Book'!C313</f>
        <v>0</v>
      </c>
      <c r="D312" s="31">
        <f>'Petty-Cash Book'!D313</f>
        <v>0</v>
      </c>
      <c r="E312" s="31">
        <f>'Petty-Cash Book'!E313</f>
        <v>0</v>
      </c>
      <c r="F312" s="270">
        <f>'Petty-Cash Book'!G313</f>
        <v>0</v>
      </c>
      <c r="G312" s="271">
        <f>'Petty-Cash Book'!F313</f>
        <v>0</v>
      </c>
    </row>
    <row r="313" spans="1:8" ht="30" customHeight="1" x14ac:dyDescent="0.3">
      <c r="A313" s="28">
        <f>'Petty-Cash Book'!A314</f>
        <v>0</v>
      </c>
      <c r="B313" s="29">
        <f>'Petty-Cash Book'!B314</f>
        <v>0</v>
      </c>
      <c r="C313" s="30">
        <f>'Petty-Cash Book'!C314</f>
        <v>0</v>
      </c>
      <c r="D313" s="31">
        <f>'Petty-Cash Book'!D314</f>
        <v>0</v>
      </c>
      <c r="E313" s="31">
        <f>'Petty-Cash Book'!E314</f>
        <v>0</v>
      </c>
      <c r="F313" s="270">
        <f>'Petty-Cash Book'!G314</f>
        <v>0</v>
      </c>
      <c r="G313" s="271">
        <f>'Petty-Cash Book'!F314</f>
        <v>0</v>
      </c>
      <c r="H313" s="250"/>
    </row>
    <row r="314" spans="1:8" ht="30" customHeight="1" x14ac:dyDescent="0.3">
      <c r="A314" s="28">
        <f>'Petty-Cash Book'!A315</f>
        <v>0</v>
      </c>
      <c r="B314" s="29">
        <f>'Petty-Cash Book'!B315</f>
        <v>0</v>
      </c>
      <c r="C314" s="30">
        <f>'Petty-Cash Book'!C315</f>
        <v>0</v>
      </c>
      <c r="D314" s="31">
        <f>'Petty-Cash Book'!D315</f>
        <v>0</v>
      </c>
      <c r="E314" s="31">
        <f>'Petty-Cash Book'!E315</f>
        <v>0</v>
      </c>
      <c r="F314" s="270">
        <f>'Petty-Cash Book'!G315</f>
        <v>0</v>
      </c>
      <c r="G314" s="271">
        <f>'Petty-Cash Book'!F315</f>
        <v>0</v>
      </c>
    </row>
    <row r="315" spans="1:8" ht="30" customHeight="1" x14ac:dyDescent="0.3">
      <c r="A315" s="28">
        <f>'Petty-Cash Book'!A316</f>
        <v>0</v>
      </c>
      <c r="B315" s="29">
        <f>'Petty-Cash Book'!B316</f>
        <v>0</v>
      </c>
      <c r="C315" s="30">
        <f>'Petty-Cash Book'!C316</f>
        <v>0</v>
      </c>
      <c r="D315" s="31">
        <f>'Petty-Cash Book'!D316</f>
        <v>0</v>
      </c>
      <c r="E315" s="31">
        <f>'Petty-Cash Book'!E316</f>
        <v>0</v>
      </c>
      <c r="F315" s="270">
        <f>'Petty-Cash Book'!G316</f>
        <v>0</v>
      </c>
      <c r="G315" s="271">
        <f>'Petty-Cash Book'!F316</f>
        <v>0</v>
      </c>
    </row>
    <row r="316" spans="1:8" ht="30" customHeight="1" x14ac:dyDescent="0.3">
      <c r="A316" s="28">
        <f>'Petty-Cash Book'!A317</f>
        <v>0</v>
      </c>
      <c r="B316" s="29">
        <f>'Petty-Cash Book'!B317</f>
        <v>0</v>
      </c>
      <c r="C316" s="30">
        <f>'Petty-Cash Book'!C317</f>
        <v>0</v>
      </c>
      <c r="D316" s="31">
        <f>'Petty-Cash Book'!D317</f>
        <v>0</v>
      </c>
      <c r="E316" s="31">
        <f>'Petty-Cash Book'!E317</f>
        <v>0</v>
      </c>
      <c r="F316" s="270">
        <f>'Petty-Cash Book'!G317</f>
        <v>0</v>
      </c>
      <c r="G316" s="271">
        <f>'Petty-Cash Book'!F317</f>
        <v>0</v>
      </c>
    </row>
    <row r="317" spans="1:8" ht="30" customHeight="1" x14ac:dyDescent="0.3">
      <c r="A317" s="28">
        <f>'Petty-Cash Book'!A318</f>
        <v>0</v>
      </c>
      <c r="B317" s="29">
        <f>'Petty-Cash Book'!B318</f>
        <v>0</v>
      </c>
      <c r="C317" s="30">
        <f>'Petty-Cash Book'!C318</f>
        <v>0</v>
      </c>
      <c r="D317" s="31">
        <f>'Petty-Cash Book'!D318</f>
        <v>0</v>
      </c>
      <c r="E317" s="31">
        <f>'Petty-Cash Book'!E318</f>
        <v>0</v>
      </c>
      <c r="F317" s="270">
        <f>'Petty-Cash Book'!G318</f>
        <v>0</v>
      </c>
      <c r="G317" s="271">
        <f>'Petty-Cash Book'!F318</f>
        <v>0</v>
      </c>
    </row>
    <row r="318" spans="1:8" s="198" customFormat="1" ht="30" customHeight="1" x14ac:dyDescent="0.3">
      <c r="A318" s="28">
        <f>'Petty-Cash Book'!A319</f>
        <v>0</v>
      </c>
      <c r="B318" s="29">
        <f>'Petty-Cash Book'!B319</f>
        <v>0</v>
      </c>
      <c r="C318" s="30">
        <f>'Petty-Cash Book'!C319</f>
        <v>0</v>
      </c>
      <c r="D318" s="31">
        <f>'Petty-Cash Book'!D319</f>
        <v>0</v>
      </c>
      <c r="E318" s="31">
        <f>'Petty-Cash Book'!E319</f>
        <v>0</v>
      </c>
      <c r="F318" s="270">
        <f>'Petty-Cash Book'!G319</f>
        <v>0</v>
      </c>
      <c r="G318" s="271">
        <f>'Petty-Cash Book'!F319</f>
        <v>0</v>
      </c>
    </row>
    <row r="319" spans="1:8" ht="30" customHeight="1" x14ac:dyDescent="0.3">
      <c r="A319" s="28">
        <f>'Petty-Cash Book'!A320</f>
        <v>0</v>
      </c>
      <c r="B319" s="29">
        <f>'Petty-Cash Book'!B320</f>
        <v>0</v>
      </c>
      <c r="C319" s="30">
        <f>'Petty-Cash Book'!C320</f>
        <v>0</v>
      </c>
      <c r="D319" s="31">
        <f>'Petty-Cash Book'!D320</f>
        <v>0</v>
      </c>
      <c r="E319" s="31">
        <f>'Petty-Cash Book'!E320</f>
        <v>0</v>
      </c>
      <c r="F319" s="270">
        <f>'Petty-Cash Book'!G320</f>
        <v>0</v>
      </c>
      <c r="G319" s="271">
        <f>'Petty-Cash Book'!F320</f>
        <v>0</v>
      </c>
    </row>
    <row r="320" spans="1:8" ht="30" customHeight="1" thickBot="1" x14ac:dyDescent="0.35">
      <c r="A320" s="28">
        <f>'Petty-Cash Book'!A321</f>
        <v>0</v>
      </c>
      <c r="B320" s="29">
        <f>'Petty-Cash Book'!B321</f>
        <v>0</v>
      </c>
      <c r="C320" s="30">
        <f>'Petty-Cash Book'!C321</f>
        <v>0</v>
      </c>
      <c r="D320" s="31">
        <f>'Petty-Cash Book'!D321</f>
        <v>0</v>
      </c>
      <c r="E320" s="31">
        <f>'Petty-Cash Book'!E321</f>
        <v>0</v>
      </c>
      <c r="F320" s="270">
        <f>'Petty-Cash Book'!G321</f>
        <v>0</v>
      </c>
      <c r="G320" s="271">
        <f>'Petty-Cash Book'!F321</f>
        <v>0</v>
      </c>
    </row>
    <row r="321" spans="1:7" ht="30" customHeight="1" thickBot="1" x14ac:dyDescent="0.35">
      <c r="A321" s="32"/>
      <c r="B321" s="20"/>
      <c r="C321" s="20"/>
      <c r="D321" s="20"/>
      <c r="E321" s="23" t="s">
        <v>73</v>
      </c>
      <c r="F321" s="267">
        <f>SUBTOTAL(9,F5:F320)</f>
        <v>0</v>
      </c>
      <c r="G321" s="272">
        <f>SUBTOTAL(9,G5:G320)</f>
        <v>0</v>
      </c>
    </row>
    <row r="322" spans="1:7" ht="15" thickTop="1" x14ac:dyDescent="0.3"/>
  </sheetData>
  <autoFilter ref="A4:G320"/>
  <mergeCells count="3">
    <mergeCell ref="A1:G1"/>
    <mergeCell ref="A2:G2"/>
    <mergeCell ref="F3:G3"/>
  </mergeCells>
  <pageMargins left="0.39370078740157483" right="0" top="0" bottom="0" header="0.31496062992125984" footer="0.31496062992125984"/>
  <pageSetup paperSize="9" scale="7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76"/>
  <sheetViews>
    <sheetView showGridLines="0" workbookViewId="0">
      <pane ySplit="4" topLeftCell="A5" activePane="bottomLeft" state="frozen"/>
      <selection pane="bottomLeft" sqref="A1:H1"/>
    </sheetView>
  </sheetViews>
  <sheetFormatPr defaultRowHeight="14.4" x14ac:dyDescent="0.3"/>
  <cols>
    <col min="1" max="1" width="12.109375" customWidth="1"/>
    <col min="2" max="2" width="15.88671875" customWidth="1"/>
    <col min="3" max="3" width="13" customWidth="1"/>
    <col min="4" max="4" width="31.88671875" customWidth="1"/>
    <col min="5" max="5" width="38" customWidth="1"/>
    <col min="6" max="7" width="12.6640625" customWidth="1"/>
    <col min="8" max="8" width="14.6640625" customWidth="1"/>
    <col min="10" max="10" width="17.44140625" customWidth="1"/>
    <col min="11" max="11" width="55.33203125" customWidth="1"/>
    <col min="12" max="12" width="15.6640625" customWidth="1"/>
    <col min="13" max="13" width="18.5546875" customWidth="1"/>
  </cols>
  <sheetData>
    <row r="1" spans="1:14" ht="24.9" customHeight="1" x14ac:dyDescent="0.35">
      <c r="A1" s="449" t="str">
        <f>'Petty-Cash Book'!A1:H1</f>
        <v>LEAD GENERATION CO.,LTD</v>
      </c>
      <c r="B1" s="449"/>
      <c r="C1" s="449"/>
      <c r="D1" s="449"/>
      <c r="E1" s="449"/>
      <c r="F1" s="449"/>
      <c r="G1" s="449"/>
      <c r="H1" s="449"/>
    </row>
    <row r="2" spans="1:14" ht="24.9" customHeight="1" x14ac:dyDescent="0.3">
      <c r="A2" s="450" t="s">
        <v>140</v>
      </c>
      <c r="B2" s="450"/>
      <c r="C2" s="450"/>
      <c r="D2" s="450"/>
      <c r="E2" s="450"/>
      <c r="F2" s="450"/>
      <c r="G2" s="450"/>
      <c r="H2" s="450"/>
    </row>
    <row r="3" spans="1:14" ht="15" thickBot="1" x14ac:dyDescent="0.35">
      <c r="G3" s="452" t="str">
        <f>'Cash Book'!G3</f>
        <v>For 1-06-2015 to 31-05-2016</v>
      </c>
      <c r="H3" s="452"/>
    </row>
    <row r="4" spans="1:14" ht="33" customHeight="1" x14ac:dyDescent="0.3">
      <c r="A4" s="3" t="s">
        <v>61</v>
      </c>
      <c r="B4" s="4" t="s">
        <v>62</v>
      </c>
      <c r="C4" s="5" t="s">
        <v>63</v>
      </c>
      <c r="D4" s="4" t="s">
        <v>64</v>
      </c>
      <c r="E4" s="5" t="s">
        <v>65</v>
      </c>
      <c r="F4" s="6" t="s">
        <v>98</v>
      </c>
      <c r="G4" s="7" t="s">
        <v>99</v>
      </c>
      <c r="H4" s="8" t="s">
        <v>105</v>
      </c>
      <c r="J4" s="451" t="s">
        <v>69</v>
      </c>
      <c r="K4" s="451"/>
      <c r="L4" s="451"/>
      <c r="M4" s="451"/>
    </row>
    <row r="5" spans="1:14" ht="30" hidden="1" customHeight="1" x14ac:dyDescent="0.3">
      <c r="A5" s="9"/>
      <c r="B5" s="253"/>
      <c r="C5" s="253"/>
      <c r="D5" s="372"/>
      <c r="E5" s="372"/>
      <c r="F5" s="71"/>
      <c r="G5" s="275"/>
      <c r="H5" s="276">
        <v>0</v>
      </c>
      <c r="L5" s="10" t="s">
        <v>70</v>
      </c>
      <c r="M5" s="11" t="s">
        <v>66</v>
      </c>
    </row>
    <row r="6" spans="1:14" ht="30" customHeight="1" x14ac:dyDescent="0.3">
      <c r="A6" s="415" t="s">
        <v>198</v>
      </c>
      <c r="B6" s="253" t="s">
        <v>235</v>
      </c>
      <c r="C6" s="253">
        <v>111202</v>
      </c>
      <c r="D6" s="372" t="str">
        <f>IFERROR(VLOOKUP(C6,'Acc code'!B3:C134,2,FALSE),0)</f>
        <v>Cash at Bank ( CB-US$ )</v>
      </c>
      <c r="E6" s="372" t="s">
        <v>199</v>
      </c>
      <c r="F6" s="71">
        <v>1100</v>
      </c>
      <c r="G6" s="53"/>
      <c r="H6" s="276">
        <f>H5+F6-G6</f>
        <v>1100</v>
      </c>
      <c r="J6" s="16">
        <v>111101</v>
      </c>
      <c r="K6" s="17" t="s">
        <v>114</v>
      </c>
      <c r="L6" s="18">
        <f>SUMIF(C:C,"111101",F:F)</f>
        <v>0</v>
      </c>
      <c r="M6" s="18">
        <f>SUMIF(C:C,"111101",G:G)</f>
        <v>0</v>
      </c>
      <c r="N6" s="16">
        <v>1</v>
      </c>
    </row>
    <row r="7" spans="1:14" ht="30" customHeight="1" x14ac:dyDescent="0.3">
      <c r="A7" s="415" t="s">
        <v>198</v>
      </c>
      <c r="B7" s="253" t="s">
        <v>200</v>
      </c>
      <c r="C7" s="253">
        <v>401402</v>
      </c>
      <c r="D7" s="372" t="str">
        <f>IFERROR(VLOOKUP(C7,'Acc code'!B4:C135,2,FALSE),0)</f>
        <v>Exchange A/C</v>
      </c>
      <c r="E7" s="416" t="s">
        <v>201</v>
      </c>
      <c r="F7" s="53"/>
      <c r="G7" s="53">
        <v>1100</v>
      </c>
      <c r="H7" s="276">
        <f t="shared" ref="H7:H70" si="0">H6+F7-G7</f>
        <v>0</v>
      </c>
      <c r="J7" s="16">
        <v>111102</v>
      </c>
      <c r="K7" s="17" t="s">
        <v>117</v>
      </c>
      <c r="L7" s="18">
        <f>SUMIF(C:C,"111102",F:F)</f>
        <v>0</v>
      </c>
      <c r="M7" s="18">
        <f>SUMIF(C:C,"111102",G:G)</f>
        <v>0</v>
      </c>
      <c r="N7" s="16">
        <v>2</v>
      </c>
    </row>
    <row r="8" spans="1:14" ht="30" customHeight="1" x14ac:dyDescent="0.3">
      <c r="A8" s="415" t="s">
        <v>213</v>
      </c>
      <c r="B8" s="253" t="s">
        <v>234</v>
      </c>
      <c r="C8" s="253">
        <v>111202</v>
      </c>
      <c r="D8" s="372" t="str">
        <f>IFERROR(VLOOKUP(C8,'Acc code'!B5:C136,2,FALSE),0)</f>
        <v>Cash at Bank ( CB-US$ )</v>
      </c>
      <c r="E8" s="372" t="s">
        <v>199</v>
      </c>
      <c r="F8" s="53">
        <v>350</v>
      </c>
      <c r="G8" s="53"/>
      <c r="H8" s="276">
        <f t="shared" si="0"/>
        <v>350</v>
      </c>
      <c r="J8" s="16">
        <v>111103</v>
      </c>
      <c r="K8" s="17" t="s">
        <v>118</v>
      </c>
      <c r="L8" s="18">
        <f>SUMIF(C:C,"111103",F:F)</f>
        <v>4215</v>
      </c>
      <c r="M8" s="18">
        <f>SUMIF(C:C,"111103",G:G)</f>
        <v>0</v>
      </c>
      <c r="N8" s="16">
        <v>3</v>
      </c>
    </row>
    <row r="9" spans="1:14" ht="30" customHeight="1" x14ac:dyDescent="0.3">
      <c r="A9" s="251" t="s">
        <v>219</v>
      </c>
      <c r="B9" s="253" t="s">
        <v>220</v>
      </c>
      <c r="C9" s="253">
        <v>111202</v>
      </c>
      <c r="D9" s="372" t="str">
        <f>IFERROR(VLOOKUP(C9,'Acc code'!B6:C137,2,FALSE),0)</f>
        <v>Cash at Bank ( CB-US$ )</v>
      </c>
      <c r="E9" s="254" t="s">
        <v>221</v>
      </c>
      <c r="F9" s="53"/>
      <c r="G9" s="53">
        <v>100</v>
      </c>
      <c r="H9" s="276">
        <f t="shared" si="0"/>
        <v>250</v>
      </c>
      <c r="J9" s="16">
        <v>111201</v>
      </c>
      <c r="K9" s="409" t="s">
        <v>205</v>
      </c>
      <c r="L9" s="18">
        <f>SUMIF(C:C,"111201",F:F)</f>
        <v>0</v>
      </c>
      <c r="M9" s="18">
        <f>SUMIF(C:C,"111201",G:G)</f>
        <v>0</v>
      </c>
      <c r="N9" s="16">
        <v>4</v>
      </c>
    </row>
    <row r="10" spans="1:14" ht="30" customHeight="1" x14ac:dyDescent="0.3">
      <c r="A10" s="414" t="s">
        <v>243</v>
      </c>
      <c r="B10" s="253" t="s">
        <v>244</v>
      </c>
      <c r="C10" s="253">
        <v>401402</v>
      </c>
      <c r="D10" s="372" t="str">
        <f>IFERROR(VLOOKUP(C10,'Acc code'!B7:C138,2,FALSE),0)</f>
        <v>Exchange A/C</v>
      </c>
      <c r="E10" s="416" t="s">
        <v>245</v>
      </c>
      <c r="F10" s="53"/>
      <c r="G10" s="53">
        <v>100</v>
      </c>
      <c r="H10" s="276">
        <f t="shared" si="0"/>
        <v>150</v>
      </c>
      <c r="J10" s="16">
        <v>111202</v>
      </c>
      <c r="K10" s="409" t="s">
        <v>192</v>
      </c>
      <c r="L10" s="18">
        <f>SUMIF(C:C,"111202",F:F)</f>
        <v>1450</v>
      </c>
      <c r="M10" s="18">
        <f>SUMIF(C:C,"111202",G:G)</f>
        <v>1400</v>
      </c>
      <c r="N10" s="16">
        <v>5</v>
      </c>
    </row>
    <row r="11" spans="1:14" ht="30" customHeight="1" x14ac:dyDescent="0.3">
      <c r="A11" s="414" t="s">
        <v>293</v>
      </c>
      <c r="B11" s="253" t="s">
        <v>294</v>
      </c>
      <c r="C11" s="253">
        <v>111103</v>
      </c>
      <c r="D11" s="372" t="str">
        <f>IFERROR(VLOOKUP(C11,'Acc code'!B2:C80,2,FALSE),0)</f>
        <v>Transfer Account ( Cash &amp; Bank )</v>
      </c>
      <c r="E11" s="254" t="s">
        <v>298</v>
      </c>
      <c r="F11" s="53">
        <v>500</v>
      </c>
      <c r="G11" s="53"/>
      <c r="H11" s="276">
        <f t="shared" si="0"/>
        <v>650</v>
      </c>
      <c r="J11" s="16">
        <v>111203</v>
      </c>
      <c r="K11" s="17" t="s">
        <v>18</v>
      </c>
      <c r="L11" s="18">
        <f>SUMIF(C:C,"111203",F:F)</f>
        <v>0</v>
      </c>
      <c r="M11" s="18">
        <f>SUMIF(C:C,"111203",G:G)</f>
        <v>0</v>
      </c>
      <c r="N11" s="16">
        <v>6</v>
      </c>
    </row>
    <row r="12" spans="1:14" ht="30" customHeight="1" x14ac:dyDescent="0.3">
      <c r="A12" s="414" t="s">
        <v>300</v>
      </c>
      <c r="B12" s="253" t="s">
        <v>320</v>
      </c>
      <c r="C12" s="245">
        <v>111301</v>
      </c>
      <c r="D12" s="372" t="str">
        <f>IFERROR(VLOOKUP(C12,'Acc code'!B3:C81,2,FALSE),0)</f>
        <v>Prepaid ( Office Staff )</v>
      </c>
      <c r="E12" s="254" t="s">
        <v>321</v>
      </c>
      <c r="F12" s="53"/>
      <c r="G12" s="53">
        <v>75</v>
      </c>
      <c r="H12" s="276">
        <f t="shared" si="0"/>
        <v>575</v>
      </c>
      <c r="J12" s="16">
        <v>111204</v>
      </c>
      <c r="K12" s="17" t="s">
        <v>19</v>
      </c>
      <c r="L12" s="18">
        <f>SUMIF(C:C,"111204",F:F)</f>
        <v>0</v>
      </c>
      <c r="M12" s="18">
        <f>SUMIF(C:C,"111204",G:G)</f>
        <v>0</v>
      </c>
      <c r="N12" s="16">
        <v>7</v>
      </c>
    </row>
    <row r="13" spans="1:14" ht="30" customHeight="1" x14ac:dyDescent="0.3">
      <c r="A13" s="414" t="s">
        <v>322</v>
      </c>
      <c r="B13" s="431" t="s">
        <v>323</v>
      </c>
      <c r="C13" s="245">
        <v>401402</v>
      </c>
      <c r="D13" s="372" t="str">
        <f>IFERROR(VLOOKUP(C13,'Acc code'!B4:C82,2,FALSE),0)</f>
        <v>Exchange A/C</v>
      </c>
      <c r="E13" s="254" t="s">
        <v>324</v>
      </c>
      <c r="F13" s="53"/>
      <c r="G13" s="53">
        <v>100</v>
      </c>
      <c r="H13" s="276">
        <f t="shared" si="0"/>
        <v>475</v>
      </c>
      <c r="J13" s="16">
        <v>111301</v>
      </c>
      <c r="K13" s="17" t="s">
        <v>248</v>
      </c>
      <c r="L13" s="18">
        <f>SUMIF(C:C,"111301",F:F)</f>
        <v>1575</v>
      </c>
      <c r="M13" s="18">
        <f>SUMIF(C:C,"111301",G:G)</f>
        <v>75</v>
      </c>
      <c r="N13" s="16">
        <v>8</v>
      </c>
    </row>
    <row r="14" spans="1:14" ht="30" customHeight="1" x14ac:dyDescent="0.3">
      <c r="A14" s="435" t="s">
        <v>327</v>
      </c>
      <c r="B14" s="194" t="s">
        <v>328</v>
      </c>
      <c r="C14" s="245">
        <v>401402</v>
      </c>
      <c r="D14" s="372" t="str">
        <f>IFERROR(VLOOKUP(C14,'Acc code'!B5:C83,2,FALSE),0)</f>
        <v>Exchange A/C</v>
      </c>
      <c r="E14" s="254" t="s">
        <v>324</v>
      </c>
      <c r="F14" s="53"/>
      <c r="G14" s="53">
        <v>100</v>
      </c>
      <c r="H14" s="276">
        <f t="shared" si="0"/>
        <v>375</v>
      </c>
      <c r="J14" s="16">
        <v>111302</v>
      </c>
      <c r="K14" s="409" t="s">
        <v>432</v>
      </c>
      <c r="L14" s="18">
        <f>SUMIF(C:C,"111302",F:F)</f>
        <v>0</v>
      </c>
      <c r="M14" s="18">
        <f>SUMIF(C:C,"111302",G:G)</f>
        <v>0</v>
      </c>
      <c r="N14" s="16">
        <v>9</v>
      </c>
    </row>
    <row r="15" spans="1:14" ht="30" customHeight="1" x14ac:dyDescent="0.3">
      <c r="A15" s="435" t="s">
        <v>330</v>
      </c>
      <c r="B15" s="194" t="s">
        <v>331</v>
      </c>
      <c r="C15" s="245">
        <v>401402</v>
      </c>
      <c r="D15" s="372" t="str">
        <f>IFERROR(VLOOKUP(C15,'Acc code'!B6:C84,2,FALSE),0)</f>
        <v>Exchange A/C</v>
      </c>
      <c r="E15" s="429" t="s">
        <v>332</v>
      </c>
      <c r="F15" s="53"/>
      <c r="G15" s="53">
        <v>25</v>
      </c>
      <c r="H15" s="276">
        <f t="shared" si="0"/>
        <v>350</v>
      </c>
      <c r="J15" s="16">
        <v>111401</v>
      </c>
      <c r="K15" s="17" t="s">
        <v>14</v>
      </c>
      <c r="L15" s="18">
        <f>SUMIF(C:C,"111401",F:F)</f>
        <v>0</v>
      </c>
      <c r="M15" s="18">
        <f>SUMIF(C:C,"111401",G:G)</f>
        <v>0</v>
      </c>
      <c r="N15" s="16">
        <v>10</v>
      </c>
    </row>
    <row r="16" spans="1:14" s="247" customFormat="1" ht="30" customHeight="1" x14ac:dyDescent="0.3">
      <c r="A16" s="435" t="s">
        <v>462</v>
      </c>
      <c r="B16" s="194" t="s">
        <v>485</v>
      </c>
      <c r="C16" s="253">
        <v>111103</v>
      </c>
      <c r="D16" s="372" t="str">
        <f>IFERROR(VLOOKUP(C16,'Acc code'!$B$2:$C$80,2,FALSE),0)</f>
        <v>Transfer Account ( Cash &amp; Bank )</v>
      </c>
      <c r="E16" s="254" t="s">
        <v>486</v>
      </c>
      <c r="F16" s="53">
        <v>3715</v>
      </c>
      <c r="G16" s="53"/>
      <c r="H16" s="276">
        <f t="shared" si="0"/>
        <v>4065</v>
      </c>
      <c r="J16" s="16">
        <v>111402</v>
      </c>
      <c r="K16" s="17" t="s">
        <v>161</v>
      </c>
      <c r="L16" s="18">
        <f>SUMIF(C:C,"111402",F:F)</f>
        <v>0</v>
      </c>
      <c r="M16" s="18">
        <f>SUMIF(C:C,"111402",G:G)</f>
        <v>0</v>
      </c>
      <c r="N16" s="16">
        <v>11</v>
      </c>
    </row>
    <row r="17" spans="1:14" ht="30" customHeight="1" x14ac:dyDescent="0.3">
      <c r="A17" s="435" t="s">
        <v>498</v>
      </c>
      <c r="B17" s="194" t="s">
        <v>499</v>
      </c>
      <c r="C17" s="245">
        <v>612119</v>
      </c>
      <c r="D17" s="372" t="str">
        <f>IFERROR(VLOOKUP(C17,'Acc code'!$B$2:$C$80,2,FALSE),0)</f>
        <v>Wages Expenses</v>
      </c>
      <c r="E17" s="249" t="s">
        <v>500</v>
      </c>
      <c r="F17" s="53"/>
      <c r="G17" s="53">
        <v>250</v>
      </c>
      <c r="H17" s="276">
        <f t="shared" si="0"/>
        <v>3815</v>
      </c>
      <c r="J17" s="16">
        <v>111501</v>
      </c>
      <c r="K17" s="17" t="s">
        <v>15</v>
      </c>
      <c r="L17" s="18">
        <f>SUMIF(C:C,"111501",F:F)</f>
        <v>0</v>
      </c>
      <c r="M17" s="18">
        <f>SUMIF(C:C,"111501",G:G)</f>
        <v>0</v>
      </c>
      <c r="N17" s="16">
        <v>12</v>
      </c>
    </row>
    <row r="18" spans="1:14" ht="30" customHeight="1" x14ac:dyDescent="0.3">
      <c r="A18" s="435" t="s">
        <v>498</v>
      </c>
      <c r="B18" s="194" t="s">
        <v>488</v>
      </c>
      <c r="C18" s="245">
        <v>111202</v>
      </c>
      <c r="D18" s="372" t="str">
        <f>IFERROR(VLOOKUP(C18,'Acc code'!$B$2:$C$80,2,FALSE),0)</f>
        <v>Cash at Bank ( CB-US$ )</v>
      </c>
      <c r="E18" s="249" t="s">
        <v>501</v>
      </c>
      <c r="F18" s="53"/>
      <c r="G18" s="53">
        <v>1300</v>
      </c>
      <c r="H18" s="276">
        <f t="shared" si="0"/>
        <v>2515</v>
      </c>
      <c r="J18" s="16">
        <v>111601</v>
      </c>
      <c r="K18" s="17" t="s">
        <v>1</v>
      </c>
      <c r="L18" s="18">
        <f>SUMIF(C:C,"111601",F:F)</f>
        <v>0</v>
      </c>
      <c r="M18" s="18">
        <f>SUMIF(C:C,"111601",G:G)</f>
        <v>0</v>
      </c>
      <c r="N18" s="16">
        <v>13</v>
      </c>
    </row>
    <row r="19" spans="1:14" ht="30" customHeight="1" x14ac:dyDescent="0.3">
      <c r="A19" s="435" t="s">
        <v>498</v>
      </c>
      <c r="B19" s="194" t="s">
        <v>502</v>
      </c>
      <c r="C19" s="245">
        <v>111301</v>
      </c>
      <c r="D19" s="372" t="str">
        <f>IFERROR(VLOOKUP(C19,'Acc code'!$B$2:$C$80,2,FALSE),0)</f>
        <v>Prepaid ( Office Staff )</v>
      </c>
      <c r="E19" s="249" t="s">
        <v>503</v>
      </c>
      <c r="F19" s="53">
        <v>1575</v>
      </c>
      <c r="G19" s="53"/>
      <c r="H19" s="276">
        <f t="shared" si="0"/>
        <v>4090</v>
      </c>
      <c r="J19" s="16">
        <v>291101</v>
      </c>
      <c r="K19" s="17" t="s">
        <v>2</v>
      </c>
      <c r="L19" s="18">
        <f>SUMIF(C:C,"291101",F:F)</f>
        <v>0</v>
      </c>
      <c r="M19" s="18">
        <f>SUMIF(C:C,"291101",G:G)</f>
        <v>0</v>
      </c>
      <c r="N19" s="16">
        <v>14</v>
      </c>
    </row>
    <row r="20" spans="1:14" ht="30" customHeight="1" x14ac:dyDescent="0.3">
      <c r="A20" s="435" t="s">
        <v>462</v>
      </c>
      <c r="B20" s="194" t="s">
        <v>504</v>
      </c>
      <c r="C20" s="245">
        <v>612103</v>
      </c>
      <c r="D20" s="372" t="str">
        <f>IFERROR(VLOOKUP(C20,'Acc code'!$B$2:$C$80,2,FALSE),0)</f>
        <v>Office Rental Charges</v>
      </c>
      <c r="E20" s="249" t="s">
        <v>505</v>
      </c>
      <c r="F20" s="53"/>
      <c r="G20" s="53">
        <v>3928</v>
      </c>
      <c r="H20" s="276">
        <f t="shared" si="0"/>
        <v>162</v>
      </c>
      <c r="J20" s="16">
        <v>291102</v>
      </c>
      <c r="K20" s="17" t="s">
        <v>16</v>
      </c>
      <c r="L20" s="18">
        <f>SUMIF(C:C,"291102",F:F)</f>
        <v>0</v>
      </c>
      <c r="M20" s="18">
        <f>SUMIF(C:C,"291102",G:G)</f>
        <v>0</v>
      </c>
      <c r="N20" s="16">
        <v>15</v>
      </c>
    </row>
    <row r="21" spans="1:14" ht="30" customHeight="1" thickBot="1" x14ac:dyDescent="0.35">
      <c r="A21" s="435" t="s">
        <v>462</v>
      </c>
      <c r="B21" s="194" t="s">
        <v>485</v>
      </c>
      <c r="C21" s="245">
        <v>612103</v>
      </c>
      <c r="D21" s="372" t="str">
        <f>IFERROR(VLOOKUP(C21,'Acc code'!$B$2:$C$80,2,FALSE),0)</f>
        <v>Office Rental Charges</v>
      </c>
      <c r="E21" s="249" t="s">
        <v>506</v>
      </c>
      <c r="F21" s="53">
        <v>250</v>
      </c>
      <c r="G21" s="53"/>
      <c r="H21" s="276">
        <f t="shared" si="0"/>
        <v>412</v>
      </c>
      <c r="J21" s="16">
        <v>291103</v>
      </c>
      <c r="K21" s="17" t="s">
        <v>3</v>
      </c>
      <c r="L21" s="18">
        <f>SUMIF(C:C,"291103",F:F)</f>
        <v>0</v>
      </c>
      <c r="M21" s="18">
        <f>SUMIF(C:C,"291103",G:G)</f>
        <v>0</v>
      </c>
      <c r="N21" s="16">
        <v>16</v>
      </c>
    </row>
    <row r="22" spans="1:14" ht="30" hidden="1" customHeight="1" x14ac:dyDescent="0.3">
      <c r="A22" s="246"/>
      <c r="B22" s="194"/>
      <c r="C22" s="245"/>
      <c r="D22" s="372">
        <f>IFERROR(VLOOKUP(C22,'Acc code'!$B$2:$C$80,2,FALSE),0)</f>
        <v>0</v>
      </c>
      <c r="E22" s="249"/>
      <c r="F22" s="53"/>
      <c r="G22" s="53"/>
      <c r="H22" s="276">
        <f t="shared" si="0"/>
        <v>412</v>
      </c>
      <c r="J22" s="16">
        <v>291104</v>
      </c>
      <c r="K22" s="17" t="s">
        <v>193</v>
      </c>
      <c r="L22" s="18">
        <f>SUMIF(C:C,"291104",F:F)</f>
        <v>0</v>
      </c>
      <c r="M22" s="18">
        <f>SUMIF(C:C,"291104",G:G)</f>
        <v>0</v>
      </c>
      <c r="N22" s="16">
        <v>17</v>
      </c>
    </row>
    <row r="23" spans="1:14" ht="30" hidden="1" customHeight="1" x14ac:dyDescent="0.3">
      <c r="A23" s="246"/>
      <c r="B23" s="194"/>
      <c r="C23" s="245"/>
      <c r="D23" s="372">
        <f>IFERROR(VLOOKUP(C23,'Acc code'!$B$2:$C$80,2,FALSE),0)</f>
        <v>0</v>
      </c>
      <c r="E23" s="249"/>
      <c r="F23" s="53"/>
      <c r="G23" s="53"/>
      <c r="H23" s="276">
        <f t="shared" si="0"/>
        <v>412</v>
      </c>
      <c r="J23" s="16">
        <v>294101</v>
      </c>
      <c r="K23" s="17" t="s">
        <v>4</v>
      </c>
      <c r="L23" s="18">
        <f>SUMIF(C:C,"294101",F:F)</f>
        <v>0</v>
      </c>
      <c r="M23" s="18">
        <f>SUMIF(C:C,"294101",G:G)</f>
        <v>0</v>
      </c>
      <c r="N23" s="16">
        <v>18</v>
      </c>
    </row>
    <row r="24" spans="1:14" ht="30" hidden="1" customHeight="1" x14ac:dyDescent="0.3">
      <c r="A24" s="246"/>
      <c r="B24" s="194"/>
      <c r="C24" s="245"/>
      <c r="D24" s="372">
        <f>IFERROR(VLOOKUP(C24,'Acc code'!$B$2:$C$80,2,FALSE),0)</f>
        <v>0</v>
      </c>
      <c r="E24" s="249"/>
      <c r="F24" s="53"/>
      <c r="G24" s="53"/>
      <c r="H24" s="276">
        <f t="shared" si="0"/>
        <v>412</v>
      </c>
      <c r="J24" s="16">
        <v>294102</v>
      </c>
      <c r="K24" s="17" t="s">
        <v>17</v>
      </c>
      <c r="L24" s="18">
        <f>SUMIF(C:C,"294102",F:F)</f>
        <v>0</v>
      </c>
      <c r="M24" s="18">
        <f>SUMIF(C:C,"294102",G:G)</f>
        <v>0</v>
      </c>
      <c r="N24" s="16">
        <v>19</v>
      </c>
    </row>
    <row r="25" spans="1:14" ht="30" hidden="1" customHeight="1" x14ac:dyDescent="0.3">
      <c r="A25" s="246"/>
      <c r="B25" s="194"/>
      <c r="C25" s="245"/>
      <c r="D25" s="372">
        <f>IFERROR(VLOOKUP(C25,'Acc code'!$B$2:$C$80,2,FALSE),0)</f>
        <v>0</v>
      </c>
      <c r="E25" s="249"/>
      <c r="F25" s="53"/>
      <c r="G25" s="53"/>
      <c r="H25" s="276">
        <f t="shared" si="0"/>
        <v>412</v>
      </c>
      <c r="J25" s="16">
        <v>294103</v>
      </c>
      <c r="K25" s="17" t="s">
        <v>5</v>
      </c>
      <c r="L25" s="18">
        <f>SUMIF(C:C,"294103",F:F)</f>
        <v>0</v>
      </c>
      <c r="M25" s="18">
        <f>SUMIF(C:C,"294103",G:G)</f>
        <v>0</v>
      </c>
      <c r="N25" s="16">
        <v>20</v>
      </c>
    </row>
    <row r="26" spans="1:14" ht="30" hidden="1" customHeight="1" x14ac:dyDescent="0.3">
      <c r="A26" s="246"/>
      <c r="B26" s="194"/>
      <c r="C26" s="245"/>
      <c r="D26" s="372">
        <f>IFERROR(VLOOKUP(C26,'Acc code'!$B$2:$C$80,2,FALSE),0)</f>
        <v>0</v>
      </c>
      <c r="E26" s="249"/>
      <c r="F26" s="53"/>
      <c r="G26" s="53"/>
      <c r="H26" s="276">
        <f t="shared" si="0"/>
        <v>412</v>
      </c>
      <c r="J26" s="16">
        <v>294104</v>
      </c>
      <c r="K26" s="17" t="s">
        <v>95</v>
      </c>
      <c r="L26" s="18">
        <f>SUMIF(C:C,"294104",F:F)</f>
        <v>0</v>
      </c>
      <c r="M26" s="18">
        <f>SUMIF(C:C,"294104",G:G)</f>
        <v>0</v>
      </c>
      <c r="N26" s="16">
        <v>21</v>
      </c>
    </row>
    <row r="27" spans="1:14" ht="30" hidden="1" customHeight="1" x14ac:dyDescent="0.3">
      <c r="A27" s="246"/>
      <c r="B27" s="194"/>
      <c r="C27" s="245"/>
      <c r="D27" s="372">
        <f>IFERROR(VLOOKUP(C27,'Acc code'!$B$2:$C$80,2,FALSE),0)</f>
        <v>0</v>
      </c>
      <c r="E27" s="249"/>
      <c r="F27" s="53"/>
      <c r="G27" s="53"/>
      <c r="H27" s="276">
        <f t="shared" si="0"/>
        <v>412</v>
      </c>
      <c r="J27" s="16">
        <v>321101</v>
      </c>
      <c r="K27" s="17" t="s">
        <v>21</v>
      </c>
      <c r="L27" s="18">
        <f>SUMIF(C:C,"321101",F:F)</f>
        <v>0</v>
      </c>
      <c r="M27" s="18">
        <f>SUMIF(C:C,"321101",G:G)</f>
        <v>0</v>
      </c>
      <c r="N27" s="16">
        <v>22</v>
      </c>
    </row>
    <row r="28" spans="1:14" ht="30" hidden="1" customHeight="1" x14ac:dyDescent="0.3">
      <c r="A28" s="246"/>
      <c r="B28" s="194"/>
      <c r="C28" s="245"/>
      <c r="D28" s="372">
        <f>IFERROR(VLOOKUP(C28,'Acc code'!$B$2:$C$80,2,FALSE),0)</f>
        <v>0</v>
      </c>
      <c r="E28" s="249"/>
      <c r="F28" s="53"/>
      <c r="G28" s="53"/>
      <c r="H28" s="276">
        <f t="shared" si="0"/>
        <v>412</v>
      </c>
      <c r="J28" s="16">
        <v>321201</v>
      </c>
      <c r="K28" s="17" t="s">
        <v>22</v>
      </c>
      <c r="L28" s="18">
        <f>SUMIF(C:C,"321201",F:F)</f>
        <v>0</v>
      </c>
      <c r="M28" s="18">
        <f>SUMIF(C:C,"321201",G:G)</f>
        <v>0</v>
      </c>
      <c r="N28" s="16">
        <v>23</v>
      </c>
    </row>
    <row r="29" spans="1:14" ht="30" hidden="1" customHeight="1" x14ac:dyDescent="0.3">
      <c r="A29" s="121"/>
      <c r="B29" s="194"/>
      <c r="C29" s="14"/>
      <c r="D29" s="372">
        <f>IFERROR(VLOOKUP(C29,'Acc code'!$B$2:$C$80,2,FALSE),0)</f>
        <v>0</v>
      </c>
      <c r="E29" s="254"/>
      <c r="F29" s="53"/>
      <c r="G29" s="53"/>
      <c r="H29" s="276">
        <f t="shared" si="0"/>
        <v>412</v>
      </c>
      <c r="J29" s="16">
        <v>321301</v>
      </c>
      <c r="K29" s="17" t="s">
        <v>23</v>
      </c>
      <c r="L29" s="18">
        <f>SUMIF(C:C,"321301",F:F)</f>
        <v>0</v>
      </c>
      <c r="M29" s="18">
        <f>SUMIF(C:C,"321301",G:G)</f>
        <v>0</v>
      </c>
      <c r="N29" s="16">
        <v>24</v>
      </c>
    </row>
    <row r="30" spans="1:14" ht="30" hidden="1" customHeight="1" x14ac:dyDescent="0.3">
      <c r="A30" s="121"/>
      <c r="B30" s="194"/>
      <c r="C30" s="14"/>
      <c r="D30" s="372">
        <f>IFERROR(VLOOKUP(C30,'Acc code'!$B$2:$C$80,2,FALSE),0)</f>
        <v>0</v>
      </c>
      <c r="E30" s="254"/>
      <c r="F30" s="53"/>
      <c r="G30" s="53"/>
      <c r="H30" s="276">
        <f t="shared" si="0"/>
        <v>412</v>
      </c>
      <c r="J30" s="16">
        <v>321302</v>
      </c>
      <c r="K30" s="17" t="s">
        <v>24</v>
      </c>
      <c r="L30" s="18">
        <f>SUMIF(C:C,"321302",F:F)</f>
        <v>0</v>
      </c>
      <c r="M30" s="18">
        <f>SUMIF(C:C,"321302",G:G)</f>
        <v>0</v>
      </c>
      <c r="N30" s="16">
        <v>25</v>
      </c>
    </row>
    <row r="31" spans="1:14" s="198" customFormat="1" ht="30" hidden="1" customHeight="1" x14ac:dyDescent="0.3">
      <c r="A31" s="201"/>
      <c r="B31" s="194"/>
      <c r="C31" s="199"/>
      <c r="D31" s="372">
        <f>IFERROR(VLOOKUP(C31,'Acc code'!$B$2:$C$80,2,FALSE),0)</f>
        <v>0</v>
      </c>
      <c r="E31" s="254"/>
      <c r="F31" s="53"/>
      <c r="G31" s="53"/>
      <c r="H31" s="276">
        <f t="shared" si="0"/>
        <v>412</v>
      </c>
      <c r="J31" s="16">
        <v>321303</v>
      </c>
      <c r="K31" s="17" t="s">
        <v>159</v>
      </c>
      <c r="L31" s="18">
        <f>SUMIF(C:C,"321303",F:F)</f>
        <v>0</v>
      </c>
      <c r="M31" s="18">
        <f>SUMIF(C:C,"321303",G:G)</f>
        <v>0</v>
      </c>
      <c r="N31" s="16">
        <v>26</v>
      </c>
    </row>
    <row r="32" spans="1:14" ht="30" hidden="1" customHeight="1" x14ac:dyDescent="0.3">
      <c r="A32" s="121"/>
      <c r="B32" s="252"/>
      <c r="C32" s="14"/>
      <c r="D32" s="372">
        <f>IFERROR(VLOOKUP(C32,'Acc code'!$B$2:$C$80,2,FALSE),0)</f>
        <v>0</v>
      </c>
      <c r="E32" s="254"/>
      <c r="F32" s="53"/>
      <c r="G32" s="53"/>
      <c r="H32" s="276">
        <f t="shared" si="0"/>
        <v>412</v>
      </c>
      <c r="J32" s="16">
        <v>401101</v>
      </c>
      <c r="K32" s="17" t="s">
        <v>223</v>
      </c>
      <c r="L32" s="18">
        <f>SUMIF(C:C,"401101",F:F)</f>
        <v>0</v>
      </c>
      <c r="M32" s="18">
        <f>SUMIF(C:C,"401101",G:G)</f>
        <v>0</v>
      </c>
      <c r="N32" s="16">
        <v>27</v>
      </c>
    </row>
    <row r="33" spans="1:14" ht="30" hidden="1" customHeight="1" x14ac:dyDescent="0.3">
      <c r="A33" s="121"/>
      <c r="B33" s="252"/>
      <c r="C33" s="14"/>
      <c r="D33" s="372">
        <f>IFERROR(VLOOKUP(C33,'Acc code'!$B$2:$C$80,2,FALSE),0)</f>
        <v>0</v>
      </c>
      <c r="E33" s="254"/>
      <c r="F33" s="53"/>
      <c r="G33" s="53"/>
      <c r="H33" s="276">
        <f t="shared" si="0"/>
        <v>412</v>
      </c>
      <c r="J33" s="16">
        <v>401201</v>
      </c>
      <c r="K33" s="17" t="s">
        <v>25</v>
      </c>
      <c r="L33" s="18">
        <f>SUMIF(C:C,"401201",F:F)</f>
        <v>0</v>
      </c>
      <c r="M33" s="18">
        <f>SUMIF(C:C,"401201",G:G)</f>
        <v>0</v>
      </c>
      <c r="N33" s="16">
        <v>28</v>
      </c>
    </row>
    <row r="34" spans="1:14" ht="30" hidden="1" customHeight="1" x14ac:dyDescent="0.3">
      <c r="A34" s="121"/>
      <c r="B34" s="13"/>
      <c r="C34" s="14"/>
      <c r="D34" s="372">
        <f>IFERROR(VLOOKUP(C34,'Acc code'!$B$2:$C$80,2,FALSE),0)</f>
        <v>0</v>
      </c>
      <c r="E34" s="15"/>
      <c r="F34" s="53"/>
      <c r="G34" s="53"/>
      <c r="H34" s="276">
        <f t="shared" si="0"/>
        <v>412</v>
      </c>
      <c r="J34" s="16">
        <v>401301</v>
      </c>
      <c r="K34" s="17" t="s">
        <v>26</v>
      </c>
      <c r="L34" s="18">
        <f>SUMIF(C:C,"401301",F:F)</f>
        <v>0</v>
      </c>
      <c r="M34" s="18">
        <f>SUMIF(C:C,"401301",G:G)</f>
        <v>0</v>
      </c>
      <c r="N34" s="16">
        <v>29</v>
      </c>
    </row>
    <row r="35" spans="1:14" ht="30" hidden="1" customHeight="1" x14ac:dyDescent="0.3">
      <c r="A35" s="121"/>
      <c r="B35" s="13"/>
      <c r="C35" s="14"/>
      <c r="D35" s="372">
        <f>IFERROR(VLOOKUP(C35,'Acc code'!$B$2:$C$80,2,FALSE),0)</f>
        <v>0</v>
      </c>
      <c r="E35" s="15"/>
      <c r="F35" s="53"/>
      <c r="G35" s="53"/>
      <c r="H35" s="276">
        <f t="shared" si="0"/>
        <v>412</v>
      </c>
      <c r="J35" s="16">
        <v>401401</v>
      </c>
      <c r="K35" s="17" t="s">
        <v>27</v>
      </c>
      <c r="L35" s="18">
        <f>SUMIF(C:C,"401401",F:F)</f>
        <v>0</v>
      </c>
      <c r="M35" s="18">
        <f>SUMIF(C:C,"401401",G:G)</f>
        <v>0</v>
      </c>
      <c r="N35" s="16">
        <v>30</v>
      </c>
    </row>
    <row r="36" spans="1:14" ht="30" hidden="1" customHeight="1" x14ac:dyDescent="0.3">
      <c r="A36" s="121"/>
      <c r="B36" s="13"/>
      <c r="C36" s="14"/>
      <c r="D36" s="372">
        <f>IFERROR(VLOOKUP(C36,'Acc code'!$B$2:$C$80,2,FALSE),0)</f>
        <v>0</v>
      </c>
      <c r="E36" s="15"/>
      <c r="F36" s="53"/>
      <c r="G36" s="53"/>
      <c r="H36" s="276">
        <f t="shared" si="0"/>
        <v>412</v>
      </c>
      <c r="J36" s="16">
        <v>401402</v>
      </c>
      <c r="K36" s="17" t="s">
        <v>106</v>
      </c>
      <c r="L36" s="18">
        <f>SUMIF(C:C,"401402",F:F)</f>
        <v>0</v>
      </c>
      <c r="M36" s="18">
        <f>SUMIF(C:C,"401402",G:G)</f>
        <v>1425</v>
      </c>
      <c r="N36" s="16">
        <v>31</v>
      </c>
    </row>
    <row r="37" spans="1:14" ht="30" hidden="1" customHeight="1" x14ac:dyDescent="0.3">
      <c r="A37" s="121"/>
      <c r="B37" s="13"/>
      <c r="C37" s="14"/>
      <c r="D37" s="372">
        <f>IFERROR(VLOOKUP(C37,'Acc code'!$B$2:$C$80,2,FALSE),0)</f>
        <v>0</v>
      </c>
      <c r="E37" s="15"/>
      <c r="F37" s="53"/>
      <c r="G37" s="53"/>
      <c r="H37" s="276">
        <f t="shared" si="0"/>
        <v>412</v>
      </c>
      <c r="J37" s="16">
        <v>401403</v>
      </c>
      <c r="K37" s="17" t="s">
        <v>116</v>
      </c>
      <c r="L37" s="18">
        <f>SUMIF(C:C,"401403",F:F)</f>
        <v>0</v>
      </c>
      <c r="M37" s="18">
        <f>SUMIF(C:C,"401403",G:G)</f>
        <v>0</v>
      </c>
      <c r="N37" s="16">
        <v>32</v>
      </c>
    </row>
    <row r="38" spans="1:14" ht="30" hidden="1" customHeight="1" x14ac:dyDescent="0.3">
      <c r="A38" s="121"/>
      <c r="B38" s="13"/>
      <c r="C38" s="14"/>
      <c r="D38" s="372">
        <f>IFERROR(VLOOKUP(C38,'Acc code'!$B$2:$C$80,2,FALSE),0)</f>
        <v>0</v>
      </c>
      <c r="E38" s="15"/>
      <c r="F38" s="53"/>
      <c r="G38" s="53"/>
      <c r="H38" s="276">
        <f t="shared" si="0"/>
        <v>412</v>
      </c>
      <c r="J38" s="16">
        <v>514101</v>
      </c>
      <c r="K38" s="17" t="s">
        <v>28</v>
      </c>
      <c r="L38" s="18">
        <f>SUMIF(C:C,"514101",F:F)</f>
        <v>0</v>
      </c>
      <c r="M38" s="18">
        <f>SUMIF(C:C,"514101",G:G)</f>
        <v>0</v>
      </c>
      <c r="N38" s="16">
        <v>33</v>
      </c>
    </row>
    <row r="39" spans="1:14" ht="30" hidden="1" customHeight="1" x14ac:dyDescent="0.3">
      <c r="A39" s="121"/>
      <c r="B39" s="13"/>
      <c r="C39" s="14"/>
      <c r="D39" s="372">
        <f>IFERROR(VLOOKUP(C39,'Acc code'!$B$2:$C$80,2,FALSE),0)</f>
        <v>0</v>
      </c>
      <c r="E39" s="15"/>
      <c r="F39" s="53"/>
      <c r="G39" s="53"/>
      <c r="H39" s="276">
        <f t="shared" si="0"/>
        <v>412</v>
      </c>
      <c r="J39" s="16">
        <v>611101</v>
      </c>
      <c r="K39" s="17" t="s">
        <v>29</v>
      </c>
      <c r="L39" s="18">
        <f>SUMIF(C:C,"611101",F:F)</f>
        <v>0</v>
      </c>
      <c r="M39" s="18">
        <f>SUMIF(C:C,"611101",G:G)</f>
        <v>0</v>
      </c>
      <c r="N39" s="16">
        <v>34</v>
      </c>
    </row>
    <row r="40" spans="1:14" ht="30" hidden="1" customHeight="1" x14ac:dyDescent="0.3">
      <c r="A40" s="121"/>
      <c r="B40" s="13"/>
      <c r="C40" s="14"/>
      <c r="D40" s="372">
        <f>IFERROR(VLOOKUP(C40,'Acc code'!$B$2:$C$80,2,FALSE),0)</f>
        <v>0</v>
      </c>
      <c r="E40" s="15"/>
      <c r="F40" s="53"/>
      <c r="G40" s="53"/>
      <c r="H40" s="276">
        <f t="shared" si="0"/>
        <v>412</v>
      </c>
      <c r="J40" s="16">
        <v>612101</v>
      </c>
      <c r="K40" s="17" t="s">
        <v>30</v>
      </c>
      <c r="L40" s="18">
        <f>SUMIF(C:C,"612101",F:F)</f>
        <v>0</v>
      </c>
      <c r="M40" s="18">
        <f>SUMIF(C:C,"612101",G:G)</f>
        <v>0</v>
      </c>
      <c r="N40" s="16">
        <v>35</v>
      </c>
    </row>
    <row r="41" spans="1:14" ht="30" hidden="1" customHeight="1" x14ac:dyDescent="0.3">
      <c r="A41" s="12"/>
      <c r="B41" s="13"/>
      <c r="C41" s="14"/>
      <c r="D41" s="372">
        <f>IFERROR(VLOOKUP(C41,'Acc code'!$B$2:$C$80,2,FALSE),0)</f>
        <v>0</v>
      </c>
      <c r="E41" s="15"/>
      <c r="F41" s="53"/>
      <c r="G41" s="53"/>
      <c r="H41" s="276">
        <f t="shared" si="0"/>
        <v>412</v>
      </c>
      <c r="J41" s="16">
        <v>612102</v>
      </c>
      <c r="K41" s="17" t="s">
        <v>54</v>
      </c>
      <c r="L41" s="18">
        <f>SUMIF(C:C,"612102",F:F)</f>
        <v>0</v>
      </c>
      <c r="M41" s="18">
        <f>SUMIF(C:C,"612102",G:G)</f>
        <v>0</v>
      </c>
      <c r="N41" s="16">
        <v>36</v>
      </c>
    </row>
    <row r="42" spans="1:14" ht="30" hidden="1" customHeight="1" x14ac:dyDescent="0.3">
      <c r="A42" s="12"/>
      <c r="B42" s="13"/>
      <c r="C42" s="14"/>
      <c r="D42" s="372">
        <f>IFERROR(VLOOKUP(C42,'Acc code'!$B$2:$C$80,2,FALSE),0)</f>
        <v>0</v>
      </c>
      <c r="E42" s="15"/>
      <c r="F42" s="53"/>
      <c r="G42" s="53"/>
      <c r="H42" s="276">
        <f t="shared" si="0"/>
        <v>412</v>
      </c>
      <c r="J42" s="16">
        <v>612103</v>
      </c>
      <c r="K42" s="17" t="s">
        <v>31</v>
      </c>
      <c r="L42" s="18">
        <f>SUMIF(C:C,"612103",F:F)</f>
        <v>250</v>
      </c>
      <c r="M42" s="18">
        <f>SUMIF(C:C,"612103",G:G)</f>
        <v>3928</v>
      </c>
      <c r="N42" s="16">
        <v>37</v>
      </c>
    </row>
    <row r="43" spans="1:14" ht="30" hidden="1" customHeight="1" x14ac:dyDescent="0.3">
      <c r="A43" s="12"/>
      <c r="B43" s="13"/>
      <c r="C43" s="14"/>
      <c r="D43" s="372">
        <f>IFERROR(VLOOKUP(C43,'Acc code'!$B$2:$C$80,2,FALSE),0)</f>
        <v>0</v>
      </c>
      <c r="E43" s="15"/>
      <c r="F43" s="53"/>
      <c r="G43" s="53"/>
      <c r="H43" s="276">
        <f t="shared" si="0"/>
        <v>412</v>
      </c>
      <c r="J43" s="16">
        <v>612104</v>
      </c>
      <c r="K43" s="17" t="s">
        <v>32</v>
      </c>
      <c r="L43" s="18">
        <f>SUMIF(C:C,"612104",F:F)</f>
        <v>0</v>
      </c>
      <c r="M43" s="18">
        <f>SUMIF(C:C,"612104",G:G)</f>
        <v>0</v>
      </c>
      <c r="N43" s="16">
        <v>38</v>
      </c>
    </row>
    <row r="44" spans="1:14" ht="30" hidden="1" customHeight="1" x14ac:dyDescent="0.3">
      <c r="A44" s="12"/>
      <c r="B44" s="13"/>
      <c r="C44" s="14"/>
      <c r="D44" s="372">
        <f>IFERROR(VLOOKUP(C44,'Acc code'!$B$2:$C$80,2,FALSE),0)</f>
        <v>0</v>
      </c>
      <c r="E44" s="15"/>
      <c r="F44" s="53"/>
      <c r="G44" s="53"/>
      <c r="H44" s="276">
        <f t="shared" si="0"/>
        <v>412</v>
      </c>
      <c r="J44" s="16">
        <v>612105</v>
      </c>
      <c r="K44" s="17" t="s">
        <v>33</v>
      </c>
      <c r="L44" s="18">
        <f>SUMIF(C:C,"612105",F:F)</f>
        <v>0</v>
      </c>
      <c r="M44" s="18">
        <f>SUMIF(C:C,"612105",G:G)</f>
        <v>0</v>
      </c>
      <c r="N44" s="16">
        <v>39</v>
      </c>
    </row>
    <row r="45" spans="1:14" ht="30" hidden="1" customHeight="1" x14ac:dyDescent="0.3">
      <c r="A45" s="12"/>
      <c r="B45" s="13"/>
      <c r="C45" s="14"/>
      <c r="D45" s="372">
        <f>IFERROR(VLOOKUP(C45,'Acc code'!$B$2:$C$80,2,FALSE),0)</f>
        <v>0</v>
      </c>
      <c r="E45" s="15"/>
      <c r="F45" s="53"/>
      <c r="G45" s="53"/>
      <c r="H45" s="276">
        <f t="shared" si="0"/>
        <v>412</v>
      </c>
      <c r="J45" s="16">
        <v>612106</v>
      </c>
      <c r="K45" s="17" t="s">
        <v>34</v>
      </c>
      <c r="L45" s="18">
        <f>SUMIF(C:C,"612106",F:F)</f>
        <v>0</v>
      </c>
      <c r="M45" s="18">
        <f>SUMIF(C:C,"612106",G:G)</f>
        <v>0</v>
      </c>
      <c r="N45" s="16">
        <v>40</v>
      </c>
    </row>
    <row r="46" spans="1:14" ht="30" hidden="1" customHeight="1" x14ac:dyDescent="0.3">
      <c r="A46" s="12"/>
      <c r="B46" s="13"/>
      <c r="C46" s="14"/>
      <c r="D46" s="372">
        <f>IFERROR(VLOOKUP(C46,'Acc code'!$B$2:$C$80,2,FALSE),0)</f>
        <v>0</v>
      </c>
      <c r="E46" s="15"/>
      <c r="F46" s="53"/>
      <c r="G46" s="53"/>
      <c r="H46" s="276">
        <f t="shared" si="0"/>
        <v>412</v>
      </c>
      <c r="J46" s="16">
        <v>612107</v>
      </c>
      <c r="K46" s="17" t="s">
        <v>281</v>
      </c>
      <c r="L46" s="18">
        <f>SUMIF(C:C,"612107",F:F)</f>
        <v>0</v>
      </c>
      <c r="M46" s="18">
        <f>SUMIF(C:C,"612107",G:G)</f>
        <v>0</v>
      </c>
      <c r="N46" s="16">
        <v>41</v>
      </c>
    </row>
    <row r="47" spans="1:14" ht="30" hidden="1" customHeight="1" x14ac:dyDescent="0.3">
      <c r="A47" s="12"/>
      <c r="B47" s="13"/>
      <c r="C47" s="14"/>
      <c r="D47" s="372">
        <f>IFERROR(VLOOKUP(C47,'Acc code'!$B$2:$C$80,2,FALSE),0)</f>
        <v>0</v>
      </c>
      <c r="E47" s="15"/>
      <c r="F47" s="53"/>
      <c r="G47" s="53"/>
      <c r="H47" s="276">
        <f t="shared" si="0"/>
        <v>412</v>
      </c>
      <c r="J47" s="16">
        <v>612108</v>
      </c>
      <c r="K47" s="17" t="s">
        <v>10</v>
      </c>
      <c r="L47" s="18">
        <f>SUMIF(C:C,"612108",F:F)</f>
        <v>0</v>
      </c>
      <c r="M47" s="18">
        <f>SUMIF(C:C,"612108",G:G)</f>
        <v>0</v>
      </c>
      <c r="N47" s="16">
        <v>42</v>
      </c>
    </row>
    <row r="48" spans="1:14" ht="30" hidden="1" customHeight="1" x14ac:dyDescent="0.3">
      <c r="A48" s="12"/>
      <c r="B48" s="13"/>
      <c r="C48" s="14"/>
      <c r="D48" s="372">
        <f>IFERROR(VLOOKUP(C48,'Acc code'!$B$2:$C$80,2,FALSE),0)</f>
        <v>0</v>
      </c>
      <c r="E48" s="15"/>
      <c r="F48" s="53"/>
      <c r="G48" s="53"/>
      <c r="H48" s="276">
        <f t="shared" si="0"/>
        <v>412</v>
      </c>
      <c r="J48" s="16">
        <v>612109</v>
      </c>
      <c r="K48" s="17" t="s">
        <v>47</v>
      </c>
      <c r="L48" s="18">
        <f>SUMIF(C:C,"612109",F:F)</f>
        <v>0</v>
      </c>
      <c r="M48" s="18">
        <f>SUMIF(C:C,"612109",G:G)</f>
        <v>0</v>
      </c>
      <c r="N48" s="16">
        <v>43</v>
      </c>
    </row>
    <row r="49" spans="1:14" ht="30" hidden="1" customHeight="1" x14ac:dyDescent="0.3">
      <c r="A49" s="12"/>
      <c r="B49" s="13"/>
      <c r="C49" s="14"/>
      <c r="D49" s="372">
        <f>IFERROR(VLOOKUP(C49,'Acc code'!$B$2:$C$80,2,FALSE),0)</f>
        <v>0</v>
      </c>
      <c r="E49" s="15"/>
      <c r="F49" s="53"/>
      <c r="G49" s="53"/>
      <c r="H49" s="276">
        <f t="shared" si="0"/>
        <v>412</v>
      </c>
      <c r="J49" s="16">
        <v>612110</v>
      </c>
      <c r="K49" s="17" t="s">
        <v>36</v>
      </c>
      <c r="L49" s="18">
        <f>SUMIF(C:C,"612110",F:F)</f>
        <v>0</v>
      </c>
      <c r="M49" s="18">
        <f>SUMIF(C:C,"612110",G:G)</f>
        <v>0</v>
      </c>
      <c r="N49" s="16">
        <v>44</v>
      </c>
    </row>
    <row r="50" spans="1:14" ht="30" hidden="1" customHeight="1" x14ac:dyDescent="0.3">
      <c r="A50" s="12"/>
      <c r="B50" s="13"/>
      <c r="C50" s="14"/>
      <c r="D50" s="372">
        <f>IFERROR(VLOOKUP(C50,'Acc code'!$B$2:$C$80,2,FALSE),0)</f>
        <v>0</v>
      </c>
      <c r="E50" s="15"/>
      <c r="F50" s="53"/>
      <c r="G50" s="53"/>
      <c r="H50" s="276">
        <f t="shared" si="0"/>
        <v>412</v>
      </c>
      <c r="J50" s="16">
        <v>612111</v>
      </c>
      <c r="K50" s="17" t="s">
        <v>37</v>
      </c>
      <c r="L50" s="18">
        <f>SUMIF(C:C,"612111",F:F)</f>
        <v>0</v>
      </c>
      <c r="M50" s="18">
        <f>SUMIF(C:C,"612111",G:G)</f>
        <v>0</v>
      </c>
      <c r="N50" s="16">
        <v>45</v>
      </c>
    </row>
    <row r="51" spans="1:14" ht="30" hidden="1" customHeight="1" x14ac:dyDescent="0.3">
      <c r="A51" s="12"/>
      <c r="B51" s="13"/>
      <c r="C51" s="14"/>
      <c r="D51" s="372">
        <f>IFERROR(VLOOKUP(C51,'Acc code'!$B$2:$C$80,2,FALSE),0)</f>
        <v>0</v>
      </c>
      <c r="E51" s="15"/>
      <c r="F51" s="53"/>
      <c r="G51" s="53"/>
      <c r="H51" s="276">
        <f t="shared" si="0"/>
        <v>412</v>
      </c>
      <c r="J51" s="16">
        <v>612112</v>
      </c>
      <c r="K51" s="17" t="s">
        <v>38</v>
      </c>
      <c r="L51" s="18">
        <f>SUMIF(C:C,"612112",F:F)</f>
        <v>0</v>
      </c>
      <c r="M51" s="18">
        <f>SUMIF(C:C,"612112",G:G)</f>
        <v>0</v>
      </c>
      <c r="N51" s="16">
        <v>46</v>
      </c>
    </row>
    <row r="52" spans="1:14" ht="30" hidden="1" customHeight="1" x14ac:dyDescent="0.3">
      <c r="A52" s="12"/>
      <c r="B52" s="13"/>
      <c r="C52" s="14"/>
      <c r="D52" s="372">
        <f>IFERROR(VLOOKUP(C52,'Acc code'!$B$2:$C$80,2,FALSE),0)</f>
        <v>0</v>
      </c>
      <c r="E52" s="15"/>
      <c r="F52" s="53"/>
      <c r="G52" s="53"/>
      <c r="H52" s="276">
        <f t="shared" si="0"/>
        <v>412</v>
      </c>
      <c r="J52" s="16">
        <v>612113</v>
      </c>
      <c r="K52" s="17" t="s">
        <v>39</v>
      </c>
      <c r="L52" s="18">
        <f>SUMIF(C:C,"612113",F:F)</f>
        <v>0</v>
      </c>
      <c r="M52" s="18">
        <f>SUMIF(C:C,"612113",G:G)</f>
        <v>0</v>
      </c>
      <c r="N52" s="16">
        <v>47</v>
      </c>
    </row>
    <row r="53" spans="1:14" ht="30" hidden="1" customHeight="1" x14ac:dyDescent="0.3">
      <c r="A53" s="12"/>
      <c r="B53" s="13"/>
      <c r="C53" s="14"/>
      <c r="D53" s="197"/>
      <c r="E53" s="15"/>
      <c r="F53" s="53"/>
      <c r="G53" s="53"/>
      <c r="H53" s="276">
        <f t="shared" si="0"/>
        <v>412</v>
      </c>
      <c r="J53" s="16">
        <v>612114</v>
      </c>
      <c r="K53" s="17" t="s">
        <v>40</v>
      </c>
      <c r="L53" s="18">
        <f>SUMIF(C:C,"612114",F:F)</f>
        <v>0</v>
      </c>
      <c r="M53" s="18">
        <f>SUMIF(C:C,"612114",G:G)</f>
        <v>0</v>
      </c>
      <c r="N53" s="16">
        <v>48</v>
      </c>
    </row>
    <row r="54" spans="1:14" ht="30" hidden="1" customHeight="1" x14ac:dyDescent="0.3">
      <c r="A54" s="12"/>
      <c r="B54" s="13"/>
      <c r="C54" s="14"/>
      <c r="D54" s="197"/>
      <c r="E54" s="15"/>
      <c r="F54" s="53"/>
      <c r="G54" s="53"/>
      <c r="H54" s="276">
        <f t="shared" si="0"/>
        <v>412</v>
      </c>
      <c r="J54" s="16">
        <v>612115</v>
      </c>
      <c r="K54" s="17" t="s">
        <v>41</v>
      </c>
      <c r="L54" s="18">
        <f>SUMIF(C:C,"612115",F:F)</f>
        <v>0</v>
      </c>
      <c r="M54" s="18">
        <f>SUMIF(C:C,"612115",G:G)</f>
        <v>0</v>
      </c>
      <c r="N54" s="16">
        <v>49</v>
      </c>
    </row>
    <row r="55" spans="1:14" ht="30" hidden="1" customHeight="1" x14ac:dyDescent="0.3">
      <c r="A55" s="12"/>
      <c r="B55" s="13"/>
      <c r="C55" s="14"/>
      <c r="D55" s="197"/>
      <c r="E55" s="15"/>
      <c r="F55" s="53"/>
      <c r="G55" s="53"/>
      <c r="H55" s="276">
        <f t="shared" si="0"/>
        <v>412</v>
      </c>
      <c r="J55" s="16">
        <v>612116</v>
      </c>
      <c r="K55" s="17" t="s">
        <v>42</v>
      </c>
      <c r="L55" s="18">
        <f>SUMIF(C:C,"612116",F:F)</f>
        <v>0</v>
      </c>
      <c r="M55" s="18">
        <f>SUMIF(C:C,"612116",G:G)</f>
        <v>0</v>
      </c>
      <c r="N55" s="16">
        <v>50</v>
      </c>
    </row>
    <row r="56" spans="1:14" ht="30" hidden="1" customHeight="1" x14ac:dyDescent="0.3">
      <c r="A56" s="12"/>
      <c r="B56" s="13"/>
      <c r="C56" s="14"/>
      <c r="D56" s="197"/>
      <c r="E56" s="15"/>
      <c r="F56" s="53"/>
      <c r="G56" s="53"/>
      <c r="H56" s="276">
        <f t="shared" si="0"/>
        <v>412</v>
      </c>
      <c r="J56" s="16">
        <v>612117</v>
      </c>
      <c r="K56" s="17" t="s">
        <v>43</v>
      </c>
      <c r="L56" s="18">
        <f>SUMIF(C:C,"612117",F:F)</f>
        <v>0</v>
      </c>
      <c r="M56" s="18">
        <f>SUMIF(C:C,"612117",G:G)</f>
        <v>0</v>
      </c>
      <c r="N56" s="16">
        <v>51</v>
      </c>
    </row>
    <row r="57" spans="1:14" ht="30" hidden="1" customHeight="1" x14ac:dyDescent="0.3">
      <c r="A57" s="12"/>
      <c r="B57" s="13"/>
      <c r="C57" s="14"/>
      <c r="D57" s="197"/>
      <c r="E57" s="15"/>
      <c r="F57" s="53"/>
      <c r="G57" s="53"/>
      <c r="H57" s="276">
        <f t="shared" si="0"/>
        <v>412</v>
      </c>
      <c r="J57" s="16">
        <v>612118</v>
      </c>
      <c r="K57" s="17" t="s">
        <v>44</v>
      </c>
      <c r="L57" s="18">
        <f>SUMIF(C:C,"612118",F:F)</f>
        <v>0</v>
      </c>
      <c r="M57" s="18">
        <f>SUMIF(C:C,"612118",G:G)</f>
        <v>0</v>
      </c>
      <c r="N57" s="16">
        <v>52</v>
      </c>
    </row>
    <row r="58" spans="1:14" ht="30" hidden="1" customHeight="1" x14ac:dyDescent="0.3">
      <c r="A58" s="12"/>
      <c r="B58" s="13"/>
      <c r="C58" s="14"/>
      <c r="D58" s="197"/>
      <c r="E58" s="15"/>
      <c r="F58" s="53"/>
      <c r="G58" s="53"/>
      <c r="H58" s="276">
        <f t="shared" si="0"/>
        <v>412</v>
      </c>
      <c r="J58" s="16">
        <v>612119</v>
      </c>
      <c r="K58" s="17" t="s">
        <v>45</v>
      </c>
      <c r="L58" s="18">
        <f>SUMIF(C:C,"612119",F:F)</f>
        <v>0</v>
      </c>
      <c r="M58" s="18">
        <f>SUMIF(C:C,"612119",G:G)</f>
        <v>250</v>
      </c>
      <c r="N58" s="16">
        <v>53</v>
      </c>
    </row>
    <row r="59" spans="1:14" ht="30" hidden="1" customHeight="1" x14ac:dyDescent="0.3">
      <c r="A59" s="12"/>
      <c r="B59" s="13"/>
      <c r="C59" s="14"/>
      <c r="D59" s="197"/>
      <c r="E59" s="15"/>
      <c r="F59" s="53"/>
      <c r="G59" s="53"/>
      <c r="H59" s="276">
        <f t="shared" si="0"/>
        <v>412</v>
      </c>
      <c r="J59" s="16">
        <v>612120</v>
      </c>
      <c r="K59" s="17" t="s">
        <v>46</v>
      </c>
      <c r="L59" s="18">
        <f>SUMIF(C:C,"612120",F:F)</f>
        <v>0</v>
      </c>
      <c r="M59" s="18">
        <f>SUMIF(C:C,"612120",G:G)</f>
        <v>0</v>
      </c>
      <c r="N59" s="16">
        <v>54</v>
      </c>
    </row>
    <row r="60" spans="1:14" ht="30" hidden="1" customHeight="1" x14ac:dyDescent="0.3">
      <c r="A60" s="12"/>
      <c r="B60" s="13"/>
      <c r="C60" s="14"/>
      <c r="D60" s="197"/>
      <c r="E60" s="15"/>
      <c r="F60" s="53"/>
      <c r="G60" s="53"/>
      <c r="H60" s="276">
        <f t="shared" si="0"/>
        <v>412</v>
      </c>
      <c r="J60" s="16">
        <v>612121</v>
      </c>
      <c r="K60" s="17" t="s">
        <v>48</v>
      </c>
      <c r="L60" s="18">
        <f>SUMIF(C:C,"612121",F:F)</f>
        <v>0</v>
      </c>
      <c r="M60" s="18">
        <f>SUMIF(C:C,"612121",G:G)</f>
        <v>0</v>
      </c>
      <c r="N60" s="16">
        <v>55</v>
      </c>
    </row>
    <row r="61" spans="1:14" ht="30" hidden="1" customHeight="1" x14ac:dyDescent="0.3">
      <c r="A61" s="12"/>
      <c r="B61" s="13"/>
      <c r="C61" s="14"/>
      <c r="D61" s="197"/>
      <c r="E61" s="15"/>
      <c r="F61" s="53"/>
      <c r="G61" s="53"/>
      <c r="H61" s="276">
        <f t="shared" si="0"/>
        <v>412</v>
      </c>
      <c r="J61" s="16">
        <v>612122</v>
      </c>
      <c r="K61" s="17" t="s">
        <v>49</v>
      </c>
      <c r="L61" s="18">
        <f>SUMIF(C:C,"612122",F:F)</f>
        <v>0</v>
      </c>
      <c r="M61" s="18">
        <f>SUMIF(C:C,"612122",G:G)</f>
        <v>0</v>
      </c>
      <c r="N61" s="16">
        <v>56</v>
      </c>
    </row>
    <row r="62" spans="1:14" ht="30" hidden="1" customHeight="1" x14ac:dyDescent="0.3">
      <c r="A62" s="12"/>
      <c r="B62" s="13"/>
      <c r="C62" s="14"/>
      <c r="D62" s="197"/>
      <c r="E62" s="15"/>
      <c r="F62" s="53"/>
      <c r="G62" s="53"/>
      <c r="H62" s="276">
        <f t="shared" si="0"/>
        <v>412</v>
      </c>
      <c r="J62" s="16">
        <v>612123</v>
      </c>
      <c r="K62" s="17" t="s">
        <v>50</v>
      </c>
      <c r="L62" s="18">
        <f>SUMIF(C:C,"612123",F:F)</f>
        <v>0</v>
      </c>
      <c r="M62" s="18">
        <f>SUMIF(C:C,"612123",G:G)</f>
        <v>0</v>
      </c>
      <c r="N62" s="16">
        <v>57</v>
      </c>
    </row>
    <row r="63" spans="1:14" ht="30" hidden="1" customHeight="1" x14ac:dyDescent="0.3">
      <c r="A63" s="12"/>
      <c r="B63" s="13"/>
      <c r="C63" s="14"/>
      <c r="D63" s="197"/>
      <c r="E63" s="15"/>
      <c r="F63" s="53"/>
      <c r="G63" s="53"/>
      <c r="H63" s="276">
        <f t="shared" si="0"/>
        <v>412</v>
      </c>
      <c r="J63" s="16">
        <v>612124</v>
      </c>
      <c r="K63" s="17" t="s">
        <v>51</v>
      </c>
      <c r="L63" s="18">
        <f>SUMIF(C:C,"612124",F:F)</f>
        <v>0</v>
      </c>
      <c r="M63" s="18">
        <f>SUMIF(C:C,"612124",G:G)</f>
        <v>0</v>
      </c>
      <c r="N63" s="16">
        <v>58</v>
      </c>
    </row>
    <row r="64" spans="1:14" ht="30" hidden="1" customHeight="1" x14ac:dyDescent="0.3">
      <c r="A64" s="12"/>
      <c r="B64" s="13"/>
      <c r="C64" s="14"/>
      <c r="D64" s="197"/>
      <c r="E64" s="15"/>
      <c r="F64" s="53"/>
      <c r="G64" s="53"/>
      <c r="H64" s="276">
        <f t="shared" si="0"/>
        <v>412</v>
      </c>
      <c r="J64" s="16">
        <v>612125</v>
      </c>
      <c r="K64" s="17" t="s">
        <v>52</v>
      </c>
      <c r="L64" s="18">
        <f>SUMIF(C:C,"612125",F:F)</f>
        <v>0</v>
      </c>
      <c r="M64" s="18">
        <f>SUMIF(C:C,"612125",G:G)</f>
        <v>0</v>
      </c>
      <c r="N64" s="16">
        <v>59</v>
      </c>
    </row>
    <row r="65" spans="1:14" ht="30" hidden="1" customHeight="1" x14ac:dyDescent="0.3">
      <c r="A65" s="12"/>
      <c r="B65" s="13"/>
      <c r="C65" s="14"/>
      <c r="D65" s="197"/>
      <c r="E65" s="15"/>
      <c r="F65" s="53"/>
      <c r="G65" s="53"/>
      <c r="H65" s="276">
        <f t="shared" si="0"/>
        <v>412</v>
      </c>
      <c r="J65" s="16">
        <v>612126</v>
      </c>
      <c r="K65" s="17" t="s">
        <v>53</v>
      </c>
      <c r="L65" s="18">
        <f>SUMIF(C:C,"612126",F:F)</f>
        <v>0</v>
      </c>
      <c r="M65" s="18">
        <f>SUMIF(C:C,"612126",G:G)</f>
        <v>0</v>
      </c>
      <c r="N65" s="16">
        <v>60</v>
      </c>
    </row>
    <row r="66" spans="1:14" ht="30" hidden="1" customHeight="1" x14ac:dyDescent="0.3">
      <c r="A66" s="12"/>
      <c r="B66" s="13"/>
      <c r="C66" s="14"/>
      <c r="D66" s="197"/>
      <c r="E66" s="15"/>
      <c r="F66" s="53"/>
      <c r="G66" s="53"/>
      <c r="H66" s="276">
        <f t="shared" si="0"/>
        <v>412</v>
      </c>
      <c r="J66" s="16">
        <v>612127</v>
      </c>
      <c r="K66" s="17" t="s">
        <v>55</v>
      </c>
      <c r="L66" s="18">
        <f>SUMIF(C:C,"612127",F:F)</f>
        <v>0</v>
      </c>
      <c r="M66" s="18">
        <f>SUMIF(C:C,"612127",G:G)</f>
        <v>0</v>
      </c>
      <c r="N66" s="16">
        <v>61</v>
      </c>
    </row>
    <row r="67" spans="1:14" ht="30" hidden="1" customHeight="1" x14ac:dyDescent="0.3">
      <c r="A67" s="12"/>
      <c r="B67" s="13"/>
      <c r="C67" s="14"/>
      <c r="D67" s="197"/>
      <c r="E67" s="15"/>
      <c r="F67" s="53"/>
      <c r="G67" s="53"/>
      <c r="H67" s="276">
        <f t="shared" si="0"/>
        <v>412</v>
      </c>
      <c r="J67" s="16">
        <v>612128</v>
      </c>
      <c r="K67" s="17" t="s">
        <v>259</v>
      </c>
      <c r="L67" s="18">
        <f>SUMIF(C:C,"612128",F:F)</f>
        <v>0</v>
      </c>
      <c r="M67" s="18">
        <f>SUMIF(C:C,"612128",G:G)</f>
        <v>0</v>
      </c>
      <c r="N67" s="16">
        <v>62</v>
      </c>
    </row>
    <row r="68" spans="1:14" ht="30" hidden="1" customHeight="1" x14ac:dyDescent="0.3">
      <c r="A68" s="12"/>
      <c r="B68" s="13"/>
      <c r="C68" s="14"/>
      <c r="D68" s="197"/>
      <c r="E68" s="15"/>
      <c r="F68" s="53"/>
      <c r="G68" s="53"/>
      <c r="H68" s="276">
        <f t="shared" si="0"/>
        <v>412</v>
      </c>
      <c r="J68" s="16">
        <v>612129</v>
      </c>
      <c r="K68" s="17" t="s">
        <v>57</v>
      </c>
      <c r="L68" s="18">
        <f>SUMIF(C:C,"612129",F:F)</f>
        <v>0</v>
      </c>
      <c r="M68" s="18">
        <f>SUMIF(C:C,"612129",G:G)</f>
        <v>0</v>
      </c>
      <c r="N68" s="16">
        <v>63</v>
      </c>
    </row>
    <row r="69" spans="1:14" ht="30" hidden="1" customHeight="1" x14ac:dyDescent="0.3">
      <c r="A69" s="12"/>
      <c r="B69" s="13"/>
      <c r="C69" s="14"/>
      <c r="D69" s="197"/>
      <c r="E69" s="15"/>
      <c r="F69" s="53"/>
      <c r="G69" s="53"/>
      <c r="H69" s="276">
        <f t="shared" si="0"/>
        <v>412</v>
      </c>
      <c r="J69" s="16">
        <v>612210</v>
      </c>
      <c r="K69" s="17" t="s">
        <v>58</v>
      </c>
      <c r="L69" s="18">
        <f>SUMIF(C:C,"612210",F:F)</f>
        <v>0</v>
      </c>
      <c r="M69" s="18">
        <f>SUMIF(C:C,"612210",G:G)</f>
        <v>0</v>
      </c>
      <c r="N69" s="16">
        <v>64</v>
      </c>
    </row>
    <row r="70" spans="1:14" ht="30" hidden="1" customHeight="1" x14ac:dyDescent="0.3">
      <c r="A70" s="12"/>
      <c r="B70" s="13"/>
      <c r="C70" s="14"/>
      <c r="D70" s="197"/>
      <c r="E70" s="15"/>
      <c r="F70" s="53"/>
      <c r="G70" s="53"/>
      <c r="H70" s="276">
        <f t="shared" si="0"/>
        <v>412</v>
      </c>
      <c r="J70" s="16">
        <v>612211</v>
      </c>
      <c r="K70" s="17" t="s">
        <v>59</v>
      </c>
      <c r="L70" s="18">
        <f>SUMIF(C:C,"612211",F:F)</f>
        <v>0</v>
      </c>
      <c r="M70" s="18">
        <f>SUMIF(C:C,"612211",G:G)</f>
        <v>0</v>
      </c>
      <c r="N70" s="16">
        <v>65</v>
      </c>
    </row>
    <row r="71" spans="1:14" ht="30" hidden="1" customHeight="1" x14ac:dyDescent="0.3">
      <c r="A71" s="12"/>
      <c r="B71" s="13"/>
      <c r="C71" s="14"/>
      <c r="D71" s="197"/>
      <c r="E71" s="15"/>
      <c r="F71" s="53"/>
      <c r="G71" s="53"/>
      <c r="H71" s="276">
        <f t="shared" ref="H71:H74" si="1">H70+F71-G71</f>
        <v>412</v>
      </c>
      <c r="J71" s="16">
        <v>612212</v>
      </c>
      <c r="K71" s="17" t="s">
        <v>60</v>
      </c>
      <c r="L71" s="18">
        <f>SUMIF(C:C,"612212",F:F)</f>
        <v>0</v>
      </c>
      <c r="M71" s="18">
        <f>SUMIF(C:C,"612212",G:G)</f>
        <v>0</v>
      </c>
      <c r="N71" s="16">
        <v>66</v>
      </c>
    </row>
    <row r="72" spans="1:14" ht="30" hidden="1" customHeight="1" x14ac:dyDescent="0.3">
      <c r="A72" s="12"/>
      <c r="B72" s="13"/>
      <c r="C72" s="14"/>
      <c r="D72" s="197"/>
      <c r="E72" s="15"/>
      <c r="F72" s="53"/>
      <c r="G72" s="53"/>
      <c r="H72" s="276">
        <f t="shared" si="1"/>
        <v>412</v>
      </c>
      <c r="J72" s="16">
        <v>612213</v>
      </c>
      <c r="K72" s="17" t="s">
        <v>96</v>
      </c>
      <c r="L72" s="18">
        <f>SUMIF(C:C,"612213",F:F)</f>
        <v>0</v>
      </c>
      <c r="M72" s="18">
        <f>SUMIF(C:C,"612213",G:G)</f>
        <v>0</v>
      </c>
      <c r="N72" s="16">
        <v>67</v>
      </c>
    </row>
    <row r="73" spans="1:14" ht="30" hidden="1" customHeight="1" x14ac:dyDescent="0.3">
      <c r="A73" s="183"/>
      <c r="B73" s="13"/>
      <c r="C73" s="14"/>
      <c r="D73" s="197"/>
      <c r="E73" s="15"/>
      <c r="F73" s="53"/>
      <c r="G73" s="53"/>
      <c r="H73" s="276">
        <f t="shared" si="1"/>
        <v>412</v>
      </c>
      <c r="J73" s="16">
        <v>612214</v>
      </c>
      <c r="K73" s="17" t="s">
        <v>94</v>
      </c>
      <c r="L73" s="18">
        <f>SUMIF(C:C,"612214",F:F)</f>
        <v>0</v>
      </c>
      <c r="M73" s="18">
        <f>SUMIF(C:C,"612214",G:G)</f>
        <v>0</v>
      </c>
      <c r="N73" s="16">
        <v>68</v>
      </c>
    </row>
    <row r="74" spans="1:14" ht="30" hidden="1" customHeight="1" thickBot="1" x14ac:dyDescent="0.35">
      <c r="A74" s="183"/>
      <c r="B74" s="13"/>
      <c r="C74" s="14"/>
      <c r="D74" s="197"/>
      <c r="E74" s="15"/>
      <c r="F74" s="53"/>
      <c r="G74" s="53"/>
      <c r="H74" s="276">
        <f t="shared" si="1"/>
        <v>412</v>
      </c>
      <c r="J74" s="16">
        <v>612215</v>
      </c>
      <c r="K74" s="17" t="s">
        <v>120</v>
      </c>
      <c r="L74" s="18">
        <f>SUMIF(C:C,"612215",F:F)</f>
        <v>0</v>
      </c>
      <c r="M74" s="18">
        <f>SUMIF(C:C,"612215",G:G)</f>
        <v>0</v>
      </c>
      <c r="N74" s="16">
        <v>69</v>
      </c>
    </row>
    <row r="75" spans="1:14" s="2" customFormat="1" ht="36" customHeight="1" thickBot="1" x14ac:dyDescent="0.35">
      <c r="A75" s="19"/>
      <c r="B75" s="20"/>
      <c r="C75" s="21"/>
      <c r="D75" s="22"/>
      <c r="E75" s="22"/>
      <c r="F75" s="267">
        <f>SUBTOTAL(9,F6:F74)</f>
        <v>7490</v>
      </c>
      <c r="G75" s="267">
        <f>SUBTOTAL(9,G5:G74)</f>
        <v>7078</v>
      </c>
      <c r="H75" s="268">
        <f>H74</f>
        <v>412</v>
      </c>
      <c r="I75"/>
      <c r="J75"/>
      <c r="K75"/>
      <c r="L75"/>
      <c r="M75"/>
    </row>
    <row r="76" spans="1:14" s="2" customFormat="1" ht="24.9" customHeight="1" thickTop="1" x14ac:dyDescent="0.3">
      <c r="A76"/>
      <c r="B76"/>
      <c r="C76" s="16"/>
      <c r="D76" s="17"/>
      <c r="E76" s="17"/>
      <c r="F76" s="16"/>
      <c r="G76" s="16"/>
      <c r="H76" s="393">
        <f>H5+F75-G75</f>
        <v>412</v>
      </c>
      <c r="I76"/>
      <c r="J76"/>
      <c r="K76"/>
      <c r="L76"/>
      <c r="M76"/>
    </row>
  </sheetData>
  <autoFilter ref="C4:H74">
    <filterColumn colId="1">
      <filters>
        <filter val="Cash at Bank ( CB-US$ )"/>
        <filter val="Exchange A/C"/>
        <filter val="Office Rental Charges"/>
        <filter val="Prepaid ( Office Staff )"/>
        <filter val="Transfer Account ( Cash &amp; Bank )"/>
        <filter val="Wages Expenses"/>
      </filters>
    </filterColumn>
  </autoFilter>
  <mergeCells count="4">
    <mergeCell ref="A1:H1"/>
    <mergeCell ref="A2:H2"/>
    <mergeCell ref="J4:M4"/>
    <mergeCell ref="G3:H3"/>
  </mergeCells>
  <pageMargins left="0" right="0" top="0" bottom="0" header="0.31496062992126" footer="0.31496062992126"/>
  <pageSetup paperSize="9" scale="63" orientation="portrait" verticalDpi="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G73"/>
  <sheetViews>
    <sheetView showGridLines="0" workbookViewId="0">
      <pane ySplit="4" topLeftCell="A5" activePane="bottomLeft" state="frozen"/>
      <selection pane="bottomLeft" sqref="A1:G1"/>
    </sheetView>
  </sheetViews>
  <sheetFormatPr defaultRowHeight="14.4" x14ac:dyDescent="0.3"/>
  <cols>
    <col min="1" max="1" width="12.109375" customWidth="1"/>
    <col min="2" max="2" width="15.88671875" customWidth="1"/>
    <col min="3" max="3" width="12.33203125" customWidth="1"/>
    <col min="4" max="4" width="25.6640625" customWidth="1"/>
    <col min="5" max="5" width="34.109375" customWidth="1"/>
    <col min="6" max="7" width="11.6640625" customWidth="1"/>
  </cols>
  <sheetData>
    <row r="1" spans="1:7" ht="24.9" customHeight="1" x14ac:dyDescent="0.35">
      <c r="A1" s="453" t="str">
        <f>'Cash Book-USD'!A1:H1</f>
        <v>LEAD GENERATION CO.,LTD</v>
      </c>
      <c r="B1" s="453"/>
      <c r="C1" s="453"/>
      <c r="D1" s="453"/>
      <c r="E1" s="453"/>
      <c r="F1" s="453"/>
      <c r="G1" s="453"/>
    </row>
    <row r="2" spans="1:7" ht="24.9" customHeight="1" x14ac:dyDescent="0.3">
      <c r="A2" s="454" t="s">
        <v>104</v>
      </c>
      <c r="B2" s="454"/>
      <c r="C2" s="454"/>
      <c r="D2" s="454"/>
      <c r="E2" s="454"/>
      <c r="F2" s="454"/>
      <c r="G2" s="454"/>
    </row>
    <row r="3" spans="1:7" ht="15" thickBot="1" x14ac:dyDescent="0.35">
      <c r="F3" s="456" t="str">
        <f>'Petty-Cash Book'!G3</f>
        <v>For 1-06-2015 to 31-05-2016</v>
      </c>
      <c r="G3" s="456"/>
    </row>
    <row r="4" spans="1:7" ht="33" customHeight="1" thickBot="1" x14ac:dyDescent="0.35">
      <c r="A4" s="24" t="s">
        <v>61</v>
      </c>
      <c r="B4" s="25" t="s">
        <v>62</v>
      </c>
      <c r="C4" s="25" t="s">
        <v>63</v>
      </c>
      <c r="D4" s="25" t="s">
        <v>64</v>
      </c>
      <c r="E4" s="25" t="s">
        <v>65</v>
      </c>
      <c r="F4" s="26" t="s">
        <v>100</v>
      </c>
      <c r="G4" s="27" t="s">
        <v>101</v>
      </c>
    </row>
    <row r="5" spans="1:7" ht="30" customHeight="1" x14ac:dyDescent="0.3">
      <c r="A5" s="28" t="str">
        <f>'Cash Book-USD'!A6</f>
        <v>08-02-2016</v>
      </c>
      <c r="B5" s="29" t="str">
        <f>'Cash Book-USD'!B6</f>
        <v>USDRO2001</v>
      </c>
      <c r="C5" s="30">
        <f>'Cash Book-USD'!C6</f>
        <v>111202</v>
      </c>
      <c r="D5" s="31" t="str">
        <f>'Cash Book-USD'!D6</f>
        <v>Cash at Bank ( CB-US$ )</v>
      </c>
      <c r="E5" s="31" t="str">
        <f>'Cash Book-USD'!E6</f>
        <v>Withdraw From CB Bank for Cash in Hand</v>
      </c>
      <c r="F5" s="270">
        <f>'Cash Book-USD'!G6</f>
        <v>0</v>
      </c>
      <c r="G5" s="271">
        <f>'Cash Book-USD'!F6</f>
        <v>1100</v>
      </c>
    </row>
    <row r="6" spans="1:7" ht="30" customHeight="1" x14ac:dyDescent="0.3">
      <c r="A6" s="28" t="str">
        <f>'Cash Book-USD'!A7</f>
        <v>08-02-2016</v>
      </c>
      <c r="B6" s="29" t="str">
        <f>'Cash Book-USD'!B7</f>
        <v>RO2001</v>
      </c>
      <c r="C6" s="30">
        <f>'Cash Book-USD'!C7</f>
        <v>401402</v>
      </c>
      <c r="D6" s="31" t="str">
        <f>'Cash Book-USD'!D7</f>
        <v>Exchange A/C</v>
      </c>
      <c r="E6" s="31" t="str">
        <f>'Cash Book-USD'!E7</f>
        <v>Sales USD 1,100 x 1,225 ks</v>
      </c>
      <c r="F6" s="270">
        <f>'Cash Book-USD'!G7</f>
        <v>1100</v>
      </c>
      <c r="G6" s="271">
        <f>'Cash Book-USD'!F7</f>
        <v>0</v>
      </c>
    </row>
    <row r="7" spans="1:7" ht="30" customHeight="1" x14ac:dyDescent="0.3">
      <c r="A7" s="28" t="str">
        <f>'Cash Book-USD'!A8</f>
        <v>19-02-2016</v>
      </c>
      <c r="B7" s="29" t="str">
        <f>'Cash Book-USD'!B8</f>
        <v>USDRO2002</v>
      </c>
      <c r="C7" s="30">
        <f>'Cash Book-USD'!C8</f>
        <v>111202</v>
      </c>
      <c r="D7" s="31" t="str">
        <f>'Cash Book-USD'!D8</f>
        <v>Cash at Bank ( CB-US$ )</v>
      </c>
      <c r="E7" s="31" t="str">
        <f>'Cash Book-USD'!E8</f>
        <v>Withdraw From CB Bank for Cash in Hand</v>
      </c>
      <c r="F7" s="270">
        <f>'Cash Book-USD'!G8</f>
        <v>0</v>
      </c>
      <c r="G7" s="271">
        <f>'Cash Book-USD'!F8</f>
        <v>350</v>
      </c>
    </row>
    <row r="8" spans="1:7" ht="30" customHeight="1" x14ac:dyDescent="0.3">
      <c r="A8" s="28" t="str">
        <f>'Cash Book-USD'!A9</f>
        <v>14-12-2015</v>
      </c>
      <c r="B8" s="29" t="str">
        <f>'Cash Book-USD'!B9</f>
        <v>BKUSD12001</v>
      </c>
      <c r="C8" s="30">
        <f>'Cash Book-USD'!C9</f>
        <v>111202</v>
      </c>
      <c r="D8" s="31" t="str">
        <f>'Cash Book-USD'!D9</f>
        <v>Cash at Bank ( CB-US$ )</v>
      </c>
      <c r="E8" s="31" t="str">
        <f>'Cash Book-USD'!E9</f>
        <v>Deposits for Bank Account Opening</v>
      </c>
      <c r="F8" s="270">
        <f>'Cash Book-USD'!G9</f>
        <v>100</v>
      </c>
      <c r="G8" s="271">
        <f>'Cash Book-USD'!F9</f>
        <v>0</v>
      </c>
    </row>
    <row r="9" spans="1:7" ht="30" customHeight="1" x14ac:dyDescent="0.3">
      <c r="A9" s="28" t="str">
        <f>'Cash Book-USD'!A10</f>
        <v>23-02-2016</v>
      </c>
      <c r="B9" s="29" t="str">
        <f>'Cash Book-USD'!B10</f>
        <v>RO2004</v>
      </c>
      <c r="C9" s="30">
        <f>'Cash Book-USD'!C10</f>
        <v>401402</v>
      </c>
      <c r="D9" s="31" t="str">
        <f>'Cash Book-USD'!D10</f>
        <v>Exchange A/C</v>
      </c>
      <c r="E9" s="31" t="str">
        <f>'Cash Book-USD'!E10</f>
        <v>Sales USD 100 x 1,240 ks</v>
      </c>
      <c r="F9" s="270">
        <f>'Cash Book-USD'!G10</f>
        <v>100</v>
      </c>
      <c r="G9" s="271">
        <f>'Cash Book-USD'!F10</f>
        <v>0</v>
      </c>
    </row>
    <row r="10" spans="1:7" ht="30" customHeight="1" x14ac:dyDescent="0.3">
      <c r="A10" s="28" t="str">
        <f>'Cash Book-USD'!A11</f>
        <v>03-03-2016</v>
      </c>
      <c r="B10" s="29" t="str">
        <f>'Cash Book-USD'!B11</f>
        <v>USDBK03</v>
      </c>
      <c r="C10" s="30">
        <f>'Cash Book-USD'!C11</f>
        <v>111103</v>
      </c>
      <c r="D10" s="31" t="str">
        <f>'Cash Book-USD'!D11</f>
        <v>Transfer Account ( Cash &amp; Bank )</v>
      </c>
      <c r="E10" s="31" t="str">
        <f>'Cash Book-USD'!E11</f>
        <v xml:space="preserve">Withdraw for Petty Cash </v>
      </c>
      <c r="F10" s="270">
        <f>'Cash Book-USD'!G11</f>
        <v>0</v>
      </c>
      <c r="G10" s="271">
        <f>'Cash Book-USD'!F11</f>
        <v>500</v>
      </c>
    </row>
    <row r="11" spans="1:7" ht="30" customHeight="1" x14ac:dyDescent="0.3">
      <c r="A11" s="28" t="str">
        <f>'Cash Book-USD'!A12</f>
        <v>11-03-2016</v>
      </c>
      <c r="B11" s="29" t="str">
        <f>'Cash Book-USD'!B12</f>
        <v>USDPO3001</v>
      </c>
      <c r="C11" s="30">
        <f>'Cash Book-USD'!C12</f>
        <v>111301</v>
      </c>
      <c r="D11" s="31" t="str">
        <f>'Cash Book-USD'!D12</f>
        <v>Prepaid ( Office Staff )</v>
      </c>
      <c r="E11" s="31" t="str">
        <f>'Cash Book-USD'!E12</f>
        <v>For Office Equipment Purchased</v>
      </c>
      <c r="F11" s="270">
        <f>'Cash Book-USD'!G12</f>
        <v>75</v>
      </c>
      <c r="G11" s="271">
        <f>'Cash Book-USD'!F12</f>
        <v>0</v>
      </c>
    </row>
    <row r="12" spans="1:7" ht="30" customHeight="1" x14ac:dyDescent="0.3">
      <c r="A12" s="28" t="str">
        <f>'Cash Book-USD'!A13</f>
        <v>14-03-2016</v>
      </c>
      <c r="B12" s="29" t="str">
        <f>'Cash Book-USD'!B13</f>
        <v>USDPO3002</v>
      </c>
      <c r="C12" s="30">
        <f>'Cash Book-USD'!C13</f>
        <v>401402</v>
      </c>
      <c r="D12" s="31" t="str">
        <f>'Cash Book-USD'!D13</f>
        <v>Exchange A/C</v>
      </c>
      <c r="E12" s="31" t="str">
        <f>'Cash Book-USD'!E13</f>
        <v>To MMK KS C/B ( $ 100 x 1,205 )</v>
      </c>
      <c r="F12" s="270">
        <f>'Cash Book-USD'!G13</f>
        <v>100</v>
      </c>
      <c r="G12" s="271">
        <f>'Cash Book-USD'!F13</f>
        <v>0</v>
      </c>
    </row>
    <row r="13" spans="1:7" ht="30" customHeight="1" x14ac:dyDescent="0.3">
      <c r="A13" s="28" t="str">
        <f>'Cash Book-USD'!A14</f>
        <v>21-03-2016</v>
      </c>
      <c r="B13" s="29" t="str">
        <f>'Cash Book-USD'!B14</f>
        <v>USDPO3003</v>
      </c>
      <c r="C13" s="30">
        <f>'Cash Book-USD'!C14</f>
        <v>401402</v>
      </c>
      <c r="D13" s="31" t="str">
        <f>'Cash Book-USD'!D14</f>
        <v>Exchange A/C</v>
      </c>
      <c r="E13" s="31" t="str">
        <f>'Cash Book-USD'!E14</f>
        <v>To MMK KS C/B ( $ 100 x 1,205 )</v>
      </c>
      <c r="F13" s="270">
        <f>'Cash Book-USD'!G14</f>
        <v>100</v>
      </c>
      <c r="G13" s="271">
        <f>'Cash Book-USD'!F14</f>
        <v>0</v>
      </c>
    </row>
    <row r="14" spans="1:7" ht="30" customHeight="1" x14ac:dyDescent="0.3">
      <c r="A14" s="28" t="str">
        <f>'Cash Book-USD'!A15</f>
        <v>22-03-2016</v>
      </c>
      <c r="B14" s="29" t="str">
        <f>'Cash Book-USD'!B15</f>
        <v>USDPO304</v>
      </c>
      <c r="C14" s="30">
        <f>'Cash Book-USD'!C15</f>
        <v>401402</v>
      </c>
      <c r="D14" s="31" t="str">
        <f>'Cash Book-USD'!D15</f>
        <v>Exchange A/C</v>
      </c>
      <c r="E14" s="31" t="str">
        <f>'Cash Book-USD'!E15</f>
        <v>To MMK KS C/B ( $ 25 x 1,195 )</v>
      </c>
      <c r="F14" s="270">
        <f>'Cash Book-USD'!G15</f>
        <v>25</v>
      </c>
      <c r="G14" s="271">
        <f>'Cash Book-USD'!F15</f>
        <v>0</v>
      </c>
    </row>
    <row r="15" spans="1:7" ht="30" customHeight="1" x14ac:dyDescent="0.3">
      <c r="A15" s="28" t="str">
        <f>'Cash Book-USD'!A16</f>
        <v>08-04-2016</v>
      </c>
      <c r="B15" s="29" t="str">
        <f>'Cash Book-USD'!B16</f>
        <v>RO4001</v>
      </c>
      <c r="C15" s="30">
        <f>'Cash Book-USD'!C16</f>
        <v>111103</v>
      </c>
      <c r="D15" s="31" t="str">
        <f>'Cash Book-USD'!D16</f>
        <v>Transfer Account ( Cash &amp; Bank )</v>
      </c>
      <c r="E15" s="31" t="str">
        <f>'Cash Book-USD'!E16</f>
        <v>Transfer from CB Bank A/C</v>
      </c>
      <c r="F15" s="270">
        <f>'Cash Book-USD'!G16</f>
        <v>0</v>
      </c>
      <c r="G15" s="271">
        <f>'Cash Book-USD'!F16</f>
        <v>3715</v>
      </c>
    </row>
    <row r="16" spans="1:7" ht="30" customHeight="1" x14ac:dyDescent="0.3">
      <c r="A16" s="28" t="str">
        <f>'Cash Book-USD'!A17</f>
        <v>26-04-2016</v>
      </c>
      <c r="B16" s="29" t="str">
        <f>'Cash Book-USD'!B17</f>
        <v>PO4003</v>
      </c>
      <c r="C16" s="30">
        <f>'Cash Book-USD'!C17</f>
        <v>612119</v>
      </c>
      <c r="D16" s="31" t="str">
        <f>'Cash Book-USD'!D17</f>
        <v>Wages Expenses</v>
      </c>
      <c r="E16" s="31" t="str">
        <f>'Cash Book-USD'!E17</f>
        <v xml:space="preserve">Pmt for dismissinal </v>
      </c>
      <c r="F16" s="270">
        <f>'Cash Book-USD'!G17</f>
        <v>250</v>
      </c>
      <c r="G16" s="271">
        <f>'Cash Book-USD'!F17</f>
        <v>0</v>
      </c>
    </row>
    <row r="17" spans="1:7" ht="30" customHeight="1" x14ac:dyDescent="0.3">
      <c r="A17" s="28" t="str">
        <f>'Cash Book-USD'!A18</f>
        <v>26-04-2016</v>
      </c>
      <c r="B17" s="29" t="str">
        <f>'Cash Book-USD'!B18</f>
        <v>PO4002</v>
      </c>
      <c r="C17" s="30">
        <f>'Cash Book-USD'!C18</f>
        <v>111202</v>
      </c>
      <c r="D17" s="31" t="str">
        <f>'Cash Book-USD'!D18</f>
        <v>Cash at Bank ( CB-US$ )</v>
      </c>
      <c r="E17" s="31" t="str">
        <f>'Cash Book-USD'!E18</f>
        <v>Cash Deposit to CB Bank USD A/C</v>
      </c>
      <c r="F17" s="270">
        <f>'Cash Book-USD'!G18</f>
        <v>1300</v>
      </c>
      <c r="G17" s="271">
        <f>'Cash Book-USD'!F18</f>
        <v>0</v>
      </c>
    </row>
    <row r="18" spans="1:7" ht="30" customHeight="1" x14ac:dyDescent="0.3">
      <c r="A18" s="28" t="str">
        <f>'Cash Book-USD'!A19</f>
        <v>26-04-2016</v>
      </c>
      <c r="B18" s="29" t="str">
        <f>'Cash Book-USD'!B19</f>
        <v>RO4003</v>
      </c>
      <c r="C18" s="30">
        <f>'Cash Book-USD'!C19</f>
        <v>111301</v>
      </c>
      <c r="D18" s="31" t="str">
        <f>'Cash Book-USD'!D19</f>
        <v>Prepaid ( Office Staff )</v>
      </c>
      <c r="E18" s="31" t="str">
        <f>'Cash Book-USD'!E19</f>
        <v>Adv Return from Pawn Shop Activity</v>
      </c>
      <c r="F18" s="270">
        <f>'Cash Book-USD'!G19</f>
        <v>0</v>
      </c>
      <c r="G18" s="271">
        <f>'Cash Book-USD'!F19</f>
        <v>1575</v>
      </c>
    </row>
    <row r="19" spans="1:7" ht="30" customHeight="1" x14ac:dyDescent="0.3">
      <c r="A19" s="28" t="str">
        <f>'Cash Book-USD'!A20</f>
        <v>08-04-2016</v>
      </c>
      <c r="B19" s="29" t="str">
        <f>'Cash Book-USD'!B20</f>
        <v>PO4001</v>
      </c>
      <c r="C19" s="30">
        <f>'Cash Book-USD'!C20</f>
        <v>612103</v>
      </c>
      <c r="D19" s="31" t="str">
        <f>'Cash Book-USD'!D20</f>
        <v>Office Rental Charges</v>
      </c>
      <c r="E19" s="31" t="str">
        <f>'Cash Book-USD'!E20</f>
        <v>Paid to Keier for Office Rental</v>
      </c>
      <c r="F19" s="270">
        <f>'Cash Book-USD'!G20</f>
        <v>3928</v>
      </c>
      <c r="G19" s="271">
        <f>'Cash Book-USD'!F20</f>
        <v>0</v>
      </c>
    </row>
    <row r="20" spans="1:7" ht="30" customHeight="1" thickBot="1" x14ac:dyDescent="0.35">
      <c r="A20" s="28" t="str">
        <f>'Cash Book-USD'!A21</f>
        <v>08-04-2016</v>
      </c>
      <c r="B20" s="29" t="str">
        <f>'Cash Book-USD'!B21</f>
        <v>RO4001</v>
      </c>
      <c r="C20" s="30">
        <f>'Cash Book-USD'!C21</f>
        <v>612103</v>
      </c>
      <c r="D20" s="31" t="str">
        <f>'Cash Book-USD'!D21</f>
        <v>Office Rental Charges</v>
      </c>
      <c r="E20" s="31" t="str">
        <f>'Cash Book-USD'!E21</f>
        <v>Refund from Office Rental</v>
      </c>
      <c r="F20" s="270">
        <f>'Cash Book-USD'!G21</f>
        <v>0</v>
      </c>
      <c r="G20" s="271">
        <f>'Cash Book-USD'!F21</f>
        <v>250</v>
      </c>
    </row>
    <row r="21" spans="1:7" ht="30" hidden="1" customHeight="1" x14ac:dyDescent="0.3">
      <c r="A21" s="28">
        <f>'Cash Book-USD'!A22</f>
        <v>0</v>
      </c>
      <c r="B21" s="29">
        <f>'Cash Book-USD'!B22</f>
        <v>0</v>
      </c>
      <c r="C21" s="30">
        <f>'Cash Book-USD'!C22</f>
        <v>0</v>
      </c>
      <c r="D21" s="31">
        <f>'Cash Book-USD'!D22</f>
        <v>0</v>
      </c>
      <c r="E21" s="31">
        <f>'Cash Book-USD'!E22</f>
        <v>0</v>
      </c>
      <c r="F21" s="270">
        <f>'Cash Book-USD'!G22</f>
        <v>0</v>
      </c>
      <c r="G21" s="271">
        <f>'Cash Book-USD'!F22</f>
        <v>0</v>
      </c>
    </row>
    <row r="22" spans="1:7" ht="30" hidden="1" customHeight="1" x14ac:dyDescent="0.3">
      <c r="A22" s="28">
        <f>'Cash Book-USD'!A23</f>
        <v>0</v>
      </c>
      <c r="B22" s="29">
        <f>'Cash Book-USD'!B23</f>
        <v>0</v>
      </c>
      <c r="C22" s="30">
        <f>'Cash Book-USD'!C23</f>
        <v>0</v>
      </c>
      <c r="D22" s="31">
        <f>'Cash Book-USD'!D23</f>
        <v>0</v>
      </c>
      <c r="E22" s="31">
        <f>'Cash Book-USD'!E23</f>
        <v>0</v>
      </c>
      <c r="F22" s="270">
        <f>'Cash Book-USD'!G23</f>
        <v>0</v>
      </c>
      <c r="G22" s="271">
        <f>'Cash Book-USD'!F23</f>
        <v>0</v>
      </c>
    </row>
    <row r="23" spans="1:7" ht="30" hidden="1" customHeight="1" x14ac:dyDescent="0.3">
      <c r="A23" s="28">
        <f>'Cash Book-USD'!A24</f>
        <v>0</v>
      </c>
      <c r="B23" s="29">
        <f>'Cash Book-USD'!B24</f>
        <v>0</v>
      </c>
      <c r="C23" s="30">
        <f>'Cash Book-USD'!C24</f>
        <v>0</v>
      </c>
      <c r="D23" s="31">
        <f>'Cash Book-USD'!D24</f>
        <v>0</v>
      </c>
      <c r="E23" s="31">
        <f>'Cash Book-USD'!E24</f>
        <v>0</v>
      </c>
      <c r="F23" s="270">
        <f>'Cash Book-USD'!G24</f>
        <v>0</v>
      </c>
      <c r="G23" s="271">
        <f>'Cash Book-USD'!F24</f>
        <v>0</v>
      </c>
    </row>
    <row r="24" spans="1:7" ht="30" hidden="1" customHeight="1" x14ac:dyDescent="0.3">
      <c r="A24" s="28">
        <f>'Cash Book-USD'!A25</f>
        <v>0</v>
      </c>
      <c r="B24" s="29">
        <f>'Cash Book-USD'!B25</f>
        <v>0</v>
      </c>
      <c r="C24" s="30">
        <f>'Cash Book-USD'!C25</f>
        <v>0</v>
      </c>
      <c r="D24" s="31">
        <f>'Cash Book-USD'!D25</f>
        <v>0</v>
      </c>
      <c r="E24" s="31">
        <f>'Cash Book-USD'!E25</f>
        <v>0</v>
      </c>
      <c r="F24" s="270">
        <f>'Cash Book-USD'!G25</f>
        <v>0</v>
      </c>
      <c r="G24" s="271">
        <f>'Cash Book-USD'!F25</f>
        <v>0</v>
      </c>
    </row>
    <row r="25" spans="1:7" ht="30" hidden="1" customHeight="1" x14ac:dyDescent="0.3">
      <c r="A25" s="28">
        <f>'Cash Book-USD'!A26</f>
        <v>0</v>
      </c>
      <c r="B25" s="29">
        <f>'Cash Book-USD'!B26</f>
        <v>0</v>
      </c>
      <c r="C25" s="30">
        <f>'Cash Book-USD'!C26</f>
        <v>0</v>
      </c>
      <c r="D25" s="31">
        <f>'Cash Book-USD'!D26</f>
        <v>0</v>
      </c>
      <c r="E25" s="31">
        <f>'Cash Book-USD'!E26</f>
        <v>0</v>
      </c>
      <c r="F25" s="270">
        <f>'Cash Book-USD'!G26</f>
        <v>0</v>
      </c>
      <c r="G25" s="271">
        <f>'Cash Book-USD'!F26</f>
        <v>0</v>
      </c>
    </row>
    <row r="26" spans="1:7" ht="30" hidden="1" customHeight="1" x14ac:dyDescent="0.3">
      <c r="A26" s="28">
        <f>'Cash Book-USD'!A27</f>
        <v>0</v>
      </c>
      <c r="B26" s="29">
        <f>'Cash Book-USD'!B27</f>
        <v>0</v>
      </c>
      <c r="C26" s="30">
        <f>'Cash Book-USD'!C27</f>
        <v>0</v>
      </c>
      <c r="D26" s="31">
        <f>'Cash Book-USD'!D27</f>
        <v>0</v>
      </c>
      <c r="E26" s="31">
        <f>'Cash Book-USD'!E27</f>
        <v>0</v>
      </c>
      <c r="F26" s="270">
        <f>'Cash Book-USD'!G27</f>
        <v>0</v>
      </c>
      <c r="G26" s="271">
        <f>'Cash Book-USD'!F27</f>
        <v>0</v>
      </c>
    </row>
    <row r="27" spans="1:7" ht="30" hidden="1" customHeight="1" x14ac:dyDescent="0.3">
      <c r="A27" s="28">
        <f>'Cash Book-USD'!A28</f>
        <v>0</v>
      </c>
      <c r="B27" s="29">
        <f>'Cash Book-USD'!B28</f>
        <v>0</v>
      </c>
      <c r="C27" s="30">
        <f>'Cash Book-USD'!C28</f>
        <v>0</v>
      </c>
      <c r="D27" s="31">
        <f>'Cash Book-USD'!D28</f>
        <v>0</v>
      </c>
      <c r="E27" s="31">
        <f>'Cash Book-USD'!E28</f>
        <v>0</v>
      </c>
      <c r="F27" s="270">
        <f>'Cash Book-USD'!G28</f>
        <v>0</v>
      </c>
      <c r="G27" s="271">
        <f>'Cash Book-USD'!F28</f>
        <v>0</v>
      </c>
    </row>
    <row r="28" spans="1:7" ht="30" hidden="1" customHeight="1" x14ac:dyDescent="0.3">
      <c r="A28" s="28">
        <f>'Cash Book-USD'!A29</f>
        <v>0</v>
      </c>
      <c r="B28" s="29">
        <f>'Cash Book-USD'!B29</f>
        <v>0</v>
      </c>
      <c r="C28" s="30">
        <f>'Cash Book-USD'!C29</f>
        <v>0</v>
      </c>
      <c r="D28" s="31">
        <f>'Cash Book-USD'!D29</f>
        <v>0</v>
      </c>
      <c r="E28" s="31">
        <f>'Cash Book-USD'!E29</f>
        <v>0</v>
      </c>
      <c r="F28" s="270">
        <f>'Cash Book-USD'!G29</f>
        <v>0</v>
      </c>
      <c r="G28" s="271">
        <f>'Cash Book-USD'!F29</f>
        <v>0</v>
      </c>
    </row>
    <row r="29" spans="1:7" ht="30" hidden="1" customHeight="1" x14ac:dyDescent="0.3">
      <c r="A29" s="28">
        <f>'Cash Book-USD'!A30</f>
        <v>0</v>
      </c>
      <c r="B29" s="29">
        <f>'Cash Book-USD'!B30</f>
        <v>0</v>
      </c>
      <c r="C29" s="30">
        <f>'Cash Book-USD'!C30</f>
        <v>0</v>
      </c>
      <c r="D29" s="31">
        <f>'Cash Book-USD'!D30</f>
        <v>0</v>
      </c>
      <c r="E29" s="31">
        <f>'Cash Book-USD'!E30</f>
        <v>0</v>
      </c>
      <c r="F29" s="270">
        <f>'Cash Book-USD'!G30</f>
        <v>0</v>
      </c>
      <c r="G29" s="271">
        <f>'Cash Book-USD'!F30</f>
        <v>0</v>
      </c>
    </row>
    <row r="30" spans="1:7" ht="30" hidden="1" customHeight="1" x14ac:dyDescent="0.3">
      <c r="A30" s="28">
        <f>'Cash Book-USD'!A31</f>
        <v>0</v>
      </c>
      <c r="B30" s="29">
        <f>'Cash Book-USD'!B31</f>
        <v>0</v>
      </c>
      <c r="C30" s="30">
        <f>'Cash Book-USD'!C31</f>
        <v>0</v>
      </c>
      <c r="D30" s="31">
        <f>'Cash Book-USD'!D31</f>
        <v>0</v>
      </c>
      <c r="E30" s="31">
        <f>'Cash Book-USD'!E31</f>
        <v>0</v>
      </c>
      <c r="F30" s="270">
        <f>'Cash Book-USD'!G31</f>
        <v>0</v>
      </c>
      <c r="G30" s="271">
        <f>'Cash Book-USD'!F31</f>
        <v>0</v>
      </c>
    </row>
    <row r="31" spans="1:7" ht="30" hidden="1" customHeight="1" x14ac:dyDescent="0.3">
      <c r="A31" s="28">
        <f>'Cash Book-USD'!A32</f>
        <v>0</v>
      </c>
      <c r="B31" s="29">
        <f>'Cash Book-USD'!B32</f>
        <v>0</v>
      </c>
      <c r="C31" s="30">
        <f>'Cash Book-USD'!C32</f>
        <v>0</v>
      </c>
      <c r="D31" s="31">
        <f>'Cash Book-USD'!D32</f>
        <v>0</v>
      </c>
      <c r="E31" s="31">
        <f>'Cash Book-USD'!E32</f>
        <v>0</v>
      </c>
      <c r="F31" s="270">
        <f>'Cash Book-USD'!G32</f>
        <v>0</v>
      </c>
      <c r="G31" s="271">
        <f>'Cash Book-USD'!F32</f>
        <v>0</v>
      </c>
    </row>
    <row r="32" spans="1:7" ht="30" hidden="1" customHeight="1" x14ac:dyDescent="0.3">
      <c r="A32" s="28">
        <f>'Cash Book-USD'!A33</f>
        <v>0</v>
      </c>
      <c r="B32" s="29">
        <f>'Cash Book-USD'!B33</f>
        <v>0</v>
      </c>
      <c r="C32" s="30">
        <f>'Cash Book-USD'!C33</f>
        <v>0</v>
      </c>
      <c r="D32" s="31">
        <f>'Cash Book-USD'!D33</f>
        <v>0</v>
      </c>
      <c r="E32" s="31">
        <f>'Cash Book-USD'!E33</f>
        <v>0</v>
      </c>
      <c r="F32" s="270">
        <f>'Cash Book-USD'!G33</f>
        <v>0</v>
      </c>
      <c r="G32" s="271">
        <f>'Cash Book-USD'!F33</f>
        <v>0</v>
      </c>
    </row>
    <row r="33" spans="1:7" ht="30" hidden="1" customHeight="1" x14ac:dyDescent="0.3">
      <c r="A33" s="28">
        <f>'Cash Book-USD'!A34</f>
        <v>0</v>
      </c>
      <c r="B33" s="29">
        <f>'Cash Book-USD'!B34</f>
        <v>0</v>
      </c>
      <c r="C33" s="30">
        <f>'Cash Book-USD'!C34</f>
        <v>0</v>
      </c>
      <c r="D33" s="31">
        <f>'Cash Book-USD'!D34</f>
        <v>0</v>
      </c>
      <c r="E33" s="31">
        <f>'Cash Book-USD'!E34</f>
        <v>0</v>
      </c>
      <c r="F33" s="270">
        <f>'Cash Book-USD'!G34</f>
        <v>0</v>
      </c>
      <c r="G33" s="271">
        <f>'Cash Book-USD'!F34</f>
        <v>0</v>
      </c>
    </row>
    <row r="34" spans="1:7" ht="30" hidden="1" customHeight="1" x14ac:dyDescent="0.3">
      <c r="A34" s="28">
        <f>'Cash Book-USD'!A35</f>
        <v>0</v>
      </c>
      <c r="B34" s="29">
        <f>'Cash Book-USD'!B35</f>
        <v>0</v>
      </c>
      <c r="C34" s="30">
        <f>'Cash Book-USD'!C35</f>
        <v>0</v>
      </c>
      <c r="D34" s="31">
        <f>'Cash Book-USD'!D35</f>
        <v>0</v>
      </c>
      <c r="E34" s="31">
        <f>'Cash Book-USD'!E35</f>
        <v>0</v>
      </c>
      <c r="F34" s="270">
        <f>'Cash Book-USD'!G35</f>
        <v>0</v>
      </c>
      <c r="G34" s="271">
        <f>'Cash Book-USD'!F35</f>
        <v>0</v>
      </c>
    </row>
    <row r="35" spans="1:7" ht="30" hidden="1" customHeight="1" x14ac:dyDescent="0.3">
      <c r="A35" s="28">
        <f>'Cash Book-USD'!A36</f>
        <v>0</v>
      </c>
      <c r="B35" s="29">
        <f>'Cash Book-USD'!B36</f>
        <v>0</v>
      </c>
      <c r="C35" s="30">
        <f>'Cash Book-USD'!C36</f>
        <v>0</v>
      </c>
      <c r="D35" s="31">
        <f>'Cash Book-USD'!D36</f>
        <v>0</v>
      </c>
      <c r="E35" s="31">
        <f>'Cash Book-USD'!E36</f>
        <v>0</v>
      </c>
      <c r="F35" s="270">
        <f>'Cash Book-USD'!G36</f>
        <v>0</v>
      </c>
      <c r="G35" s="271">
        <f>'Cash Book-USD'!F36</f>
        <v>0</v>
      </c>
    </row>
    <row r="36" spans="1:7" ht="30" hidden="1" customHeight="1" x14ac:dyDescent="0.3">
      <c r="A36" s="28">
        <f>'Cash Book-USD'!A37</f>
        <v>0</v>
      </c>
      <c r="B36" s="29">
        <f>'Cash Book-USD'!B37</f>
        <v>0</v>
      </c>
      <c r="C36" s="30">
        <f>'Cash Book-USD'!C37</f>
        <v>0</v>
      </c>
      <c r="D36" s="31">
        <f>'Cash Book-USD'!D37</f>
        <v>0</v>
      </c>
      <c r="E36" s="31">
        <f>'Cash Book-USD'!E37</f>
        <v>0</v>
      </c>
      <c r="F36" s="270">
        <f>'Cash Book-USD'!G37</f>
        <v>0</v>
      </c>
      <c r="G36" s="271">
        <f>'Cash Book-USD'!F37</f>
        <v>0</v>
      </c>
    </row>
    <row r="37" spans="1:7" ht="30" hidden="1" customHeight="1" x14ac:dyDescent="0.3">
      <c r="A37" s="28">
        <f>'Cash Book-USD'!A38</f>
        <v>0</v>
      </c>
      <c r="B37" s="29">
        <f>'Cash Book-USD'!B38</f>
        <v>0</v>
      </c>
      <c r="C37" s="30">
        <f>'Cash Book-USD'!C38</f>
        <v>0</v>
      </c>
      <c r="D37" s="31">
        <f>'Cash Book-USD'!D38</f>
        <v>0</v>
      </c>
      <c r="E37" s="31">
        <f>'Cash Book-USD'!E38</f>
        <v>0</v>
      </c>
      <c r="F37" s="270">
        <f>'Cash Book-USD'!G38</f>
        <v>0</v>
      </c>
      <c r="G37" s="271">
        <f>'Cash Book-USD'!F38</f>
        <v>0</v>
      </c>
    </row>
    <row r="38" spans="1:7" ht="30" hidden="1" customHeight="1" x14ac:dyDescent="0.3">
      <c r="A38" s="28">
        <f>'Cash Book-USD'!A39</f>
        <v>0</v>
      </c>
      <c r="B38" s="29">
        <f>'Cash Book-USD'!B39</f>
        <v>0</v>
      </c>
      <c r="C38" s="30">
        <f>'Cash Book-USD'!C39</f>
        <v>0</v>
      </c>
      <c r="D38" s="31">
        <f>'Cash Book-USD'!D39</f>
        <v>0</v>
      </c>
      <c r="E38" s="31">
        <f>'Cash Book-USD'!E39</f>
        <v>0</v>
      </c>
      <c r="F38" s="270">
        <f>'Cash Book-USD'!G39</f>
        <v>0</v>
      </c>
      <c r="G38" s="271">
        <f>'Cash Book-USD'!F39</f>
        <v>0</v>
      </c>
    </row>
    <row r="39" spans="1:7" ht="30" hidden="1" customHeight="1" x14ac:dyDescent="0.3">
      <c r="A39" s="28">
        <f>'Cash Book-USD'!A40</f>
        <v>0</v>
      </c>
      <c r="B39" s="29">
        <f>'Cash Book-USD'!B40</f>
        <v>0</v>
      </c>
      <c r="C39" s="30">
        <f>'Cash Book-USD'!C40</f>
        <v>0</v>
      </c>
      <c r="D39" s="31">
        <f>'Cash Book-USD'!D40</f>
        <v>0</v>
      </c>
      <c r="E39" s="31">
        <f>'Cash Book-USD'!E40</f>
        <v>0</v>
      </c>
      <c r="F39" s="270">
        <f>'Cash Book-USD'!G40</f>
        <v>0</v>
      </c>
      <c r="G39" s="271">
        <f>'Cash Book-USD'!F40</f>
        <v>0</v>
      </c>
    </row>
    <row r="40" spans="1:7" ht="30" hidden="1" customHeight="1" x14ac:dyDescent="0.3">
      <c r="A40" s="28">
        <f>'Cash Book-USD'!A41</f>
        <v>0</v>
      </c>
      <c r="B40" s="29">
        <f>'Cash Book-USD'!B41</f>
        <v>0</v>
      </c>
      <c r="C40" s="30">
        <f>'Cash Book-USD'!C41</f>
        <v>0</v>
      </c>
      <c r="D40" s="31">
        <f>'Cash Book-USD'!D41</f>
        <v>0</v>
      </c>
      <c r="E40" s="31">
        <f>'Cash Book-USD'!E41</f>
        <v>0</v>
      </c>
      <c r="F40" s="270">
        <f>'Cash Book-USD'!G41</f>
        <v>0</v>
      </c>
      <c r="G40" s="271">
        <f>'Cash Book-USD'!F41</f>
        <v>0</v>
      </c>
    </row>
    <row r="41" spans="1:7" ht="30" hidden="1" customHeight="1" x14ac:dyDescent="0.3">
      <c r="A41" s="28">
        <f>'Cash Book-USD'!A42</f>
        <v>0</v>
      </c>
      <c r="B41" s="29">
        <f>'Cash Book-USD'!B42</f>
        <v>0</v>
      </c>
      <c r="C41" s="30">
        <f>'Cash Book-USD'!C42</f>
        <v>0</v>
      </c>
      <c r="D41" s="31">
        <f>'Cash Book-USD'!D42</f>
        <v>0</v>
      </c>
      <c r="E41" s="31">
        <f>'Cash Book-USD'!E42</f>
        <v>0</v>
      </c>
      <c r="F41" s="270">
        <f>'Cash Book-USD'!G42</f>
        <v>0</v>
      </c>
      <c r="G41" s="271">
        <f>'Cash Book-USD'!F42</f>
        <v>0</v>
      </c>
    </row>
    <row r="42" spans="1:7" ht="30" hidden="1" customHeight="1" x14ac:dyDescent="0.3">
      <c r="A42" s="28">
        <f>'Cash Book-USD'!A43</f>
        <v>0</v>
      </c>
      <c r="B42" s="29">
        <f>'Cash Book-USD'!B43</f>
        <v>0</v>
      </c>
      <c r="C42" s="30">
        <f>'Cash Book-USD'!C43</f>
        <v>0</v>
      </c>
      <c r="D42" s="31">
        <f>'Cash Book-USD'!D43</f>
        <v>0</v>
      </c>
      <c r="E42" s="31">
        <f>'Cash Book-USD'!E43</f>
        <v>0</v>
      </c>
      <c r="F42" s="270">
        <f>'Cash Book-USD'!G43</f>
        <v>0</v>
      </c>
      <c r="G42" s="271">
        <f>'Cash Book-USD'!F43</f>
        <v>0</v>
      </c>
    </row>
    <row r="43" spans="1:7" ht="30" hidden="1" customHeight="1" x14ac:dyDescent="0.3">
      <c r="A43" s="28">
        <f>'Cash Book-USD'!A44</f>
        <v>0</v>
      </c>
      <c r="B43" s="29">
        <f>'Cash Book-USD'!B44</f>
        <v>0</v>
      </c>
      <c r="C43" s="30">
        <f>'Cash Book-USD'!C44</f>
        <v>0</v>
      </c>
      <c r="D43" s="31">
        <f>'Cash Book-USD'!D44</f>
        <v>0</v>
      </c>
      <c r="E43" s="31">
        <f>'Cash Book-USD'!E44</f>
        <v>0</v>
      </c>
      <c r="F43" s="270">
        <f>'Cash Book-USD'!G44</f>
        <v>0</v>
      </c>
      <c r="G43" s="271">
        <f>'Cash Book-USD'!F44</f>
        <v>0</v>
      </c>
    </row>
    <row r="44" spans="1:7" ht="30" hidden="1" customHeight="1" x14ac:dyDescent="0.3">
      <c r="A44" s="28">
        <f>'Cash Book-USD'!A45</f>
        <v>0</v>
      </c>
      <c r="B44" s="29">
        <f>'Cash Book-USD'!B45</f>
        <v>0</v>
      </c>
      <c r="C44" s="30">
        <f>'Cash Book-USD'!C45</f>
        <v>0</v>
      </c>
      <c r="D44" s="31">
        <f>'Cash Book-USD'!D45</f>
        <v>0</v>
      </c>
      <c r="E44" s="31">
        <f>'Cash Book-USD'!E45</f>
        <v>0</v>
      </c>
      <c r="F44" s="270">
        <f>'Cash Book-USD'!G45</f>
        <v>0</v>
      </c>
      <c r="G44" s="271">
        <f>'Cash Book-USD'!F45</f>
        <v>0</v>
      </c>
    </row>
    <row r="45" spans="1:7" ht="30" hidden="1" customHeight="1" x14ac:dyDescent="0.3">
      <c r="A45" s="28">
        <f>'Cash Book-USD'!A46</f>
        <v>0</v>
      </c>
      <c r="B45" s="29">
        <f>'Cash Book-USD'!B46</f>
        <v>0</v>
      </c>
      <c r="C45" s="30">
        <f>'Cash Book-USD'!C46</f>
        <v>0</v>
      </c>
      <c r="D45" s="31">
        <f>'Cash Book-USD'!D46</f>
        <v>0</v>
      </c>
      <c r="E45" s="31">
        <f>'Cash Book-USD'!E46</f>
        <v>0</v>
      </c>
      <c r="F45" s="270">
        <f>'Cash Book-USD'!G46</f>
        <v>0</v>
      </c>
      <c r="G45" s="271">
        <f>'Cash Book-USD'!F46</f>
        <v>0</v>
      </c>
    </row>
    <row r="46" spans="1:7" ht="30" hidden="1" customHeight="1" x14ac:dyDescent="0.3">
      <c r="A46" s="28">
        <f>'Cash Book-USD'!A47</f>
        <v>0</v>
      </c>
      <c r="B46" s="29">
        <f>'Cash Book-USD'!B47</f>
        <v>0</v>
      </c>
      <c r="C46" s="30">
        <f>'Cash Book-USD'!C47</f>
        <v>0</v>
      </c>
      <c r="D46" s="31">
        <f>'Cash Book-USD'!D47</f>
        <v>0</v>
      </c>
      <c r="E46" s="31">
        <f>'Cash Book-USD'!E47</f>
        <v>0</v>
      </c>
      <c r="F46" s="270">
        <f>'Cash Book-USD'!G47</f>
        <v>0</v>
      </c>
      <c r="G46" s="271">
        <f>'Cash Book-USD'!F47</f>
        <v>0</v>
      </c>
    </row>
    <row r="47" spans="1:7" ht="30" hidden="1" customHeight="1" x14ac:dyDescent="0.3">
      <c r="A47" s="28">
        <f>'Cash Book-USD'!A48</f>
        <v>0</v>
      </c>
      <c r="B47" s="29">
        <f>'Cash Book-USD'!B48</f>
        <v>0</v>
      </c>
      <c r="C47" s="30">
        <f>'Cash Book-USD'!C48</f>
        <v>0</v>
      </c>
      <c r="D47" s="31">
        <f>'Cash Book-USD'!D48</f>
        <v>0</v>
      </c>
      <c r="E47" s="31">
        <f>'Cash Book-USD'!E48</f>
        <v>0</v>
      </c>
      <c r="F47" s="270">
        <f>'Cash Book-USD'!G48</f>
        <v>0</v>
      </c>
      <c r="G47" s="271">
        <f>'Cash Book-USD'!F48</f>
        <v>0</v>
      </c>
    </row>
    <row r="48" spans="1:7" ht="30" hidden="1" customHeight="1" x14ac:dyDescent="0.3">
      <c r="A48" s="28">
        <f>'Cash Book-USD'!A49</f>
        <v>0</v>
      </c>
      <c r="B48" s="29">
        <f>'Cash Book-USD'!B49</f>
        <v>0</v>
      </c>
      <c r="C48" s="30">
        <f>'Cash Book-USD'!C49</f>
        <v>0</v>
      </c>
      <c r="D48" s="31">
        <f>'Cash Book-USD'!D49</f>
        <v>0</v>
      </c>
      <c r="E48" s="31">
        <f>'Cash Book-USD'!E49</f>
        <v>0</v>
      </c>
      <c r="F48" s="270">
        <f>'Cash Book-USD'!G49</f>
        <v>0</v>
      </c>
      <c r="G48" s="271">
        <f>'Cash Book-USD'!F49</f>
        <v>0</v>
      </c>
    </row>
    <row r="49" spans="1:7" ht="30" hidden="1" customHeight="1" x14ac:dyDescent="0.3">
      <c r="A49" s="28">
        <f>'Cash Book-USD'!A50</f>
        <v>0</v>
      </c>
      <c r="B49" s="29">
        <f>'Cash Book-USD'!B50</f>
        <v>0</v>
      </c>
      <c r="C49" s="30">
        <f>'Cash Book-USD'!C50</f>
        <v>0</v>
      </c>
      <c r="D49" s="31">
        <f>'Cash Book-USD'!D50</f>
        <v>0</v>
      </c>
      <c r="E49" s="31">
        <f>'Cash Book-USD'!E50</f>
        <v>0</v>
      </c>
      <c r="F49" s="270">
        <f>'Cash Book-USD'!G50</f>
        <v>0</v>
      </c>
      <c r="G49" s="271">
        <f>'Cash Book-USD'!F50</f>
        <v>0</v>
      </c>
    </row>
    <row r="50" spans="1:7" ht="30" hidden="1" customHeight="1" x14ac:dyDescent="0.3">
      <c r="A50" s="28">
        <f>'Cash Book-USD'!A51</f>
        <v>0</v>
      </c>
      <c r="B50" s="29">
        <f>'Cash Book-USD'!B51</f>
        <v>0</v>
      </c>
      <c r="C50" s="30">
        <f>'Cash Book-USD'!C51</f>
        <v>0</v>
      </c>
      <c r="D50" s="31">
        <f>'Cash Book-USD'!D51</f>
        <v>0</v>
      </c>
      <c r="E50" s="31">
        <f>'Cash Book-USD'!E51</f>
        <v>0</v>
      </c>
      <c r="F50" s="270">
        <f>'Cash Book-USD'!G51</f>
        <v>0</v>
      </c>
      <c r="G50" s="271">
        <f>'Cash Book-USD'!F51</f>
        <v>0</v>
      </c>
    </row>
    <row r="51" spans="1:7" ht="30" hidden="1" customHeight="1" x14ac:dyDescent="0.3">
      <c r="A51" s="28">
        <f>'Cash Book-USD'!A52</f>
        <v>0</v>
      </c>
      <c r="B51" s="29">
        <f>'Cash Book-USD'!B52</f>
        <v>0</v>
      </c>
      <c r="C51" s="30">
        <f>'Cash Book-USD'!C52</f>
        <v>0</v>
      </c>
      <c r="D51" s="31">
        <f>'Cash Book-USD'!D52</f>
        <v>0</v>
      </c>
      <c r="E51" s="31">
        <f>'Cash Book-USD'!E52</f>
        <v>0</v>
      </c>
      <c r="F51" s="270">
        <f>'Cash Book-USD'!G52</f>
        <v>0</v>
      </c>
      <c r="G51" s="271">
        <f>'Cash Book-USD'!F52</f>
        <v>0</v>
      </c>
    </row>
    <row r="52" spans="1:7" ht="30" hidden="1" customHeight="1" x14ac:dyDescent="0.3">
      <c r="A52" s="28">
        <f>'Cash Book-USD'!A53</f>
        <v>0</v>
      </c>
      <c r="B52" s="29">
        <f>'Cash Book-USD'!B53</f>
        <v>0</v>
      </c>
      <c r="C52" s="30">
        <f>'Cash Book-USD'!C53</f>
        <v>0</v>
      </c>
      <c r="D52" s="31">
        <f>'Cash Book-USD'!D53</f>
        <v>0</v>
      </c>
      <c r="E52" s="31">
        <f>'Cash Book-USD'!E53</f>
        <v>0</v>
      </c>
      <c r="F52" s="270">
        <f>'Cash Book-USD'!G53</f>
        <v>0</v>
      </c>
      <c r="G52" s="271">
        <f>'Cash Book-USD'!F53</f>
        <v>0</v>
      </c>
    </row>
    <row r="53" spans="1:7" ht="30" hidden="1" customHeight="1" x14ac:dyDescent="0.3">
      <c r="A53" s="28">
        <f>'Cash Book-USD'!A54</f>
        <v>0</v>
      </c>
      <c r="B53" s="29">
        <f>'Cash Book-USD'!B54</f>
        <v>0</v>
      </c>
      <c r="C53" s="30">
        <f>'Cash Book-USD'!C54</f>
        <v>0</v>
      </c>
      <c r="D53" s="31">
        <f>'Cash Book-USD'!D54</f>
        <v>0</v>
      </c>
      <c r="E53" s="31">
        <f>'Cash Book-USD'!E54</f>
        <v>0</v>
      </c>
      <c r="F53" s="270">
        <f>'Cash Book-USD'!G54</f>
        <v>0</v>
      </c>
      <c r="G53" s="271">
        <f>'Cash Book-USD'!F54</f>
        <v>0</v>
      </c>
    </row>
    <row r="54" spans="1:7" ht="30" hidden="1" customHeight="1" x14ac:dyDescent="0.3">
      <c r="A54" s="28">
        <f>'Cash Book-USD'!A55</f>
        <v>0</v>
      </c>
      <c r="B54" s="29">
        <f>'Cash Book-USD'!B55</f>
        <v>0</v>
      </c>
      <c r="C54" s="30">
        <f>'Cash Book-USD'!C55</f>
        <v>0</v>
      </c>
      <c r="D54" s="31">
        <f>'Cash Book-USD'!D55</f>
        <v>0</v>
      </c>
      <c r="E54" s="31">
        <f>'Cash Book-USD'!E55</f>
        <v>0</v>
      </c>
      <c r="F54" s="270">
        <f>'Cash Book-USD'!G55</f>
        <v>0</v>
      </c>
      <c r="G54" s="271">
        <f>'Cash Book-USD'!F55</f>
        <v>0</v>
      </c>
    </row>
    <row r="55" spans="1:7" ht="30" hidden="1" customHeight="1" x14ac:dyDescent="0.3">
      <c r="A55" s="28">
        <f>'Cash Book-USD'!A56</f>
        <v>0</v>
      </c>
      <c r="B55" s="29">
        <f>'Cash Book-USD'!B56</f>
        <v>0</v>
      </c>
      <c r="C55" s="30">
        <f>'Cash Book-USD'!C56</f>
        <v>0</v>
      </c>
      <c r="D55" s="31">
        <f>'Cash Book-USD'!D56</f>
        <v>0</v>
      </c>
      <c r="E55" s="31">
        <f>'Cash Book-USD'!E56</f>
        <v>0</v>
      </c>
      <c r="F55" s="270">
        <f>'Cash Book-USD'!G56</f>
        <v>0</v>
      </c>
      <c r="G55" s="271">
        <f>'Cash Book-USD'!F56</f>
        <v>0</v>
      </c>
    </row>
    <row r="56" spans="1:7" ht="30" hidden="1" customHeight="1" x14ac:dyDescent="0.3">
      <c r="A56" s="28">
        <f>'Cash Book-USD'!A57</f>
        <v>0</v>
      </c>
      <c r="B56" s="29">
        <f>'Cash Book-USD'!B57</f>
        <v>0</v>
      </c>
      <c r="C56" s="30">
        <f>'Cash Book-USD'!C57</f>
        <v>0</v>
      </c>
      <c r="D56" s="31">
        <f>'Cash Book-USD'!D57</f>
        <v>0</v>
      </c>
      <c r="E56" s="31">
        <f>'Cash Book-USD'!E57</f>
        <v>0</v>
      </c>
      <c r="F56" s="270">
        <f>'Cash Book-USD'!G57</f>
        <v>0</v>
      </c>
      <c r="G56" s="271">
        <f>'Cash Book-USD'!F57</f>
        <v>0</v>
      </c>
    </row>
    <row r="57" spans="1:7" ht="30" hidden="1" customHeight="1" x14ac:dyDescent="0.3">
      <c r="A57" s="28">
        <f>'Cash Book-USD'!A58</f>
        <v>0</v>
      </c>
      <c r="B57" s="29">
        <f>'Cash Book-USD'!B58</f>
        <v>0</v>
      </c>
      <c r="C57" s="30">
        <f>'Cash Book-USD'!C58</f>
        <v>0</v>
      </c>
      <c r="D57" s="31">
        <f>'Cash Book-USD'!D58</f>
        <v>0</v>
      </c>
      <c r="E57" s="31">
        <f>'Cash Book-USD'!E58</f>
        <v>0</v>
      </c>
      <c r="F57" s="270">
        <f>'Cash Book-USD'!G58</f>
        <v>0</v>
      </c>
      <c r="G57" s="271">
        <f>'Cash Book-USD'!F58</f>
        <v>0</v>
      </c>
    </row>
    <row r="58" spans="1:7" ht="30" hidden="1" customHeight="1" x14ac:dyDescent="0.3">
      <c r="A58" s="28">
        <f>'Cash Book-USD'!A59</f>
        <v>0</v>
      </c>
      <c r="B58" s="29">
        <f>'Cash Book-USD'!B59</f>
        <v>0</v>
      </c>
      <c r="C58" s="30">
        <f>'Cash Book-USD'!C59</f>
        <v>0</v>
      </c>
      <c r="D58" s="31">
        <f>'Cash Book-USD'!D59</f>
        <v>0</v>
      </c>
      <c r="E58" s="31">
        <f>'Cash Book-USD'!E59</f>
        <v>0</v>
      </c>
      <c r="F58" s="270">
        <f>'Cash Book-USD'!G59</f>
        <v>0</v>
      </c>
      <c r="G58" s="271">
        <f>'Cash Book-USD'!F59</f>
        <v>0</v>
      </c>
    </row>
    <row r="59" spans="1:7" ht="30" hidden="1" customHeight="1" x14ac:dyDescent="0.3">
      <c r="A59" s="28">
        <f>'Cash Book-USD'!A60</f>
        <v>0</v>
      </c>
      <c r="B59" s="29">
        <f>'Cash Book-USD'!B60</f>
        <v>0</v>
      </c>
      <c r="C59" s="30">
        <f>'Cash Book-USD'!C60</f>
        <v>0</v>
      </c>
      <c r="D59" s="31">
        <f>'Cash Book-USD'!D60</f>
        <v>0</v>
      </c>
      <c r="E59" s="31">
        <f>'Cash Book-USD'!E60</f>
        <v>0</v>
      </c>
      <c r="F59" s="270">
        <f>'Cash Book-USD'!G60</f>
        <v>0</v>
      </c>
      <c r="G59" s="271">
        <f>'Cash Book-USD'!F60</f>
        <v>0</v>
      </c>
    </row>
    <row r="60" spans="1:7" ht="30" hidden="1" customHeight="1" x14ac:dyDescent="0.3">
      <c r="A60" s="28">
        <f>'Cash Book-USD'!A61</f>
        <v>0</v>
      </c>
      <c r="B60" s="29">
        <f>'Cash Book-USD'!B61</f>
        <v>0</v>
      </c>
      <c r="C60" s="30">
        <f>'Cash Book-USD'!C61</f>
        <v>0</v>
      </c>
      <c r="D60" s="31">
        <f>'Cash Book-USD'!D61</f>
        <v>0</v>
      </c>
      <c r="E60" s="31">
        <f>'Cash Book-USD'!E61</f>
        <v>0</v>
      </c>
      <c r="F60" s="270">
        <f>'Cash Book-USD'!G61</f>
        <v>0</v>
      </c>
      <c r="G60" s="271">
        <f>'Cash Book-USD'!F61</f>
        <v>0</v>
      </c>
    </row>
    <row r="61" spans="1:7" ht="30" hidden="1" customHeight="1" x14ac:dyDescent="0.3">
      <c r="A61" s="28">
        <f>'Cash Book-USD'!A62</f>
        <v>0</v>
      </c>
      <c r="B61" s="29">
        <f>'Cash Book-USD'!B62</f>
        <v>0</v>
      </c>
      <c r="C61" s="30">
        <f>'Cash Book-USD'!C62</f>
        <v>0</v>
      </c>
      <c r="D61" s="31">
        <f>'Cash Book-USD'!D62</f>
        <v>0</v>
      </c>
      <c r="E61" s="31">
        <f>'Cash Book-USD'!E62</f>
        <v>0</v>
      </c>
      <c r="F61" s="270">
        <f>'Cash Book-USD'!G62</f>
        <v>0</v>
      </c>
      <c r="G61" s="271">
        <f>'Cash Book-USD'!F62</f>
        <v>0</v>
      </c>
    </row>
    <row r="62" spans="1:7" ht="30" hidden="1" customHeight="1" x14ac:dyDescent="0.3">
      <c r="A62" s="28">
        <f>'Cash Book-USD'!A63</f>
        <v>0</v>
      </c>
      <c r="B62" s="29">
        <f>'Cash Book-USD'!B63</f>
        <v>0</v>
      </c>
      <c r="C62" s="30">
        <f>'Cash Book-USD'!C63</f>
        <v>0</v>
      </c>
      <c r="D62" s="31">
        <f>'Cash Book-USD'!D63</f>
        <v>0</v>
      </c>
      <c r="E62" s="31">
        <f>'Cash Book-USD'!E63</f>
        <v>0</v>
      </c>
      <c r="F62" s="270">
        <f>'Cash Book-USD'!G63</f>
        <v>0</v>
      </c>
      <c r="G62" s="271">
        <f>'Cash Book-USD'!F63</f>
        <v>0</v>
      </c>
    </row>
    <row r="63" spans="1:7" ht="30" hidden="1" customHeight="1" x14ac:dyDescent="0.3">
      <c r="A63" s="28">
        <f>'Cash Book-USD'!A64</f>
        <v>0</v>
      </c>
      <c r="B63" s="29">
        <f>'Cash Book-USD'!B64</f>
        <v>0</v>
      </c>
      <c r="C63" s="30">
        <f>'Cash Book-USD'!C64</f>
        <v>0</v>
      </c>
      <c r="D63" s="31">
        <f>'Cash Book-USD'!D64</f>
        <v>0</v>
      </c>
      <c r="E63" s="31">
        <f>'Cash Book-USD'!E64</f>
        <v>0</v>
      </c>
      <c r="F63" s="270">
        <f>'Cash Book-USD'!G64</f>
        <v>0</v>
      </c>
      <c r="G63" s="271">
        <f>'Cash Book-USD'!F64</f>
        <v>0</v>
      </c>
    </row>
    <row r="64" spans="1:7" ht="30" hidden="1" customHeight="1" x14ac:dyDescent="0.3">
      <c r="A64" s="28">
        <f>'Cash Book-USD'!A65</f>
        <v>0</v>
      </c>
      <c r="B64" s="29">
        <f>'Cash Book-USD'!B65</f>
        <v>0</v>
      </c>
      <c r="C64" s="30">
        <f>'Cash Book-USD'!C65</f>
        <v>0</v>
      </c>
      <c r="D64" s="31">
        <f>'Cash Book-USD'!D65</f>
        <v>0</v>
      </c>
      <c r="E64" s="31">
        <f>'Cash Book-USD'!E65</f>
        <v>0</v>
      </c>
      <c r="F64" s="270">
        <f>'Cash Book-USD'!G65</f>
        <v>0</v>
      </c>
      <c r="G64" s="271">
        <f>'Cash Book-USD'!F65</f>
        <v>0</v>
      </c>
    </row>
    <row r="65" spans="1:7" ht="30" hidden="1" customHeight="1" x14ac:dyDescent="0.3">
      <c r="A65" s="28">
        <f>'Cash Book-USD'!A66</f>
        <v>0</v>
      </c>
      <c r="B65" s="29">
        <f>'Cash Book-USD'!B66</f>
        <v>0</v>
      </c>
      <c r="C65" s="30">
        <f>'Cash Book-USD'!C66</f>
        <v>0</v>
      </c>
      <c r="D65" s="31">
        <f>'Cash Book-USD'!D66</f>
        <v>0</v>
      </c>
      <c r="E65" s="31">
        <f>'Cash Book-USD'!E66</f>
        <v>0</v>
      </c>
      <c r="F65" s="270">
        <f>'Cash Book-USD'!G66</f>
        <v>0</v>
      </c>
      <c r="G65" s="271">
        <f>'Cash Book-USD'!F66</f>
        <v>0</v>
      </c>
    </row>
    <row r="66" spans="1:7" ht="30" hidden="1" customHeight="1" x14ac:dyDescent="0.3">
      <c r="A66" s="28">
        <f>'Cash Book-USD'!A67</f>
        <v>0</v>
      </c>
      <c r="B66" s="29">
        <f>'Cash Book-USD'!B67</f>
        <v>0</v>
      </c>
      <c r="C66" s="30">
        <f>'Cash Book-USD'!C67</f>
        <v>0</v>
      </c>
      <c r="D66" s="31">
        <f>'Cash Book-USD'!D67</f>
        <v>0</v>
      </c>
      <c r="E66" s="31">
        <f>'Cash Book-USD'!E67</f>
        <v>0</v>
      </c>
      <c r="F66" s="270">
        <f>'Cash Book-USD'!G67</f>
        <v>0</v>
      </c>
      <c r="G66" s="271">
        <f>'Cash Book-USD'!F67</f>
        <v>0</v>
      </c>
    </row>
    <row r="67" spans="1:7" ht="30" hidden="1" customHeight="1" x14ac:dyDescent="0.3">
      <c r="A67" s="28">
        <f>'Cash Book-USD'!A68</f>
        <v>0</v>
      </c>
      <c r="B67" s="29">
        <f>'Cash Book-USD'!B68</f>
        <v>0</v>
      </c>
      <c r="C67" s="30">
        <f>'Cash Book-USD'!C68</f>
        <v>0</v>
      </c>
      <c r="D67" s="31">
        <f>'Cash Book-USD'!D68</f>
        <v>0</v>
      </c>
      <c r="E67" s="31">
        <f>'Cash Book-USD'!E68</f>
        <v>0</v>
      </c>
      <c r="F67" s="270">
        <f>'Cash Book-USD'!G68</f>
        <v>0</v>
      </c>
      <c r="G67" s="271">
        <f>'Cash Book-USD'!F68</f>
        <v>0</v>
      </c>
    </row>
    <row r="68" spans="1:7" ht="30" hidden="1" customHeight="1" x14ac:dyDescent="0.3">
      <c r="A68" s="28">
        <f>'Cash Book-USD'!A69</f>
        <v>0</v>
      </c>
      <c r="B68" s="29">
        <f>'Cash Book-USD'!B69</f>
        <v>0</v>
      </c>
      <c r="C68" s="30">
        <f>'Cash Book-USD'!C69</f>
        <v>0</v>
      </c>
      <c r="D68" s="31">
        <f>'Cash Book-USD'!D69</f>
        <v>0</v>
      </c>
      <c r="E68" s="31">
        <f>'Cash Book-USD'!E69</f>
        <v>0</v>
      </c>
      <c r="F68" s="270">
        <f>'Cash Book-USD'!G69</f>
        <v>0</v>
      </c>
      <c r="G68" s="271">
        <f>'Cash Book-USD'!F69</f>
        <v>0</v>
      </c>
    </row>
    <row r="69" spans="1:7" ht="30" hidden="1" customHeight="1" x14ac:dyDescent="0.3">
      <c r="A69" s="28">
        <f>'Cash Book-USD'!A70</f>
        <v>0</v>
      </c>
      <c r="B69" s="29">
        <f>'Cash Book-USD'!B70</f>
        <v>0</v>
      </c>
      <c r="C69" s="30">
        <f>'Cash Book-USD'!C70</f>
        <v>0</v>
      </c>
      <c r="D69" s="31">
        <f>'Cash Book-USD'!D70</f>
        <v>0</v>
      </c>
      <c r="E69" s="31">
        <f>'Cash Book-USD'!E70</f>
        <v>0</v>
      </c>
      <c r="F69" s="270">
        <f>'Cash Book-USD'!G70</f>
        <v>0</v>
      </c>
      <c r="G69" s="271">
        <f>'Cash Book-USD'!F70</f>
        <v>0</v>
      </c>
    </row>
    <row r="70" spans="1:7" ht="30" hidden="1" customHeight="1" x14ac:dyDescent="0.3">
      <c r="A70" s="28">
        <f>'Cash Book-USD'!A71</f>
        <v>0</v>
      </c>
      <c r="B70" s="29">
        <f>'Cash Book-USD'!B71</f>
        <v>0</v>
      </c>
      <c r="C70" s="30">
        <f>'Cash Book-USD'!C71</f>
        <v>0</v>
      </c>
      <c r="D70" s="31">
        <f>'Cash Book-USD'!D71</f>
        <v>0</v>
      </c>
      <c r="E70" s="31">
        <f>'Cash Book-USD'!E71</f>
        <v>0</v>
      </c>
      <c r="F70" s="270">
        <f>'Cash Book-USD'!G71</f>
        <v>0</v>
      </c>
      <c r="G70" s="271">
        <f>'Cash Book-USD'!F71</f>
        <v>0</v>
      </c>
    </row>
    <row r="71" spans="1:7" ht="30" hidden="1" customHeight="1" thickBot="1" x14ac:dyDescent="0.35">
      <c r="A71" s="28">
        <f>'Cash Book-USD'!A72</f>
        <v>0</v>
      </c>
      <c r="B71" s="29">
        <f>'Cash Book-USD'!B72</f>
        <v>0</v>
      </c>
      <c r="C71" s="30">
        <f>'Cash Book-USD'!C72</f>
        <v>0</v>
      </c>
      <c r="D71" s="31">
        <f>'Cash Book-USD'!D72</f>
        <v>0</v>
      </c>
      <c r="E71" s="31">
        <f>'Cash Book-USD'!E72</f>
        <v>0</v>
      </c>
      <c r="F71" s="270">
        <f>'Cash Book-USD'!G72</f>
        <v>0</v>
      </c>
      <c r="G71" s="271">
        <f>'Cash Book-USD'!F72</f>
        <v>0</v>
      </c>
    </row>
    <row r="72" spans="1:7" ht="30" customHeight="1" thickBot="1" x14ac:dyDescent="0.35">
      <c r="A72" s="32"/>
      <c r="B72" s="20"/>
      <c r="C72" s="20"/>
      <c r="D72" s="20"/>
      <c r="E72" s="23" t="s">
        <v>73</v>
      </c>
      <c r="F72" s="267">
        <f>SUBTOTAL(9,F5:F69)</f>
        <v>7078</v>
      </c>
      <c r="G72" s="272">
        <f>SUBTOTAL(9,G5:G69)</f>
        <v>7490</v>
      </c>
    </row>
    <row r="73" spans="1:7" ht="15" thickTop="1" x14ac:dyDescent="0.3"/>
  </sheetData>
  <autoFilter ref="A4:G71">
    <filterColumn colId="3">
      <filters>
        <filter val="Cash at Bank ( CB-US$ )"/>
        <filter val="Exchange A/C"/>
        <filter val="Office Rental Charges"/>
        <filter val="Prepaid ( Office Staff )"/>
        <filter val="Transfer Account ( Cash &amp; Bank )"/>
        <filter val="Wages Expenses"/>
      </filters>
    </filterColumn>
  </autoFilter>
  <mergeCells count="3">
    <mergeCell ref="A1:G1"/>
    <mergeCell ref="A2:G2"/>
    <mergeCell ref="F3:G3"/>
  </mergeCells>
  <pageMargins left="0.39370078740157483" right="0" top="0" bottom="0" header="0.31496062992125984" footer="0.31496062992125984"/>
  <pageSetup paperSize="9" scale="78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L84"/>
  <sheetViews>
    <sheetView showGridLines="0" workbookViewId="0">
      <pane ySplit="4" topLeftCell="A53" activePane="bottomLeft" state="frozen"/>
      <selection pane="bottomLeft" activeCell="D59" sqref="D59"/>
    </sheetView>
  </sheetViews>
  <sheetFormatPr defaultColWidth="12.6640625" defaultRowHeight="13.2" x14ac:dyDescent="0.25"/>
  <cols>
    <col min="1" max="1" width="10.88671875" style="33" customWidth="1"/>
    <col min="2" max="2" width="37.109375" style="33" customWidth="1"/>
    <col min="3" max="8" width="12.6640625" style="33" customWidth="1"/>
    <col min="9" max="9" width="12.33203125" style="33" customWidth="1"/>
    <col min="10" max="253" width="9.109375" style="33" customWidth="1"/>
    <col min="254" max="254" width="28" style="33" customWidth="1"/>
    <col min="255" max="16384" width="12.6640625" style="33"/>
  </cols>
  <sheetData>
    <row r="1" spans="1:12" ht="24.9" customHeight="1" x14ac:dyDescent="0.3">
      <c r="A1" s="463" t="str">
        <f>'Cash Book-USD'!A1:H1</f>
        <v>LEAD GENERATION CO.,LTD</v>
      </c>
      <c r="B1" s="463"/>
      <c r="C1" s="463"/>
      <c r="D1" s="463"/>
      <c r="E1" s="463"/>
      <c r="F1" s="463"/>
      <c r="G1" s="463"/>
      <c r="H1" s="463"/>
    </row>
    <row r="2" spans="1:12" ht="30" customHeight="1" thickBot="1" x14ac:dyDescent="0.3">
      <c r="A2" s="461" t="s">
        <v>187</v>
      </c>
      <c r="B2" s="462"/>
      <c r="C2" s="462"/>
      <c r="D2" s="462"/>
      <c r="E2" s="462"/>
      <c r="F2" s="462"/>
      <c r="G2" s="462"/>
      <c r="H2" s="462"/>
    </row>
    <row r="3" spans="1:12" ht="20.100000000000001" customHeight="1" x14ac:dyDescent="0.25">
      <c r="A3" s="464" t="s">
        <v>63</v>
      </c>
      <c r="B3" s="466" t="s">
        <v>74</v>
      </c>
      <c r="C3" s="468" t="s">
        <v>75</v>
      </c>
      <c r="D3" s="468"/>
      <c r="E3" s="457" t="s">
        <v>102</v>
      </c>
      <c r="F3" s="458"/>
      <c r="G3" s="459" t="s">
        <v>103</v>
      </c>
      <c r="H3" s="460"/>
      <c r="I3" s="141">
        <v>1</v>
      </c>
    </row>
    <row r="4" spans="1:12" ht="20.100000000000001" customHeight="1" x14ac:dyDescent="0.25">
      <c r="A4" s="465"/>
      <c r="B4" s="467"/>
      <c r="C4" s="137" t="s">
        <v>66</v>
      </c>
      <c r="D4" s="133" t="s">
        <v>70</v>
      </c>
      <c r="E4" s="146" t="s">
        <v>66</v>
      </c>
      <c r="F4" s="147" t="s">
        <v>70</v>
      </c>
      <c r="G4" s="144" t="s">
        <v>66</v>
      </c>
      <c r="H4" s="145" t="s">
        <v>70</v>
      </c>
      <c r="I4" s="141">
        <v>1</v>
      </c>
    </row>
    <row r="5" spans="1:12" ht="30" customHeight="1" x14ac:dyDescent="0.25">
      <c r="A5" s="122">
        <v>111101</v>
      </c>
      <c r="B5" s="127" t="s">
        <v>113</v>
      </c>
      <c r="C5" s="138">
        <f>'Petty-Cash Book'!H325</f>
        <v>0</v>
      </c>
      <c r="D5" s="134">
        <f>'Petty-Cash Book'!H5</f>
        <v>0</v>
      </c>
      <c r="E5" s="148">
        <f>'Cash Book-USD'!H75</f>
        <v>412</v>
      </c>
      <c r="F5" s="149">
        <f>'Cash Book-USD'!H5</f>
        <v>0</v>
      </c>
      <c r="G5" s="281">
        <f t="shared" ref="G5:H8" si="0">C5/$D$76+E5</f>
        <v>412</v>
      </c>
      <c r="H5" s="282">
        <f t="shared" si="0"/>
        <v>0</v>
      </c>
      <c r="I5" s="142">
        <f>SUM(C5:H5)</f>
        <v>824</v>
      </c>
      <c r="K5" s="143">
        <v>1</v>
      </c>
      <c r="L5" s="34"/>
    </row>
    <row r="6" spans="1:12" ht="30" customHeight="1" x14ac:dyDescent="0.25">
      <c r="A6" s="122">
        <v>111102</v>
      </c>
      <c r="B6" s="127" t="s">
        <v>117</v>
      </c>
      <c r="C6" s="138">
        <f>'Cash Book'!H143</f>
        <v>2635556</v>
      </c>
      <c r="D6" s="134">
        <f>'Cash Book'!H5</f>
        <v>0</v>
      </c>
      <c r="E6" s="148"/>
      <c r="F6" s="149"/>
      <c r="G6" s="281">
        <f t="shared" si="0"/>
        <v>2149.7194127243065</v>
      </c>
      <c r="H6" s="282">
        <f t="shared" si="0"/>
        <v>0</v>
      </c>
      <c r="I6" s="142">
        <f t="shared" ref="I6:I69" si="1">SUM(C6:H6)</f>
        <v>2637705.7194127245</v>
      </c>
      <c r="K6" s="143">
        <v>2</v>
      </c>
    </row>
    <row r="7" spans="1:12" ht="30" customHeight="1" x14ac:dyDescent="0.25">
      <c r="A7" s="122">
        <v>111103</v>
      </c>
      <c r="B7" s="127" t="s">
        <v>118</v>
      </c>
      <c r="C7" s="138">
        <f>'Cash Book'!M8+'Petty-Cash Book'!M10</f>
        <v>0</v>
      </c>
      <c r="D7" s="134">
        <f>'Cash Book'!L8+'Petty-Cash Book'!L10</f>
        <v>0</v>
      </c>
      <c r="E7" s="148">
        <f>'Cash Book-USD'!M8</f>
        <v>0</v>
      </c>
      <c r="F7" s="149">
        <f>'Cash Book-USD'!L8</f>
        <v>4215</v>
      </c>
      <c r="G7" s="281">
        <f t="shared" si="0"/>
        <v>0</v>
      </c>
      <c r="H7" s="282">
        <f t="shared" si="0"/>
        <v>4215</v>
      </c>
      <c r="I7" s="142">
        <f t="shared" si="1"/>
        <v>8430</v>
      </c>
      <c r="K7" s="143">
        <v>3</v>
      </c>
    </row>
    <row r="8" spans="1:12" ht="30" customHeight="1" x14ac:dyDescent="0.25">
      <c r="A8" s="122">
        <v>111201</v>
      </c>
      <c r="B8" s="410" t="s">
        <v>205</v>
      </c>
      <c r="C8" s="138">
        <f>'Cash Book'!M9+'Petty-Cash Book'!M11</f>
        <v>30192278</v>
      </c>
      <c r="D8" s="134">
        <f>'Cash Book'!L9+'Petty-Cash Book'!L11</f>
        <v>385400</v>
      </c>
      <c r="E8" s="148">
        <f>'Cash Book-USD'!M9</f>
        <v>0</v>
      </c>
      <c r="F8" s="149">
        <f>'Cash Book-USD'!L9</f>
        <v>0</v>
      </c>
      <c r="G8" s="281">
        <f t="shared" si="0"/>
        <v>24626.654159869493</v>
      </c>
      <c r="H8" s="282">
        <f t="shared" si="0"/>
        <v>314.35562805872758</v>
      </c>
      <c r="I8" s="142">
        <f t="shared" si="1"/>
        <v>30602619.009787928</v>
      </c>
      <c r="K8" s="143">
        <v>4</v>
      </c>
    </row>
    <row r="9" spans="1:12" ht="30" customHeight="1" x14ac:dyDescent="0.25">
      <c r="A9" s="122">
        <v>111202</v>
      </c>
      <c r="B9" s="410" t="s">
        <v>192</v>
      </c>
      <c r="C9" s="138">
        <f>'Cash Book'!M10+'Petty-Cash Book'!M12</f>
        <v>0</v>
      </c>
      <c r="D9" s="134">
        <f>'Cash Book'!L10+'Petty-Cash Book'!L12</f>
        <v>0</v>
      </c>
      <c r="E9" s="148">
        <f>'Cash Book-USD'!M10</f>
        <v>1400</v>
      </c>
      <c r="F9" s="149">
        <f>'Cash Book-USD'!L10</f>
        <v>1450</v>
      </c>
      <c r="G9" s="152">
        <f t="shared" ref="G9:G73" si="2">C9/$D$76+E9</f>
        <v>1400</v>
      </c>
      <c r="H9" s="153">
        <f t="shared" ref="H9:H73" si="3">D9/$D$76+F9</f>
        <v>1450</v>
      </c>
      <c r="I9" s="142">
        <f t="shared" si="1"/>
        <v>5700</v>
      </c>
      <c r="K9" s="143">
        <v>5</v>
      </c>
    </row>
    <row r="10" spans="1:12" ht="30" hidden="1" customHeight="1" x14ac:dyDescent="0.25">
      <c r="A10" s="122">
        <v>111203</v>
      </c>
      <c r="B10" s="127" t="s">
        <v>18</v>
      </c>
      <c r="C10" s="138">
        <f>'Cash Book'!M11+'Petty-Cash Book'!M13</f>
        <v>0</v>
      </c>
      <c r="D10" s="134">
        <f>'Cash Book'!L11+'Petty-Cash Book'!L13</f>
        <v>0</v>
      </c>
      <c r="E10" s="148">
        <f>'Cash Book-USD'!M11</f>
        <v>0</v>
      </c>
      <c r="F10" s="149">
        <f>'Cash Book-USD'!L11</f>
        <v>0</v>
      </c>
      <c r="G10" s="152">
        <f t="shared" si="2"/>
        <v>0</v>
      </c>
      <c r="H10" s="153">
        <f t="shared" si="3"/>
        <v>0</v>
      </c>
      <c r="I10" s="142">
        <f t="shared" si="1"/>
        <v>0</v>
      </c>
      <c r="K10" s="143">
        <v>6</v>
      </c>
    </row>
    <row r="11" spans="1:12" ht="30" hidden="1" customHeight="1" x14ac:dyDescent="0.25">
      <c r="A11" s="122">
        <v>111204</v>
      </c>
      <c r="B11" s="127" t="s">
        <v>19</v>
      </c>
      <c r="C11" s="138">
        <f>'Cash Book'!M12+'Petty-Cash Book'!M14</f>
        <v>0</v>
      </c>
      <c r="D11" s="134">
        <f>'Cash Book'!L12+'Petty-Cash Book'!L14</f>
        <v>0</v>
      </c>
      <c r="E11" s="148">
        <f>'Cash Book-USD'!M12</f>
        <v>0</v>
      </c>
      <c r="F11" s="149">
        <f>'Cash Book-USD'!L12</f>
        <v>0</v>
      </c>
      <c r="G11" s="152">
        <f t="shared" si="2"/>
        <v>0</v>
      </c>
      <c r="H11" s="153">
        <f t="shared" si="3"/>
        <v>0</v>
      </c>
      <c r="I11" s="142">
        <f t="shared" si="1"/>
        <v>0</v>
      </c>
      <c r="K11" s="143">
        <v>7</v>
      </c>
    </row>
    <row r="12" spans="1:12" ht="30" customHeight="1" x14ac:dyDescent="0.25">
      <c r="A12" s="122">
        <v>111301</v>
      </c>
      <c r="B12" s="127" t="s">
        <v>248</v>
      </c>
      <c r="C12" s="138">
        <f>'Cash Book'!M13+'Petty-Cash Book'!M15</f>
        <v>3320450</v>
      </c>
      <c r="D12" s="134">
        <f>'Cash Book'!L13+'Petty-Cash Book'!L15</f>
        <v>42000</v>
      </c>
      <c r="E12" s="148">
        <f>'Cash Book-USD'!M13</f>
        <v>75</v>
      </c>
      <c r="F12" s="149">
        <f>'Cash Book-USD'!L13</f>
        <v>1575</v>
      </c>
      <c r="G12" s="152">
        <f t="shared" si="2"/>
        <v>2783.3605220228387</v>
      </c>
      <c r="H12" s="153">
        <f t="shared" si="3"/>
        <v>1609.2577487765091</v>
      </c>
      <c r="I12" s="142">
        <f t="shared" si="1"/>
        <v>3368492.6182707995</v>
      </c>
      <c r="K12" s="143">
        <v>8</v>
      </c>
    </row>
    <row r="13" spans="1:12" ht="30" customHeight="1" x14ac:dyDescent="0.25">
      <c r="A13" s="122">
        <v>111302</v>
      </c>
      <c r="B13" s="410" t="s">
        <v>432</v>
      </c>
      <c r="C13" s="138">
        <f>'Cash Book'!M14+'Petty-Cash Book'!M16</f>
        <v>2151200</v>
      </c>
      <c r="D13" s="134">
        <f>'Cash Book'!L14+'Petty-Cash Book'!L16</f>
        <v>30000</v>
      </c>
      <c r="E13" s="148">
        <f>'Cash Book-USD'!M14</f>
        <v>0</v>
      </c>
      <c r="F13" s="149">
        <f>'Cash Book-USD'!L14</f>
        <v>0</v>
      </c>
      <c r="G13" s="152">
        <f t="shared" si="2"/>
        <v>1754.6492659053833</v>
      </c>
      <c r="H13" s="153">
        <f t="shared" si="3"/>
        <v>24.469820554649267</v>
      </c>
      <c r="I13" s="142">
        <f t="shared" si="1"/>
        <v>2182979.1190864602</v>
      </c>
      <c r="K13" s="143">
        <v>9</v>
      </c>
    </row>
    <row r="14" spans="1:12" ht="30" hidden="1" customHeight="1" x14ac:dyDescent="0.25">
      <c r="A14" s="122">
        <v>111401</v>
      </c>
      <c r="B14" s="127" t="s">
        <v>14</v>
      </c>
      <c r="C14" s="138">
        <f>'Cash Book'!M15+'Petty-Cash Book'!M17</f>
        <v>0</v>
      </c>
      <c r="D14" s="134">
        <f>'Cash Book'!L15+'Petty-Cash Book'!L17</f>
        <v>0</v>
      </c>
      <c r="E14" s="148">
        <f>'Cash Book-USD'!M15</f>
        <v>0</v>
      </c>
      <c r="F14" s="149">
        <f>'Cash Book-USD'!L15</f>
        <v>0</v>
      </c>
      <c r="G14" s="152">
        <f t="shared" si="2"/>
        <v>0</v>
      </c>
      <c r="H14" s="153">
        <f t="shared" si="3"/>
        <v>0</v>
      </c>
      <c r="I14" s="142">
        <f t="shared" si="1"/>
        <v>0</v>
      </c>
      <c r="K14" s="143">
        <v>10</v>
      </c>
    </row>
    <row r="15" spans="1:12" ht="30" hidden="1" customHeight="1" x14ac:dyDescent="0.25">
      <c r="A15" s="122">
        <v>111402</v>
      </c>
      <c r="B15" s="127" t="s">
        <v>161</v>
      </c>
      <c r="C15" s="138">
        <f>'Cash Book'!M16+'Petty-Cash Book'!M18</f>
        <v>0</v>
      </c>
      <c r="D15" s="134">
        <f>'Cash Book'!L16+'Petty-Cash Book'!L18</f>
        <v>0</v>
      </c>
      <c r="E15" s="148">
        <f>'Cash Book-USD'!M16</f>
        <v>0</v>
      </c>
      <c r="F15" s="149">
        <f>'Cash Book-USD'!L16</f>
        <v>0</v>
      </c>
      <c r="G15" s="152">
        <f t="shared" si="2"/>
        <v>0</v>
      </c>
      <c r="H15" s="153">
        <f t="shared" si="3"/>
        <v>0</v>
      </c>
      <c r="I15" s="142">
        <f t="shared" si="1"/>
        <v>0</v>
      </c>
      <c r="K15" s="143">
        <v>11</v>
      </c>
    </row>
    <row r="16" spans="1:12" ht="30" hidden="1" customHeight="1" x14ac:dyDescent="0.25">
      <c r="A16" s="122">
        <v>111501</v>
      </c>
      <c r="B16" s="127" t="s">
        <v>15</v>
      </c>
      <c r="C16" s="138">
        <f>'Cash Book'!M17+'Petty-Cash Book'!M19</f>
        <v>0</v>
      </c>
      <c r="D16" s="134">
        <f>'Cash Book'!L17+'Petty-Cash Book'!L19</f>
        <v>0</v>
      </c>
      <c r="E16" s="148">
        <f>'Cash Book-USD'!M17</f>
        <v>0</v>
      </c>
      <c r="F16" s="149">
        <f>'Cash Book-USD'!L17</f>
        <v>0</v>
      </c>
      <c r="G16" s="152">
        <f t="shared" si="2"/>
        <v>0</v>
      </c>
      <c r="H16" s="153">
        <f t="shared" si="3"/>
        <v>0</v>
      </c>
      <c r="I16" s="142">
        <f t="shared" si="1"/>
        <v>0</v>
      </c>
      <c r="K16" s="143">
        <v>12</v>
      </c>
    </row>
    <row r="17" spans="1:11" ht="30" hidden="1" customHeight="1" x14ac:dyDescent="0.25">
      <c r="A17" s="122">
        <v>111601</v>
      </c>
      <c r="B17" s="127" t="s">
        <v>1</v>
      </c>
      <c r="C17" s="138">
        <f>'Cash Book'!M18+'Petty-Cash Book'!M20</f>
        <v>0</v>
      </c>
      <c r="D17" s="134">
        <f>'Cash Book'!L18+'Petty-Cash Book'!L20</f>
        <v>0</v>
      </c>
      <c r="E17" s="148">
        <f>'Cash Book-USD'!M18</f>
        <v>0</v>
      </c>
      <c r="F17" s="149">
        <f>'Cash Book-USD'!L18</f>
        <v>0</v>
      </c>
      <c r="G17" s="281">
        <f t="shared" si="2"/>
        <v>0</v>
      </c>
      <c r="H17" s="282">
        <f t="shared" si="3"/>
        <v>0</v>
      </c>
      <c r="I17" s="142">
        <f t="shared" si="1"/>
        <v>0</v>
      </c>
      <c r="K17" s="143">
        <v>13</v>
      </c>
    </row>
    <row r="18" spans="1:11" ht="30" hidden="1" customHeight="1" x14ac:dyDescent="0.25">
      <c r="A18" s="122">
        <v>291101</v>
      </c>
      <c r="B18" s="127" t="s">
        <v>2</v>
      </c>
      <c r="C18" s="138">
        <f>'Cash Book'!M19+'Petty-Cash Book'!M21</f>
        <v>0</v>
      </c>
      <c r="D18" s="134">
        <f>'Cash Book'!L19+'Petty-Cash Book'!L21</f>
        <v>0</v>
      </c>
      <c r="E18" s="148">
        <f>'Cash Book-USD'!M19</f>
        <v>0</v>
      </c>
      <c r="F18" s="149">
        <f>'Cash Book-USD'!L19</f>
        <v>0</v>
      </c>
      <c r="G18" s="152">
        <f t="shared" si="2"/>
        <v>0</v>
      </c>
      <c r="H18" s="153">
        <f t="shared" si="3"/>
        <v>0</v>
      </c>
      <c r="I18" s="142">
        <f t="shared" si="1"/>
        <v>0</v>
      </c>
      <c r="K18" s="143">
        <v>14</v>
      </c>
    </row>
    <row r="19" spans="1:11" ht="30" hidden="1" customHeight="1" x14ac:dyDescent="0.25">
      <c r="A19" s="122">
        <v>291102</v>
      </c>
      <c r="B19" s="127" t="s">
        <v>16</v>
      </c>
      <c r="C19" s="138">
        <f>'Cash Book'!M20+'Petty-Cash Book'!M22</f>
        <v>0</v>
      </c>
      <c r="D19" s="134">
        <f>'Cash Book'!L20+'Petty-Cash Book'!L22</f>
        <v>0</v>
      </c>
      <c r="E19" s="148">
        <f>'Cash Book-USD'!M20</f>
        <v>0</v>
      </c>
      <c r="F19" s="149">
        <f>'Cash Book-USD'!L20</f>
        <v>0</v>
      </c>
      <c r="G19" s="152">
        <f t="shared" si="2"/>
        <v>0</v>
      </c>
      <c r="H19" s="153">
        <f t="shared" si="3"/>
        <v>0</v>
      </c>
      <c r="I19" s="142">
        <f t="shared" si="1"/>
        <v>0</v>
      </c>
      <c r="K19" s="143">
        <v>15</v>
      </c>
    </row>
    <row r="20" spans="1:11" ht="30" hidden="1" customHeight="1" x14ac:dyDescent="0.25">
      <c r="A20" s="122">
        <v>291103</v>
      </c>
      <c r="B20" s="127" t="s">
        <v>3</v>
      </c>
      <c r="C20" s="138">
        <f>'Cash Book'!M21+'Petty-Cash Book'!M23</f>
        <v>0</v>
      </c>
      <c r="D20" s="134">
        <f>'Cash Book'!L21+'Petty-Cash Book'!L23</f>
        <v>0</v>
      </c>
      <c r="E20" s="148">
        <f>'Cash Book-USD'!M21</f>
        <v>0</v>
      </c>
      <c r="F20" s="149">
        <f>'Cash Book-USD'!L21</f>
        <v>0</v>
      </c>
      <c r="G20" s="152">
        <f t="shared" si="2"/>
        <v>0</v>
      </c>
      <c r="H20" s="153">
        <f t="shared" si="3"/>
        <v>0</v>
      </c>
      <c r="I20" s="142">
        <f t="shared" si="1"/>
        <v>0</v>
      </c>
      <c r="K20" s="143">
        <v>16</v>
      </c>
    </row>
    <row r="21" spans="1:11" ht="30" hidden="1" customHeight="1" x14ac:dyDescent="0.25">
      <c r="A21" s="122">
        <v>291104</v>
      </c>
      <c r="B21" s="127" t="s">
        <v>193</v>
      </c>
      <c r="C21" s="138">
        <f>'Cash Book'!M22+'Petty-Cash Book'!M24</f>
        <v>0</v>
      </c>
      <c r="D21" s="134">
        <f>'Cash Book'!L22+'Petty-Cash Book'!L24</f>
        <v>0</v>
      </c>
      <c r="E21" s="148">
        <f>'Cash Book-USD'!M22</f>
        <v>0</v>
      </c>
      <c r="F21" s="149">
        <f>'Cash Book-USD'!L22</f>
        <v>0</v>
      </c>
      <c r="G21" s="152">
        <f t="shared" si="2"/>
        <v>0</v>
      </c>
      <c r="H21" s="153">
        <f t="shared" si="3"/>
        <v>0</v>
      </c>
      <c r="I21" s="142">
        <f t="shared" si="1"/>
        <v>0</v>
      </c>
      <c r="K21" s="143">
        <v>17</v>
      </c>
    </row>
    <row r="22" spans="1:11" ht="30" hidden="1" customHeight="1" x14ac:dyDescent="0.25">
      <c r="A22" s="122">
        <v>294101</v>
      </c>
      <c r="B22" s="127" t="s">
        <v>4</v>
      </c>
      <c r="C22" s="138">
        <f>'Cash Book'!M23+'Petty-Cash Book'!M25</f>
        <v>0</v>
      </c>
      <c r="D22" s="134">
        <f>'Cash Book'!L23+'Petty-Cash Book'!L25</f>
        <v>0</v>
      </c>
      <c r="E22" s="148">
        <f>'Cash Book-USD'!M23</f>
        <v>0</v>
      </c>
      <c r="F22" s="149">
        <f>'Cash Book-USD'!L23</f>
        <v>0</v>
      </c>
      <c r="G22" s="152">
        <f t="shared" si="2"/>
        <v>0</v>
      </c>
      <c r="H22" s="153">
        <f t="shared" si="3"/>
        <v>0</v>
      </c>
      <c r="I22" s="142">
        <f t="shared" si="1"/>
        <v>0</v>
      </c>
      <c r="K22" s="143">
        <v>18</v>
      </c>
    </row>
    <row r="23" spans="1:11" ht="30" hidden="1" customHeight="1" x14ac:dyDescent="0.25">
      <c r="A23" s="122">
        <v>294102</v>
      </c>
      <c r="B23" s="127" t="s">
        <v>17</v>
      </c>
      <c r="C23" s="138">
        <f>'Cash Book'!M24+'Petty-Cash Book'!M26</f>
        <v>0</v>
      </c>
      <c r="D23" s="134">
        <f>'Cash Book'!L24+'Petty-Cash Book'!L26</f>
        <v>0</v>
      </c>
      <c r="E23" s="148">
        <f>'Cash Book-USD'!M24</f>
        <v>0</v>
      </c>
      <c r="F23" s="149">
        <f>'Cash Book-USD'!L24</f>
        <v>0</v>
      </c>
      <c r="G23" s="152">
        <f t="shared" si="2"/>
        <v>0</v>
      </c>
      <c r="H23" s="153">
        <f t="shared" si="3"/>
        <v>0</v>
      </c>
      <c r="I23" s="142">
        <f t="shared" si="1"/>
        <v>0</v>
      </c>
      <c r="K23" s="143">
        <v>19</v>
      </c>
    </row>
    <row r="24" spans="1:11" ht="30" hidden="1" customHeight="1" x14ac:dyDescent="0.25">
      <c r="A24" s="122">
        <v>294103</v>
      </c>
      <c r="B24" s="127" t="s">
        <v>5</v>
      </c>
      <c r="C24" s="138">
        <f>'Cash Book'!M25+'Petty-Cash Book'!M27</f>
        <v>0</v>
      </c>
      <c r="D24" s="134">
        <f>'Cash Book'!L25+'Petty-Cash Book'!L27</f>
        <v>0</v>
      </c>
      <c r="E24" s="148">
        <f>'Cash Book-USD'!M25</f>
        <v>0</v>
      </c>
      <c r="F24" s="149">
        <f>'Cash Book-USD'!L25</f>
        <v>0</v>
      </c>
      <c r="G24" s="152">
        <f t="shared" si="2"/>
        <v>0</v>
      </c>
      <c r="H24" s="153">
        <f t="shared" si="3"/>
        <v>0</v>
      </c>
      <c r="I24" s="142">
        <f t="shared" si="1"/>
        <v>0</v>
      </c>
      <c r="K24" s="143">
        <v>20</v>
      </c>
    </row>
    <row r="25" spans="1:11" ht="30" hidden="1" customHeight="1" x14ac:dyDescent="0.25">
      <c r="A25" s="122">
        <v>294104</v>
      </c>
      <c r="B25" s="127" t="s">
        <v>95</v>
      </c>
      <c r="C25" s="138">
        <f>'Cash Book'!M26+'Petty-Cash Book'!M28</f>
        <v>0</v>
      </c>
      <c r="D25" s="134">
        <f>'Cash Book'!L26+'Petty-Cash Book'!L28</f>
        <v>0</v>
      </c>
      <c r="E25" s="148">
        <f>'Cash Book-USD'!M26</f>
        <v>0</v>
      </c>
      <c r="F25" s="149">
        <f>'Cash Book-USD'!L26</f>
        <v>0</v>
      </c>
      <c r="G25" s="152">
        <f t="shared" si="2"/>
        <v>0</v>
      </c>
      <c r="H25" s="153">
        <f t="shared" si="3"/>
        <v>0</v>
      </c>
      <c r="I25" s="142">
        <f t="shared" si="1"/>
        <v>0</v>
      </c>
      <c r="K25" s="143">
        <v>21</v>
      </c>
    </row>
    <row r="26" spans="1:11" ht="30" hidden="1" customHeight="1" x14ac:dyDescent="0.25">
      <c r="A26" s="122">
        <v>321101</v>
      </c>
      <c r="B26" s="127" t="s">
        <v>21</v>
      </c>
      <c r="C26" s="138">
        <f>'Cash Book'!M27+'Petty-Cash Book'!M29</f>
        <v>0</v>
      </c>
      <c r="D26" s="134">
        <f>'Cash Book'!L27+'Petty-Cash Book'!L29</f>
        <v>0</v>
      </c>
      <c r="E26" s="148">
        <f>'Cash Book-USD'!M27</f>
        <v>0</v>
      </c>
      <c r="F26" s="149">
        <f>'Cash Book-USD'!L27</f>
        <v>0</v>
      </c>
      <c r="G26" s="152">
        <f t="shared" si="2"/>
        <v>0</v>
      </c>
      <c r="H26" s="153">
        <f t="shared" si="3"/>
        <v>0</v>
      </c>
      <c r="I26" s="142">
        <f t="shared" si="1"/>
        <v>0</v>
      </c>
      <c r="K26" s="143">
        <v>22</v>
      </c>
    </row>
    <row r="27" spans="1:11" ht="30" hidden="1" customHeight="1" x14ac:dyDescent="0.25">
      <c r="A27" s="122">
        <v>321201</v>
      </c>
      <c r="B27" s="127" t="s">
        <v>22</v>
      </c>
      <c r="C27" s="138">
        <f>'Cash Book'!M28+'Petty-Cash Book'!M30</f>
        <v>0</v>
      </c>
      <c r="D27" s="134">
        <f>'Cash Book'!L28+'Petty-Cash Book'!L30</f>
        <v>0</v>
      </c>
      <c r="E27" s="148">
        <f>'Cash Book-USD'!M28</f>
        <v>0</v>
      </c>
      <c r="F27" s="149">
        <f>'Cash Book-USD'!L28</f>
        <v>0</v>
      </c>
      <c r="G27" s="281">
        <f t="shared" si="2"/>
        <v>0</v>
      </c>
      <c r="H27" s="282">
        <f t="shared" si="3"/>
        <v>0</v>
      </c>
      <c r="I27" s="142">
        <f t="shared" si="1"/>
        <v>0</v>
      </c>
      <c r="K27" s="143">
        <v>23</v>
      </c>
    </row>
    <row r="28" spans="1:11" ht="30" hidden="1" customHeight="1" x14ac:dyDescent="0.25">
      <c r="A28" s="122">
        <v>321301</v>
      </c>
      <c r="B28" s="127" t="s">
        <v>23</v>
      </c>
      <c r="C28" s="138">
        <f>'Cash Book'!M29+'Petty-Cash Book'!M31</f>
        <v>0</v>
      </c>
      <c r="D28" s="134">
        <f>'Cash Book'!L29+'Petty-Cash Book'!L31</f>
        <v>0</v>
      </c>
      <c r="E28" s="148">
        <f>'Cash Book-USD'!M29</f>
        <v>0</v>
      </c>
      <c r="F28" s="149">
        <f>'Cash Book-USD'!L29</f>
        <v>0</v>
      </c>
      <c r="G28" s="281">
        <f t="shared" si="2"/>
        <v>0</v>
      </c>
      <c r="H28" s="282">
        <f t="shared" si="3"/>
        <v>0</v>
      </c>
      <c r="I28" s="142">
        <f t="shared" si="1"/>
        <v>0</v>
      </c>
      <c r="K28" s="143">
        <v>24</v>
      </c>
    </row>
    <row r="29" spans="1:11" ht="30" hidden="1" customHeight="1" x14ac:dyDescent="0.25">
      <c r="A29" s="122">
        <v>321302</v>
      </c>
      <c r="B29" s="127" t="s">
        <v>24</v>
      </c>
      <c r="C29" s="138">
        <f>'Cash Book'!M30+'Petty-Cash Book'!M32</f>
        <v>0</v>
      </c>
      <c r="D29" s="134">
        <f>'Cash Book'!L30+'Petty-Cash Book'!L32</f>
        <v>0</v>
      </c>
      <c r="E29" s="148">
        <f>'Cash Book-USD'!M30</f>
        <v>0</v>
      </c>
      <c r="F29" s="149">
        <f>'Cash Book-USD'!L30</f>
        <v>0</v>
      </c>
      <c r="G29" s="281">
        <f t="shared" si="2"/>
        <v>0</v>
      </c>
      <c r="H29" s="282">
        <f t="shared" si="3"/>
        <v>0</v>
      </c>
      <c r="I29" s="142">
        <f t="shared" si="1"/>
        <v>0</v>
      </c>
      <c r="K29" s="143">
        <v>25</v>
      </c>
    </row>
    <row r="30" spans="1:11" ht="30" hidden="1" customHeight="1" x14ac:dyDescent="0.25">
      <c r="A30" s="122">
        <v>321303</v>
      </c>
      <c r="B30" s="127" t="s">
        <v>159</v>
      </c>
      <c r="C30" s="138">
        <f>'Cash Book'!M31+'Petty-Cash Book'!M33</f>
        <v>0</v>
      </c>
      <c r="D30" s="134">
        <f>'Cash Book'!L31+'Petty-Cash Book'!L33</f>
        <v>0</v>
      </c>
      <c r="E30" s="148">
        <f>'Cash Book-USD'!M31</f>
        <v>0</v>
      </c>
      <c r="F30" s="149">
        <f>'Cash Book-USD'!L31</f>
        <v>0</v>
      </c>
      <c r="G30" s="281">
        <f t="shared" si="2"/>
        <v>0</v>
      </c>
      <c r="H30" s="282">
        <f t="shared" si="3"/>
        <v>0</v>
      </c>
      <c r="I30" s="142">
        <f t="shared" si="1"/>
        <v>0</v>
      </c>
      <c r="K30" s="143">
        <v>26</v>
      </c>
    </row>
    <row r="31" spans="1:11" ht="30" customHeight="1" x14ac:dyDescent="0.25">
      <c r="A31" s="122">
        <v>401101</v>
      </c>
      <c r="B31" s="127" t="s">
        <v>223</v>
      </c>
      <c r="C31" s="138">
        <f>'Cash Book'!M32+'Petty-Cash Book'!M34</f>
        <v>0</v>
      </c>
      <c r="D31" s="134">
        <f>'Cash Book'!L32+'Petty-Cash Book'!L34</f>
        <v>18486000</v>
      </c>
      <c r="E31" s="148">
        <f>'Cash Book-USD'!M32</f>
        <v>0</v>
      </c>
      <c r="F31" s="149">
        <f>'Cash Book-USD'!L32</f>
        <v>0</v>
      </c>
      <c r="G31" s="152">
        <f t="shared" si="2"/>
        <v>0</v>
      </c>
      <c r="H31" s="153">
        <f t="shared" si="3"/>
        <v>15078.303425774877</v>
      </c>
      <c r="I31" s="142">
        <f t="shared" si="1"/>
        <v>18501078.303425774</v>
      </c>
      <c r="K31" s="143">
        <v>27</v>
      </c>
    </row>
    <row r="32" spans="1:11" ht="30" hidden="1" customHeight="1" x14ac:dyDescent="0.25">
      <c r="A32" s="122">
        <v>401201</v>
      </c>
      <c r="B32" s="127" t="s">
        <v>25</v>
      </c>
      <c r="C32" s="138">
        <f>'Cash Book'!M33+'Petty-Cash Book'!M35</f>
        <v>0</v>
      </c>
      <c r="D32" s="134">
        <f>'Cash Book'!L33+'Petty-Cash Book'!L35</f>
        <v>0</v>
      </c>
      <c r="E32" s="148">
        <f>'Cash Book-USD'!M33</f>
        <v>0</v>
      </c>
      <c r="F32" s="149">
        <f>'Cash Book-USD'!L33</f>
        <v>0</v>
      </c>
      <c r="G32" s="152">
        <f t="shared" si="2"/>
        <v>0</v>
      </c>
      <c r="H32" s="153">
        <f t="shared" si="3"/>
        <v>0</v>
      </c>
      <c r="I32" s="142">
        <f t="shared" si="1"/>
        <v>0</v>
      </c>
      <c r="K32" s="143">
        <v>28</v>
      </c>
    </row>
    <row r="33" spans="1:11" ht="30" hidden="1" customHeight="1" x14ac:dyDescent="0.25">
      <c r="A33" s="122">
        <v>401301</v>
      </c>
      <c r="B33" s="127" t="s">
        <v>26</v>
      </c>
      <c r="C33" s="138">
        <f>'Cash Book'!M34+'Petty-Cash Book'!M36</f>
        <v>0</v>
      </c>
      <c r="D33" s="134">
        <f>'Cash Book'!L34+'Petty-Cash Book'!L36</f>
        <v>0</v>
      </c>
      <c r="E33" s="148">
        <f>'Cash Book-USD'!M34</f>
        <v>0</v>
      </c>
      <c r="F33" s="149">
        <f>'Cash Book-USD'!L34</f>
        <v>0</v>
      </c>
      <c r="G33" s="152">
        <f t="shared" si="2"/>
        <v>0</v>
      </c>
      <c r="H33" s="153">
        <f t="shared" si="3"/>
        <v>0</v>
      </c>
      <c r="I33" s="142">
        <f t="shared" si="1"/>
        <v>0</v>
      </c>
      <c r="K33" s="143">
        <v>29</v>
      </c>
    </row>
    <row r="34" spans="1:11" ht="30" hidden="1" customHeight="1" x14ac:dyDescent="0.25">
      <c r="A34" s="122">
        <v>401401</v>
      </c>
      <c r="B34" s="127" t="s">
        <v>27</v>
      </c>
      <c r="C34" s="138">
        <f>'Cash Book'!M35+'Petty-Cash Book'!M37</f>
        <v>0</v>
      </c>
      <c r="D34" s="134">
        <f>'Cash Book'!L35+'Petty-Cash Book'!L37</f>
        <v>0</v>
      </c>
      <c r="E34" s="148">
        <f>'Cash Book-USD'!M35</f>
        <v>0</v>
      </c>
      <c r="F34" s="149">
        <f>'Cash Book-USD'!L35</f>
        <v>0</v>
      </c>
      <c r="G34" s="152">
        <f t="shared" si="2"/>
        <v>0</v>
      </c>
      <c r="H34" s="153">
        <f t="shared" si="3"/>
        <v>0</v>
      </c>
      <c r="I34" s="142">
        <f t="shared" si="1"/>
        <v>0</v>
      </c>
      <c r="K34" s="143">
        <v>30</v>
      </c>
    </row>
    <row r="35" spans="1:11" ht="30" customHeight="1" x14ac:dyDescent="0.25">
      <c r="A35" s="122">
        <v>401402</v>
      </c>
      <c r="B35" s="127" t="s">
        <v>107</v>
      </c>
      <c r="C35" s="138">
        <f>'Cash Book'!M36+'Petty-Cash Book'!M38</f>
        <v>0</v>
      </c>
      <c r="D35" s="134">
        <f>'Cash Book'!L36+'Petty-Cash Book'!L38</f>
        <v>37606415</v>
      </c>
      <c r="E35" s="148">
        <f>'Cash Book-USD'!M36</f>
        <v>1425</v>
      </c>
      <c r="F35" s="149">
        <f>'Cash Book-USD'!L36</f>
        <v>0</v>
      </c>
      <c r="G35" s="281">
        <f t="shared" si="2"/>
        <v>1425</v>
      </c>
      <c r="H35" s="282">
        <f t="shared" si="3"/>
        <v>30674.074225122349</v>
      </c>
      <c r="I35" s="142">
        <f t="shared" si="1"/>
        <v>37639939.07422512</v>
      </c>
      <c r="K35" s="143">
        <v>31</v>
      </c>
    </row>
    <row r="36" spans="1:11" ht="30" hidden="1" customHeight="1" x14ac:dyDescent="0.25">
      <c r="A36" s="122">
        <v>401403</v>
      </c>
      <c r="B36" s="127" t="s">
        <v>116</v>
      </c>
      <c r="C36" s="138">
        <f>'Cash Book'!M37+'Petty-Cash Book'!M39</f>
        <v>0</v>
      </c>
      <c r="D36" s="134">
        <f>'Cash Book'!L37+'Petty-Cash Book'!L39</f>
        <v>0</v>
      </c>
      <c r="E36" s="148">
        <f>'Cash Book-USD'!M37</f>
        <v>0</v>
      </c>
      <c r="F36" s="149">
        <f>'Cash Book-USD'!L37</f>
        <v>0</v>
      </c>
      <c r="G36" s="281">
        <f t="shared" si="2"/>
        <v>0</v>
      </c>
      <c r="H36" s="282">
        <f t="shared" si="3"/>
        <v>0</v>
      </c>
      <c r="I36" s="142">
        <f t="shared" si="1"/>
        <v>0</v>
      </c>
      <c r="K36" s="143">
        <v>32</v>
      </c>
    </row>
    <row r="37" spans="1:11" ht="30" hidden="1" customHeight="1" x14ac:dyDescent="0.25">
      <c r="A37" s="122">
        <v>514101</v>
      </c>
      <c r="B37" s="127" t="s">
        <v>28</v>
      </c>
      <c r="C37" s="138">
        <f>'Cash Book'!M38+'Petty-Cash Book'!M40</f>
        <v>0</v>
      </c>
      <c r="D37" s="134">
        <f>'Cash Book'!L38+'Petty-Cash Book'!L40</f>
        <v>0</v>
      </c>
      <c r="E37" s="148">
        <f>'Cash Book-USD'!M38</f>
        <v>0</v>
      </c>
      <c r="F37" s="149">
        <f>'Cash Book-USD'!L38</f>
        <v>0</v>
      </c>
      <c r="G37" s="281">
        <f t="shared" si="2"/>
        <v>0</v>
      </c>
      <c r="H37" s="282">
        <f t="shared" si="3"/>
        <v>0</v>
      </c>
      <c r="I37" s="142">
        <f t="shared" si="1"/>
        <v>0</v>
      </c>
      <c r="K37" s="143">
        <v>33</v>
      </c>
    </row>
    <row r="38" spans="1:11" ht="30" hidden="1" customHeight="1" x14ac:dyDescent="0.25">
      <c r="A38" s="122">
        <v>611101</v>
      </c>
      <c r="B38" s="127" t="s">
        <v>29</v>
      </c>
      <c r="C38" s="138">
        <f>'Cash Book'!M39+'Petty-Cash Book'!M41</f>
        <v>0</v>
      </c>
      <c r="D38" s="134">
        <f>'Cash Book'!L39+'Petty-Cash Book'!L41</f>
        <v>0</v>
      </c>
      <c r="E38" s="148">
        <f>'Cash Book-USD'!M39</f>
        <v>0</v>
      </c>
      <c r="F38" s="149">
        <f>'Cash Book-USD'!L39</f>
        <v>0</v>
      </c>
      <c r="G38" s="152">
        <f t="shared" si="2"/>
        <v>0</v>
      </c>
      <c r="H38" s="153">
        <f t="shared" si="3"/>
        <v>0</v>
      </c>
      <c r="I38" s="142">
        <f t="shared" si="1"/>
        <v>0</v>
      </c>
      <c r="K38" s="143">
        <v>34</v>
      </c>
    </row>
    <row r="39" spans="1:11" ht="30" customHeight="1" x14ac:dyDescent="0.25">
      <c r="A39" s="122">
        <v>612101</v>
      </c>
      <c r="B39" s="127" t="s">
        <v>30</v>
      </c>
      <c r="C39" s="138">
        <f>'Cash Book'!M40+'Petty-Cash Book'!M42</f>
        <v>4845477</v>
      </c>
      <c r="D39" s="134">
        <f>'Cash Book'!L40+'Petty-Cash Book'!L42</f>
        <v>0</v>
      </c>
      <c r="E39" s="148">
        <f>'Cash Book-USD'!M40</f>
        <v>0</v>
      </c>
      <c r="F39" s="149">
        <f>'Cash Book-USD'!L40</f>
        <v>0</v>
      </c>
      <c r="G39" s="281">
        <f t="shared" si="2"/>
        <v>3952.2650897226754</v>
      </c>
      <c r="H39" s="282">
        <f t="shared" si="3"/>
        <v>0</v>
      </c>
      <c r="I39" s="142">
        <f t="shared" si="1"/>
        <v>4849429.2650897224</v>
      </c>
      <c r="K39" s="143">
        <v>35</v>
      </c>
    </row>
    <row r="40" spans="1:11" ht="30" hidden="1" customHeight="1" x14ac:dyDescent="0.25">
      <c r="A40" s="122">
        <v>612102</v>
      </c>
      <c r="B40" s="127" t="s">
        <v>54</v>
      </c>
      <c r="C40" s="138">
        <f>'Cash Book'!M41+'Petty-Cash Book'!M43</f>
        <v>0</v>
      </c>
      <c r="D40" s="134">
        <f>'Cash Book'!L41+'Petty-Cash Book'!L43</f>
        <v>0</v>
      </c>
      <c r="E40" s="148">
        <f>'Cash Book-USD'!M41</f>
        <v>0</v>
      </c>
      <c r="F40" s="149">
        <f>'Cash Book-USD'!L41</f>
        <v>0</v>
      </c>
      <c r="G40" s="152">
        <f t="shared" si="2"/>
        <v>0</v>
      </c>
      <c r="H40" s="153">
        <f t="shared" si="3"/>
        <v>0</v>
      </c>
      <c r="I40" s="142">
        <f t="shared" si="1"/>
        <v>0</v>
      </c>
      <c r="K40" s="143">
        <v>36</v>
      </c>
    </row>
    <row r="41" spans="1:11" ht="30" customHeight="1" x14ac:dyDescent="0.25">
      <c r="A41" s="122">
        <v>612103</v>
      </c>
      <c r="B41" s="127" t="s">
        <v>31</v>
      </c>
      <c r="C41" s="138">
        <f>'Cash Book'!M42+'Petty-Cash Book'!M44</f>
        <v>6840000</v>
      </c>
      <c r="D41" s="134">
        <f>'Cash Book'!L42+'Petty-Cash Book'!L44</f>
        <v>0</v>
      </c>
      <c r="E41" s="148">
        <f>'Cash Book-USD'!M42</f>
        <v>3928</v>
      </c>
      <c r="F41" s="149">
        <f>'Cash Book-USD'!L42</f>
        <v>250</v>
      </c>
      <c r="G41" s="281">
        <f t="shared" si="2"/>
        <v>9507.1190864600321</v>
      </c>
      <c r="H41" s="282">
        <f t="shared" si="3"/>
        <v>250</v>
      </c>
      <c r="I41" s="142">
        <f t="shared" si="1"/>
        <v>6853935.1190864602</v>
      </c>
      <c r="K41" s="143">
        <v>37</v>
      </c>
    </row>
    <row r="42" spans="1:11" ht="30" customHeight="1" x14ac:dyDescent="0.25">
      <c r="A42" s="122">
        <v>612104</v>
      </c>
      <c r="B42" s="127" t="s">
        <v>32</v>
      </c>
      <c r="C42" s="138">
        <f>'Cash Book'!M43+'Petty-Cash Book'!M45</f>
        <v>1633400</v>
      </c>
      <c r="D42" s="134">
        <f>'Cash Book'!L43+'Petty-Cash Book'!L45</f>
        <v>0</v>
      </c>
      <c r="E42" s="148">
        <f>'Cash Book-USD'!M43</f>
        <v>0</v>
      </c>
      <c r="F42" s="149">
        <f>'Cash Book-USD'!L43</f>
        <v>0</v>
      </c>
      <c r="G42" s="281">
        <f t="shared" si="2"/>
        <v>1332.300163132137</v>
      </c>
      <c r="H42" s="282">
        <f t="shared" si="3"/>
        <v>0</v>
      </c>
      <c r="I42" s="142">
        <f t="shared" si="1"/>
        <v>1634732.3001631321</v>
      </c>
      <c r="K42" s="143">
        <v>38</v>
      </c>
    </row>
    <row r="43" spans="1:11" ht="30" customHeight="1" x14ac:dyDescent="0.25">
      <c r="A43" s="122">
        <v>612105</v>
      </c>
      <c r="B43" s="127" t="s">
        <v>33</v>
      </c>
      <c r="C43" s="138">
        <f>'Cash Book'!M44+'Petty-Cash Book'!M46</f>
        <v>1376500</v>
      </c>
      <c r="D43" s="134">
        <f>'Cash Book'!L44+'Petty-Cash Book'!L46</f>
        <v>100</v>
      </c>
      <c r="E43" s="148">
        <f>'Cash Book-USD'!M44</f>
        <v>0</v>
      </c>
      <c r="F43" s="149">
        <f>'Cash Book-USD'!L44</f>
        <v>0</v>
      </c>
      <c r="G43" s="281">
        <f t="shared" si="2"/>
        <v>1122.7569331158238</v>
      </c>
      <c r="H43" s="282">
        <f t="shared" si="3"/>
        <v>8.1566068515497553E-2</v>
      </c>
      <c r="I43" s="142">
        <f t="shared" si="1"/>
        <v>1377722.8384991845</v>
      </c>
      <c r="K43" s="143">
        <v>39</v>
      </c>
    </row>
    <row r="44" spans="1:11" ht="30" hidden="1" customHeight="1" x14ac:dyDescent="0.25">
      <c r="A44" s="122">
        <v>612106</v>
      </c>
      <c r="B44" s="127" t="s">
        <v>34</v>
      </c>
      <c r="C44" s="138">
        <f>'Cash Book'!M45+'Petty-Cash Book'!M47</f>
        <v>0</v>
      </c>
      <c r="D44" s="134">
        <f>'Cash Book'!L45+'Petty-Cash Book'!L47</f>
        <v>0</v>
      </c>
      <c r="E44" s="148">
        <f>'Cash Book-USD'!M45</f>
        <v>0</v>
      </c>
      <c r="F44" s="149">
        <f>'Cash Book-USD'!L45</f>
        <v>0</v>
      </c>
      <c r="G44" s="152">
        <f t="shared" si="2"/>
        <v>0</v>
      </c>
      <c r="H44" s="153">
        <f t="shared" si="3"/>
        <v>0</v>
      </c>
      <c r="I44" s="142">
        <f t="shared" si="1"/>
        <v>0</v>
      </c>
      <c r="K44" s="143">
        <v>40</v>
      </c>
    </row>
    <row r="45" spans="1:11" ht="30" customHeight="1" x14ac:dyDescent="0.25">
      <c r="A45" s="122">
        <v>612107</v>
      </c>
      <c r="B45" s="127" t="s">
        <v>281</v>
      </c>
      <c r="C45" s="138">
        <f>'Cash Book'!M46+'Petty-Cash Book'!M48</f>
        <v>603850</v>
      </c>
      <c r="D45" s="134">
        <f>'Cash Book'!L46+'Petty-Cash Book'!L48</f>
        <v>0</v>
      </c>
      <c r="E45" s="148">
        <f>'Cash Book-USD'!M46</f>
        <v>0</v>
      </c>
      <c r="F45" s="149">
        <f>'Cash Book-USD'!L46</f>
        <v>0</v>
      </c>
      <c r="G45" s="152">
        <f t="shared" si="2"/>
        <v>492.53670473083196</v>
      </c>
      <c r="H45" s="153">
        <f t="shared" si="3"/>
        <v>0</v>
      </c>
      <c r="I45" s="142">
        <f t="shared" si="1"/>
        <v>604342.53670473082</v>
      </c>
      <c r="K45" s="143">
        <v>41</v>
      </c>
    </row>
    <row r="46" spans="1:11" ht="30" customHeight="1" x14ac:dyDescent="0.25">
      <c r="A46" s="122">
        <v>612108</v>
      </c>
      <c r="B46" s="127" t="s">
        <v>10</v>
      </c>
      <c r="C46" s="138">
        <f>'Cash Book'!M47+'Petty-Cash Book'!M49</f>
        <v>4500</v>
      </c>
      <c r="D46" s="134">
        <f>'Cash Book'!L47+'Petty-Cash Book'!L49</f>
        <v>0</v>
      </c>
      <c r="E46" s="148">
        <f>'Cash Book-USD'!M47</f>
        <v>0</v>
      </c>
      <c r="F46" s="149">
        <f>'Cash Book-USD'!L47</f>
        <v>0</v>
      </c>
      <c r="G46" s="281">
        <f t="shared" si="2"/>
        <v>3.6704730831973897</v>
      </c>
      <c r="H46" s="282">
        <f t="shared" si="3"/>
        <v>0</v>
      </c>
      <c r="I46" s="142">
        <f t="shared" si="1"/>
        <v>4503.6704730831971</v>
      </c>
      <c r="K46" s="143">
        <v>42</v>
      </c>
    </row>
    <row r="47" spans="1:11" ht="30" hidden="1" customHeight="1" x14ac:dyDescent="0.25">
      <c r="A47" s="122">
        <v>612109</v>
      </c>
      <c r="B47" s="127" t="s">
        <v>47</v>
      </c>
      <c r="C47" s="138">
        <f>'Cash Book'!M48+'Petty-Cash Book'!M50</f>
        <v>0</v>
      </c>
      <c r="D47" s="134">
        <f>'Cash Book'!L48+'Petty-Cash Book'!L50</f>
        <v>0</v>
      </c>
      <c r="E47" s="148">
        <f>'Cash Book-USD'!M48</f>
        <v>0</v>
      </c>
      <c r="F47" s="149">
        <f>'Cash Book-USD'!L48</f>
        <v>0</v>
      </c>
      <c r="G47" s="281">
        <f t="shared" si="2"/>
        <v>0</v>
      </c>
      <c r="H47" s="282">
        <f t="shared" si="3"/>
        <v>0</v>
      </c>
      <c r="I47" s="142">
        <f t="shared" si="1"/>
        <v>0</v>
      </c>
      <c r="K47" s="143">
        <v>43</v>
      </c>
    </row>
    <row r="48" spans="1:11" ht="30" hidden="1" customHeight="1" x14ac:dyDescent="0.25">
      <c r="A48" s="122">
        <v>612110</v>
      </c>
      <c r="B48" s="127" t="s">
        <v>36</v>
      </c>
      <c r="C48" s="138">
        <f>'Cash Book'!M49+'Petty-Cash Book'!M51</f>
        <v>0</v>
      </c>
      <c r="D48" s="134">
        <f>'Cash Book'!L49+'Petty-Cash Book'!L51</f>
        <v>0</v>
      </c>
      <c r="E48" s="148">
        <f>'Cash Book-USD'!M49</f>
        <v>0</v>
      </c>
      <c r="F48" s="149">
        <f>'Cash Book-USD'!L49</f>
        <v>0</v>
      </c>
      <c r="G48" s="152">
        <f t="shared" si="2"/>
        <v>0</v>
      </c>
      <c r="H48" s="153">
        <f t="shared" si="3"/>
        <v>0</v>
      </c>
      <c r="I48" s="142">
        <f t="shared" si="1"/>
        <v>0</v>
      </c>
      <c r="K48" s="143">
        <v>44</v>
      </c>
    </row>
    <row r="49" spans="1:11" ht="30" hidden="1" customHeight="1" x14ac:dyDescent="0.25">
      <c r="A49" s="122">
        <v>612111</v>
      </c>
      <c r="B49" s="127" t="s">
        <v>37</v>
      </c>
      <c r="C49" s="138">
        <f>'Cash Book'!M50+'Petty-Cash Book'!M52</f>
        <v>0</v>
      </c>
      <c r="D49" s="134">
        <f>'Cash Book'!L50+'Petty-Cash Book'!L52</f>
        <v>0</v>
      </c>
      <c r="E49" s="148">
        <f>'Cash Book-USD'!M50</f>
        <v>0</v>
      </c>
      <c r="F49" s="149">
        <f>'Cash Book-USD'!L50</f>
        <v>0</v>
      </c>
      <c r="G49" s="152">
        <f t="shared" si="2"/>
        <v>0</v>
      </c>
      <c r="H49" s="153">
        <f t="shared" si="3"/>
        <v>0</v>
      </c>
      <c r="I49" s="142">
        <f t="shared" si="1"/>
        <v>0</v>
      </c>
      <c r="K49" s="143">
        <v>45</v>
      </c>
    </row>
    <row r="50" spans="1:11" ht="30" customHeight="1" x14ac:dyDescent="0.25">
      <c r="A50" s="122">
        <v>612112</v>
      </c>
      <c r="B50" s="127" t="s">
        <v>38</v>
      </c>
      <c r="C50" s="138">
        <f>'Cash Book'!M51+'Petty-Cash Book'!M53</f>
        <v>50000</v>
      </c>
      <c r="D50" s="134">
        <f>'Cash Book'!L51+'Petty-Cash Book'!L53</f>
        <v>0</v>
      </c>
      <c r="E50" s="148">
        <f>'Cash Book-USD'!M51</f>
        <v>0</v>
      </c>
      <c r="F50" s="149">
        <f>'Cash Book-USD'!L51</f>
        <v>0</v>
      </c>
      <c r="G50" s="152">
        <f t="shared" si="2"/>
        <v>40.783034257748774</v>
      </c>
      <c r="H50" s="153">
        <f t="shared" si="3"/>
        <v>0</v>
      </c>
      <c r="I50" s="142">
        <f t="shared" si="1"/>
        <v>50040.783034257751</v>
      </c>
      <c r="K50" s="143">
        <v>46</v>
      </c>
    </row>
    <row r="51" spans="1:11" ht="30" customHeight="1" x14ac:dyDescent="0.25">
      <c r="A51" s="122">
        <v>612113</v>
      </c>
      <c r="B51" s="127" t="s">
        <v>39</v>
      </c>
      <c r="C51" s="138">
        <f>'Cash Book'!M52+'Petty-Cash Book'!M54</f>
        <v>188700</v>
      </c>
      <c r="D51" s="134">
        <f>'Cash Book'!L52+'Petty-Cash Book'!L54</f>
        <v>0</v>
      </c>
      <c r="E51" s="148">
        <f>'Cash Book-USD'!M52</f>
        <v>0</v>
      </c>
      <c r="F51" s="149">
        <f>'Cash Book-USD'!L52</f>
        <v>0</v>
      </c>
      <c r="G51" s="281">
        <f t="shared" si="2"/>
        <v>153.91517128874389</v>
      </c>
      <c r="H51" s="282">
        <f t="shared" si="3"/>
        <v>0</v>
      </c>
      <c r="I51" s="142">
        <f t="shared" si="1"/>
        <v>188853.91517128874</v>
      </c>
      <c r="K51" s="143">
        <v>47</v>
      </c>
    </row>
    <row r="52" spans="1:11" ht="30" hidden="1" customHeight="1" x14ac:dyDescent="0.25">
      <c r="A52" s="122">
        <v>612114</v>
      </c>
      <c r="B52" s="127" t="s">
        <v>40</v>
      </c>
      <c r="C52" s="138">
        <f>'Cash Book'!M53+'Petty-Cash Book'!M55</f>
        <v>0</v>
      </c>
      <c r="D52" s="134">
        <f>'Cash Book'!L53+'Petty-Cash Book'!L55</f>
        <v>0</v>
      </c>
      <c r="E52" s="148">
        <f>'Cash Book-USD'!M53</f>
        <v>0</v>
      </c>
      <c r="F52" s="149">
        <f>'Cash Book-USD'!L53</f>
        <v>0</v>
      </c>
      <c r="G52" s="152">
        <f t="shared" si="2"/>
        <v>0</v>
      </c>
      <c r="H52" s="153">
        <f t="shared" si="3"/>
        <v>0</v>
      </c>
      <c r="I52" s="142">
        <f t="shared" si="1"/>
        <v>0</v>
      </c>
      <c r="K52" s="143">
        <v>48</v>
      </c>
    </row>
    <row r="53" spans="1:11" ht="30" customHeight="1" x14ac:dyDescent="0.25">
      <c r="A53" s="122">
        <v>612115</v>
      </c>
      <c r="B53" s="127" t="s">
        <v>41</v>
      </c>
      <c r="C53" s="138">
        <f>'Cash Book'!M54+'Petty-Cash Book'!M56</f>
        <v>51165</v>
      </c>
      <c r="D53" s="134">
        <f>'Cash Book'!L54+'Petty-Cash Book'!L56</f>
        <v>0</v>
      </c>
      <c r="E53" s="148">
        <f>'Cash Book-USD'!M54</f>
        <v>0</v>
      </c>
      <c r="F53" s="149">
        <f>'Cash Book-USD'!L54</f>
        <v>0</v>
      </c>
      <c r="G53" s="281">
        <f t="shared" si="2"/>
        <v>41.733278955954326</v>
      </c>
      <c r="H53" s="282">
        <f t="shared" si="3"/>
        <v>0</v>
      </c>
      <c r="I53" s="142">
        <f t="shared" si="1"/>
        <v>51206.733278955951</v>
      </c>
      <c r="K53" s="143">
        <v>49</v>
      </c>
    </row>
    <row r="54" spans="1:11" ht="30" hidden="1" customHeight="1" x14ac:dyDescent="0.25">
      <c r="A54" s="122">
        <v>612116</v>
      </c>
      <c r="B54" s="127" t="s">
        <v>42</v>
      </c>
      <c r="C54" s="138">
        <f>'Cash Book'!M55+'Petty-Cash Book'!M57</f>
        <v>0</v>
      </c>
      <c r="D54" s="134">
        <f>'Cash Book'!L55+'Petty-Cash Book'!L57</f>
        <v>0</v>
      </c>
      <c r="E54" s="148">
        <f>'Cash Book-USD'!M55</f>
        <v>0</v>
      </c>
      <c r="F54" s="149">
        <f>'Cash Book-USD'!L55</f>
        <v>0</v>
      </c>
      <c r="G54" s="281">
        <f t="shared" si="2"/>
        <v>0</v>
      </c>
      <c r="H54" s="282">
        <f t="shared" si="3"/>
        <v>0</v>
      </c>
      <c r="I54" s="142">
        <f t="shared" si="1"/>
        <v>0</v>
      </c>
      <c r="K54" s="143">
        <v>50</v>
      </c>
    </row>
    <row r="55" spans="1:11" ht="30" customHeight="1" x14ac:dyDescent="0.25">
      <c r="A55" s="122">
        <v>612117</v>
      </c>
      <c r="B55" s="127" t="s">
        <v>43</v>
      </c>
      <c r="C55" s="138">
        <f>'Cash Book'!M56+'Petty-Cash Book'!M58</f>
        <v>254400</v>
      </c>
      <c r="D55" s="134">
        <f>'Cash Book'!L56+'Petty-Cash Book'!L58</f>
        <v>0</v>
      </c>
      <c r="E55" s="148">
        <f>'Cash Book-USD'!M56</f>
        <v>0</v>
      </c>
      <c r="F55" s="149">
        <f>'Cash Book-USD'!L56</f>
        <v>0</v>
      </c>
      <c r="G55" s="281">
        <f t="shared" si="2"/>
        <v>207.50407830342579</v>
      </c>
      <c r="H55" s="282">
        <f t="shared" si="3"/>
        <v>0</v>
      </c>
      <c r="I55" s="142">
        <f t="shared" si="1"/>
        <v>254607.50407830343</v>
      </c>
      <c r="K55" s="143">
        <v>51</v>
      </c>
    </row>
    <row r="56" spans="1:11" ht="30" hidden="1" customHeight="1" x14ac:dyDescent="0.25">
      <c r="A56" s="122">
        <v>612118</v>
      </c>
      <c r="B56" s="127" t="s">
        <v>44</v>
      </c>
      <c r="C56" s="138">
        <f>'Cash Book'!M57+'Petty-Cash Book'!M59</f>
        <v>0</v>
      </c>
      <c r="D56" s="134">
        <f>'Cash Book'!L57+'Petty-Cash Book'!L59</f>
        <v>0</v>
      </c>
      <c r="E56" s="148">
        <f>'Cash Book-USD'!M57</f>
        <v>0</v>
      </c>
      <c r="F56" s="149">
        <f>'Cash Book-USD'!L57</f>
        <v>0</v>
      </c>
      <c r="G56" s="281">
        <f t="shared" si="2"/>
        <v>0</v>
      </c>
      <c r="H56" s="282">
        <f t="shared" si="3"/>
        <v>0</v>
      </c>
      <c r="I56" s="142">
        <f t="shared" si="1"/>
        <v>0</v>
      </c>
      <c r="K56" s="143">
        <v>52</v>
      </c>
    </row>
    <row r="57" spans="1:11" ht="30" customHeight="1" x14ac:dyDescent="0.25">
      <c r="A57" s="122">
        <v>612119</v>
      </c>
      <c r="B57" s="127" t="s">
        <v>45</v>
      </c>
      <c r="C57" s="138">
        <f>'Cash Book'!M58+'Petty-Cash Book'!M60</f>
        <v>2083314</v>
      </c>
      <c r="D57" s="134">
        <f>'Cash Book'!L58+'Petty-Cash Book'!L60</f>
        <v>0</v>
      </c>
      <c r="E57" s="148">
        <f>'Cash Book-USD'!M58</f>
        <v>250</v>
      </c>
      <c r="F57" s="149">
        <f>'Cash Book-USD'!L58</f>
        <v>0</v>
      </c>
      <c r="G57" s="281">
        <f t="shared" si="2"/>
        <v>1949.2773246329527</v>
      </c>
      <c r="H57" s="282">
        <f t="shared" si="3"/>
        <v>0</v>
      </c>
      <c r="I57" s="142">
        <f t="shared" si="1"/>
        <v>2085513.277324633</v>
      </c>
      <c r="K57" s="143">
        <v>53</v>
      </c>
    </row>
    <row r="58" spans="1:11" ht="30" hidden="1" customHeight="1" x14ac:dyDescent="0.25">
      <c r="A58" s="122">
        <v>612120</v>
      </c>
      <c r="B58" s="127" t="s">
        <v>46</v>
      </c>
      <c r="C58" s="138">
        <f>'Cash Book'!M59+'Petty-Cash Book'!M61</f>
        <v>0</v>
      </c>
      <c r="D58" s="134">
        <f>'Cash Book'!L59+'Petty-Cash Book'!L61</f>
        <v>0</v>
      </c>
      <c r="E58" s="148">
        <f>'Cash Book-USD'!M59</f>
        <v>0</v>
      </c>
      <c r="F58" s="149">
        <f>'Cash Book-USD'!L59</f>
        <v>0</v>
      </c>
      <c r="G58" s="152">
        <f t="shared" si="2"/>
        <v>0</v>
      </c>
      <c r="H58" s="153">
        <f t="shared" si="3"/>
        <v>0</v>
      </c>
      <c r="I58" s="142">
        <f t="shared" si="1"/>
        <v>0</v>
      </c>
      <c r="K58" s="143">
        <v>54</v>
      </c>
    </row>
    <row r="59" spans="1:11" ht="30" customHeight="1" x14ac:dyDescent="0.25">
      <c r="A59" s="122">
        <v>612121</v>
      </c>
      <c r="B59" s="127" t="s">
        <v>48</v>
      </c>
      <c r="C59" s="138">
        <f>'Cash Book'!M60+'Petty-Cash Book'!M62</f>
        <v>133600</v>
      </c>
      <c r="D59" s="134">
        <f>'Cash Book'!L60+'Petty-Cash Book'!L62</f>
        <v>0</v>
      </c>
      <c r="E59" s="148">
        <f>'Cash Book-USD'!M60</f>
        <v>0</v>
      </c>
      <c r="F59" s="149">
        <f>'Cash Book-USD'!L60</f>
        <v>0</v>
      </c>
      <c r="G59" s="281">
        <f t="shared" si="2"/>
        <v>108.97226753670473</v>
      </c>
      <c r="H59" s="282">
        <f t="shared" si="3"/>
        <v>0</v>
      </c>
      <c r="I59" s="142">
        <f t="shared" si="1"/>
        <v>133708.97226753671</v>
      </c>
      <c r="K59" s="143">
        <v>55</v>
      </c>
    </row>
    <row r="60" spans="1:11" ht="30" customHeight="1" x14ac:dyDescent="0.25">
      <c r="A60" s="122">
        <v>612122</v>
      </c>
      <c r="B60" s="127" t="s">
        <v>49</v>
      </c>
      <c r="C60" s="138">
        <f>'Cash Book'!M61+'Petty-Cash Book'!M63</f>
        <v>125</v>
      </c>
      <c r="D60" s="134">
        <f>'Cash Book'!L61+'Petty-Cash Book'!L63</f>
        <v>0</v>
      </c>
      <c r="E60" s="148">
        <f>'Cash Book-USD'!M61</f>
        <v>0</v>
      </c>
      <c r="F60" s="149">
        <f>'Cash Book-USD'!L61</f>
        <v>0</v>
      </c>
      <c r="G60" s="281">
        <f t="shared" si="2"/>
        <v>0.10195758564437195</v>
      </c>
      <c r="H60" s="282">
        <f t="shared" si="3"/>
        <v>0</v>
      </c>
      <c r="I60" s="142">
        <f t="shared" si="1"/>
        <v>125.10195758564437</v>
      </c>
      <c r="K60" s="143">
        <v>56</v>
      </c>
    </row>
    <row r="61" spans="1:11" ht="30" hidden="1" customHeight="1" x14ac:dyDescent="0.25">
      <c r="A61" s="122">
        <v>612123</v>
      </c>
      <c r="B61" s="127" t="s">
        <v>50</v>
      </c>
      <c r="C61" s="138">
        <f>'Cash Book'!M62+'Petty-Cash Book'!M64</f>
        <v>0</v>
      </c>
      <c r="D61" s="134">
        <f>'Cash Book'!L62+'Petty-Cash Book'!L64</f>
        <v>0</v>
      </c>
      <c r="E61" s="148">
        <f>'Cash Book-USD'!M62</f>
        <v>0</v>
      </c>
      <c r="F61" s="149">
        <f>'Cash Book-USD'!L62</f>
        <v>0</v>
      </c>
      <c r="G61" s="281">
        <f t="shared" si="2"/>
        <v>0</v>
      </c>
      <c r="H61" s="282">
        <f t="shared" si="3"/>
        <v>0</v>
      </c>
      <c r="I61" s="142">
        <f t="shared" si="1"/>
        <v>0</v>
      </c>
      <c r="K61" s="143">
        <v>57</v>
      </c>
    </row>
    <row r="62" spans="1:11" ht="30" hidden="1" customHeight="1" x14ac:dyDescent="0.25">
      <c r="A62" s="122">
        <v>612124</v>
      </c>
      <c r="B62" s="127" t="s">
        <v>51</v>
      </c>
      <c r="C62" s="138">
        <f>'Cash Book'!M63+'Petty-Cash Book'!M65</f>
        <v>0</v>
      </c>
      <c r="D62" s="134">
        <f>'Cash Book'!L63+'Petty-Cash Book'!L65</f>
        <v>0</v>
      </c>
      <c r="E62" s="148">
        <f>'Cash Book-USD'!M63</f>
        <v>0</v>
      </c>
      <c r="F62" s="149">
        <f>'Cash Book-USD'!L63</f>
        <v>0</v>
      </c>
      <c r="G62" s="281">
        <f t="shared" si="2"/>
        <v>0</v>
      </c>
      <c r="H62" s="282">
        <f t="shared" si="3"/>
        <v>0</v>
      </c>
      <c r="I62" s="142">
        <f t="shared" si="1"/>
        <v>0</v>
      </c>
      <c r="K62" s="143">
        <v>58</v>
      </c>
    </row>
    <row r="63" spans="1:11" ht="30" hidden="1" customHeight="1" x14ac:dyDescent="0.25">
      <c r="A63" s="122">
        <v>612125</v>
      </c>
      <c r="B63" s="127" t="s">
        <v>52</v>
      </c>
      <c r="C63" s="138">
        <f>'Cash Book'!M64+'Petty-Cash Book'!M66</f>
        <v>0</v>
      </c>
      <c r="D63" s="134">
        <f>'Cash Book'!L64+'Petty-Cash Book'!L66</f>
        <v>0</v>
      </c>
      <c r="E63" s="148">
        <f>'Cash Book-USD'!M64</f>
        <v>0</v>
      </c>
      <c r="F63" s="149">
        <f>'Cash Book-USD'!L64</f>
        <v>0</v>
      </c>
      <c r="G63" s="281">
        <f t="shared" si="2"/>
        <v>0</v>
      </c>
      <c r="H63" s="282">
        <f t="shared" si="3"/>
        <v>0</v>
      </c>
      <c r="I63" s="142">
        <f t="shared" si="1"/>
        <v>0</v>
      </c>
      <c r="K63" s="143">
        <v>59</v>
      </c>
    </row>
    <row r="64" spans="1:11" ht="30" hidden="1" customHeight="1" x14ac:dyDescent="0.25">
      <c r="A64" s="122">
        <v>612126</v>
      </c>
      <c r="B64" s="127" t="s">
        <v>53</v>
      </c>
      <c r="C64" s="138">
        <f>'Cash Book'!M65+'Petty-Cash Book'!M67</f>
        <v>0</v>
      </c>
      <c r="D64" s="134">
        <f>'Cash Book'!L65+'Petty-Cash Book'!L67</f>
        <v>0</v>
      </c>
      <c r="E64" s="148">
        <f>'Cash Book-USD'!M65</f>
        <v>0</v>
      </c>
      <c r="F64" s="149">
        <f>'Cash Book-USD'!L65</f>
        <v>0</v>
      </c>
      <c r="G64" s="152">
        <f t="shared" si="2"/>
        <v>0</v>
      </c>
      <c r="H64" s="153">
        <f t="shared" si="3"/>
        <v>0</v>
      </c>
      <c r="I64" s="142">
        <f t="shared" si="1"/>
        <v>0</v>
      </c>
      <c r="K64" s="143">
        <v>60</v>
      </c>
    </row>
    <row r="65" spans="1:11" ht="30" hidden="1" customHeight="1" x14ac:dyDescent="0.25">
      <c r="A65" s="122">
        <v>612127</v>
      </c>
      <c r="B65" s="127" t="s">
        <v>55</v>
      </c>
      <c r="C65" s="138">
        <f>'Cash Book'!M66+'Petty-Cash Book'!M68</f>
        <v>0</v>
      </c>
      <c r="D65" s="134">
        <f>'Cash Book'!L66+'Petty-Cash Book'!L68</f>
        <v>0</v>
      </c>
      <c r="E65" s="148">
        <f>'Cash Book-USD'!M66</f>
        <v>0</v>
      </c>
      <c r="F65" s="149">
        <f>'Cash Book-USD'!L66</f>
        <v>0</v>
      </c>
      <c r="G65" s="281">
        <f t="shared" si="2"/>
        <v>0</v>
      </c>
      <c r="H65" s="282">
        <f t="shared" si="3"/>
        <v>0</v>
      </c>
      <c r="I65" s="142">
        <f t="shared" si="1"/>
        <v>0</v>
      </c>
      <c r="K65" s="143">
        <v>61</v>
      </c>
    </row>
    <row r="66" spans="1:11" ht="30" customHeight="1" x14ac:dyDescent="0.25">
      <c r="A66" s="122">
        <v>612128</v>
      </c>
      <c r="B66" s="127" t="s">
        <v>259</v>
      </c>
      <c r="C66" s="138">
        <f>'Cash Book'!M67+'Petty-Cash Book'!M69</f>
        <v>185400</v>
      </c>
      <c r="D66" s="134">
        <f>'Cash Book'!L67+'Petty-Cash Book'!L69</f>
        <v>0</v>
      </c>
      <c r="E66" s="148">
        <f>'Cash Book-USD'!M67</f>
        <v>0</v>
      </c>
      <c r="F66" s="149">
        <f>'Cash Book-USD'!L67</f>
        <v>0</v>
      </c>
      <c r="G66" s="281">
        <f t="shared" si="2"/>
        <v>151.22349102773245</v>
      </c>
      <c r="H66" s="282">
        <f t="shared" si="3"/>
        <v>0</v>
      </c>
      <c r="I66" s="142">
        <f t="shared" si="1"/>
        <v>185551.22349102772</v>
      </c>
      <c r="K66" s="143">
        <v>62</v>
      </c>
    </row>
    <row r="67" spans="1:11" ht="30" hidden="1" customHeight="1" x14ac:dyDescent="0.25">
      <c r="A67" s="122">
        <v>612129</v>
      </c>
      <c r="B67" s="127" t="s">
        <v>57</v>
      </c>
      <c r="C67" s="138">
        <f>'Cash Book'!M68+'Petty-Cash Book'!M70</f>
        <v>0</v>
      </c>
      <c r="D67" s="134">
        <f>'Cash Book'!L68+'Petty-Cash Book'!L70</f>
        <v>0</v>
      </c>
      <c r="E67" s="148">
        <f>'Cash Book-USD'!M68</f>
        <v>0</v>
      </c>
      <c r="F67" s="149">
        <f>'Cash Book-USD'!L68</f>
        <v>0</v>
      </c>
      <c r="G67" s="281">
        <f t="shared" si="2"/>
        <v>0</v>
      </c>
      <c r="H67" s="282">
        <f t="shared" si="3"/>
        <v>0</v>
      </c>
      <c r="I67" s="142">
        <f t="shared" si="1"/>
        <v>0</v>
      </c>
      <c r="K67" s="143">
        <v>63</v>
      </c>
    </row>
    <row r="68" spans="1:11" ht="30" hidden="1" customHeight="1" x14ac:dyDescent="0.25">
      <c r="A68" s="122">
        <v>612210</v>
      </c>
      <c r="B68" s="127" t="s">
        <v>58</v>
      </c>
      <c r="C68" s="138">
        <f>'Cash Book'!M69+'Petty-Cash Book'!M71</f>
        <v>0</v>
      </c>
      <c r="D68" s="134">
        <f>'Cash Book'!L69+'Petty-Cash Book'!L71</f>
        <v>0</v>
      </c>
      <c r="E68" s="148">
        <f>'Cash Book-USD'!M69</f>
        <v>0</v>
      </c>
      <c r="F68" s="149">
        <f>'Cash Book-USD'!L69</f>
        <v>0</v>
      </c>
      <c r="G68" s="152">
        <f t="shared" si="2"/>
        <v>0</v>
      </c>
      <c r="H68" s="153">
        <f t="shared" si="3"/>
        <v>0</v>
      </c>
      <c r="I68" s="142">
        <f t="shared" si="1"/>
        <v>0</v>
      </c>
      <c r="K68" s="143">
        <v>64</v>
      </c>
    </row>
    <row r="69" spans="1:11" ht="30" hidden="1" customHeight="1" x14ac:dyDescent="0.25">
      <c r="A69" s="122">
        <v>612211</v>
      </c>
      <c r="B69" s="127" t="s">
        <v>59</v>
      </c>
      <c r="C69" s="138">
        <f>'Cash Book'!M70+'Petty-Cash Book'!M72</f>
        <v>0</v>
      </c>
      <c r="D69" s="134">
        <f>'Cash Book'!L70+'Petty-Cash Book'!L72</f>
        <v>0</v>
      </c>
      <c r="E69" s="148">
        <f>'Cash Book-USD'!M70</f>
        <v>0</v>
      </c>
      <c r="F69" s="149">
        <f>'Cash Book-USD'!L70</f>
        <v>0</v>
      </c>
      <c r="G69" s="152">
        <f t="shared" si="2"/>
        <v>0</v>
      </c>
      <c r="H69" s="153">
        <f t="shared" si="3"/>
        <v>0</v>
      </c>
      <c r="I69" s="142">
        <f t="shared" si="1"/>
        <v>0</v>
      </c>
      <c r="K69" s="143">
        <v>65</v>
      </c>
    </row>
    <row r="70" spans="1:11" ht="30" hidden="1" customHeight="1" x14ac:dyDescent="0.25">
      <c r="A70" s="122">
        <v>612212</v>
      </c>
      <c r="B70" s="127" t="s">
        <v>60</v>
      </c>
      <c r="C70" s="138">
        <f>'Cash Book'!M71+'Petty-Cash Book'!M73</f>
        <v>0</v>
      </c>
      <c r="D70" s="134">
        <f>'Cash Book'!L71+'Petty-Cash Book'!L73</f>
        <v>0</v>
      </c>
      <c r="E70" s="148">
        <f>'Cash Book-USD'!M71</f>
        <v>0</v>
      </c>
      <c r="F70" s="149">
        <f>'Cash Book-USD'!L71</f>
        <v>0</v>
      </c>
      <c r="G70" s="152">
        <f t="shared" si="2"/>
        <v>0</v>
      </c>
      <c r="H70" s="153">
        <f t="shared" si="3"/>
        <v>0</v>
      </c>
      <c r="I70" s="142">
        <f t="shared" ref="I70:I73" si="4">SUM(C70:H70)</f>
        <v>0</v>
      </c>
      <c r="K70" s="143">
        <v>66</v>
      </c>
    </row>
    <row r="71" spans="1:11" ht="30" hidden="1" customHeight="1" x14ac:dyDescent="0.25">
      <c r="A71" s="122">
        <v>612213</v>
      </c>
      <c r="B71" s="127" t="s">
        <v>96</v>
      </c>
      <c r="C71" s="138">
        <f>'Cash Book'!M72+'Petty-Cash Book'!M74</f>
        <v>0</v>
      </c>
      <c r="D71" s="134">
        <f>'Cash Book'!L72+'Petty-Cash Book'!L74</f>
        <v>0</v>
      </c>
      <c r="E71" s="148">
        <f>'Cash Book-USD'!M72</f>
        <v>0</v>
      </c>
      <c r="F71" s="149">
        <f>'Cash Book-USD'!L72</f>
        <v>0</v>
      </c>
      <c r="G71" s="152">
        <f t="shared" si="2"/>
        <v>0</v>
      </c>
      <c r="H71" s="153">
        <f t="shared" si="3"/>
        <v>0</v>
      </c>
      <c r="I71" s="142">
        <f t="shared" si="4"/>
        <v>0</v>
      </c>
      <c r="K71" s="143">
        <v>67</v>
      </c>
    </row>
    <row r="72" spans="1:11" ht="30" hidden="1" customHeight="1" x14ac:dyDescent="0.25">
      <c r="A72" s="122">
        <v>612214</v>
      </c>
      <c r="B72" s="127" t="s">
        <v>94</v>
      </c>
      <c r="C72" s="138">
        <f>'Cash Book'!M73+'Petty-Cash Book'!M75</f>
        <v>0</v>
      </c>
      <c r="D72" s="134">
        <f>'Cash Book'!L73+'Petty-Cash Book'!L75</f>
        <v>0</v>
      </c>
      <c r="E72" s="148">
        <f>'Cash Book-USD'!M73</f>
        <v>0</v>
      </c>
      <c r="F72" s="149">
        <f>'Cash Book-USD'!L73</f>
        <v>0</v>
      </c>
      <c r="G72" s="281">
        <f t="shared" si="2"/>
        <v>0</v>
      </c>
      <c r="H72" s="282">
        <f t="shared" si="3"/>
        <v>0</v>
      </c>
      <c r="I72" s="142">
        <f t="shared" si="4"/>
        <v>0</v>
      </c>
      <c r="K72" s="143">
        <v>68</v>
      </c>
    </row>
    <row r="73" spans="1:11" ht="30" hidden="1" customHeight="1" x14ac:dyDescent="0.25">
      <c r="A73" s="128">
        <v>612215</v>
      </c>
      <c r="B73" s="129" t="s">
        <v>120</v>
      </c>
      <c r="C73" s="138">
        <f>'Cash Book'!M74+'Petty-Cash Book'!M76</f>
        <v>0</v>
      </c>
      <c r="D73" s="134">
        <f>'Cash Book'!L74+'Petty-Cash Book'!L76</f>
        <v>0</v>
      </c>
      <c r="E73" s="184">
        <f>'Cash Book-USD'!M74</f>
        <v>0</v>
      </c>
      <c r="F73" s="185">
        <f>'Cash Book-USD'!L74</f>
        <v>0</v>
      </c>
      <c r="G73" s="152">
        <f t="shared" si="2"/>
        <v>0</v>
      </c>
      <c r="H73" s="153">
        <f t="shared" si="3"/>
        <v>0</v>
      </c>
      <c r="I73" s="142">
        <f t="shared" si="4"/>
        <v>0</v>
      </c>
      <c r="K73" s="143">
        <v>69</v>
      </c>
    </row>
    <row r="74" spans="1:11" ht="9.75" customHeight="1" thickBot="1" x14ac:dyDescent="0.3">
      <c r="A74" s="128"/>
      <c r="B74" s="129"/>
      <c r="C74" s="139"/>
      <c r="D74" s="135"/>
      <c r="E74" s="150"/>
      <c r="F74" s="151"/>
      <c r="G74" s="154"/>
      <c r="H74" s="155"/>
      <c r="I74" s="143">
        <v>1</v>
      </c>
    </row>
    <row r="75" spans="1:11" ht="24.9" customHeight="1" thickBot="1" x14ac:dyDescent="0.3">
      <c r="A75" s="35"/>
      <c r="B75" s="130" t="s">
        <v>76</v>
      </c>
      <c r="C75" s="140">
        <f t="shared" ref="C75:H75" si="5">SUM(C5:C74)</f>
        <v>56549915</v>
      </c>
      <c r="D75" s="136">
        <f t="shared" si="5"/>
        <v>56549915</v>
      </c>
      <c r="E75" s="277">
        <f t="shared" si="5"/>
        <v>7490</v>
      </c>
      <c r="F75" s="278">
        <f t="shared" si="5"/>
        <v>7490</v>
      </c>
      <c r="G75" s="279">
        <f t="shared" si="5"/>
        <v>53615.54241435563</v>
      </c>
      <c r="H75" s="280">
        <f t="shared" si="5"/>
        <v>53615.54241435563</v>
      </c>
      <c r="I75" s="143">
        <v>1</v>
      </c>
    </row>
    <row r="76" spans="1:11" ht="17.25" customHeight="1" thickTop="1" x14ac:dyDescent="0.25">
      <c r="A76" s="436" t="s">
        <v>568</v>
      </c>
      <c r="B76" s="36"/>
      <c r="C76" s="37"/>
      <c r="D76" s="132">
        <v>1226</v>
      </c>
      <c r="E76" s="118"/>
    </row>
    <row r="77" spans="1:11" x14ac:dyDescent="0.25">
      <c r="B77" s="36"/>
      <c r="C77" s="39"/>
      <c r="D77" s="37"/>
    </row>
    <row r="78" spans="1:11" x14ac:dyDescent="0.25">
      <c r="B78" s="40"/>
      <c r="C78" s="41"/>
      <c r="D78" s="202">
        <f>C75-D75</f>
        <v>0</v>
      </c>
      <c r="F78" s="203">
        <f>E75-F75</f>
        <v>0</v>
      </c>
      <c r="H78" s="204">
        <f>G75-H75</f>
        <v>0</v>
      </c>
    </row>
    <row r="79" spans="1:11" x14ac:dyDescent="0.25">
      <c r="B79" s="42"/>
      <c r="C79" s="43"/>
      <c r="D79" s="44"/>
    </row>
    <row r="81" spans="1:2" x14ac:dyDescent="0.25">
      <c r="A81" s="33" t="s">
        <v>183</v>
      </c>
    </row>
    <row r="82" spans="1:2" x14ac:dyDescent="0.25">
      <c r="A82" s="33" t="s">
        <v>184</v>
      </c>
    </row>
    <row r="83" spans="1:2" x14ac:dyDescent="0.25">
      <c r="A83" s="33" t="s">
        <v>185</v>
      </c>
    </row>
    <row r="84" spans="1:2" x14ac:dyDescent="0.25">
      <c r="B84" s="405">
        <f>ROUND((1175+1182+1181)/3,2)</f>
        <v>1179.33</v>
      </c>
    </row>
  </sheetData>
  <autoFilter ref="A3:I76">
    <filterColumn colId="2" showButton="0"/>
    <filterColumn colId="4" showButton="0"/>
    <filterColumn colId="6" showButton="0"/>
    <filterColumn colId="8">
      <filters blank="1">
        <filter val="1"/>
        <filter val="1,377,723"/>
        <filter val="1,634,732"/>
        <filter val="125"/>
        <filter val="133,709"/>
        <filter val="18,501,078"/>
        <filter val="185,551"/>
        <filter val="188,854"/>
        <filter val="2,085,513"/>
        <filter val="2,182,979"/>
        <filter val="2,637,706"/>
        <filter val="254,608"/>
        <filter val="3,368,493"/>
        <filter val="30,602,619"/>
        <filter val="37,639,939"/>
        <filter val="4,504"/>
        <filter val="4,849,429"/>
        <filter val="5,700"/>
        <filter val="50,041"/>
        <filter val="51,207"/>
        <filter val="6,853,935"/>
        <filter val="604,343"/>
        <filter val="8,430"/>
        <filter val="824"/>
      </filters>
    </filterColumn>
  </autoFilter>
  <mergeCells count="7">
    <mergeCell ref="E3:F3"/>
    <mergeCell ref="G3:H3"/>
    <mergeCell ref="A2:H2"/>
    <mergeCell ref="A1:H1"/>
    <mergeCell ref="A3:A4"/>
    <mergeCell ref="B3:B4"/>
    <mergeCell ref="C3:D3"/>
  </mergeCells>
  <pageMargins left="0.19685039370078741" right="0" top="3.937007874015748E-2" bottom="0.23622047244094491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Control Sheet</vt:lpstr>
      <vt:lpstr>Acc code</vt:lpstr>
      <vt:lpstr>Cash Book</vt:lpstr>
      <vt:lpstr>Main Ledger</vt:lpstr>
      <vt:lpstr>Petty-Cash Book</vt:lpstr>
      <vt:lpstr>Ledger</vt:lpstr>
      <vt:lpstr>Cash Book-USD</vt:lpstr>
      <vt:lpstr>Ledger-USD</vt:lpstr>
      <vt:lpstr>Cash Trial</vt:lpstr>
      <vt:lpstr>JV-MMK</vt:lpstr>
      <vt:lpstr>JV-USD</vt:lpstr>
      <vt:lpstr>Trial balance</vt:lpstr>
      <vt:lpstr>IS For Jemery</vt:lpstr>
      <vt:lpstr>Income Statement</vt:lpstr>
      <vt:lpstr>B-S</vt:lpstr>
      <vt:lpstr>FA-Sch</vt:lpstr>
      <vt:lpstr>'B-S'!Заголовки_для_печати</vt:lpstr>
      <vt:lpstr>'Cash Book'!Заголовки_для_печати</vt:lpstr>
      <vt:lpstr>'Cash Book-USD'!Заголовки_для_печати</vt:lpstr>
      <vt:lpstr>'Cash Trial'!Заголовки_для_печати</vt:lpstr>
      <vt:lpstr>'FA-Sch'!Заголовки_для_печати</vt:lpstr>
      <vt:lpstr>'JV-MMK'!Заголовки_для_печати</vt:lpstr>
      <vt:lpstr>'JV-USD'!Заголовки_для_печати</vt:lpstr>
      <vt:lpstr>Ledger!Заголовки_для_печати</vt:lpstr>
      <vt:lpstr>'Ledger-USD'!Заголовки_для_печати</vt:lpstr>
      <vt:lpstr>'Main Ledger'!Заголовки_для_печати</vt:lpstr>
      <vt:lpstr>'Petty-Cash Book'!Заголовки_для_печати</vt:lpstr>
      <vt:lpstr>'Trial balance'!Заголовки_для_печати</vt:lpstr>
      <vt:lpstr>'B-S'!Область_печати</vt:lpstr>
      <vt:lpstr>'Income Statement'!Область_печати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BCF1</dc:creator>
  <cp:lastModifiedBy>AAA-DoIT!</cp:lastModifiedBy>
  <cp:lastPrinted>2016-07-11T09:36:52Z</cp:lastPrinted>
  <dcterms:created xsi:type="dcterms:W3CDTF">2014-09-08T04:04:38Z</dcterms:created>
  <dcterms:modified xsi:type="dcterms:W3CDTF">2016-11-13T15:30:50Z</dcterms:modified>
</cp:coreProperties>
</file>