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AntonD-X\!Myanmar-Мьянма!\Финансовая модель\"/>
    </mc:Choice>
  </mc:AlternateContent>
  <bookViews>
    <workbookView xWindow="0" yWindow="0" windowWidth="12936" windowHeight="8484"/>
  </bookViews>
  <sheets>
    <sheet name="Sheet1" sheetId="1" r:id="rId1"/>
    <sheet name="tabl" sheetId="2" r:id="rId2"/>
    <sheet name="Archive" sheetId="11" r:id="rId3"/>
    <sheet name="Finance companies" sheetId="3" r:id="rId4"/>
    <sheet name="Sales 1" sheetId="10" r:id="rId5"/>
    <sheet name="Sales" sheetId="4" r:id="rId6"/>
    <sheet name="Acleda" sheetId="5" r:id="rId7"/>
    <sheet name="AEON!" sheetId="9" r:id="rId8"/>
    <sheet name="AEON" sheetId="6" r:id="rId9"/>
    <sheet name="Fullerton" sheetId="7" r:id="rId10"/>
    <sheet name="Sheet5" sheetId="8" r:id="rId11"/>
  </sheets>
  <externalReferences>
    <externalReference r:id="rId12"/>
  </externalReferenc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7" i="2" l="1"/>
  <c r="K16" i="2"/>
  <c r="K15" i="2"/>
  <c r="K14" i="2"/>
  <c r="G17" i="2"/>
  <c r="G16" i="2"/>
  <c r="G15" i="2"/>
  <c r="G14" i="2"/>
  <c r="E7" i="1"/>
  <c r="D6" i="1"/>
  <c r="C15" i="2"/>
  <c r="E15" i="2"/>
  <c r="I15" i="2"/>
  <c r="M15" i="2"/>
  <c r="P15" i="2"/>
  <c r="O15" i="2"/>
  <c r="S15" i="2"/>
  <c r="C14" i="2"/>
  <c r="E14" i="2"/>
  <c r="I14" i="2"/>
  <c r="M14" i="2"/>
  <c r="P14" i="2"/>
  <c r="O14" i="2"/>
  <c r="S14" i="2"/>
  <c r="E4" i="1"/>
  <c r="E5" i="1"/>
  <c r="E6" i="1"/>
  <c r="E3" i="1"/>
  <c r="D4" i="1"/>
  <c r="D5" i="1"/>
  <c r="D3" i="1"/>
  <c r="C4" i="1"/>
  <c r="C5" i="1"/>
  <c r="C16" i="2"/>
  <c r="C6" i="1"/>
  <c r="C17" i="2"/>
  <c r="C7" i="1"/>
  <c r="C13" i="2"/>
  <c r="C3" i="1"/>
  <c r="I5" i="1"/>
  <c r="I4" i="1"/>
  <c r="D7" i="1"/>
  <c r="C7" i="2"/>
  <c r="C6" i="2"/>
  <c r="A7" i="2"/>
  <c r="C8" i="2"/>
  <c r="A8" i="2"/>
  <c r="C5" i="2"/>
  <c r="C4" i="2"/>
  <c r="A5" i="2"/>
  <c r="A6" i="2"/>
  <c r="E17" i="2"/>
  <c r="E16" i="2"/>
  <c r="F16" i="2"/>
  <c r="F15" i="2"/>
  <c r="O13" i="2"/>
  <c r="N14" i="2"/>
  <c r="N15" i="2"/>
  <c r="J14" i="2"/>
  <c r="F17" i="2"/>
  <c r="O17" i="10"/>
  <c r="Q9" i="10"/>
  <c r="P9" i="10"/>
  <c r="O9" i="10"/>
  <c r="N9" i="10"/>
  <c r="H5" i="10"/>
  <c r="H6" i="10"/>
  <c r="H7" i="10"/>
  <c r="H8" i="10"/>
  <c r="H9" i="10"/>
  <c r="H5" i="4"/>
  <c r="H6" i="4"/>
  <c r="H7" i="4"/>
  <c r="H8" i="4"/>
  <c r="H9" i="4"/>
  <c r="H6" i="6"/>
  <c r="H14" i="5"/>
  <c r="H15" i="5"/>
  <c r="H16" i="5"/>
  <c r="H17" i="5"/>
  <c r="H13" i="5"/>
  <c r="I8" i="3"/>
  <c r="J8" i="3"/>
  <c r="K8" i="3"/>
  <c r="I9" i="3"/>
  <c r="J9" i="3"/>
  <c r="K9" i="3"/>
  <c r="I10" i="3"/>
  <c r="J10" i="3"/>
  <c r="K10" i="3"/>
  <c r="I11" i="3"/>
  <c r="J11" i="3"/>
  <c r="K11" i="3"/>
  <c r="I12" i="3"/>
  <c r="J12" i="3"/>
  <c r="K12" i="3"/>
  <c r="I13" i="3"/>
  <c r="J13" i="3"/>
  <c r="K13" i="3"/>
  <c r="I14" i="3"/>
  <c r="J14" i="3"/>
  <c r="K14" i="3"/>
  <c r="I7" i="3"/>
  <c r="J7" i="3"/>
  <c r="K7" i="3"/>
  <c r="O9" i="4"/>
  <c r="P9" i="4"/>
  <c r="Q9" i="4"/>
  <c r="O17" i="4"/>
  <c r="N9" i="4"/>
  <c r="O4" i="2"/>
  <c r="K5" i="2"/>
  <c r="M5" i="2"/>
  <c r="N5" i="2"/>
  <c r="G5" i="2"/>
  <c r="I5" i="2"/>
  <c r="J5" i="2"/>
  <c r="E7" i="2"/>
  <c r="E8" i="2"/>
  <c r="G6" i="2"/>
  <c r="G7" i="2"/>
  <c r="K6" i="2"/>
  <c r="K7" i="2"/>
  <c r="O7" i="2"/>
  <c r="O6" i="2"/>
  <c r="M6" i="2"/>
  <c r="N6" i="2"/>
  <c r="M7" i="2"/>
  <c r="N7" i="2"/>
  <c r="K8" i="2"/>
  <c r="M8" i="2"/>
  <c r="N8" i="2"/>
  <c r="I6" i="2"/>
  <c r="J6" i="2"/>
  <c r="I7" i="2"/>
  <c r="J7" i="2"/>
  <c r="G8" i="2"/>
  <c r="I8" i="2"/>
  <c r="J8" i="2"/>
  <c r="E5" i="2"/>
  <c r="O5" i="2"/>
  <c r="J19" i="1"/>
  <c r="L16" i="1"/>
  <c r="I16" i="1"/>
  <c r="F3" i="1"/>
  <c r="J16" i="1"/>
  <c r="K15" i="1"/>
  <c r="G13" i="1"/>
  <c r="G14" i="1"/>
  <c r="G15" i="1"/>
  <c r="K14" i="1"/>
  <c r="K13" i="1"/>
  <c r="F5" i="1"/>
  <c r="F4" i="1"/>
  <c r="P8" i="2"/>
  <c r="F8" i="2"/>
  <c r="Q8" i="2"/>
  <c r="P5" i="2"/>
  <c r="F5" i="2"/>
  <c r="Q5" i="2"/>
  <c r="P7" i="2"/>
  <c r="O8" i="2"/>
  <c r="F7" i="2"/>
  <c r="Q7" i="2"/>
  <c r="E6" i="2"/>
  <c r="J15" i="2"/>
  <c r="Q15" i="2"/>
  <c r="F14" i="2"/>
  <c r="Q14" i="2"/>
  <c r="O16" i="2"/>
  <c r="I16" i="2"/>
  <c r="M17" i="2"/>
  <c r="N17" i="2"/>
  <c r="M16" i="2"/>
  <c r="N16" i="2"/>
  <c r="F6" i="1"/>
  <c r="F7" i="1"/>
  <c r="T11" i="2"/>
  <c r="P6" i="2"/>
  <c r="F6" i="2"/>
  <c r="Q6" i="2"/>
  <c r="I12" i="10"/>
  <c r="I9" i="10"/>
  <c r="I12" i="4"/>
  <c r="I9" i="4"/>
  <c r="T7" i="2"/>
  <c r="H4" i="1"/>
  <c r="G4" i="1"/>
  <c r="E12" i="4"/>
  <c r="E9" i="4"/>
  <c r="E12" i="10"/>
  <c r="E9" i="10"/>
  <c r="T5" i="2"/>
  <c r="T8" i="2"/>
  <c r="K12" i="4"/>
  <c r="K9" i="4"/>
  <c r="K12" i="10"/>
  <c r="K9" i="10"/>
  <c r="T10" i="2"/>
  <c r="J16" i="2"/>
  <c r="Q16" i="2"/>
  <c r="P16" i="2"/>
  <c r="I17" i="2"/>
  <c r="O17" i="2"/>
  <c r="S16" i="2"/>
  <c r="I6" i="1"/>
  <c r="H6" i="1"/>
  <c r="G6" i="1"/>
  <c r="K6" i="4"/>
  <c r="L6" i="4"/>
  <c r="K7" i="4"/>
  <c r="L7" i="4"/>
  <c r="K5" i="4"/>
  <c r="L5" i="4"/>
  <c r="K11" i="4"/>
  <c r="K8" i="4"/>
  <c r="L8" i="4"/>
  <c r="E6" i="10"/>
  <c r="F6" i="10"/>
  <c r="E8" i="10"/>
  <c r="F8" i="10"/>
  <c r="E11" i="10"/>
  <c r="E5" i="10"/>
  <c r="F5" i="10"/>
  <c r="E7" i="10"/>
  <c r="F7" i="10"/>
  <c r="T6" i="2"/>
  <c r="G12" i="10"/>
  <c r="G9" i="10"/>
  <c r="G12" i="4"/>
  <c r="G9" i="4"/>
  <c r="I7" i="4"/>
  <c r="J7" i="4"/>
  <c r="I11" i="4"/>
  <c r="I6" i="4"/>
  <c r="J6" i="4"/>
  <c r="I8" i="4"/>
  <c r="J8" i="4"/>
  <c r="I5" i="4"/>
  <c r="J5" i="4"/>
  <c r="H5" i="1"/>
  <c r="G5" i="1"/>
  <c r="K11" i="10"/>
  <c r="K5" i="10"/>
  <c r="L5" i="10"/>
  <c r="K6" i="10"/>
  <c r="L6" i="10"/>
  <c r="K8" i="10"/>
  <c r="L8" i="10"/>
  <c r="K7" i="10"/>
  <c r="L7" i="10"/>
  <c r="E8" i="4"/>
  <c r="F8" i="4"/>
  <c r="E11" i="4"/>
  <c r="E5" i="4"/>
  <c r="F5" i="4"/>
  <c r="E6" i="4"/>
  <c r="F6" i="4"/>
  <c r="E7" i="4"/>
  <c r="F7" i="4"/>
  <c r="F9" i="4"/>
  <c r="I5" i="10"/>
  <c r="J5" i="10"/>
  <c r="I7" i="10"/>
  <c r="J7" i="10"/>
  <c r="I6" i="10"/>
  <c r="J6" i="10"/>
  <c r="I11" i="10"/>
  <c r="I8" i="10"/>
  <c r="J8" i="10"/>
  <c r="T12" i="2"/>
  <c r="J17" i="2"/>
  <c r="Q17" i="2"/>
  <c r="P17" i="2"/>
  <c r="S17" i="2"/>
  <c r="I7" i="1"/>
  <c r="H7" i="1"/>
  <c r="G7" i="1"/>
  <c r="G11" i="10"/>
  <c r="G7" i="10"/>
  <c r="G6" i="10"/>
  <c r="G5" i="10"/>
  <c r="G8" i="10"/>
  <c r="J9" i="10"/>
  <c r="L9" i="4"/>
  <c r="L9" i="10"/>
  <c r="J9" i="4"/>
  <c r="G7" i="4"/>
  <c r="G6" i="4"/>
  <c r="G5" i="4"/>
  <c r="G11" i="4"/>
  <c r="G8" i="4"/>
  <c r="F9" i="10"/>
</calcChain>
</file>

<file path=xl/sharedStrings.xml><?xml version="1.0" encoding="utf-8"?>
<sst xmlns="http://schemas.openxmlformats.org/spreadsheetml/2006/main" count="252" uniqueCount="117">
  <si>
    <t>MFI</t>
  </si>
  <si>
    <t>Year</t>
  </si>
  <si>
    <t>Our market share</t>
  </si>
  <si>
    <t>Total</t>
  </si>
  <si>
    <t>Share</t>
  </si>
  <si>
    <t>Loans</t>
  </si>
  <si>
    <t>Our amount</t>
  </si>
  <si>
    <t>Total and our market share</t>
  </si>
  <si>
    <t>Licensed finance companies as of December, 2014</t>
  </si>
  <si>
    <t>№</t>
  </si>
  <si>
    <t>Name of Finance Company</t>
  </si>
  <si>
    <t>Date of License Issued</t>
  </si>
  <si>
    <t>Oriental Leasing Company Ltd.</t>
  </si>
  <si>
    <t>Myat Nan Yone Finance Company Ltd.</t>
  </si>
  <si>
    <t>National Finance Company Ltd.</t>
  </si>
  <si>
    <t>Ryuji Finance Company Ltd.</t>
  </si>
  <si>
    <t>Mahar Bawga Finance Company Ltd.</t>
  </si>
  <si>
    <t>Jewel Spectrum Company Ltd.</t>
  </si>
  <si>
    <t>Century Finance Company Ltd.</t>
  </si>
  <si>
    <t>Win Progress Services Company Ltd.</t>
  </si>
  <si>
    <t>Z Corporation Company Ltd.</t>
  </si>
  <si>
    <t>Global Innovations Finance Company Ltd.</t>
  </si>
  <si>
    <t>January 08, 1996</t>
  </si>
  <si>
    <t>January 25, 2013</t>
  </si>
  <si>
    <t>February 22, 2013</t>
  </si>
  <si>
    <t>May 28, 2013</t>
  </si>
  <si>
    <t>April 23, 2014</t>
  </si>
  <si>
    <t>May 08, 2014</t>
  </si>
  <si>
    <t>June 05, 2014</t>
  </si>
  <si>
    <t>June 11, 2014</t>
  </si>
  <si>
    <t>June 25, 2014</t>
  </si>
  <si>
    <t>August 04, 2014</t>
  </si>
  <si>
    <t>#</t>
  </si>
  <si>
    <t>Selling channels</t>
  </si>
  <si>
    <t>Short description</t>
  </si>
  <si>
    <t xml:space="preserve">PDL Internet </t>
  </si>
  <si>
    <t>Context and banner advertisement on search engines, large portals, social networks leading to online application page and stimulating online application fulfilling</t>
  </si>
  <si>
    <t>PDL ATL (TV, press, etc.)</t>
  </si>
  <si>
    <t>TV and press advertisement to stimulate customers to fulfill online application form on web-site or during call to Call center (CC)</t>
  </si>
  <si>
    <t xml:space="preserve">PDL DSA </t>
  </si>
  <si>
    <t xml:space="preserve">Acquiring customers in different places - near large factories, office centers, markets, using presentations and leaflets etc. </t>
  </si>
  <si>
    <t>PDL Outbound</t>
  </si>
  <si>
    <t>Mass SMS campaigns using different databases to stimulate customers to fulfill online application form on web-site or during call to Call center (CC)</t>
  </si>
  <si>
    <t>clients disbursed per month</t>
  </si>
  <si>
    <t>Description of Business</t>
  </si>
  <si>
    <t>ACLEDA MFI Myanmar Co., Ltd. was founded in Febrary 2013. Mission of ACLEDA is to provide micro and small entrepreneurs with the wherewithal to manage their financial resources efficiently and by doing so to improve the quality of their lives</t>
  </si>
  <si>
    <t>Main Markets and Main Products</t>
  </si>
  <si>
    <r>
      <t>•</t>
    </r>
    <r>
      <rPr>
        <sz val="11"/>
        <color rgb="FF000000"/>
        <rFont val="Calibri"/>
        <family val="2"/>
      </rPr>
      <t>Group and individual Loans</t>
    </r>
  </si>
  <si>
    <t>For Group Member</t>
  </si>
  <si>
    <r>
      <t>•</t>
    </r>
    <r>
      <rPr>
        <sz val="11"/>
        <color rgb="FF000000"/>
        <rFont val="Calibri"/>
        <family val="2"/>
      </rPr>
      <t>Organise a group of 2 to 10 people</t>
    </r>
  </si>
  <si>
    <t>For Individual</t>
  </si>
  <si>
    <t>Savings Account</t>
  </si>
  <si>
    <r>
      <t>•</t>
    </r>
    <r>
      <rPr>
        <sz val="11"/>
        <color rgb="FF000000"/>
        <rFont val="Calibri"/>
        <family val="2"/>
      </rPr>
      <t>Minimum balance is not required</t>
    </r>
  </si>
  <si>
    <r>
      <t>•</t>
    </r>
    <r>
      <rPr>
        <sz val="11"/>
        <color rgb="FF000000"/>
        <rFont val="Calibri"/>
        <family val="2"/>
      </rPr>
      <t>No service charged for account opening or closing</t>
    </r>
  </si>
  <si>
    <t>Key Financials</t>
  </si>
  <si>
    <t>Average Loan Size</t>
  </si>
  <si>
    <t>Varies on the type of loan</t>
  </si>
  <si>
    <t>Key Operational</t>
  </si>
  <si>
    <t>Townships</t>
  </si>
  <si>
    <t>Loans and Advances - Net</t>
  </si>
  <si>
    <t>Deposits</t>
  </si>
  <si>
    <t>Profit Before Income Tax</t>
  </si>
  <si>
    <t>Net Profit After Tax</t>
  </si>
  <si>
    <t>AEON Microfinance Limited was founded in February 2013. On the basis of the Aeon Basic Principles, Aoen practices its “Customer-First” philosophy with its ever-lasting innovative spirit.</t>
  </si>
  <si>
    <t>Loan Amount</t>
  </si>
  <si>
    <t>Loan Terms</t>
  </si>
  <si>
    <t>6 months only</t>
  </si>
  <si>
    <t>6, 9, 12 months</t>
  </si>
  <si>
    <t>50,000 to 150,000 MMK</t>
  </si>
  <si>
    <t>150,001 to 500,000 MMK</t>
  </si>
  <si>
    <t>Capital Stock</t>
  </si>
  <si>
    <t>Solidarity Group Loans for groups of 5</t>
  </si>
  <si>
    <t>Group Loans</t>
  </si>
  <si>
    <t>Individual Loans</t>
  </si>
  <si>
    <t>3,200,000,000 MMK</t>
  </si>
  <si>
    <t xml:space="preserve">Loans </t>
  </si>
  <si>
    <t>Fullerton Finance Myanmar Co., Ltd. was founded in November 2014. Mission of Fullerton: Our products are Simple, Convenient, and approval is fast, meeting our customers needs.</t>
  </si>
  <si>
    <t xml:space="preserve">Easy application requiring National Registration ID, home address proof.  </t>
  </si>
  <si>
    <t>For personal use, or to assist in micro business working capital.</t>
  </si>
  <si>
    <t>Minimum balance is not required</t>
  </si>
  <si>
    <r>
      <t>•</t>
    </r>
    <r>
      <rPr>
        <sz val="14"/>
        <color rgb="FF000000"/>
        <rFont val="Calibri"/>
        <family val="2"/>
      </rPr>
      <t>Solidarity Group Loans for groups of 5</t>
    </r>
  </si>
  <si>
    <r>
      <t>•</t>
    </r>
    <r>
      <rPr>
        <sz val="14"/>
        <color rgb="FF000000"/>
        <rFont val="Calibri"/>
        <family val="2"/>
      </rPr>
      <t xml:space="preserve">Loan sizes ranging from Myanmar Kyat 50,000 to 500,000, tenors ranging from 3 months to 12 months. </t>
    </r>
  </si>
  <si>
    <r>
      <t>•</t>
    </r>
    <r>
      <rPr>
        <sz val="14"/>
        <color rgb="FF000000"/>
        <rFont val="Calibri"/>
        <family val="2"/>
      </rPr>
      <t xml:space="preserve">For purchase of productive assets such as livestock, sewing machines, shop stock, agricultural seed, health or education needs. </t>
    </r>
  </si>
  <si>
    <r>
      <t>•</t>
    </r>
    <r>
      <rPr>
        <sz val="14"/>
        <color rgb="FF000000"/>
        <rFont val="Calibri"/>
        <family val="2"/>
      </rPr>
      <t xml:space="preserve">Easy application requiring National Registration ID, home address proof.  </t>
    </r>
  </si>
  <si>
    <r>
      <t>•</t>
    </r>
    <r>
      <rPr>
        <sz val="14"/>
        <color rgb="FF000000"/>
        <rFont val="Calibri"/>
        <family val="2"/>
      </rPr>
      <t>Individual loans, sizes ranging from Myanmar Kyat 50,000 to 500,000, tenors ranging from 6 months to 18 months.</t>
    </r>
  </si>
  <si>
    <r>
      <t>•</t>
    </r>
    <r>
      <rPr>
        <sz val="14"/>
        <color rgb="FF000000"/>
        <rFont val="Calibri"/>
        <family val="2"/>
      </rPr>
      <t>For personal use, or to assist in micro business working capital.</t>
    </r>
  </si>
  <si>
    <r>
      <t>•</t>
    </r>
    <r>
      <rPr>
        <sz val="14"/>
        <color rgb="FF000000"/>
        <rFont val="Calibri"/>
        <family val="2"/>
      </rPr>
      <t>Initial deposit only 1,000 Kyats</t>
    </r>
  </si>
  <si>
    <r>
      <t>•</t>
    </r>
    <r>
      <rPr>
        <sz val="14"/>
        <color rgb="FF000000"/>
        <rFont val="Calibri"/>
        <family val="2"/>
      </rPr>
      <t>Minimum balance is not required</t>
    </r>
  </si>
  <si>
    <t>Number of loans to new clients disbursed per month</t>
  </si>
  <si>
    <t>1 200</t>
  </si>
  <si>
    <t>721,2</t>
  </si>
  <si>
    <t>588,9</t>
  </si>
  <si>
    <t>463,1</t>
  </si>
  <si>
    <t>238,9</t>
  </si>
  <si>
    <t>1 028,1</t>
  </si>
  <si>
    <t>Bank</t>
  </si>
  <si>
    <t>Avarege laon amount</t>
  </si>
  <si>
    <r>
      <t>•Tenor</t>
    </r>
    <r>
      <rPr>
        <sz val="11"/>
        <color rgb="FF000000"/>
        <rFont val="Calibri"/>
        <family val="2"/>
      </rPr>
      <t xml:space="preserve"> period 1 - 18 m. Loan size 80$-1000$ for per member</t>
    </r>
  </si>
  <si>
    <r>
      <t>•</t>
    </r>
    <r>
      <rPr>
        <sz val="11"/>
        <color rgb="FF000000"/>
        <rFont val="Calibri"/>
        <family val="2"/>
      </rPr>
      <t>Tenor period 1 - 24 m. Loan size 80$ - 1600$</t>
    </r>
  </si>
  <si>
    <r>
      <t>•</t>
    </r>
    <r>
      <rPr>
        <sz val="11"/>
        <color rgb="FF000000"/>
        <rFont val="Calibri"/>
        <family val="2"/>
      </rPr>
      <t>Initial deposit only 1$</t>
    </r>
  </si>
  <si>
    <t>7 mln $</t>
  </si>
  <si>
    <t>250K $</t>
  </si>
  <si>
    <t>1 mln $</t>
  </si>
  <si>
    <t>794 K $</t>
  </si>
  <si>
    <t>Branches</t>
  </si>
  <si>
    <t xml:space="preserve">Loan sizes 40$ - 400$, tenor period 3 - 12 months. </t>
  </si>
  <si>
    <t>Loan sizes 40$ - 400$, tenors period 6 - 18 months.</t>
  </si>
  <si>
    <t>Initial deposit 1$</t>
  </si>
  <si>
    <t>2,6 mln USD</t>
  </si>
  <si>
    <t xml:space="preserve">Loan sizes 40$ - 400$, tenor period 6 - 12 months. </t>
  </si>
  <si>
    <t>6.6 mln USD</t>
  </si>
  <si>
    <t># sales monthly EOY 2016</t>
  </si>
  <si>
    <t>share of chanels</t>
  </si>
  <si>
    <t># sales monthly EOY 2017</t>
  </si>
  <si>
    <t># sales monthly EOY 2018</t>
  </si>
  <si>
    <t># sales monthly EOY 2019</t>
  </si>
  <si>
    <t>Pawnshops and unofficial money lenders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</si>
</sst>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7" x14ac:knownFonts="1">
    <font>
      <sz val="11"/>
      <color theme="1"/>
      <name val="Calibri"/>
      <family val="2"/>
      <scheme val="minor"/>
    </font>
    <font>
      <sz val="11"/>
      <color theme="1"/>
      <name val="Calibri"/>
      <family val="2"/>
      <scheme val="minor"/>
    </font>
    <font>
      <sz val="18"/>
      <name val="Arial"/>
      <family val="2"/>
    </font>
    <font>
      <b/>
      <sz val="12"/>
      <color rgb="FFFFFFFF"/>
      <name val="Calibri"/>
      <family val="2"/>
    </font>
    <font>
      <sz val="12"/>
      <color rgb="FF000000"/>
      <name val="Calibri"/>
      <family val="2"/>
    </font>
    <font>
      <sz val="14"/>
      <color rgb="FF000000"/>
      <name val="Calibri"/>
      <family val="2"/>
    </font>
    <font>
      <sz val="16"/>
      <color rgb="FFFFFFFF"/>
      <name val="Calibri"/>
      <family val="2"/>
    </font>
    <font>
      <sz val="11"/>
      <color rgb="FF000000"/>
      <name val="Calibri"/>
      <family val="2"/>
    </font>
    <font>
      <sz val="11"/>
      <name val="Arial"/>
      <family val="2"/>
    </font>
    <font>
      <sz val="11"/>
      <color rgb="FF000000"/>
      <name val="Calibri"/>
      <family val="2"/>
    </font>
    <font>
      <sz val="16"/>
      <color rgb="FFFFFFFF"/>
      <name val="Calibri"/>
      <family val="2"/>
    </font>
    <font>
      <sz val="14"/>
      <color rgb="FFFFFFFF"/>
      <name val="Calibri"/>
      <family val="2"/>
    </font>
    <font>
      <sz val="14"/>
      <name val="Arial"/>
      <family val="2"/>
    </font>
    <font>
      <b/>
      <sz val="12"/>
      <color rgb="FFFFFFFF"/>
      <name val="Calibri"/>
      <family val="2"/>
    </font>
    <font>
      <sz val="12"/>
      <color rgb="FF000000"/>
      <name val="Calibri"/>
      <family val="2"/>
    </font>
    <font>
      <sz val="12"/>
      <color rgb="FF000000"/>
      <name val="Calibri"/>
      <family val="2"/>
      <charset val="204"/>
    </font>
    <font>
      <b/>
      <sz val="12"/>
      <color rgb="FF000000"/>
      <name val="Calibri"/>
      <family val="2"/>
      <charset val="204"/>
    </font>
  </fonts>
  <fills count="5">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style="medium">
        <color rgb="FFFFFFFF"/>
      </left>
      <right style="medium">
        <color rgb="FFFFFFFF"/>
      </right>
      <top style="medium">
        <color rgb="FFFFFFFF"/>
      </top>
      <bottom style="thick">
        <color rgb="FFFFFFF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21">
    <xf numFmtId="0" fontId="0" fillId="0" borderId="0" xfId="0"/>
    <xf numFmtId="3" fontId="0" fillId="0" borderId="0" xfId="0" applyNumberFormat="1"/>
    <xf numFmtId="10" fontId="0" fillId="0" borderId="0" xfId="0" applyNumberFormat="1"/>
    <xf numFmtId="0" fontId="0" fillId="0" borderId="1" xfId="0" applyBorder="1"/>
    <xf numFmtId="3" fontId="0" fillId="0" borderId="1" xfId="0" applyNumberFormat="1" applyBorder="1" applyAlignment="1">
      <alignment horizontal="right"/>
    </xf>
    <xf numFmtId="3" fontId="0" fillId="0" borderId="1" xfId="0" applyNumberFormat="1" applyBorder="1"/>
    <xf numFmtId="0" fontId="0" fillId="0" borderId="1" xfId="0" applyBorder="1" applyAlignment="1">
      <alignment horizontal="center" vertical="center" wrapText="1"/>
    </xf>
    <xf numFmtId="164" fontId="0" fillId="0" borderId="0" xfId="1" applyFont="1"/>
    <xf numFmtId="39" fontId="0" fillId="0" borderId="1" xfId="1" applyNumberFormat="1" applyFont="1" applyBorder="1"/>
    <xf numFmtId="10" fontId="0" fillId="0" borderId="0" xfId="2" applyNumberFormat="1" applyFont="1"/>
    <xf numFmtId="10" fontId="0" fillId="0" borderId="1" xfId="2" applyNumberFormat="1" applyFont="1" applyBorder="1"/>
    <xf numFmtId="4" fontId="0" fillId="0" borderId="1" xfId="0" applyNumberFormat="1" applyBorder="1" applyAlignment="1">
      <alignment horizontal="right"/>
    </xf>
    <xf numFmtId="1" fontId="0" fillId="0" borderId="0" xfId="0" applyNumberFormat="1"/>
    <xf numFmtId="10" fontId="0" fillId="0" borderId="1" xfId="0" applyNumberFormat="1" applyBorder="1"/>
    <xf numFmtId="4" fontId="0" fillId="0" borderId="1" xfId="0" applyNumberFormat="1" applyBorder="1"/>
    <xf numFmtId="4" fontId="0" fillId="0" borderId="0" xfId="0" applyNumberFormat="1" applyFill="1" applyBorder="1"/>
    <xf numFmtId="4" fontId="0" fillId="0" borderId="0" xfId="0" applyNumberFormat="1"/>
    <xf numFmtId="49" fontId="0" fillId="0" borderId="0" xfId="0" applyNumberFormat="1"/>
    <xf numFmtId="0" fontId="0" fillId="0" borderId="1" xfId="0" applyBorder="1" applyAlignment="1">
      <alignment horizontal="center"/>
    </xf>
    <xf numFmtId="49" fontId="0" fillId="0" borderId="1" xfId="0" applyNumberFormat="1" applyBorder="1" applyAlignment="1">
      <alignment horizontal="right"/>
    </xf>
    <xf numFmtId="0" fontId="3" fillId="2" borderId="2"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4" fillId="3" borderId="4" xfId="0" applyFont="1" applyFill="1" applyBorder="1" applyAlignment="1">
      <alignment horizontal="left" vertical="center" wrapText="1" readingOrder="1"/>
    </xf>
    <xf numFmtId="0" fontId="4" fillId="4" borderId="5" xfId="0" applyFont="1" applyFill="1" applyBorder="1" applyAlignment="1">
      <alignment horizontal="left" vertical="center" wrapText="1" readingOrder="1"/>
    </xf>
    <xf numFmtId="0" fontId="4" fillId="3" borderId="5" xfId="0" applyFont="1" applyFill="1" applyBorder="1" applyAlignment="1">
      <alignment horizontal="left" vertical="center" wrapText="1" readingOrder="1"/>
    </xf>
    <xf numFmtId="0" fontId="2" fillId="3" borderId="5" xfId="0" applyFont="1" applyFill="1" applyBorder="1" applyAlignment="1">
      <alignment vertical="top" wrapText="1"/>
    </xf>
    <xf numFmtId="3" fontId="4" fillId="3" borderId="5" xfId="0" applyNumberFormat="1" applyFont="1" applyFill="1" applyBorder="1" applyAlignment="1">
      <alignment horizontal="center" vertical="center" wrapText="1" readingOrder="1"/>
    </xf>
    <xf numFmtId="9" fontId="0" fillId="0" borderId="0" xfId="0" applyNumberFormat="1"/>
    <xf numFmtId="9" fontId="4" fillId="3" borderId="6" xfId="0" applyNumberFormat="1" applyFont="1" applyFill="1" applyBorder="1" applyAlignment="1">
      <alignment horizontal="center" vertical="center" wrapText="1" readingOrder="1"/>
    </xf>
    <xf numFmtId="3" fontId="4" fillId="4" borderId="5" xfId="0" applyNumberFormat="1" applyFont="1" applyFill="1" applyBorder="1" applyAlignment="1">
      <alignment horizontal="center" vertical="center" wrapText="1" readingOrder="1"/>
    </xf>
    <xf numFmtId="0" fontId="5" fillId="2" borderId="7" xfId="0" applyFont="1" applyFill="1" applyBorder="1" applyAlignment="1">
      <alignment horizontal="center" vertical="center" wrapText="1" readingOrder="1"/>
    </xf>
    <xf numFmtId="0" fontId="5" fillId="0" borderId="9" xfId="0" applyFont="1" applyBorder="1" applyAlignment="1">
      <alignment horizontal="center" vertical="center" wrapText="1" readingOrder="1"/>
    </xf>
    <xf numFmtId="17" fontId="5" fillId="2" borderId="8" xfId="0" applyNumberFormat="1" applyFont="1" applyFill="1" applyBorder="1" applyAlignment="1">
      <alignment horizontal="center" vertical="center" wrapText="1" readingOrder="1"/>
    </xf>
    <xf numFmtId="0" fontId="6" fillId="2" borderId="5" xfId="0" applyFont="1" applyFill="1" applyBorder="1" applyAlignment="1">
      <alignment horizontal="left" vertical="center" wrapText="1" readingOrder="1"/>
    </xf>
    <xf numFmtId="0" fontId="6" fillId="2" borderId="2" xfId="0" applyFont="1" applyFill="1" applyBorder="1" applyAlignment="1">
      <alignment horizontal="left" vertical="center" wrapText="1" readingOrder="1"/>
    </xf>
    <xf numFmtId="0" fontId="7" fillId="3" borderId="5" xfId="0" applyFont="1" applyFill="1" applyBorder="1" applyAlignment="1">
      <alignment horizontal="left" vertical="center" wrapText="1" readingOrder="1"/>
    </xf>
    <xf numFmtId="0" fontId="7" fillId="4" borderId="5" xfId="0" applyFont="1" applyFill="1" applyBorder="1" applyAlignment="1">
      <alignment horizontal="left" vertical="center" wrapText="1" readingOrder="1"/>
    </xf>
    <xf numFmtId="0" fontId="9" fillId="3" borderId="5" xfId="0" applyFont="1" applyFill="1" applyBorder="1" applyAlignment="1">
      <alignment horizontal="left" vertical="center" wrapText="1" readingOrder="1"/>
    </xf>
    <xf numFmtId="0" fontId="9" fillId="4" borderId="5" xfId="0" applyFont="1" applyFill="1" applyBorder="1" applyAlignment="1">
      <alignment horizontal="left" vertical="center" wrapText="1" readingOrder="1"/>
    </xf>
    <xf numFmtId="0" fontId="9" fillId="4" borderId="5"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11" fillId="2" borderId="5" xfId="0" applyFont="1" applyFill="1" applyBorder="1" applyAlignment="1">
      <alignment horizontal="left" vertical="center" wrapText="1" readingOrder="1"/>
    </xf>
    <xf numFmtId="0" fontId="5" fillId="3" borderId="5" xfId="0" applyFont="1" applyFill="1" applyBorder="1" applyAlignment="1">
      <alignment horizontal="left" vertical="center" wrapText="1" readingOrder="1"/>
    </xf>
    <xf numFmtId="0" fontId="5" fillId="4" borderId="5" xfId="0" applyFont="1" applyFill="1" applyBorder="1" applyAlignment="1">
      <alignment horizontal="left" vertical="center" wrapText="1" readingOrder="1"/>
    </xf>
    <xf numFmtId="0" fontId="11" fillId="2" borderId="2" xfId="0" applyFont="1" applyFill="1" applyBorder="1" applyAlignment="1">
      <alignment horizontal="left" vertical="center" wrapText="1" readingOrder="1"/>
    </xf>
    <xf numFmtId="4" fontId="13" fillId="2" borderId="23" xfId="0" applyNumberFormat="1" applyFont="1" applyFill="1" applyBorder="1" applyAlignment="1">
      <alignment horizontal="center" vertical="center" wrapText="1" readingOrder="1"/>
    </xf>
    <xf numFmtId="4" fontId="14" fillId="3" borderId="4" xfId="0" applyNumberFormat="1" applyFont="1" applyFill="1" applyBorder="1" applyAlignment="1">
      <alignment horizontal="center" vertical="center" wrapText="1" readingOrder="1"/>
    </xf>
    <xf numFmtId="4" fontId="14" fillId="4" borderId="5" xfId="0" applyNumberFormat="1" applyFont="1" applyFill="1" applyBorder="1" applyAlignment="1">
      <alignment horizontal="center" vertical="center" wrapText="1" readingOrder="1"/>
    </xf>
    <xf numFmtId="4" fontId="14" fillId="3" borderId="5" xfId="0" applyNumberFormat="1" applyFont="1" applyFill="1" applyBorder="1" applyAlignment="1">
      <alignment horizontal="center" vertical="center" wrapText="1" readingOrder="1"/>
    </xf>
    <xf numFmtId="0" fontId="6" fillId="2" borderId="2" xfId="0" applyFont="1" applyFill="1" applyBorder="1" applyAlignment="1">
      <alignment horizontal="left" vertical="center" wrapText="1" readingOrder="1"/>
    </xf>
    <xf numFmtId="0" fontId="5" fillId="0" borderId="10"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9" fontId="4" fillId="3" borderId="5" xfId="0" applyNumberFormat="1" applyFont="1" applyFill="1" applyBorder="1" applyAlignment="1">
      <alignment horizontal="center" vertical="center" wrapText="1" readingOrder="1"/>
    </xf>
    <xf numFmtId="9" fontId="4" fillId="4" borderId="5" xfId="0" applyNumberFormat="1" applyFont="1" applyFill="1" applyBorder="1" applyAlignment="1">
      <alignment horizontal="center" vertical="center" wrapText="1" readingOrder="1"/>
    </xf>
    <xf numFmtId="0" fontId="5" fillId="0" borderId="26" xfId="0" applyFont="1" applyBorder="1" applyAlignment="1">
      <alignment horizontal="center" vertical="center" wrapText="1" readingOrder="1"/>
    </xf>
    <xf numFmtId="0" fontId="5" fillId="0" borderId="27" xfId="0" applyFont="1" applyBorder="1" applyAlignment="1">
      <alignment horizontal="center" vertical="center" wrapText="1" readingOrder="1"/>
    </xf>
    <xf numFmtId="0" fontId="5" fillId="0" borderId="10"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0" fillId="0" borderId="1" xfId="0" applyBorder="1" applyAlignment="1">
      <alignment horizontal="center" vertical="center" wrapText="1"/>
    </xf>
    <xf numFmtId="0" fontId="15" fillId="0" borderId="28" xfId="0" applyFont="1" applyBorder="1" applyAlignment="1">
      <alignment horizontal="center" vertical="center" wrapText="1" readingOrder="1"/>
    </xf>
    <xf numFmtId="0" fontId="15" fillId="0" borderId="28" xfId="0" applyFont="1" applyBorder="1" applyAlignment="1">
      <alignment horizontal="right" wrapText="1" readingOrder="1"/>
    </xf>
    <xf numFmtId="0" fontId="15" fillId="0" borderId="28" xfId="0" applyFont="1" applyBorder="1" applyAlignment="1">
      <alignment horizontal="left" wrapText="1" readingOrder="1"/>
    </xf>
    <xf numFmtId="3" fontId="15" fillId="0" borderId="28" xfId="0" applyNumberFormat="1" applyFont="1" applyBorder="1" applyAlignment="1">
      <alignment horizontal="right" wrapText="1" readingOrder="1"/>
    </xf>
    <xf numFmtId="10" fontId="15" fillId="0" borderId="28" xfId="0" applyNumberFormat="1" applyFont="1" applyBorder="1" applyAlignment="1">
      <alignment horizontal="right" wrapText="1" readingOrder="1"/>
    </xf>
    <xf numFmtId="0" fontId="16" fillId="0" borderId="28" xfId="0" applyFont="1" applyBorder="1" applyAlignment="1">
      <alignment horizontal="right" wrapText="1" readingOrder="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5" fillId="0" borderId="29" xfId="0" applyFont="1" applyBorder="1" applyAlignment="1">
      <alignment horizontal="center" vertical="center" wrapText="1" readingOrder="1"/>
    </xf>
    <xf numFmtId="0" fontId="15" fillId="0" borderId="30" xfId="0" applyFont="1" applyBorder="1" applyAlignment="1">
      <alignment horizontal="center" vertical="center" wrapText="1" readingOrder="1"/>
    </xf>
    <xf numFmtId="0" fontId="15" fillId="0" borderId="31" xfId="0" applyFont="1" applyBorder="1" applyAlignment="1">
      <alignment horizontal="center" vertical="center" wrapText="1" readingOrder="1"/>
    </xf>
    <xf numFmtId="0" fontId="15" fillId="0" borderId="10" xfId="0" applyFont="1" applyBorder="1" applyAlignment="1">
      <alignment horizontal="center" vertical="center" wrapText="1" readingOrder="1"/>
    </xf>
    <xf numFmtId="0" fontId="15" fillId="0" borderId="32" xfId="0" applyFont="1" applyBorder="1" applyAlignment="1">
      <alignment horizontal="center" vertical="center" wrapText="1" readingOrder="1"/>
    </xf>
    <xf numFmtId="0" fontId="0" fillId="0" borderId="1" xfId="0" applyFont="1" applyBorder="1" applyAlignment="1">
      <alignment horizontal="center" vertical="center" wrapText="1"/>
    </xf>
    <xf numFmtId="0" fontId="5" fillId="0" borderId="14" xfId="0" applyFont="1" applyBorder="1" applyAlignment="1">
      <alignment horizontal="center" vertical="center" wrapText="1" readingOrder="1"/>
    </xf>
    <xf numFmtId="0" fontId="5" fillId="0" borderId="15" xfId="0" applyFont="1" applyBorder="1" applyAlignment="1">
      <alignment horizontal="center" vertical="center" wrapText="1" readingOrder="1"/>
    </xf>
    <xf numFmtId="0" fontId="3" fillId="2" borderId="20" xfId="0" applyFont="1" applyFill="1" applyBorder="1" applyAlignment="1">
      <alignment horizontal="center" vertical="center" wrapText="1" readingOrder="1"/>
    </xf>
    <xf numFmtId="0" fontId="0" fillId="0" borderId="21" xfId="0"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0"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7" fillId="3" borderId="16" xfId="0" applyFont="1" applyFill="1" applyBorder="1" applyAlignment="1">
      <alignment horizontal="left" vertical="center" wrapText="1" readingOrder="1"/>
    </xf>
    <xf numFmtId="0" fontId="7" fillId="3" borderId="17" xfId="0" applyFont="1" applyFill="1" applyBorder="1" applyAlignment="1">
      <alignment horizontal="left" vertical="center" wrapText="1" readingOrder="1"/>
    </xf>
    <xf numFmtId="0" fontId="10" fillId="2" borderId="2" xfId="0" applyFont="1" applyFill="1" applyBorder="1" applyAlignment="1">
      <alignment horizontal="left" vertical="center" wrapText="1" readingOrder="1"/>
    </xf>
    <xf numFmtId="0" fontId="6" fillId="2" borderId="18" xfId="0" applyFont="1" applyFill="1" applyBorder="1" applyAlignment="1">
      <alignment horizontal="left" vertical="center" wrapText="1" readingOrder="1"/>
    </xf>
    <xf numFmtId="0" fontId="8" fillId="4" borderId="20" xfId="0" applyFont="1" applyFill="1" applyBorder="1" applyAlignment="1">
      <alignment horizontal="left" vertical="center" wrapText="1" indent="1" readingOrder="1"/>
    </xf>
    <xf numFmtId="0" fontId="8" fillId="4" borderId="21" xfId="0" applyFont="1" applyFill="1" applyBorder="1" applyAlignment="1">
      <alignment horizontal="left" vertical="center" wrapText="1" indent="1" readingOrder="1"/>
    </xf>
    <xf numFmtId="0" fontId="7" fillId="4" borderId="6" xfId="0" applyFont="1" applyFill="1" applyBorder="1" applyAlignment="1">
      <alignment horizontal="left" vertical="center" wrapText="1" readingOrder="1"/>
    </xf>
    <xf numFmtId="0" fontId="7" fillId="4" borderId="22" xfId="0" applyFont="1" applyFill="1" applyBorder="1" applyAlignment="1">
      <alignment horizontal="left" vertical="center" wrapText="1" readingOrder="1"/>
    </xf>
    <xf numFmtId="0" fontId="8" fillId="4" borderId="6" xfId="0" applyFont="1" applyFill="1" applyBorder="1" applyAlignment="1">
      <alignment horizontal="left" vertical="center" wrapText="1" indent="1" readingOrder="1"/>
    </xf>
    <xf numFmtId="0" fontId="8" fillId="4" borderId="22" xfId="0" applyFont="1" applyFill="1" applyBorder="1" applyAlignment="1">
      <alignment horizontal="left" vertical="center" wrapText="1" indent="1" readingOrder="1"/>
    </xf>
    <xf numFmtId="0" fontId="8" fillId="3" borderId="6" xfId="0" applyFont="1" applyFill="1" applyBorder="1" applyAlignment="1">
      <alignment horizontal="left" vertical="center" wrapText="1" indent="1" readingOrder="1"/>
    </xf>
    <xf numFmtId="0" fontId="8" fillId="3" borderId="22" xfId="0" applyFont="1" applyFill="1" applyBorder="1" applyAlignment="1">
      <alignment horizontal="left" vertical="center" wrapText="1" indent="1" readingOrder="1"/>
    </xf>
    <xf numFmtId="0" fontId="6" fillId="2" borderId="2" xfId="0" applyFont="1" applyFill="1" applyBorder="1" applyAlignment="1">
      <alignment horizontal="left" vertical="center" wrapText="1" readingOrder="1"/>
    </xf>
    <xf numFmtId="0" fontId="6" fillId="2" borderId="19" xfId="0" applyFont="1" applyFill="1" applyBorder="1" applyAlignment="1">
      <alignment horizontal="left" vertical="center" wrapText="1" readingOrder="1"/>
    </xf>
    <xf numFmtId="0" fontId="7" fillId="3" borderId="20" xfId="0" applyFont="1" applyFill="1" applyBorder="1" applyAlignment="1">
      <alignment horizontal="left" vertical="center" wrapText="1" readingOrder="1"/>
    </xf>
    <xf numFmtId="0" fontId="7" fillId="3" borderId="21" xfId="0" applyFont="1" applyFill="1" applyBorder="1" applyAlignment="1">
      <alignment horizontal="left" vertical="center" wrapText="1" readingOrder="1"/>
    </xf>
    <xf numFmtId="0" fontId="7" fillId="3" borderId="6" xfId="0" applyFont="1" applyFill="1" applyBorder="1" applyAlignment="1">
      <alignment horizontal="left" vertical="center" wrapText="1" indent="1" readingOrder="1"/>
    </xf>
    <xf numFmtId="0" fontId="9" fillId="3" borderId="6" xfId="0" applyFont="1" applyFill="1" applyBorder="1" applyAlignment="1">
      <alignment horizontal="left" vertical="center" wrapText="1" indent="1" readingOrder="1"/>
    </xf>
    <xf numFmtId="0" fontId="9" fillId="3" borderId="16" xfId="0" applyFont="1" applyFill="1" applyBorder="1" applyAlignment="1">
      <alignment horizontal="left" vertical="center" wrapText="1" readingOrder="1"/>
    </xf>
    <xf numFmtId="0" fontId="7" fillId="4" borderId="6" xfId="0" applyFont="1" applyFill="1" applyBorder="1" applyAlignment="1">
      <alignment horizontal="left" vertical="center" wrapText="1" indent="1" readingOrder="1"/>
    </xf>
    <xf numFmtId="0" fontId="9" fillId="3" borderId="20" xfId="0" applyFont="1" applyFill="1" applyBorder="1" applyAlignment="1">
      <alignment horizontal="left" vertical="center" wrapText="1" readingOrder="1"/>
    </xf>
    <xf numFmtId="0" fontId="9" fillId="4" borderId="20" xfId="0" applyFont="1" applyFill="1" applyBorder="1" applyAlignment="1">
      <alignment horizontal="left" vertical="center" wrapText="1" readingOrder="1"/>
    </xf>
    <xf numFmtId="0" fontId="8" fillId="4" borderId="21" xfId="0" applyFont="1" applyFill="1" applyBorder="1" applyAlignment="1">
      <alignment horizontal="left" vertical="center" wrapText="1" readingOrder="1"/>
    </xf>
    <xf numFmtId="0" fontId="9" fillId="4" borderId="6" xfId="0" applyFont="1" applyFill="1" applyBorder="1" applyAlignment="1">
      <alignment horizontal="left" vertical="center" wrapText="1" indent="1" readingOrder="1"/>
    </xf>
    <xf numFmtId="0" fontId="9" fillId="4" borderId="22" xfId="0" applyFont="1" applyFill="1" applyBorder="1" applyAlignment="1">
      <alignment horizontal="left" vertical="center" wrapText="1" indent="1" readingOrder="1"/>
    </xf>
    <xf numFmtId="0" fontId="7" fillId="4" borderId="22" xfId="0" applyFont="1" applyFill="1" applyBorder="1" applyAlignment="1">
      <alignment horizontal="left" vertical="center" wrapText="1" indent="1" readingOrder="1"/>
    </xf>
    <xf numFmtId="0" fontId="5" fillId="3" borderId="16" xfId="0" applyFont="1" applyFill="1" applyBorder="1" applyAlignment="1">
      <alignment horizontal="left" vertical="center" wrapText="1" readingOrder="1"/>
    </xf>
    <xf numFmtId="0" fontId="5" fillId="3" borderId="17" xfId="0" applyFont="1" applyFill="1" applyBorder="1" applyAlignment="1">
      <alignment horizontal="left" vertical="center" wrapText="1" readingOrder="1"/>
    </xf>
    <xf numFmtId="0" fontId="5" fillId="4" borderId="6" xfId="0" applyFont="1" applyFill="1" applyBorder="1" applyAlignment="1">
      <alignment horizontal="left" vertical="center" wrapText="1" readingOrder="1"/>
    </xf>
    <xf numFmtId="0" fontId="5" fillId="4" borderId="22" xfId="0" applyFont="1" applyFill="1" applyBorder="1" applyAlignment="1">
      <alignment horizontal="left" vertical="center" wrapText="1" readingOrder="1"/>
    </xf>
    <xf numFmtId="0" fontId="12" fillId="4" borderId="6" xfId="0" applyFont="1" applyFill="1" applyBorder="1" applyAlignment="1">
      <alignment horizontal="left" vertical="center" wrapText="1" indent="1" readingOrder="1"/>
    </xf>
    <xf numFmtId="0" fontId="12" fillId="4" borderId="22" xfId="0" applyFont="1" applyFill="1" applyBorder="1" applyAlignment="1">
      <alignment horizontal="left" vertical="center" wrapText="1" indent="1" readingOrder="1"/>
    </xf>
    <xf numFmtId="0" fontId="11" fillId="2" borderId="2" xfId="0" applyFont="1" applyFill="1" applyBorder="1" applyAlignment="1">
      <alignment horizontal="left" vertical="center" wrapText="1" readingOrder="1"/>
    </xf>
    <xf numFmtId="0" fontId="11" fillId="2" borderId="18" xfId="0" applyFont="1" applyFill="1" applyBorder="1" applyAlignment="1">
      <alignment horizontal="left" vertical="center" wrapText="1" readingOrder="1"/>
    </xf>
    <xf numFmtId="0" fontId="5" fillId="3" borderId="20" xfId="0" applyFont="1" applyFill="1" applyBorder="1" applyAlignment="1">
      <alignment horizontal="left" vertical="center" wrapText="1" readingOrder="1"/>
    </xf>
    <xf numFmtId="0" fontId="5" fillId="3" borderId="21" xfId="0" applyFont="1" applyFill="1" applyBorder="1" applyAlignment="1">
      <alignment horizontal="left" vertical="center" wrapText="1" readingOrder="1"/>
    </xf>
    <xf numFmtId="0" fontId="12" fillId="3" borderId="6" xfId="0" applyFont="1" applyFill="1" applyBorder="1" applyAlignment="1">
      <alignment horizontal="left" vertical="center" wrapText="1" indent="1" readingOrder="1"/>
    </xf>
    <xf numFmtId="0" fontId="12" fillId="3" borderId="22" xfId="0" applyFont="1" applyFill="1" applyBorder="1" applyAlignment="1">
      <alignment horizontal="left" vertical="center" wrapText="1" indent="1" readingOrder="1"/>
    </xf>
  </cellXfs>
  <cellStyles count="3">
    <cellStyle name="Обычный" xfId="0" builtinId="0"/>
    <cellStyle name="Процентный" xfId="2" builtinId="5"/>
    <cellStyle name="Финансовый" xfId="1" builtinId="3"/>
  </cellStyles>
  <dxfs count="0"/>
  <tableStyles count="0" defaultTableStyle="TableStyleMedium2" defaultPivotStyle="PivotStyleLight16"/>
  <colors>
    <mruColors>
      <color rgb="FF66CCFF"/>
      <color rgb="FFCCFFFF"/>
      <color rgb="FFCCCC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39718746496889E-2"/>
          <c:y val="0.1287807205917442"/>
          <c:w val="0.90315988851908979"/>
          <c:h val="0.79138671302450825"/>
        </c:manualLayout>
      </c:layout>
      <c:barChart>
        <c:barDir val="col"/>
        <c:grouping val="clustered"/>
        <c:varyColors val="0"/>
        <c:ser>
          <c:idx val="1"/>
          <c:order val="0"/>
          <c:tx>
            <c:strRef>
              <c:f>Sheet1!$C$2</c:f>
              <c:strCache>
                <c:ptCount val="1"/>
                <c:pt idx="0">
                  <c:v>MFI</c:v>
                </c:pt>
              </c:strCache>
            </c:strRef>
          </c:tx>
          <c:spPr>
            <a:solidFill>
              <a:srgbClr val="66CCFF"/>
            </a:solidFill>
          </c:spPr>
          <c:invertIfNegative val="0"/>
          <c:dLbls>
            <c:dLbl>
              <c:idx val="1"/>
              <c:layout>
                <c:manualLayout>
                  <c:x val="-1.4134275618374558E-2"/>
                  <c:y val="2.58899676375395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36-4ED2-86B2-BC0607A398C2}"/>
                </c:ext>
              </c:extLst>
            </c:dLbl>
            <c:dLbl>
              <c:idx val="2"/>
              <c:layout>
                <c:manualLayout>
                  <c:x val="-1.413427561837455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36-4ED2-86B2-BC0607A398C2}"/>
                </c:ext>
              </c:extLst>
            </c:dLbl>
            <c:dLbl>
              <c:idx val="3"/>
              <c:layout>
                <c:manualLayout>
                  <c:x val="-1.4134275618374558E-2"/>
                  <c:y val="9.49287847122267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36-4ED2-86B2-BC0607A398C2}"/>
                </c:ext>
              </c:extLst>
            </c:dLbl>
            <c:dLbl>
              <c:idx val="4"/>
              <c:layout>
                <c:manualLayout>
                  <c:x val="-1.8845700824499528E-2"/>
                  <c:y val="7.76699029126213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36-4ED2-86B2-BC0607A398C2}"/>
                </c:ext>
              </c:extLst>
            </c:dLbl>
            <c:spPr>
              <a:noFill/>
              <a:ln>
                <a:noFill/>
              </a:ln>
              <a:effectLst/>
            </c:spPr>
            <c:txPr>
              <a:bodyPr/>
              <a:lstStyle/>
              <a:p>
                <a:pPr>
                  <a:defRPr sz="900" b="1"/>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Sheet1!$B$3:$B$7</c:f>
              <c:numCache>
                <c:formatCode>General</c:formatCode>
                <c:ptCount val="5"/>
                <c:pt idx="0">
                  <c:v>2016</c:v>
                </c:pt>
                <c:pt idx="1">
                  <c:v>2017</c:v>
                </c:pt>
                <c:pt idx="2">
                  <c:v>2018</c:v>
                </c:pt>
                <c:pt idx="3">
                  <c:v>2019</c:v>
                </c:pt>
                <c:pt idx="4">
                  <c:v>2020</c:v>
                </c:pt>
              </c:numCache>
            </c:numRef>
          </c:cat>
          <c:val>
            <c:numRef>
              <c:f>Sheet1!$C$3:$C$7</c:f>
              <c:numCache>
                <c:formatCode>#,##0</c:formatCode>
                <c:ptCount val="5"/>
                <c:pt idx="0">
                  <c:v>288.3304</c:v>
                </c:pt>
                <c:pt idx="1">
                  <c:v>343.01587301587301</c:v>
                </c:pt>
                <c:pt idx="2">
                  <c:v>474.0787401574803</c:v>
                </c:pt>
                <c:pt idx="3">
                  <c:v>621.31317829457362</c:v>
                </c:pt>
                <c:pt idx="4">
                  <c:v>801.60465116279067</c:v>
                </c:pt>
              </c:numCache>
            </c:numRef>
          </c:val>
          <c:extLst>
            <c:ext xmlns:c16="http://schemas.microsoft.com/office/drawing/2014/chart" uri="{C3380CC4-5D6E-409C-BE32-E72D297353CC}">
              <c16:uniqueId val="{00000004-B536-4ED2-86B2-BC0607A398C2}"/>
            </c:ext>
          </c:extLst>
        </c:ser>
        <c:ser>
          <c:idx val="2"/>
          <c:order val="1"/>
          <c:tx>
            <c:strRef>
              <c:f>Sheet1!$D$2</c:f>
              <c:strCache>
                <c:ptCount val="1"/>
                <c:pt idx="0">
                  <c:v>Bank</c:v>
                </c:pt>
              </c:strCache>
            </c:strRef>
          </c:tx>
          <c:spPr>
            <a:solidFill>
              <a:srgbClr val="CCCCFF"/>
            </a:solidFill>
          </c:spPr>
          <c:invertIfNegative val="0"/>
          <c:dLbls>
            <c:dLbl>
              <c:idx val="0"/>
              <c:layout>
                <c:manualLayout>
                  <c:x val="-5.8910162002945507E-3"/>
                  <c:y val="2.07792207792207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36-4ED2-86B2-BC0607A398C2}"/>
                </c:ext>
              </c:extLst>
            </c:dLbl>
            <c:spPr>
              <a:noFill/>
              <a:ln>
                <a:noFill/>
              </a:ln>
              <a:effectLst/>
            </c:spPr>
            <c:txPr>
              <a:bodyPr/>
              <a:lstStyle/>
              <a:p>
                <a:pPr>
                  <a:defRPr sz="900" b="1"/>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Sheet1!$B$3:$B$7</c:f>
              <c:numCache>
                <c:formatCode>General</c:formatCode>
                <c:ptCount val="5"/>
                <c:pt idx="0">
                  <c:v>2016</c:v>
                </c:pt>
                <c:pt idx="1">
                  <c:v>2017</c:v>
                </c:pt>
                <c:pt idx="2">
                  <c:v>2018</c:v>
                </c:pt>
                <c:pt idx="3">
                  <c:v>2019</c:v>
                </c:pt>
                <c:pt idx="4">
                  <c:v>2020</c:v>
                </c:pt>
              </c:numCache>
            </c:numRef>
          </c:cat>
          <c:val>
            <c:numRef>
              <c:f>Sheet1!$D$3:$D$7</c:f>
              <c:numCache>
                <c:formatCode>#,##0</c:formatCode>
                <c:ptCount val="5"/>
                <c:pt idx="0">
                  <c:v>2640</c:v>
                </c:pt>
                <c:pt idx="1">
                  <c:v>2904</c:v>
                </c:pt>
                <c:pt idx="2">
                  <c:v>3194.4</c:v>
                </c:pt>
                <c:pt idx="3">
                  <c:v>3513.84</c:v>
                </c:pt>
                <c:pt idx="4">
                  <c:v>3865.2240000000002</c:v>
                </c:pt>
              </c:numCache>
            </c:numRef>
          </c:val>
          <c:extLst>
            <c:ext xmlns:c16="http://schemas.microsoft.com/office/drawing/2014/chart" uri="{C3380CC4-5D6E-409C-BE32-E72D297353CC}">
              <c16:uniqueId val="{00000006-B536-4ED2-86B2-BC0607A398C2}"/>
            </c:ext>
          </c:extLst>
        </c:ser>
        <c:ser>
          <c:idx val="3"/>
          <c:order val="2"/>
          <c:tx>
            <c:strRef>
              <c:f>Sheet1!$E$2</c:f>
              <c:strCache>
                <c:ptCount val="1"/>
                <c:pt idx="0">
                  <c:v>Pawnshops and unofficial money lenders</c:v>
                </c:pt>
              </c:strCache>
            </c:strRef>
          </c:tx>
          <c:spPr>
            <a:solidFill>
              <a:schemeClr val="accent2">
                <a:lumMod val="60000"/>
                <a:lumOff val="40000"/>
              </a:schemeClr>
            </a:solidFill>
          </c:spPr>
          <c:invertIfNegative val="0"/>
          <c:dLbls>
            <c:dLbl>
              <c:idx val="3"/>
              <c:layout>
                <c:manualLayout>
                  <c:x val="9.818360333824251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36-4ED2-86B2-BC0607A398C2}"/>
                </c:ext>
              </c:extLst>
            </c:dLbl>
            <c:dLbl>
              <c:idx val="4"/>
              <c:layout>
                <c:manualLayout>
                  <c:x val="1.5709376534118802E-2"/>
                  <c:y val="-1.7316017316017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536-4ED2-86B2-BC0607A398C2}"/>
                </c:ext>
              </c:extLst>
            </c:dLbl>
            <c:spPr>
              <a:noFill/>
              <a:ln>
                <a:noFill/>
              </a:ln>
              <a:effectLst/>
            </c:spPr>
            <c:txPr>
              <a:bodyPr/>
              <a:lstStyle/>
              <a:p>
                <a:pPr>
                  <a:defRPr sz="900" b="1"/>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Sheet1!$B$3:$B$7</c:f>
              <c:numCache>
                <c:formatCode>General</c:formatCode>
                <c:ptCount val="5"/>
                <c:pt idx="0">
                  <c:v>2016</c:v>
                </c:pt>
                <c:pt idx="1">
                  <c:v>2017</c:v>
                </c:pt>
                <c:pt idx="2">
                  <c:v>2018</c:v>
                </c:pt>
                <c:pt idx="3">
                  <c:v>2019</c:v>
                </c:pt>
                <c:pt idx="4">
                  <c:v>2020</c:v>
                </c:pt>
              </c:numCache>
            </c:numRef>
          </c:cat>
          <c:val>
            <c:numRef>
              <c:f>Sheet1!$E$3:$E$7</c:f>
              <c:numCache>
                <c:formatCode>#,##0</c:formatCode>
                <c:ptCount val="5"/>
                <c:pt idx="0">
                  <c:v>1576</c:v>
                </c:pt>
                <c:pt idx="1">
                  <c:v>1733.6</c:v>
                </c:pt>
                <c:pt idx="2">
                  <c:v>1906.96</c:v>
                </c:pt>
                <c:pt idx="3">
                  <c:v>2097.6559999999999</c:v>
                </c:pt>
                <c:pt idx="4">
                  <c:v>2307.4216000000001</c:v>
                </c:pt>
              </c:numCache>
            </c:numRef>
          </c:val>
          <c:extLst>
            <c:ext xmlns:c16="http://schemas.microsoft.com/office/drawing/2014/chart" uri="{C3380CC4-5D6E-409C-BE32-E72D297353CC}">
              <c16:uniqueId val="{00000009-B536-4ED2-86B2-BC0607A398C2}"/>
            </c:ext>
          </c:extLst>
        </c:ser>
        <c:dLbls>
          <c:showLegendKey val="0"/>
          <c:showVal val="0"/>
          <c:showCatName val="0"/>
          <c:showSerName val="0"/>
          <c:showPercent val="0"/>
          <c:showBubbleSize val="0"/>
        </c:dLbls>
        <c:gapWidth val="150"/>
        <c:axId val="121791992"/>
        <c:axId val="121785328"/>
      </c:barChart>
      <c:lineChart>
        <c:grouping val="standard"/>
        <c:varyColors val="0"/>
        <c:ser>
          <c:idx val="0"/>
          <c:order val="3"/>
          <c:tx>
            <c:strRef>
              <c:f>Sheet1!$G$2</c:f>
              <c:strCache>
                <c:ptCount val="1"/>
                <c:pt idx="0">
                  <c:v>Our market share</c:v>
                </c:pt>
              </c:strCache>
            </c:strRef>
          </c:tx>
          <c:spPr>
            <a:ln w="22225" cmpd="sng">
              <a:solidFill>
                <a:srgbClr val="0070C0"/>
              </a:solidFill>
              <a:prstDash val="solid"/>
            </a:ln>
          </c:spPr>
          <c:marker>
            <c:symbol val="none"/>
          </c:marker>
          <c:dLbls>
            <c:dLbl>
              <c:idx val="1"/>
              <c:layout>
                <c:manualLayout>
                  <c:x val="-6.3750926612305414E-2"/>
                  <c:y val="-5.0904114212783014E-2"/>
                </c:manualLayout>
              </c:layout>
              <c:tx>
                <c:rich>
                  <a:bodyPr/>
                  <a:lstStyle/>
                  <a:p>
                    <a:r>
                      <a:rPr lang="en-US"/>
                      <a:t>3.4 mln</a:t>
                    </a:r>
                  </a:p>
                </c:rich>
              </c:tx>
              <c:showLegendKey val="0"/>
              <c:showVal val="1"/>
              <c:showCatName val="0"/>
              <c:showSerName val="0"/>
              <c:showPercent val="0"/>
              <c:showBubbleSize val="0"/>
              <c:extLst>
                <c:ext xmlns:c15="http://schemas.microsoft.com/office/drawing/2012/chart" uri="{CE6537A1-D6FC-4f65-9D91-7224C49458BB}">
                  <c15:layout>
                    <c:manualLayout>
                      <c:w val="9.4892571341851376E-2"/>
                      <c:h val="5.3824514400535831E-2"/>
                    </c:manualLayout>
                  </c15:layout>
                </c:ext>
                <c:ext xmlns:c16="http://schemas.microsoft.com/office/drawing/2014/chart" uri="{C3380CC4-5D6E-409C-BE32-E72D297353CC}">
                  <c16:uniqueId val="{0000000A-B536-4ED2-86B2-BC0607A398C2}"/>
                </c:ext>
              </c:extLst>
            </c:dLbl>
            <c:dLbl>
              <c:idx val="2"/>
              <c:layout>
                <c:manualLayout>
                  <c:x val="-6.671608598962199E-2"/>
                  <c:y val="-4.8225050234427427E-2"/>
                </c:manualLayout>
              </c:layout>
              <c:tx>
                <c:rich>
                  <a:bodyPr/>
                  <a:lstStyle/>
                  <a:p>
                    <a:r>
                      <a:rPr lang="en-US"/>
                      <a:t>22.9 mln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36-4ED2-86B2-BC0607A398C2}"/>
                </c:ext>
              </c:extLst>
            </c:dLbl>
            <c:dLbl>
              <c:idx val="3"/>
              <c:layout>
                <c:manualLayout>
                  <c:x val="-8.0059303187546324E-2"/>
                  <c:y val="-4.2866711319490956E-2"/>
                </c:manualLayout>
              </c:layout>
              <c:tx>
                <c:rich>
                  <a:bodyPr/>
                  <a:lstStyle/>
                  <a:p>
                    <a:r>
                      <a:rPr lang="en-US"/>
                      <a:t>35.9 mln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36-4ED2-86B2-BC0607A398C2}"/>
                </c:ext>
              </c:extLst>
            </c:dLbl>
            <c:dLbl>
              <c:idx val="4"/>
              <c:layout>
                <c:manualLayout>
                  <c:x val="-2.9651593773165306E-2"/>
                  <c:y val="-4.2866711319490956E-2"/>
                </c:manualLayout>
              </c:layout>
              <c:tx>
                <c:rich>
                  <a:bodyPr/>
                  <a:lstStyle/>
                  <a:p>
                    <a:r>
                      <a:rPr lang="en-US"/>
                      <a:t>40.8</a:t>
                    </a:r>
                    <a:r>
                      <a:rPr lang="en-US" baseline="0"/>
                      <a:t> mln</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536-4ED2-86B2-BC0607A398C2}"/>
                </c:ext>
              </c:extLst>
            </c:dLbl>
            <c:spPr>
              <a:noFill/>
              <a:ln>
                <a:noFill/>
              </a:ln>
              <a:effectLst/>
            </c:spPr>
            <c:txPr>
              <a:bodyPr wrap="square" lIns="38100" tIns="19050" rIns="38100" bIns="19050" anchor="ctr">
                <a:spAutoFit/>
              </a:bodyPr>
              <a:lstStyle/>
              <a:p>
                <a:pPr>
                  <a:defRPr sz="1400" b="1">
                    <a:solidFill>
                      <a:srgbClr val="0070C0"/>
                    </a:solidFil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Sheet1!$G$3:$G$7</c:f>
              <c:numCache>
                <c:formatCode>0.00%</c:formatCode>
                <c:ptCount val="5"/>
                <c:pt idx="1">
                  <c:v>6.423933038178487E-4</c:v>
                </c:pt>
                <c:pt idx="2">
                  <c:v>3.4773213991760713E-3</c:v>
                </c:pt>
                <c:pt idx="3">
                  <c:v>4.4523817985918342E-3</c:v>
                </c:pt>
                <c:pt idx="4">
                  <c:v>4.7296752299597353E-3</c:v>
                </c:pt>
              </c:numCache>
            </c:numRef>
          </c:val>
          <c:smooth val="0"/>
          <c:extLst>
            <c:ext xmlns:c16="http://schemas.microsoft.com/office/drawing/2014/chart" uri="{C3380CC4-5D6E-409C-BE32-E72D297353CC}">
              <c16:uniqueId val="{0000000E-B536-4ED2-86B2-BC0607A398C2}"/>
            </c:ext>
          </c:extLst>
        </c:ser>
        <c:dLbls>
          <c:showLegendKey val="0"/>
          <c:showVal val="0"/>
          <c:showCatName val="0"/>
          <c:showSerName val="0"/>
          <c:showPercent val="0"/>
          <c:showBubbleSize val="0"/>
        </c:dLbls>
        <c:marker val="1"/>
        <c:smooth val="0"/>
        <c:axId val="121791600"/>
        <c:axId val="121786112"/>
      </c:lineChart>
      <c:catAx>
        <c:axId val="121791992"/>
        <c:scaling>
          <c:orientation val="minMax"/>
        </c:scaling>
        <c:delete val="0"/>
        <c:axPos val="b"/>
        <c:numFmt formatCode="General" sourceLinked="1"/>
        <c:majorTickMark val="out"/>
        <c:minorTickMark val="none"/>
        <c:tickLblPos val="nextTo"/>
        <c:txPr>
          <a:bodyPr/>
          <a:lstStyle/>
          <a:p>
            <a:pPr>
              <a:defRPr b="1"/>
            </a:pPr>
            <a:endParaRPr lang="ru-RU"/>
          </a:p>
        </c:txPr>
        <c:crossAx val="121785328"/>
        <c:crosses val="autoZero"/>
        <c:auto val="1"/>
        <c:lblAlgn val="ctr"/>
        <c:lblOffset val="100"/>
        <c:noMultiLvlLbl val="0"/>
      </c:catAx>
      <c:valAx>
        <c:axId val="121785328"/>
        <c:scaling>
          <c:orientation val="minMax"/>
        </c:scaling>
        <c:delete val="0"/>
        <c:axPos val="l"/>
        <c:majorGridlines/>
        <c:numFmt formatCode="#,##0" sourceLinked="1"/>
        <c:majorTickMark val="out"/>
        <c:minorTickMark val="none"/>
        <c:tickLblPos val="nextTo"/>
        <c:spPr>
          <a:ln>
            <a:solidFill>
              <a:schemeClr val="accent1"/>
            </a:solidFill>
          </a:ln>
        </c:spPr>
        <c:txPr>
          <a:bodyPr/>
          <a:lstStyle/>
          <a:p>
            <a:pPr>
              <a:defRPr b="1"/>
            </a:pPr>
            <a:endParaRPr lang="ru-RU"/>
          </a:p>
        </c:txPr>
        <c:crossAx val="121791992"/>
        <c:crosses val="autoZero"/>
        <c:crossBetween val="between"/>
      </c:valAx>
      <c:valAx>
        <c:axId val="121786112"/>
        <c:scaling>
          <c:orientation val="minMax"/>
          <c:max val="1.0000000000000002E-2"/>
          <c:min val="0"/>
        </c:scaling>
        <c:delete val="0"/>
        <c:axPos val="r"/>
        <c:numFmt formatCode="0.0%" sourceLinked="0"/>
        <c:majorTickMark val="out"/>
        <c:minorTickMark val="none"/>
        <c:tickLblPos val="nextTo"/>
        <c:crossAx val="121791600"/>
        <c:crosses val="max"/>
        <c:crossBetween val="between"/>
        <c:minorUnit val="1.0000000000000003E-4"/>
      </c:valAx>
      <c:catAx>
        <c:axId val="121791600"/>
        <c:scaling>
          <c:orientation val="minMax"/>
        </c:scaling>
        <c:delete val="1"/>
        <c:axPos val="b"/>
        <c:majorTickMark val="out"/>
        <c:minorTickMark val="none"/>
        <c:tickLblPos val="nextTo"/>
        <c:crossAx val="121786112"/>
        <c:crosses val="autoZero"/>
        <c:auto val="1"/>
        <c:lblAlgn val="ctr"/>
        <c:lblOffset val="100"/>
        <c:noMultiLvlLbl val="0"/>
      </c:catAx>
      <c:spPr>
        <a:gradFill flip="none" rotWithShape="1">
          <a:gsLst>
            <a:gs pos="80000">
              <a:srgbClr val="CCFFFF"/>
            </a:gs>
            <a:gs pos="0">
              <a:schemeClr val="bg1"/>
            </a:gs>
            <a:gs pos="64000">
              <a:srgbClr val="CCFFFF"/>
            </a:gs>
            <a:gs pos="100000">
              <a:srgbClr val="CCFFFF"/>
            </a:gs>
          </a:gsLst>
          <a:lin ang="6000000" scaled="0"/>
          <a:tileRect/>
        </a:gradFill>
        <a:ln>
          <a:gradFill>
            <a:gsLst>
              <a:gs pos="76250">
                <a:srgbClr val="D2E3FA"/>
              </a:gs>
              <a:gs pos="0">
                <a:srgbClr val="CCFFFF"/>
              </a:gs>
              <a:gs pos="50000">
                <a:schemeClr val="accent1">
                  <a:tint val="44500"/>
                  <a:satMod val="160000"/>
                </a:schemeClr>
              </a:gs>
              <a:gs pos="100000">
                <a:schemeClr val="accent1">
                  <a:tint val="23500"/>
                  <a:satMod val="160000"/>
                </a:schemeClr>
              </a:gs>
            </a:gsLst>
            <a:lin ang="5400000" scaled="0"/>
          </a:gradFill>
        </a:ln>
      </c:spPr>
    </c:plotArea>
    <c:legend>
      <c:legendPos val="t"/>
      <c:layout>
        <c:manualLayout>
          <c:xMode val="edge"/>
          <c:yMode val="edge"/>
          <c:x val="1.9190797026660329E-2"/>
          <c:y val="1.7388281010328254E-2"/>
          <c:w val="0.9"/>
          <c:h val="5.1696367826761097E-2"/>
        </c:manualLayout>
      </c:layout>
      <c:overlay val="0"/>
      <c:txPr>
        <a:bodyPr/>
        <a:lstStyle/>
        <a:p>
          <a:pPr>
            <a:defRPr sz="1100" b="1"/>
          </a:pPr>
          <a:endParaRPr lang="ru-RU"/>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298449</xdr:colOff>
      <xdr:row>21</xdr:row>
      <xdr:rowOff>149224</xdr:rowOff>
    </xdr:from>
    <xdr:to>
      <xdr:col>9</xdr:col>
      <xdr:colOff>679449</xdr:colOff>
      <xdr:row>47</xdr:row>
      <xdr:rowOff>101599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9"/>
  <sheetViews>
    <sheetView tabSelected="1" topLeftCell="A22" workbookViewId="0">
      <selection activeCell="P35" sqref="P35"/>
    </sheetView>
  </sheetViews>
  <sheetFormatPr defaultRowHeight="14.4" x14ac:dyDescent="0.3"/>
  <cols>
    <col min="2" max="2" width="5.77734375" customWidth="1"/>
    <col min="3" max="6" width="15.21875" customWidth="1"/>
    <col min="7" max="7" width="9.77734375" bestFit="1" customWidth="1"/>
    <col min="8" max="8" width="25.21875" bestFit="1" customWidth="1"/>
    <col min="9" max="9" width="6.77734375" bestFit="1" customWidth="1"/>
    <col min="10" max="11" width="11.77734375" bestFit="1" customWidth="1"/>
  </cols>
  <sheetData>
    <row r="2" spans="2:12" ht="43.2" x14ac:dyDescent="0.3">
      <c r="B2" s="6" t="s">
        <v>1</v>
      </c>
      <c r="C2" s="6" t="s">
        <v>0</v>
      </c>
      <c r="D2" s="6" t="s">
        <v>95</v>
      </c>
      <c r="E2" s="6" t="s">
        <v>116</v>
      </c>
      <c r="F2" s="6" t="s">
        <v>3</v>
      </c>
      <c r="G2" s="6" t="s">
        <v>2</v>
      </c>
    </row>
    <row r="3" spans="2:12" x14ac:dyDescent="0.3">
      <c r="B3" s="3">
        <v>2016</v>
      </c>
      <c r="C3" s="4">
        <f>tabl!C13</f>
        <v>288.3304</v>
      </c>
      <c r="D3" s="4">
        <f>tabl!G13</f>
        <v>2640</v>
      </c>
      <c r="E3" s="4">
        <f>tabl!K13</f>
        <v>1576</v>
      </c>
      <c r="F3" s="5">
        <f>C3+D3+E3</f>
        <v>4504.3303999999998</v>
      </c>
      <c r="G3" s="8"/>
    </row>
    <row r="4" spans="2:12" x14ac:dyDescent="0.3">
      <c r="B4" s="3">
        <v>2017</v>
      </c>
      <c r="C4" s="4">
        <f>tabl!C14</f>
        <v>343.01587301587301</v>
      </c>
      <c r="D4" s="4">
        <f>tabl!G14</f>
        <v>2904</v>
      </c>
      <c r="E4" s="4">
        <f>tabl!K14</f>
        <v>1733.6</v>
      </c>
      <c r="F4" s="5">
        <f t="shared" ref="F4:F7" si="0">C4+D4+E4</f>
        <v>4980.6158730158731</v>
      </c>
      <c r="G4" s="9">
        <f>H4</f>
        <v>6.423933038178487E-4</v>
      </c>
      <c r="H4" s="9">
        <f>I4/F4</f>
        <v>6.423933038178487E-4</v>
      </c>
      <c r="I4" s="16">
        <f>tabl!P14</f>
        <v>3.1995142857142858</v>
      </c>
    </row>
    <row r="5" spans="2:12" x14ac:dyDescent="0.3">
      <c r="B5" s="3">
        <v>2018</v>
      </c>
      <c r="C5" s="4">
        <f>tabl!C15</f>
        <v>474.0787401574803</v>
      </c>
      <c r="D5" s="4">
        <f>tabl!G15</f>
        <v>3194.4</v>
      </c>
      <c r="E5" s="4">
        <f>tabl!K15</f>
        <v>1906.96</v>
      </c>
      <c r="F5" s="5">
        <f t="shared" si="0"/>
        <v>5575.4387401574804</v>
      </c>
      <c r="G5" s="9">
        <f t="shared" ref="G5:G7" si="1">H5</f>
        <v>3.4773213991760713E-3</v>
      </c>
      <c r="H5" s="9">
        <f t="shared" ref="H5:H7" si="2">I5/F5</f>
        <v>3.4773213991760713E-3</v>
      </c>
      <c r="I5" s="16">
        <f>tabl!P15</f>
        <v>19.387592440944882</v>
      </c>
    </row>
    <row r="6" spans="2:12" x14ac:dyDescent="0.3">
      <c r="B6" s="3">
        <v>2019</v>
      </c>
      <c r="C6" s="4">
        <f>tabl!C16</f>
        <v>621.31317829457362</v>
      </c>
      <c r="D6" s="4">
        <f>tabl!G16</f>
        <v>3513.84</v>
      </c>
      <c r="E6" s="4">
        <f>tabl!K16</f>
        <v>2097.6559999999999</v>
      </c>
      <c r="F6" s="5">
        <f t="shared" si="0"/>
        <v>6232.8091782945739</v>
      </c>
      <c r="G6" s="9">
        <f t="shared" si="1"/>
        <v>4.4523817985918342E-3</v>
      </c>
      <c r="H6" s="9">
        <f t="shared" si="2"/>
        <v>4.4523817985918342E-3</v>
      </c>
      <c r="I6" s="16">
        <f>tabl!P16</f>
        <v>27.750846139534886</v>
      </c>
    </row>
    <row r="7" spans="2:12" x14ac:dyDescent="0.3">
      <c r="B7" s="3">
        <v>2020</v>
      </c>
      <c r="C7" s="4">
        <f>tabl!C17</f>
        <v>801.60465116279067</v>
      </c>
      <c r="D7" s="4">
        <f>tabl!G17</f>
        <v>3865.2240000000002</v>
      </c>
      <c r="E7" s="4">
        <f>tabl!K17</f>
        <v>2307.4216000000001</v>
      </c>
      <c r="F7" s="5">
        <f t="shared" si="0"/>
        <v>6974.2502511627918</v>
      </c>
      <c r="G7" s="9">
        <f t="shared" si="1"/>
        <v>4.7296752299597353E-3</v>
      </c>
      <c r="H7" s="9">
        <f t="shared" si="2"/>
        <v>4.7296752299597353E-3</v>
      </c>
      <c r="I7" s="16">
        <f>tabl!P17</f>
        <v>32.985938660465116</v>
      </c>
      <c r="J7" s="1"/>
      <c r="K7" s="1"/>
      <c r="L7" s="1"/>
    </row>
    <row r="8" spans="2:12" x14ac:dyDescent="0.3">
      <c r="F8" s="1"/>
      <c r="G8" s="7"/>
      <c r="H8" s="9"/>
      <c r="J8" s="1"/>
      <c r="K8" s="1"/>
      <c r="L8" s="1"/>
    </row>
    <row r="9" spans="2:12" x14ac:dyDescent="0.3">
      <c r="J9" s="1"/>
      <c r="K9" s="1"/>
      <c r="L9" s="1"/>
    </row>
    <row r="10" spans="2:12" x14ac:dyDescent="0.3">
      <c r="J10" s="1"/>
      <c r="K10" s="1"/>
      <c r="L10" s="1"/>
    </row>
    <row r="13" spans="2:12" x14ac:dyDescent="0.3">
      <c r="G13" s="2">
        <f>C4/C3</f>
        <v>1.1896625295698027</v>
      </c>
      <c r="I13" s="2"/>
      <c r="J13">
        <v>288</v>
      </c>
      <c r="K13">
        <f>J13/J16</f>
        <v>6.3943161634103018E-2</v>
      </c>
    </row>
    <row r="14" spans="2:12" x14ac:dyDescent="0.3">
      <c r="G14" s="2">
        <f>C5/C4</f>
        <v>1.3820898024026496</v>
      </c>
      <c r="I14" s="2"/>
      <c r="J14">
        <v>2640</v>
      </c>
      <c r="K14">
        <f>J14/J16</f>
        <v>0.58614564831261107</v>
      </c>
    </row>
    <row r="15" spans="2:12" x14ac:dyDescent="0.3">
      <c r="G15" s="2">
        <f>C6/C5</f>
        <v>1.3105695861581659</v>
      </c>
      <c r="I15" s="2">
        <v>0.35</v>
      </c>
      <c r="J15">
        <v>1576</v>
      </c>
      <c r="K15">
        <f>J15/J16</f>
        <v>0.34991119005328597</v>
      </c>
    </row>
    <row r="16" spans="2:12" x14ac:dyDescent="0.3">
      <c r="I16" s="2">
        <f>SUM(I13:I15)</f>
        <v>0.35</v>
      </c>
      <c r="J16">
        <f>SUM(J13:J15)</f>
        <v>4504</v>
      </c>
      <c r="L16">
        <f>(J13+J14)/1.35</f>
        <v>2168.8888888888887</v>
      </c>
    </row>
    <row r="19" spans="10:10" x14ac:dyDescent="0.3">
      <c r="J19">
        <f>((J13+J14)*35%)/65%</f>
        <v>1576.6153846153845</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5"/>
  <sheetViews>
    <sheetView workbookViewId="0">
      <selection sqref="A1:XFD1048576"/>
    </sheetView>
  </sheetViews>
  <sheetFormatPr defaultRowHeight="14.4" x14ac:dyDescent="0.3"/>
  <cols>
    <col min="3" max="3" width="17.44140625" customWidth="1"/>
    <col min="4" max="4" width="14" customWidth="1"/>
    <col min="5" max="5" width="60.21875" customWidth="1"/>
  </cols>
  <sheetData>
    <row r="1" spans="3:5" ht="15" thickBot="1" x14ac:dyDescent="0.35"/>
    <row r="2" spans="3:5" ht="42.6" thickBot="1" x14ac:dyDescent="0.35">
      <c r="C2" s="33" t="s">
        <v>44</v>
      </c>
      <c r="D2" s="101" t="s">
        <v>76</v>
      </c>
      <c r="E2" s="84"/>
    </row>
    <row r="3" spans="3:5" x14ac:dyDescent="0.3">
      <c r="C3" s="95" t="s">
        <v>46</v>
      </c>
      <c r="D3" s="104" t="s">
        <v>72</v>
      </c>
      <c r="E3" s="105"/>
    </row>
    <row r="4" spans="3:5" ht="14.55" customHeight="1" x14ac:dyDescent="0.3">
      <c r="C4" s="86"/>
      <c r="D4" s="106" t="s">
        <v>71</v>
      </c>
      <c r="E4" s="107"/>
    </row>
    <row r="5" spans="3:5" ht="28.05" customHeight="1" thickBot="1" x14ac:dyDescent="0.35">
      <c r="C5" s="86"/>
      <c r="D5" s="102" t="s">
        <v>105</v>
      </c>
      <c r="E5" s="92"/>
    </row>
    <row r="6" spans="3:5" ht="14.55" customHeight="1" x14ac:dyDescent="0.3">
      <c r="C6" s="86"/>
      <c r="D6" s="104" t="s">
        <v>73</v>
      </c>
      <c r="E6" s="105"/>
    </row>
    <row r="7" spans="3:5" x14ac:dyDescent="0.3">
      <c r="C7" s="86"/>
      <c r="D7" s="102" t="s">
        <v>106</v>
      </c>
      <c r="E7" s="108"/>
    </row>
    <row r="8" spans="3:5" x14ac:dyDescent="0.3">
      <c r="C8" s="86"/>
      <c r="D8" s="106" t="s">
        <v>78</v>
      </c>
      <c r="E8" s="92"/>
    </row>
    <row r="9" spans="3:5" ht="15" thickBot="1" x14ac:dyDescent="0.35">
      <c r="C9" s="86"/>
      <c r="D9" s="106" t="s">
        <v>77</v>
      </c>
      <c r="E9" s="92"/>
    </row>
    <row r="10" spans="3:5" x14ac:dyDescent="0.3">
      <c r="C10" s="86"/>
      <c r="D10" s="103" t="s">
        <v>60</v>
      </c>
      <c r="E10" s="98"/>
    </row>
    <row r="11" spans="3:5" x14ac:dyDescent="0.3">
      <c r="C11" s="86"/>
      <c r="D11" s="99" t="s">
        <v>107</v>
      </c>
      <c r="E11" s="94"/>
    </row>
    <row r="12" spans="3:5" ht="15" thickBot="1" x14ac:dyDescent="0.35">
      <c r="C12" s="86"/>
      <c r="D12" s="100" t="s">
        <v>79</v>
      </c>
      <c r="E12" s="94"/>
    </row>
    <row r="13" spans="3:5" ht="58.5" customHeight="1" thickBot="1" x14ac:dyDescent="0.35">
      <c r="C13" s="95" t="s">
        <v>54</v>
      </c>
      <c r="D13" s="36" t="s">
        <v>75</v>
      </c>
      <c r="E13" s="36" t="s">
        <v>108</v>
      </c>
    </row>
    <row r="14" spans="3:5" ht="25.95" customHeight="1" thickBot="1" x14ac:dyDescent="0.35">
      <c r="C14" s="86"/>
      <c r="D14" s="37" t="s">
        <v>55</v>
      </c>
      <c r="E14" s="37" t="s">
        <v>56</v>
      </c>
    </row>
    <row r="15" spans="3:5" ht="40.049999999999997" customHeight="1" thickBot="1" x14ac:dyDescent="0.35">
      <c r="C15" s="34" t="s">
        <v>57</v>
      </c>
      <c r="D15" s="36" t="s">
        <v>58</v>
      </c>
      <c r="E15" s="36">
        <v>12</v>
      </c>
    </row>
  </sheetData>
  <mergeCells count="13">
    <mergeCell ref="C13:C14"/>
    <mergeCell ref="D9:E9"/>
    <mergeCell ref="D10:E10"/>
    <mergeCell ref="D11:E11"/>
    <mergeCell ref="D12:E12"/>
    <mergeCell ref="D2:E2"/>
    <mergeCell ref="C3:C12"/>
    <mergeCell ref="D3:E3"/>
    <mergeCell ref="D4:E4"/>
    <mergeCell ref="D5:E5"/>
    <mergeCell ref="D6:E6"/>
    <mergeCell ref="D7:E7"/>
    <mergeCell ref="D8:E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7"/>
  <sheetViews>
    <sheetView workbookViewId="0">
      <selection activeCell="C2" sqref="C2:E17"/>
    </sheetView>
  </sheetViews>
  <sheetFormatPr defaultRowHeight="14.4" x14ac:dyDescent="0.3"/>
  <cols>
    <col min="3" max="3" width="17.44140625" customWidth="1"/>
    <col min="4" max="4" width="14" customWidth="1"/>
    <col min="5" max="5" width="60.21875" customWidth="1"/>
  </cols>
  <sheetData>
    <row r="1" spans="3:5" ht="15" thickBot="1" x14ac:dyDescent="0.35"/>
    <row r="2" spans="3:5" ht="36.6" thickBot="1" x14ac:dyDescent="0.35">
      <c r="C2" s="41" t="s">
        <v>44</v>
      </c>
      <c r="D2" s="109" t="s">
        <v>76</v>
      </c>
      <c r="E2" s="110"/>
    </row>
    <row r="3" spans="3:5" ht="18" x14ac:dyDescent="0.3">
      <c r="C3" s="116" t="s">
        <v>46</v>
      </c>
      <c r="D3" s="111" t="s">
        <v>72</v>
      </c>
      <c r="E3" s="112"/>
    </row>
    <row r="4" spans="3:5" ht="17.399999999999999" x14ac:dyDescent="0.3">
      <c r="C4" s="116"/>
      <c r="D4" s="113" t="s">
        <v>80</v>
      </c>
      <c r="E4" s="114"/>
    </row>
    <row r="5" spans="3:5" ht="17.399999999999999" x14ac:dyDescent="0.3">
      <c r="C5" s="116"/>
      <c r="D5" s="113" t="s">
        <v>81</v>
      </c>
      <c r="E5" s="114"/>
    </row>
    <row r="6" spans="3:5" ht="17.399999999999999" x14ac:dyDescent="0.3">
      <c r="C6" s="116"/>
      <c r="D6" s="113" t="s">
        <v>82</v>
      </c>
      <c r="E6" s="114"/>
    </row>
    <row r="7" spans="3:5" ht="17.399999999999999" x14ac:dyDescent="0.3">
      <c r="C7" s="116"/>
      <c r="D7" s="113" t="s">
        <v>83</v>
      </c>
      <c r="E7" s="114"/>
    </row>
    <row r="8" spans="3:5" ht="18" x14ac:dyDescent="0.3">
      <c r="C8" s="116"/>
      <c r="D8" s="111" t="s">
        <v>73</v>
      </c>
      <c r="E8" s="112"/>
    </row>
    <row r="9" spans="3:5" ht="17.399999999999999" x14ac:dyDescent="0.3">
      <c r="C9" s="116"/>
      <c r="D9" s="113" t="s">
        <v>84</v>
      </c>
      <c r="E9" s="114"/>
    </row>
    <row r="10" spans="3:5" ht="17.399999999999999" x14ac:dyDescent="0.3">
      <c r="C10" s="116"/>
      <c r="D10" s="113" t="s">
        <v>85</v>
      </c>
      <c r="E10" s="114"/>
    </row>
    <row r="11" spans="3:5" ht="18" thickBot="1" x14ac:dyDescent="0.35">
      <c r="C11" s="116"/>
      <c r="D11" s="113" t="s">
        <v>83</v>
      </c>
      <c r="E11" s="114"/>
    </row>
    <row r="12" spans="3:5" ht="18" x14ac:dyDescent="0.3">
      <c r="C12" s="116"/>
      <c r="D12" s="117" t="s">
        <v>60</v>
      </c>
      <c r="E12" s="118"/>
    </row>
    <row r="13" spans="3:5" ht="17.399999999999999" x14ac:dyDescent="0.3">
      <c r="C13" s="116"/>
      <c r="D13" s="119" t="s">
        <v>86</v>
      </c>
      <c r="E13" s="120"/>
    </row>
    <row r="14" spans="3:5" ht="18" thickBot="1" x14ac:dyDescent="0.35">
      <c r="C14" s="116"/>
      <c r="D14" s="119" t="s">
        <v>87</v>
      </c>
      <c r="E14" s="120"/>
    </row>
    <row r="15" spans="3:5" ht="58.5" customHeight="1" thickBot="1" x14ac:dyDescent="0.35">
      <c r="C15" s="115" t="s">
        <v>54</v>
      </c>
      <c r="D15" s="42" t="s">
        <v>75</v>
      </c>
      <c r="E15" s="42" t="s">
        <v>74</v>
      </c>
    </row>
    <row r="16" spans="3:5" ht="36.6" thickBot="1" x14ac:dyDescent="0.35">
      <c r="C16" s="116"/>
      <c r="D16" s="43" t="s">
        <v>55</v>
      </c>
      <c r="E16" s="43" t="s">
        <v>56</v>
      </c>
    </row>
    <row r="17" spans="3:5" ht="40.049999999999997" customHeight="1" thickBot="1" x14ac:dyDescent="0.35">
      <c r="C17" s="44" t="s">
        <v>57</v>
      </c>
      <c r="D17" s="42" t="s">
        <v>58</v>
      </c>
      <c r="E17" s="42">
        <v>12</v>
      </c>
    </row>
  </sheetData>
  <mergeCells count="15">
    <mergeCell ref="C15:C16"/>
    <mergeCell ref="D10:E10"/>
    <mergeCell ref="D11:E11"/>
    <mergeCell ref="D12:E12"/>
    <mergeCell ref="C3:C14"/>
    <mergeCell ref="D13:E13"/>
    <mergeCell ref="D14:E14"/>
    <mergeCell ref="D7:E7"/>
    <mergeCell ref="D8:E8"/>
    <mergeCell ref="D9:E9"/>
    <mergeCell ref="D2:E2"/>
    <mergeCell ref="D3:E3"/>
    <mergeCell ref="D4:E4"/>
    <mergeCell ref="D5:E5"/>
    <mergeCell ref="D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3"/>
  <sheetViews>
    <sheetView workbookViewId="0">
      <selection activeCell="D16" sqref="D16"/>
    </sheetView>
  </sheetViews>
  <sheetFormatPr defaultColWidth="8.21875" defaultRowHeight="14.4" x14ac:dyDescent="0.3"/>
  <cols>
    <col min="20" max="20" width="8.77734375" bestFit="1" customWidth="1"/>
  </cols>
  <sheetData>
    <row r="2" spans="1:20" ht="43.2" x14ac:dyDescent="0.3">
      <c r="B2" s="6" t="s">
        <v>1</v>
      </c>
      <c r="C2" s="65" t="s">
        <v>0</v>
      </c>
      <c r="D2" s="65"/>
      <c r="E2" s="65"/>
      <c r="F2" s="65"/>
      <c r="G2" s="65" t="s">
        <v>95</v>
      </c>
      <c r="H2" s="65"/>
      <c r="I2" s="65"/>
      <c r="J2" s="65"/>
      <c r="K2" s="65" t="s">
        <v>116</v>
      </c>
      <c r="L2" s="65"/>
      <c r="M2" s="65"/>
      <c r="N2" s="65"/>
      <c r="O2" s="65" t="s">
        <v>7</v>
      </c>
      <c r="P2" s="66"/>
      <c r="Q2" s="66"/>
      <c r="R2" s="67" t="s">
        <v>96</v>
      </c>
      <c r="S2" s="6" t="s">
        <v>2</v>
      </c>
    </row>
    <row r="3" spans="1:20" ht="28.8" x14ac:dyDescent="0.3">
      <c r="B3" s="6"/>
      <c r="C3" s="6" t="s">
        <v>3</v>
      </c>
      <c r="D3" s="6" t="s">
        <v>4</v>
      </c>
      <c r="E3" s="6" t="s">
        <v>6</v>
      </c>
      <c r="F3" s="6" t="s">
        <v>5</v>
      </c>
      <c r="G3" s="6" t="s">
        <v>3</v>
      </c>
      <c r="H3" s="6" t="s">
        <v>4</v>
      </c>
      <c r="I3" s="6" t="s">
        <v>6</v>
      </c>
      <c r="J3" s="6" t="s">
        <v>5</v>
      </c>
      <c r="K3" s="6" t="s">
        <v>3</v>
      </c>
      <c r="L3" s="6" t="s">
        <v>4</v>
      </c>
      <c r="M3" s="6" t="s">
        <v>6</v>
      </c>
      <c r="N3" s="6" t="s">
        <v>5</v>
      </c>
      <c r="O3" s="6" t="s">
        <v>3</v>
      </c>
      <c r="P3" s="6" t="s">
        <v>6</v>
      </c>
      <c r="Q3" s="6" t="s">
        <v>5</v>
      </c>
      <c r="R3" s="68"/>
      <c r="S3" s="3"/>
    </row>
    <row r="4" spans="1:20" x14ac:dyDescent="0.3">
      <c r="B4" s="3">
        <v>2015</v>
      </c>
      <c r="C4" s="4">
        <f>288.3304</f>
        <v>288.3304</v>
      </c>
      <c r="D4" s="13"/>
      <c r="E4" s="11"/>
      <c r="F4" s="3"/>
      <c r="G4" s="4">
        <v>2640</v>
      </c>
      <c r="H4" s="13"/>
      <c r="I4" s="11"/>
      <c r="J4" s="3"/>
      <c r="K4" s="4">
        <v>1576</v>
      </c>
      <c r="L4" s="13"/>
      <c r="M4" s="11"/>
      <c r="N4" s="3"/>
      <c r="O4" s="5">
        <f>C4+G4+K4</f>
        <v>4504.3303999999998</v>
      </c>
      <c r="P4" s="3"/>
      <c r="Q4" s="3"/>
      <c r="R4" s="3"/>
      <c r="S4" s="8"/>
    </row>
    <row r="5" spans="1:20" ht="15.6" x14ac:dyDescent="0.3">
      <c r="A5">
        <f>C5/C4</f>
        <v>1.1896625295698027</v>
      </c>
      <c r="B5" s="3">
        <v>2016</v>
      </c>
      <c r="C5" s="5">
        <f>432200/1260</f>
        <v>343.01587301587301</v>
      </c>
      <c r="D5" s="13">
        <v>5.0000000000000001E-3</v>
      </c>
      <c r="E5" s="11">
        <f t="shared" ref="E5:E8" si="0">C5*D5</f>
        <v>1.7150793650793652</v>
      </c>
      <c r="F5" s="5">
        <f>E5/150*1000000</f>
        <v>11433.862433862436</v>
      </c>
      <c r="G5" s="4">
        <f>G4+G4*18.97%</f>
        <v>3140.808</v>
      </c>
      <c r="H5" s="13">
        <v>1E-3</v>
      </c>
      <c r="I5" s="11">
        <f t="shared" ref="I5:I8" si="1">G5*H5</f>
        <v>3.1408080000000003</v>
      </c>
      <c r="J5" s="5">
        <f>I5/150*1000000</f>
        <v>20938.72</v>
      </c>
      <c r="K5" s="4">
        <f>K4+K4*18.97%</f>
        <v>1874.9672</v>
      </c>
      <c r="L5" s="13">
        <v>4.0000000000000001E-3</v>
      </c>
      <c r="M5" s="11">
        <f t="shared" ref="M5:M8" si="2">K5*L5</f>
        <v>7.4998688000000007</v>
      </c>
      <c r="N5" s="5">
        <f>M5/150*1000000</f>
        <v>49999.125333333337</v>
      </c>
      <c r="O5" s="5">
        <f>C5+G5+K5</f>
        <v>5358.7910730158728</v>
      </c>
      <c r="P5" s="14">
        <f>E5+I5+M5</f>
        <v>12.355756165079367</v>
      </c>
      <c r="Q5" s="5">
        <f>F5+J5+N5</f>
        <v>82371.707767195767</v>
      </c>
      <c r="R5" s="64">
        <v>60</v>
      </c>
      <c r="S5" s="10">
        <v>9.3304626582242384E-4</v>
      </c>
      <c r="T5">
        <f>Q5/12</f>
        <v>6864.3089805996469</v>
      </c>
    </row>
    <row r="6" spans="1:20" ht="15.6" x14ac:dyDescent="0.3">
      <c r="A6">
        <f>C6/C5</f>
        <v>1.3820898024026496</v>
      </c>
      <c r="B6" s="3">
        <v>2017</v>
      </c>
      <c r="C6" s="5">
        <f>602080/1270</f>
        <v>474.0787401574803</v>
      </c>
      <c r="D6" s="13">
        <v>7.0000000000000001E-3</v>
      </c>
      <c r="E6" s="11">
        <f t="shared" si="0"/>
        <v>3.3185511811023622</v>
      </c>
      <c r="F6" s="5">
        <f>E6/160*1000000</f>
        <v>20740.944881889762</v>
      </c>
      <c r="G6" s="4">
        <f>G5+G5*23%</f>
        <v>3863.1938399999999</v>
      </c>
      <c r="H6" s="13">
        <v>1E-3</v>
      </c>
      <c r="I6" s="11">
        <f t="shared" si="1"/>
        <v>3.8631938400000001</v>
      </c>
      <c r="J6" s="5">
        <f>I6/160*1000000</f>
        <v>24144.961499999998</v>
      </c>
      <c r="K6" s="4">
        <f>K5+K5*23%</f>
        <v>2306.209656</v>
      </c>
      <c r="L6" s="13">
        <v>5.0000000000000001E-3</v>
      </c>
      <c r="M6" s="11">
        <f t="shared" si="2"/>
        <v>11.53104828</v>
      </c>
      <c r="N6" s="5">
        <f>M6/160*1000000</f>
        <v>72069.051749999999</v>
      </c>
      <c r="O6" s="5">
        <f>C6+G6+K6</f>
        <v>6643.4822361574797</v>
      </c>
      <c r="P6" s="14">
        <f t="shared" ref="P6:P8" si="3">E6+I6+M6</f>
        <v>18.712793301102362</v>
      </c>
      <c r="Q6" s="5">
        <f t="shared" ref="Q6:Q8" si="4">F6+J6+N6</f>
        <v>116954.95813188975</v>
      </c>
      <c r="R6" s="64">
        <v>80</v>
      </c>
      <c r="S6" s="10">
        <v>1.5052347014001945E-3</v>
      </c>
      <c r="T6">
        <f t="shared" ref="T6:T8" si="5">Q6/12</f>
        <v>9746.2465109908135</v>
      </c>
    </row>
    <row r="7" spans="1:20" ht="15.6" x14ac:dyDescent="0.3">
      <c r="A7">
        <f t="shared" ref="A7:A8" si="6">C7/C6</f>
        <v>1.3105695861581659</v>
      </c>
      <c r="B7" s="3">
        <v>2018</v>
      </c>
      <c r="C7" s="5">
        <f>801494/1290</f>
        <v>621.31317829457362</v>
      </c>
      <c r="D7" s="13">
        <v>8.0000000000000002E-3</v>
      </c>
      <c r="E7" s="11">
        <f t="shared" si="0"/>
        <v>4.9705054263565893</v>
      </c>
      <c r="F7" s="5">
        <f>E7/165*1000000</f>
        <v>30124.275311252059</v>
      </c>
      <c r="G7" s="4">
        <f>G6+G6*28%</f>
        <v>4944.8881151999994</v>
      </c>
      <c r="H7" s="13">
        <v>1E-3</v>
      </c>
      <c r="I7" s="11">
        <f t="shared" si="1"/>
        <v>4.9448881151999995</v>
      </c>
      <c r="J7" s="5">
        <f>I7/165*1000000</f>
        <v>29969.018879999996</v>
      </c>
      <c r="K7" s="4">
        <f>K6+K6*28%</f>
        <v>2951.9483596800001</v>
      </c>
      <c r="L7" s="13">
        <v>6.0000000000000001E-3</v>
      </c>
      <c r="M7" s="11">
        <f t="shared" si="2"/>
        <v>17.71169015808</v>
      </c>
      <c r="N7" s="5">
        <f>M7/165*1000000</f>
        <v>107343.57671563637</v>
      </c>
      <c r="O7" s="5">
        <f>C7+G7+K7</f>
        <v>8518.1496531745724</v>
      </c>
      <c r="P7" s="14">
        <f t="shared" si="3"/>
        <v>27.627083699636589</v>
      </c>
      <c r="Q7" s="5">
        <f t="shared" si="4"/>
        <v>167436.87090688842</v>
      </c>
      <c r="R7" s="64">
        <v>100</v>
      </c>
      <c r="S7" s="10">
        <v>2.4653241437444869E-3</v>
      </c>
      <c r="T7">
        <f t="shared" si="5"/>
        <v>13953.072575574035</v>
      </c>
    </row>
    <row r="8" spans="1:20" ht="15.6" x14ac:dyDescent="0.3">
      <c r="A8">
        <f t="shared" si="6"/>
        <v>1.2901780924124198</v>
      </c>
      <c r="B8" s="3">
        <v>2019</v>
      </c>
      <c r="C8" s="5">
        <f>1034070/1290</f>
        <v>801.60465116279067</v>
      </c>
      <c r="D8" s="13">
        <v>0.01</v>
      </c>
      <c r="E8" s="11">
        <f t="shared" si="0"/>
        <v>8.0160465116279074</v>
      </c>
      <c r="F8" s="5">
        <f>E8/170*1000000</f>
        <v>47153.214774281812</v>
      </c>
      <c r="G8" s="4">
        <f>G7+G7*28%</f>
        <v>6329.4567874559998</v>
      </c>
      <c r="H8" s="13">
        <v>1E-3</v>
      </c>
      <c r="I8" s="11">
        <f t="shared" si="1"/>
        <v>6.3294567874560004</v>
      </c>
      <c r="J8" s="5">
        <f>I8/170*1000000</f>
        <v>37232.098749741177</v>
      </c>
      <c r="K8" s="4">
        <f>K7+K7*28%</f>
        <v>3778.4939003904001</v>
      </c>
      <c r="L8" s="13">
        <v>7.0000000000000001E-3</v>
      </c>
      <c r="M8" s="11">
        <f t="shared" si="2"/>
        <v>26.449457302732799</v>
      </c>
      <c r="N8" s="5">
        <f>M8/170*1000000</f>
        <v>155585.04295725175</v>
      </c>
      <c r="O8" s="5">
        <f>C8+G8+K8</f>
        <v>10909.555339009192</v>
      </c>
      <c r="P8" s="14">
        <f t="shared" si="3"/>
        <v>40.794960601816712</v>
      </c>
      <c r="Q8" s="5">
        <f t="shared" si="4"/>
        <v>239970.35648127474</v>
      </c>
      <c r="R8" s="64">
        <v>120</v>
      </c>
      <c r="S8" s="10">
        <v>4.5999999999999999E-3</v>
      </c>
      <c r="T8">
        <f t="shared" si="5"/>
        <v>19997.529706772893</v>
      </c>
    </row>
    <row r="9" spans="1:20" x14ac:dyDescent="0.3">
      <c r="F9" s="12"/>
    </row>
    <row r="10" spans="1:20" x14ac:dyDescent="0.3">
      <c r="T10" s="15">
        <f>Q8/12</f>
        <v>19997.529706772893</v>
      </c>
    </row>
    <row r="11" spans="1:20" ht="43.2" x14ac:dyDescent="0.3">
      <c r="B11" s="58" t="s">
        <v>1</v>
      </c>
      <c r="C11" s="65" t="s">
        <v>0</v>
      </c>
      <c r="D11" s="65"/>
      <c r="E11" s="65"/>
      <c r="F11" s="65"/>
      <c r="G11" s="65" t="s">
        <v>95</v>
      </c>
      <c r="H11" s="65"/>
      <c r="I11" s="65"/>
      <c r="J11" s="65"/>
      <c r="K11" s="65" t="s">
        <v>116</v>
      </c>
      <c r="L11" s="65"/>
      <c r="M11" s="65"/>
      <c r="N11" s="65"/>
      <c r="O11" s="65" t="s">
        <v>7</v>
      </c>
      <c r="P11" s="66"/>
      <c r="Q11" s="66"/>
      <c r="R11" s="67" t="s">
        <v>96</v>
      </c>
      <c r="S11" s="58" t="s">
        <v>2</v>
      </c>
      <c r="T11">
        <f>P8/12</f>
        <v>3.3995800501513926</v>
      </c>
    </row>
    <row r="12" spans="1:20" ht="28.8" x14ac:dyDescent="0.3">
      <c r="B12" s="58"/>
      <c r="C12" s="58" t="s">
        <v>3</v>
      </c>
      <c r="D12" s="58" t="s">
        <v>4</v>
      </c>
      <c r="E12" s="58" t="s">
        <v>6</v>
      </c>
      <c r="F12" s="58" t="s">
        <v>5</v>
      </c>
      <c r="G12" s="58" t="s">
        <v>3</v>
      </c>
      <c r="H12" s="58" t="s">
        <v>4</v>
      </c>
      <c r="I12" s="58" t="s">
        <v>6</v>
      </c>
      <c r="J12" s="58" t="s">
        <v>5</v>
      </c>
      <c r="K12" s="58" t="s">
        <v>3</v>
      </c>
      <c r="L12" s="58" t="s">
        <v>4</v>
      </c>
      <c r="M12" s="58" t="s">
        <v>6</v>
      </c>
      <c r="N12" s="58" t="s">
        <v>5</v>
      </c>
      <c r="O12" s="58" t="s">
        <v>3</v>
      </c>
      <c r="P12" s="58" t="s">
        <v>6</v>
      </c>
      <c r="Q12" s="58" t="s">
        <v>5</v>
      </c>
      <c r="R12" s="68"/>
      <c r="S12" s="3"/>
      <c r="T12">
        <f>T11/T10*1000000</f>
        <v>170.00000000000003</v>
      </c>
    </row>
    <row r="13" spans="1:20" x14ac:dyDescent="0.3">
      <c r="B13" s="3">
        <v>2015</v>
      </c>
      <c r="C13" s="4">
        <f>288.3304</f>
        <v>288.3304</v>
      </c>
      <c r="D13" s="13"/>
      <c r="E13" s="11"/>
      <c r="F13" s="3"/>
      <c r="G13" s="4">
        <v>2640</v>
      </c>
      <c r="H13" s="13"/>
      <c r="I13" s="11"/>
      <c r="J13" s="3"/>
      <c r="K13" s="4">
        <v>1576</v>
      </c>
      <c r="L13" s="13"/>
      <c r="M13" s="11"/>
      <c r="N13" s="3"/>
      <c r="O13" s="5">
        <f>C13+G13+K13</f>
        <v>4504.3303999999998</v>
      </c>
      <c r="P13" s="3"/>
      <c r="Q13" s="3"/>
      <c r="R13" s="3"/>
      <c r="S13" s="8"/>
    </row>
    <row r="14" spans="1:20" ht="15.6" x14ac:dyDescent="0.3">
      <c r="B14" s="3">
        <v>2016</v>
      </c>
      <c r="C14" s="5">
        <f>432200/1260</f>
        <v>343.01587301587301</v>
      </c>
      <c r="D14" s="13">
        <v>8.9999999999999998E-4</v>
      </c>
      <c r="E14" s="11">
        <f t="shared" ref="E14:E17" si="7">C14*D14</f>
        <v>0.30871428571428572</v>
      </c>
      <c r="F14" s="5">
        <f>E14/150*1000000</f>
        <v>2058.0952380952381</v>
      </c>
      <c r="G14" s="4">
        <f>G13+G13*10%</f>
        <v>2904</v>
      </c>
      <c r="H14" s="13">
        <v>1E-4</v>
      </c>
      <c r="I14" s="11">
        <f t="shared" ref="I14:I17" si="8">G14*H14</f>
        <v>0.29039999999999999</v>
      </c>
      <c r="J14" s="5">
        <f>I14/150*1000000</f>
        <v>1936</v>
      </c>
      <c r="K14" s="4">
        <f>K13+K13*10%</f>
        <v>1733.6</v>
      </c>
      <c r="L14" s="13">
        <v>1.5E-3</v>
      </c>
      <c r="M14" s="11">
        <f t="shared" ref="M14:M17" si="9">K14*L14</f>
        <v>2.6004</v>
      </c>
      <c r="N14" s="5">
        <f>M14/150*1000000</f>
        <v>17336</v>
      </c>
      <c r="O14" s="5">
        <f>C14+G14+K14</f>
        <v>4980.6158730158731</v>
      </c>
      <c r="P14" s="14">
        <f>E14+I14+M14</f>
        <v>3.1995142857142858</v>
      </c>
      <c r="Q14" s="5">
        <f>F14+J14+N14</f>
        <v>21330.095238095237</v>
      </c>
      <c r="R14" s="64">
        <v>60</v>
      </c>
      <c r="S14" s="10">
        <f>P14/O14</f>
        <v>6.423933038178487E-4</v>
      </c>
    </row>
    <row r="15" spans="1:20" ht="15.6" x14ac:dyDescent="0.3">
      <c r="B15" s="3">
        <v>2017</v>
      </c>
      <c r="C15" s="5">
        <f>602080/1270</f>
        <v>474.0787401574803</v>
      </c>
      <c r="D15" s="13">
        <v>6.0000000000000001E-3</v>
      </c>
      <c r="E15" s="11">
        <f t="shared" si="7"/>
        <v>2.8444724409448821</v>
      </c>
      <c r="F15" s="5">
        <f>E15/160*1000000</f>
        <v>17777.952755905513</v>
      </c>
      <c r="G15" s="4">
        <f>G14+G14*10%</f>
        <v>3194.4</v>
      </c>
      <c r="H15" s="13">
        <v>1E-3</v>
      </c>
      <c r="I15" s="11">
        <f t="shared" si="8"/>
        <v>3.1944000000000004</v>
      </c>
      <c r="J15" s="5">
        <f>I15/160*1000000</f>
        <v>19965.000000000004</v>
      </c>
      <c r="K15" s="4">
        <f>K14+K14*10%</f>
        <v>1906.96</v>
      </c>
      <c r="L15" s="13">
        <v>7.0000000000000001E-3</v>
      </c>
      <c r="M15" s="11">
        <f t="shared" si="9"/>
        <v>13.34872</v>
      </c>
      <c r="N15" s="5">
        <f>M15/160*1000000</f>
        <v>83429.5</v>
      </c>
      <c r="O15" s="5">
        <f>C15+G15+K15</f>
        <v>5575.4387401574804</v>
      </c>
      <c r="P15" s="14">
        <f t="shared" ref="P15:P17" si="10">E15+I15+M15</f>
        <v>19.387592440944882</v>
      </c>
      <c r="Q15" s="5">
        <f t="shared" ref="Q15:Q17" si="11">F15+J15+N15</f>
        <v>121172.45275590551</v>
      </c>
      <c r="R15" s="64">
        <v>80</v>
      </c>
      <c r="S15" s="10">
        <f>P15/O15</f>
        <v>3.4773213991760713E-3</v>
      </c>
    </row>
    <row r="16" spans="1:20" ht="15.6" x14ac:dyDescent="0.3">
      <c r="B16" s="3">
        <v>2018</v>
      </c>
      <c r="C16" s="5">
        <f>801494/1290</f>
        <v>621.31317829457362</v>
      </c>
      <c r="D16" s="13">
        <v>1.2E-2</v>
      </c>
      <c r="E16" s="11">
        <f t="shared" si="7"/>
        <v>7.4557581395348835</v>
      </c>
      <c r="F16" s="5">
        <f>E16/165*1000000</f>
        <v>45186.412966878081</v>
      </c>
      <c r="G16" s="4">
        <f>G15+G15*10%</f>
        <v>3513.84</v>
      </c>
      <c r="H16" s="13">
        <v>1E-3</v>
      </c>
      <c r="I16" s="11">
        <f t="shared" si="8"/>
        <v>3.5138400000000001</v>
      </c>
      <c r="J16" s="5">
        <f>I16/165*1000000</f>
        <v>21296</v>
      </c>
      <c r="K16" s="4">
        <f>K15+K15*10%</f>
        <v>2097.6559999999999</v>
      </c>
      <c r="L16" s="13">
        <v>8.0000000000000002E-3</v>
      </c>
      <c r="M16" s="11">
        <f t="shared" si="9"/>
        <v>16.781248000000001</v>
      </c>
      <c r="N16" s="5">
        <f>M16/165*1000000</f>
        <v>101704.53333333334</v>
      </c>
      <c r="O16" s="5">
        <f>C16+G16+K16</f>
        <v>6232.8091782945739</v>
      </c>
      <c r="P16" s="14">
        <f t="shared" si="10"/>
        <v>27.750846139534886</v>
      </c>
      <c r="Q16" s="5">
        <f>F16+J16+N16-5000</f>
        <v>163186.94630021142</v>
      </c>
      <c r="R16" s="64">
        <v>100</v>
      </c>
      <c r="S16" s="10">
        <f>P16/O16</f>
        <v>4.4523817985918342E-3</v>
      </c>
    </row>
    <row r="17" spans="2:19" ht="15.6" x14ac:dyDescent="0.3">
      <c r="B17" s="3">
        <v>2019</v>
      </c>
      <c r="C17" s="5">
        <f>1034070/1290</f>
        <v>801.60465116279067</v>
      </c>
      <c r="D17" s="13">
        <v>1.3299999999999999E-2</v>
      </c>
      <c r="E17" s="11">
        <f t="shared" si="7"/>
        <v>10.661341860465116</v>
      </c>
      <c r="F17" s="5">
        <f>E17/170*1000000</f>
        <v>62713.775649794799</v>
      </c>
      <c r="G17" s="4">
        <f>G16+G16*10%</f>
        <v>3865.2240000000002</v>
      </c>
      <c r="H17" s="13">
        <v>1E-3</v>
      </c>
      <c r="I17" s="11">
        <f t="shared" si="8"/>
        <v>3.8652240000000004</v>
      </c>
      <c r="J17" s="5">
        <f>I17/170*1000000</f>
        <v>22736.611764705885</v>
      </c>
      <c r="K17" s="4">
        <f>K16+K16*10%</f>
        <v>2307.4216000000001</v>
      </c>
      <c r="L17" s="13">
        <v>8.0000000000000002E-3</v>
      </c>
      <c r="M17" s="11">
        <f t="shared" si="9"/>
        <v>18.459372800000001</v>
      </c>
      <c r="N17" s="5">
        <f>M17/170*1000000</f>
        <v>108584.54588235295</v>
      </c>
      <c r="O17" s="5">
        <f>C17+G17+K17</f>
        <v>6974.2502511627918</v>
      </c>
      <c r="P17" s="14">
        <f t="shared" si="10"/>
        <v>32.985938660465116</v>
      </c>
      <c r="Q17" s="5">
        <f t="shared" si="11"/>
        <v>194034.93329685362</v>
      </c>
      <c r="R17" s="64">
        <v>120</v>
      </c>
      <c r="S17" s="10">
        <f>P17/O17</f>
        <v>4.7296752299597353E-3</v>
      </c>
    </row>
    <row r="18" spans="2:19" x14ac:dyDescent="0.3">
      <c r="K18" s="27">
        <v>0.1</v>
      </c>
    </row>
    <row r="19" spans="2:19" x14ac:dyDescent="0.3">
      <c r="P19" s="3"/>
    </row>
    <row r="20" spans="2:19" x14ac:dyDescent="0.3">
      <c r="P20" s="14">
        <v>3.435245885714286</v>
      </c>
    </row>
    <row r="21" spans="2:19" x14ac:dyDescent="0.3">
      <c r="P21" s="14">
        <v>22.851133872944882</v>
      </c>
    </row>
    <row r="22" spans="2:19" x14ac:dyDescent="0.3">
      <c r="P22" s="14">
        <v>35.861615600382009</v>
      </c>
      <c r="Q22">
        <v>212000</v>
      </c>
    </row>
    <row r="23" spans="2:19" x14ac:dyDescent="0.3">
      <c r="P23" s="14">
        <v>40.794960601816712</v>
      </c>
    </row>
  </sheetData>
  <mergeCells count="10">
    <mergeCell ref="C11:F11"/>
    <mergeCell ref="G11:J11"/>
    <mergeCell ref="K11:N11"/>
    <mergeCell ref="O11:Q11"/>
    <mergeCell ref="R11:R12"/>
    <mergeCell ref="C2:F2"/>
    <mergeCell ref="G2:J2"/>
    <mergeCell ref="K2:N2"/>
    <mergeCell ref="O2:Q2"/>
    <mergeCell ref="R2:R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8"/>
  <sheetViews>
    <sheetView workbookViewId="0">
      <selection activeCell="R5" sqref="R5:R8"/>
    </sheetView>
  </sheetViews>
  <sheetFormatPr defaultRowHeight="14.4" x14ac:dyDescent="0.3"/>
  <sheetData>
    <row r="2" spans="2:18" ht="31.05" customHeight="1" x14ac:dyDescent="0.3">
      <c r="B2" s="59" t="s">
        <v>1</v>
      </c>
      <c r="C2" s="69" t="s">
        <v>0</v>
      </c>
      <c r="D2" s="70"/>
      <c r="E2" s="70"/>
      <c r="F2" s="71"/>
      <c r="G2" s="69" t="s">
        <v>95</v>
      </c>
      <c r="H2" s="70"/>
      <c r="I2" s="70"/>
      <c r="J2" s="71"/>
      <c r="K2" s="69" t="s">
        <v>116</v>
      </c>
      <c r="L2" s="70"/>
      <c r="M2" s="70"/>
      <c r="N2" s="71"/>
      <c r="O2" s="69" t="s">
        <v>7</v>
      </c>
      <c r="P2" s="70"/>
      <c r="Q2" s="71"/>
      <c r="R2" s="72" t="s">
        <v>96</v>
      </c>
    </row>
    <row r="3" spans="2:18" ht="31.2" x14ac:dyDescent="0.3">
      <c r="B3" s="59"/>
      <c r="C3" s="59" t="s">
        <v>3</v>
      </c>
      <c r="D3" s="59" t="s">
        <v>4</v>
      </c>
      <c r="E3" s="59" t="s">
        <v>6</v>
      </c>
      <c r="F3" s="59" t="s">
        <v>5</v>
      </c>
      <c r="G3" s="59" t="s">
        <v>3</v>
      </c>
      <c r="H3" s="59" t="s">
        <v>4</v>
      </c>
      <c r="I3" s="59" t="s">
        <v>6</v>
      </c>
      <c r="J3" s="59" t="s">
        <v>5</v>
      </c>
      <c r="K3" s="59" t="s">
        <v>3</v>
      </c>
      <c r="L3" s="59" t="s">
        <v>4</v>
      </c>
      <c r="M3" s="59" t="s">
        <v>6</v>
      </c>
      <c r="N3" s="59" t="s">
        <v>5</v>
      </c>
      <c r="O3" s="59" t="s">
        <v>3</v>
      </c>
      <c r="P3" s="59" t="s">
        <v>6</v>
      </c>
      <c r="Q3" s="59" t="s">
        <v>5</v>
      </c>
      <c r="R3" s="73"/>
    </row>
    <row r="4" spans="2:18" ht="15.6" x14ac:dyDescent="0.3">
      <c r="B4" s="60">
        <v>2015</v>
      </c>
      <c r="C4" s="60">
        <v>288</v>
      </c>
      <c r="D4" s="61"/>
      <c r="E4" s="60"/>
      <c r="F4" s="61"/>
      <c r="G4" s="62">
        <v>2640</v>
      </c>
      <c r="H4" s="61"/>
      <c r="I4" s="60"/>
      <c r="J4" s="61"/>
      <c r="K4" s="62">
        <v>1576</v>
      </c>
      <c r="L4" s="61"/>
      <c r="M4" s="60"/>
      <c r="N4" s="61"/>
      <c r="O4" s="62">
        <v>4504</v>
      </c>
      <c r="P4" s="61"/>
      <c r="Q4" s="61"/>
      <c r="R4" s="61"/>
    </row>
    <row r="5" spans="2:18" ht="15.6" x14ac:dyDescent="0.3">
      <c r="B5" s="60">
        <v>2016</v>
      </c>
      <c r="C5" s="60">
        <v>343</v>
      </c>
      <c r="D5" s="63">
        <v>8.9999999999999998E-4</v>
      </c>
      <c r="E5" s="60">
        <v>0.31</v>
      </c>
      <c r="F5" s="62">
        <v>2058</v>
      </c>
      <c r="G5" s="62">
        <v>3141</v>
      </c>
      <c r="H5" s="63">
        <v>1E-4</v>
      </c>
      <c r="I5" s="60">
        <v>0.31</v>
      </c>
      <c r="J5" s="62">
        <v>2094</v>
      </c>
      <c r="K5" s="62">
        <v>1875</v>
      </c>
      <c r="L5" s="63">
        <v>1.5E-3</v>
      </c>
      <c r="M5" s="60">
        <v>2.81</v>
      </c>
      <c r="N5" s="62">
        <v>18750</v>
      </c>
      <c r="O5" s="62">
        <v>5359</v>
      </c>
      <c r="P5" s="60">
        <v>3.44</v>
      </c>
      <c r="Q5" s="62">
        <v>22902</v>
      </c>
      <c r="R5" s="64">
        <v>60</v>
      </c>
    </row>
    <row r="6" spans="2:18" ht="15.6" x14ac:dyDescent="0.3">
      <c r="B6" s="60">
        <v>2017</v>
      </c>
      <c r="C6" s="60">
        <v>474</v>
      </c>
      <c r="D6" s="63">
        <v>6.0000000000000001E-3</v>
      </c>
      <c r="E6" s="60">
        <v>2.84</v>
      </c>
      <c r="F6" s="62">
        <v>17778</v>
      </c>
      <c r="G6" s="62">
        <v>3863</v>
      </c>
      <c r="H6" s="63">
        <v>1E-3</v>
      </c>
      <c r="I6" s="60">
        <v>3.86</v>
      </c>
      <c r="J6" s="62">
        <v>24145</v>
      </c>
      <c r="K6" s="62">
        <v>2306</v>
      </c>
      <c r="L6" s="63">
        <v>7.0000000000000001E-3</v>
      </c>
      <c r="M6" s="60">
        <v>16.14</v>
      </c>
      <c r="N6" s="62">
        <v>100897</v>
      </c>
      <c r="O6" s="62">
        <v>6643</v>
      </c>
      <c r="P6" s="60">
        <v>22.85</v>
      </c>
      <c r="Q6" s="62">
        <v>142820</v>
      </c>
      <c r="R6" s="64">
        <v>80</v>
      </c>
    </row>
    <row r="7" spans="2:18" ht="15.6" x14ac:dyDescent="0.3">
      <c r="B7" s="60">
        <v>2018</v>
      </c>
      <c r="C7" s="60">
        <v>621</v>
      </c>
      <c r="D7" s="63">
        <v>7.0000000000000001E-3</v>
      </c>
      <c r="E7" s="60">
        <v>4.3499999999999996</v>
      </c>
      <c r="F7" s="62">
        <v>26359</v>
      </c>
      <c r="G7" s="62">
        <v>4945</v>
      </c>
      <c r="H7" s="63">
        <v>1E-3</v>
      </c>
      <c r="I7" s="60">
        <v>4.9400000000000004</v>
      </c>
      <c r="J7" s="62">
        <v>29969</v>
      </c>
      <c r="K7" s="62">
        <v>2952</v>
      </c>
      <c r="L7" s="63">
        <v>8.9999999999999993E-3</v>
      </c>
      <c r="M7" s="60">
        <v>26.57</v>
      </c>
      <c r="N7" s="62">
        <v>161015</v>
      </c>
      <c r="O7" s="62">
        <v>8518</v>
      </c>
      <c r="P7" s="60">
        <v>35.86</v>
      </c>
      <c r="Q7" s="62">
        <v>212343</v>
      </c>
      <c r="R7" s="64">
        <v>100</v>
      </c>
    </row>
    <row r="8" spans="2:18" ht="15.6" x14ac:dyDescent="0.3">
      <c r="B8" s="60">
        <v>2019</v>
      </c>
      <c r="C8" s="60">
        <v>802</v>
      </c>
      <c r="D8" s="63">
        <v>0.01</v>
      </c>
      <c r="E8" s="60">
        <v>8.02</v>
      </c>
      <c r="F8" s="62">
        <v>47153</v>
      </c>
      <c r="G8" s="62">
        <v>6329</v>
      </c>
      <c r="H8" s="63">
        <v>1E-3</v>
      </c>
      <c r="I8" s="60">
        <v>6.33</v>
      </c>
      <c r="J8" s="62">
        <v>37232</v>
      </c>
      <c r="K8" s="62">
        <v>3778</v>
      </c>
      <c r="L8" s="63">
        <v>8.9999999999999993E-3</v>
      </c>
      <c r="M8" s="60">
        <v>26.45</v>
      </c>
      <c r="N8" s="62">
        <v>155585</v>
      </c>
      <c r="O8" s="62">
        <v>10910</v>
      </c>
      <c r="P8" s="60">
        <v>40.79</v>
      </c>
      <c r="Q8" s="62">
        <v>239970</v>
      </c>
      <c r="R8" s="64">
        <v>120</v>
      </c>
    </row>
  </sheetData>
  <mergeCells count="5">
    <mergeCell ref="C2:F2"/>
    <mergeCell ref="G2:J2"/>
    <mergeCell ref="K2:N2"/>
    <mergeCell ref="O2:Q2"/>
    <mergeCell ref="R2:R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5"/>
  <sheetViews>
    <sheetView workbookViewId="0">
      <selection activeCell="E15" sqref="E15"/>
    </sheetView>
  </sheetViews>
  <sheetFormatPr defaultRowHeight="14.4" x14ac:dyDescent="0.3"/>
  <cols>
    <col min="3" max="3" width="4.88671875" customWidth="1"/>
    <col min="4" max="4" width="36.33203125" customWidth="1"/>
    <col min="5" max="5" width="21.6640625" customWidth="1"/>
    <col min="9" max="9" width="12.33203125" customWidth="1"/>
    <col min="10" max="10" width="9.77734375" bestFit="1" customWidth="1"/>
  </cols>
  <sheetData>
    <row r="2" spans="3:11" x14ac:dyDescent="0.3">
      <c r="C2" s="74" t="s">
        <v>8</v>
      </c>
      <c r="D2" s="74"/>
      <c r="E2" s="74"/>
    </row>
    <row r="3" spans="3:11" x14ac:dyDescent="0.3">
      <c r="C3" s="18" t="s">
        <v>9</v>
      </c>
      <c r="D3" s="18" t="s">
        <v>10</v>
      </c>
      <c r="E3" s="18" t="s">
        <v>11</v>
      </c>
    </row>
    <row r="4" spans="3:11" x14ac:dyDescent="0.3">
      <c r="C4" s="18">
        <v>1</v>
      </c>
      <c r="D4" s="3" t="s">
        <v>12</v>
      </c>
      <c r="E4" s="19" t="s">
        <v>22</v>
      </c>
    </row>
    <row r="5" spans="3:11" x14ac:dyDescent="0.3">
      <c r="C5" s="18">
        <v>2</v>
      </c>
      <c r="D5" s="3" t="s">
        <v>13</v>
      </c>
      <c r="E5" s="19" t="s">
        <v>23</v>
      </c>
    </row>
    <row r="6" spans="3:11" ht="15" thickBot="1" x14ac:dyDescent="0.35">
      <c r="C6" s="18">
        <v>3</v>
      </c>
      <c r="D6" s="3" t="s">
        <v>14</v>
      </c>
      <c r="E6" s="19" t="s">
        <v>24</v>
      </c>
    </row>
    <row r="7" spans="3:11" ht="16.2" thickBot="1" x14ac:dyDescent="0.35">
      <c r="C7" s="18">
        <v>4</v>
      </c>
      <c r="D7" s="3" t="s">
        <v>15</v>
      </c>
      <c r="E7" s="19" t="s">
        <v>25</v>
      </c>
      <c r="G7" s="45">
        <v>1180.7</v>
      </c>
      <c r="H7">
        <v>1180.7</v>
      </c>
      <c r="I7">
        <f>H7*1000000000</f>
        <v>1180700000000</v>
      </c>
      <c r="J7">
        <f>I7/1250</f>
        <v>944560000</v>
      </c>
      <c r="K7">
        <f>J7/1000000</f>
        <v>944.56</v>
      </c>
    </row>
    <row r="8" spans="3:11" ht="16.8" thickTop="1" thickBot="1" x14ac:dyDescent="0.35">
      <c r="C8" s="18">
        <v>5</v>
      </c>
      <c r="D8" s="3" t="s">
        <v>16</v>
      </c>
      <c r="E8" s="19" t="s">
        <v>26</v>
      </c>
      <c r="G8" s="46" t="s">
        <v>90</v>
      </c>
      <c r="H8">
        <v>721.2</v>
      </c>
      <c r="I8">
        <f t="shared" ref="I8:I14" si="0">H8*1000000000</f>
        <v>721200000000</v>
      </c>
      <c r="J8">
        <f t="shared" ref="J8:J14" si="1">I8/1250</f>
        <v>576960000</v>
      </c>
      <c r="K8">
        <f t="shared" ref="K8:K14" si="2">J8/1000000</f>
        <v>576.96</v>
      </c>
    </row>
    <row r="9" spans="3:11" ht="16.2" thickBot="1" x14ac:dyDescent="0.35">
      <c r="C9" s="18">
        <v>6</v>
      </c>
      <c r="D9" s="3" t="s">
        <v>17</v>
      </c>
      <c r="E9" s="19" t="s">
        <v>27</v>
      </c>
      <c r="G9" s="47" t="s">
        <v>91</v>
      </c>
      <c r="H9">
        <v>588.9</v>
      </c>
      <c r="I9">
        <f t="shared" si="0"/>
        <v>588900000000</v>
      </c>
      <c r="J9">
        <f t="shared" si="1"/>
        <v>471120000</v>
      </c>
      <c r="K9">
        <f t="shared" si="2"/>
        <v>471.12</v>
      </c>
    </row>
    <row r="10" spans="3:11" ht="16.2" thickBot="1" x14ac:dyDescent="0.35">
      <c r="C10" s="18">
        <v>7</v>
      </c>
      <c r="D10" s="3" t="s">
        <v>18</v>
      </c>
      <c r="E10" s="19" t="s">
        <v>28</v>
      </c>
      <c r="G10" s="48" t="s">
        <v>89</v>
      </c>
      <c r="H10">
        <v>1200</v>
      </c>
      <c r="I10">
        <f t="shared" si="0"/>
        <v>1200000000000</v>
      </c>
      <c r="J10">
        <f t="shared" si="1"/>
        <v>960000000</v>
      </c>
      <c r="K10">
        <f t="shared" si="2"/>
        <v>960</v>
      </c>
    </row>
    <row r="11" spans="3:11" ht="16.2" thickBot="1" x14ac:dyDescent="0.35">
      <c r="C11" s="18">
        <v>8</v>
      </c>
      <c r="D11" s="3" t="s">
        <v>19</v>
      </c>
      <c r="E11" s="19" t="s">
        <v>29</v>
      </c>
      <c r="G11" s="47">
        <v>505</v>
      </c>
      <c r="H11">
        <v>505</v>
      </c>
      <c r="I11">
        <f t="shared" si="0"/>
        <v>505000000000</v>
      </c>
      <c r="J11">
        <f t="shared" si="1"/>
        <v>404000000</v>
      </c>
      <c r="K11">
        <f t="shared" si="2"/>
        <v>404</v>
      </c>
    </row>
    <row r="12" spans="3:11" ht="16.2" thickBot="1" x14ac:dyDescent="0.35">
      <c r="C12" s="18">
        <v>9</v>
      </c>
      <c r="D12" s="3" t="s">
        <v>20</v>
      </c>
      <c r="E12" s="19" t="s">
        <v>30</v>
      </c>
      <c r="G12" s="48" t="s">
        <v>92</v>
      </c>
      <c r="H12">
        <v>463.1</v>
      </c>
      <c r="I12">
        <f t="shared" si="0"/>
        <v>463100000000</v>
      </c>
      <c r="J12">
        <f t="shared" si="1"/>
        <v>370480000</v>
      </c>
      <c r="K12">
        <f t="shared" si="2"/>
        <v>370.48</v>
      </c>
    </row>
    <row r="13" spans="3:11" ht="16.2" thickBot="1" x14ac:dyDescent="0.35">
      <c r="C13" s="18">
        <v>10</v>
      </c>
      <c r="D13" s="3" t="s">
        <v>21</v>
      </c>
      <c r="E13" s="19" t="s">
        <v>31</v>
      </c>
      <c r="G13" s="47" t="s">
        <v>93</v>
      </c>
      <c r="H13">
        <v>238.9</v>
      </c>
      <c r="I13">
        <f t="shared" si="0"/>
        <v>238900000000</v>
      </c>
      <c r="J13">
        <f t="shared" si="1"/>
        <v>191120000</v>
      </c>
      <c r="K13">
        <f t="shared" si="2"/>
        <v>191.12</v>
      </c>
    </row>
    <row r="14" spans="3:11" ht="16.2" thickBot="1" x14ac:dyDescent="0.35">
      <c r="E14" s="17"/>
      <c r="G14" s="48" t="s">
        <v>94</v>
      </c>
      <c r="H14">
        <v>1028.0999999999999</v>
      </c>
      <c r="I14">
        <f t="shared" si="0"/>
        <v>1028099999999.9999</v>
      </c>
      <c r="J14">
        <f t="shared" si="1"/>
        <v>822479999.99999988</v>
      </c>
      <c r="K14">
        <f t="shared" si="2"/>
        <v>822.4799999999999</v>
      </c>
    </row>
    <row r="15" spans="3:11" x14ac:dyDescent="0.3">
      <c r="G15" s="16"/>
    </row>
  </sheetData>
  <mergeCells count="1">
    <mergeCell ref="C2:E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0"/>
  <sheetViews>
    <sheetView topLeftCell="A7" workbookViewId="0">
      <selection activeCell="D6" sqref="D6"/>
    </sheetView>
  </sheetViews>
  <sheetFormatPr defaultRowHeight="14.4" x14ac:dyDescent="0.3"/>
  <cols>
    <col min="2" max="2" width="1.88671875" bestFit="1" customWidth="1"/>
    <col min="3" max="3" width="25.109375" customWidth="1"/>
    <col min="4" max="4" width="42.21875" bestFit="1" customWidth="1"/>
    <col min="5" max="5" width="9.21875" customWidth="1"/>
    <col min="6" max="6" width="8.77734375" bestFit="1" customWidth="1"/>
    <col min="7" max="7" width="9.77734375" customWidth="1"/>
    <col min="8" max="8" width="8.77734375" bestFit="1" customWidth="1"/>
    <col min="9" max="9" width="8.88671875" customWidth="1"/>
    <col min="10" max="10" width="8.77734375" bestFit="1" customWidth="1"/>
    <col min="11" max="11" width="9.5546875" customWidth="1"/>
    <col min="12" max="12" width="8.77734375" bestFit="1" customWidth="1"/>
  </cols>
  <sheetData>
    <row r="2" spans="2:17" ht="15" thickBot="1" x14ac:dyDescent="0.35"/>
    <row r="3" spans="2:17" ht="31.95" customHeight="1" x14ac:dyDescent="0.3">
      <c r="B3" s="20" t="s">
        <v>32</v>
      </c>
      <c r="C3" s="20" t="s">
        <v>33</v>
      </c>
      <c r="D3" s="20" t="s">
        <v>34</v>
      </c>
      <c r="E3" s="77" t="s">
        <v>111</v>
      </c>
      <c r="F3" s="78"/>
      <c r="G3" s="77" t="s">
        <v>113</v>
      </c>
      <c r="H3" s="78"/>
      <c r="I3" s="77" t="s">
        <v>114</v>
      </c>
      <c r="J3" s="78"/>
      <c r="K3" s="77" t="s">
        <v>115</v>
      </c>
      <c r="L3" s="78"/>
    </row>
    <row r="4" spans="2:17" ht="31.8" thickBot="1" x14ac:dyDescent="0.35">
      <c r="B4" s="21"/>
      <c r="C4" s="21"/>
      <c r="D4" s="21"/>
      <c r="E4" s="21" t="s">
        <v>5</v>
      </c>
      <c r="F4" s="21" t="s">
        <v>112</v>
      </c>
      <c r="G4" s="21" t="s">
        <v>5</v>
      </c>
      <c r="H4" s="21" t="s">
        <v>112</v>
      </c>
      <c r="I4" s="21" t="s">
        <v>5</v>
      </c>
      <c r="J4" s="21" t="s">
        <v>112</v>
      </c>
      <c r="K4" s="21" t="s">
        <v>5</v>
      </c>
      <c r="L4" s="21" t="s">
        <v>112</v>
      </c>
    </row>
    <row r="5" spans="2:17" ht="63.6" thickTop="1" thickBot="1" x14ac:dyDescent="0.35">
      <c r="B5" s="22">
        <v>1</v>
      </c>
      <c r="C5" s="24" t="s">
        <v>39</v>
      </c>
      <c r="D5" s="24" t="s">
        <v>40</v>
      </c>
      <c r="E5" s="26">
        <f>E9*N5</f>
        <v>3088.9390412698413</v>
      </c>
      <c r="F5" s="52">
        <f>E5/E9</f>
        <v>0.45</v>
      </c>
      <c r="G5" s="26">
        <f>G9*O5</f>
        <v>3411.1862788467847</v>
      </c>
      <c r="H5" s="52">
        <f>O5</f>
        <v>0.35</v>
      </c>
      <c r="I5" s="26">
        <f>I9*P5</f>
        <v>4185.92177267221</v>
      </c>
      <c r="J5" s="52">
        <f>I5/I9</f>
        <v>0.29999999999999993</v>
      </c>
      <c r="K5" s="26">
        <f t="shared" ref="K5" si="0">K9*Q5</f>
        <v>4999.3824266932234</v>
      </c>
      <c r="L5" s="52">
        <f>K5/K9</f>
        <v>0.25</v>
      </c>
      <c r="N5" s="27">
        <v>0.45</v>
      </c>
      <c r="O5" s="27">
        <v>0.35</v>
      </c>
      <c r="P5" s="27">
        <v>0.3</v>
      </c>
      <c r="Q5" s="27">
        <v>0.25</v>
      </c>
    </row>
    <row r="6" spans="2:17" ht="63" thickBot="1" x14ac:dyDescent="0.35">
      <c r="B6" s="23">
        <v>2</v>
      </c>
      <c r="C6" s="23" t="s">
        <v>37</v>
      </c>
      <c r="D6" s="23" t="s">
        <v>38</v>
      </c>
      <c r="E6" s="29">
        <f>E9*$N$6</f>
        <v>1372.8617961199295</v>
      </c>
      <c r="F6" s="53">
        <f>E6/E9</f>
        <v>0.2</v>
      </c>
      <c r="G6" s="29">
        <f>G9*$N$6</f>
        <v>1949.2493021981627</v>
      </c>
      <c r="H6" s="53">
        <f>O6</f>
        <v>0.2</v>
      </c>
      <c r="I6" s="29">
        <f>I9*$N$6</f>
        <v>2790.6145151148071</v>
      </c>
      <c r="J6" s="53">
        <f>I6/I9</f>
        <v>0.2</v>
      </c>
      <c r="K6" s="29">
        <f>K9*$Q$6</f>
        <v>4999.3824266932234</v>
      </c>
      <c r="L6" s="53">
        <f>K6/K9</f>
        <v>0.25</v>
      </c>
      <c r="N6" s="27">
        <v>0.2</v>
      </c>
      <c r="O6" s="27">
        <v>0.2</v>
      </c>
      <c r="P6" s="27">
        <v>0.2</v>
      </c>
      <c r="Q6" s="27">
        <v>0.25</v>
      </c>
    </row>
    <row r="7" spans="2:17" ht="78.599999999999994" thickBot="1" x14ac:dyDescent="0.35">
      <c r="B7" s="24">
        <v>3</v>
      </c>
      <c r="C7" s="24" t="s">
        <v>35</v>
      </c>
      <c r="D7" s="24" t="s">
        <v>36</v>
      </c>
      <c r="E7" s="26">
        <f>E9*N7</f>
        <v>686.43089805996476</v>
      </c>
      <c r="F7" s="52">
        <f>E7/E9</f>
        <v>0.1</v>
      </c>
      <c r="G7" s="26">
        <f>G9*O7</f>
        <v>1461.936976648622</v>
      </c>
      <c r="H7" s="52">
        <f>O7</f>
        <v>0.15</v>
      </c>
      <c r="I7" s="26">
        <f>I9*P7</f>
        <v>2790.6145151148071</v>
      </c>
      <c r="J7" s="52">
        <f>I7/I9</f>
        <v>0.2</v>
      </c>
      <c r="K7" s="26">
        <f t="shared" ref="K7" si="1">K9*Q7</f>
        <v>4999.3824266932234</v>
      </c>
      <c r="L7" s="52">
        <f>K7/K9</f>
        <v>0.25</v>
      </c>
      <c r="N7" s="27">
        <v>0.1</v>
      </c>
      <c r="O7" s="27">
        <v>0.15</v>
      </c>
      <c r="P7" s="2">
        <v>0.2</v>
      </c>
      <c r="Q7" s="27">
        <v>0.25</v>
      </c>
    </row>
    <row r="8" spans="2:17" ht="63" thickBot="1" x14ac:dyDescent="0.35">
      <c r="B8" s="23">
        <v>4</v>
      </c>
      <c r="C8" s="23" t="s">
        <v>41</v>
      </c>
      <c r="D8" s="23" t="s">
        <v>42</v>
      </c>
      <c r="E8" s="29">
        <f>E9*N8</f>
        <v>1716.0772451499117</v>
      </c>
      <c r="F8" s="53">
        <f>E8/E9</f>
        <v>0.25</v>
      </c>
      <c r="G8" s="29">
        <f>G9*O8</f>
        <v>2923.873953297244</v>
      </c>
      <c r="H8" s="53">
        <f>O8</f>
        <v>0.3</v>
      </c>
      <c r="I8" s="29">
        <f>I9*P8</f>
        <v>4185.92177267221</v>
      </c>
      <c r="J8" s="53">
        <f>I8/I9</f>
        <v>0.29999999999999993</v>
      </c>
      <c r="K8" s="29">
        <f t="shared" ref="K8" si="2">K9*Q8</f>
        <v>4999.3824266932234</v>
      </c>
      <c r="L8" s="53">
        <f>K8/K9</f>
        <v>0.25</v>
      </c>
      <c r="N8" s="27">
        <v>0.25</v>
      </c>
      <c r="O8" s="27">
        <v>0.3</v>
      </c>
      <c r="P8" s="2">
        <v>0.3</v>
      </c>
      <c r="Q8" s="27">
        <v>0.25</v>
      </c>
    </row>
    <row r="9" spans="2:17" ht="23.4" thickBot="1" x14ac:dyDescent="0.35">
      <c r="B9" s="25"/>
      <c r="C9" s="24" t="s">
        <v>3</v>
      </c>
      <c r="D9" s="25"/>
      <c r="E9" s="26">
        <f>E12/12</f>
        <v>6864.3089805996469</v>
      </c>
      <c r="F9" s="28">
        <f>SUM(F5:F8)</f>
        <v>1</v>
      </c>
      <c r="G9" s="26">
        <f>G12/12</f>
        <v>9746.2465109908135</v>
      </c>
      <c r="H9" s="28">
        <f>SUM(H5:H8)</f>
        <v>1</v>
      </c>
      <c r="I9" s="26">
        <f>I12/12</f>
        <v>13953.072575574035</v>
      </c>
      <c r="J9" s="28">
        <f>SUM(J5:J8)</f>
        <v>0.99999999999999989</v>
      </c>
      <c r="K9" s="26">
        <f>K12/12</f>
        <v>19997.529706772893</v>
      </c>
      <c r="L9" s="28">
        <f>SUM(L5:L8)</f>
        <v>1</v>
      </c>
      <c r="N9" s="28">
        <f>SUM(N5:N8)</f>
        <v>1</v>
      </c>
      <c r="O9" s="28">
        <f t="shared" ref="O9:Q9" si="3">SUM(O5:O8)</f>
        <v>1</v>
      </c>
      <c r="P9" s="28">
        <f t="shared" si="3"/>
        <v>1</v>
      </c>
      <c r="Q9" s="28">
        <f t="shared" si="3"/>
        <v>1</v>
      </c>
    </row>
    <row r="11" spans="2:17" x14ac:dyDescent="0.3">
      <c r="E11">
        <f>E9/12</f>
        <v>572.02574838330395</v>
      </c>
      <c r="G11">
        <f t="shared" ref="G11:K11" si="4">G9/12</f>
        <v>812.18720924923446</v>
      </c>
      <c r="I11">
        <f t="shared" si="4"/>
        <v>1162.7560479645028</v>
      </c>
      <c r="K11">
        <f t="shared" si="4"/>
        <v>1666.4608088977411</v>
      </c>
    </row>
    <row r="12" spans="2:17" x14ac:dyDescent="0.3">
      <c r="E12" s="1">
        <f>tabl!Q5</f>
        <v>82371.707767195767</v>
      </c>
      <c r="F12" s="1"/>
      <c r="G12" s="1">
        <f>tabl!Q6</f>
        <v>116954.95813188975</v>
      </c>
      <c r="H12" s="1"/>
      <c r="I12" s="1">
        <f>tabl!Q7</f>
        <v>167436.87090688842</v>
      </c>
      <c r="J12" s="1"/>
      <c r="K12" s="1">
        <f>tabl!Q8</f>
        <v>239970.35648127474</v>
      </c>
      <c r="L12" s="1"/>
    </row>
    <row r="14" spans="2:17" ht="15" thickBot="1" x14ac:dyDescent="0.35"/>
    <row r="15" spans="2:17" ht="18" x14ac:dyDescent="0.3">
      <c r="C15" s="30"/>
      <c r="D15" s="32">
        <v>42444</v>
      </c>
      <c r="E15" s="32">
        <v>42475</v>
      </c>
      <c r="F15" s="32"/>
      <c r="G15" s="32">
        <v>42505</v>
      </c>
      <c r="H15" s="32"/>
      <c r="I15" s="32">
        <v>42536</v>
      </c>
      <c r="J15" s="32"/>
      <c r="K15" s="32">
        <v>42566</v>
      </c>
      <c r="L15" s="32"/>
      <c r="M15" s="32">
        <v>42597</v>
      </c>
    </row>
    <row r="16" spans="2:17" ht="18" x14ac:dyDescent="0.3">
      <c r="C16" s="81" t="s">
        <v>88</v>
      </c>
      <c r="D16" s="81">
        <v>100</v>
      </c>
      <c r="E16" s="81">
        <v>200</v>
      </c>
      <c r="F16" s="56"/>
      <c r="G16" s="81">
        <v>300</v>
      </c>
      <c r="H16" s="56"/>
      <c r="I16" s="81">
        <v>600</v>
      </c>
      <c r="J16" s="54"/>
      <c r="K16" s="79">
        <v>900</v>
      </c>
      <c r="L16" s="54"/>
      <c r="M16" s="75">
        <v>1200</v>
      </c>
    </row>
    <row r="17" spans="3:15" ht="43.05" customHeight="1" thickBot="1" x14ac:dyDescent="0.35">
      <c r="C17" s="82" t="s">
        <v>43</v>
      </c>
      <c r="D17" s="82"/>
      <c r="E17" s="82"/>
      <c r="F17" s="57"/>
      <c r="G17" s="82"/>
      <c r="H17" s="57"/>
      <c r="I17" s="82"/>
      <c r="J17" s="55"/>
      <c r="K17" s="80"/>
      <c r="L17" s="55"/>
      <c r="M17" s="76"/>
      <c r="O17">
        <f>SUM(D16:M17)</f>
        <v>3300</v>
      </c>
    </row>
    <row r="20" spans="3:15" ht="36.6" thickBot="1" x14ac:dyDescent="0.35">
      <c r="C20" s="31" t="s">
        <v>43</v>
      </c>
    </row>
  </sheetData>
  <mergeCells count="11">
    <mergeCell ref="C16:C17"/>
    <mergeCell ref="D16:D17"/>
    <mergeCell ref="E16:E17"/>
    <mergeCell ref="G16:G17"/>
    <mergeCell ref="I16:I17"/>
    <mergeCell ref="M16:M17"/>
    <mergeCell ref="E3:F3"/>
    <mergeCell ref="G3:H3"/>
    <mergeCell ref="I3:J3"/>
    <mergeCell ref="K3:L3"/>
    <mergeCell ref="K16:K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0"/>
  <sheetViews>
    <sheetView topLeftCell="A4" workbookViewId="0">
      <selection activeCell="A4" sqref="A1:XFD1048576"/>
    </sheetView>
  </sheetViews>
  <sheetFormatPr defaultRowHeight="14.4" x14ac:dyDescent="0.3"/>
  <cols>
    <col min="2" max="2" width="1.88671875" bestFit="1" customWidth="1"/>
    <col min="3" max="3" width="25.109375" customWidth="1"/>
    <col min="4" max="4" width="42.21875" bestFit="1" customWidth="1"/>
    <col min="5" max="5" width="9.21875" customWidth="1"/>
    <col min="6" max="6" width="8.77734375" bestFit="1" customWidth="1"/>
    <col min="7" max="7" width="9.77734375" customWidth="1"/>
    <col min="8" max="8" width="8.77734375" bestFit="1" customWidth="1"/>
    <col min="9" max="9" width="8.88671875" customWidth="1"/>
    <col min="10" max="10" width="8.77734375" bestFit="1" customWidth="1"/>
    <col min="11" max="11" width="9.5546875" customWidth="1"/>
    <col min="12" max="12" width="8.77734375" bestFit="1" customWidth="1"/>
  </cols>
  <sheetData>
    <row r="2" spans="2:17" ht="15" thickBot="1" x14ac:dyDescent="0.35"/>
    <row r="3" spans="2:17" ht="31.95" customHeight="1" x14ac:dyDescent="0.3">
      <c r="B3" s="20" t="s">
        <v>32</v>
      </c>
      <c r="C3" s="20" t="s">
        <v>33</v>
      </c>
      <c r="D3" s="20" t="s">
        <v>34</v>
      </c>
      <c r="E3" s="77" t="s">
        <v>111</v>
      </c>
      <c r="F3" s="78"/>
      <c r="G3" s="77" t="s">
        <v>113</v>
      </c>
      <c r="H3" s="78"/>
      <c r="I3" s="77" t="s">
        <v>114</v>
      </c>
      <c r="J3" s="78"/>
      <c r="K3" s="77" t="s">
        <v>115</v>
      </c>
      <c r="L3" s="78"/>
    </row>
    <row r="4" spans="2:17" ht="31.8" thickBot="1" x14ac:dyDescent="0.35">
      <c r="B4" s="21"/>
      <c r="C4" s="21"/>
      <c r="D4" s="21"/>
      <c r="E4" s="21" t="s">
        <v>5</v>
      </c>
      <c r="F4" s="21" t="s">
        <v>112</v>
      </c>
      <c r="G4" s="21" t="s">
        <v>5</v>
      </c>
      <c r="H4" s="21" t="s">
        <v>112</v>
      </c>
      <c r="I4" s="21" t="s">
        <v>5</v>
      </c>
      <c r="J4" s="21" t="s">
        <v>112</v>
      </c>
      <c r="K4" s="21" t="s">
        <v>5</v>
      </c>
      <c r="L4" s="21" t="s">
        <v>112</v>
      </c>
    </row>
    <row r="5" spans="2:17" ht="63.6" thickTop="1" thickBot="1" x14ac:dyDescent="0.35">
      <c r="B5" s="22">
        <v>1</v>
      </c>
      <c r="C5" s="24" t="s">
        <v>39</v>
      </c>
      <c r="D5" s="24" t="s">
        <v>40</v>
      </c>
      <c r="E5" s="26">
        <f>E9*N5</f>
        <v>3088.9390412698413</v>
      </c>
      <c r="F5" s="52">
        <f>E5/E9</f>
        <v>0.45</v>
      </c>
      <c r="G5" s="26">
        <f>G9*O5</f>
        <v>3411.1862788467847</v>
      </c>
      <c r="H5" s="52">
        <f>O5</f>
        <v>0.35</v>
      </c>
      <c r="I5" s="26">
        <f>I9*P5</f>
        <v>4185.92177267221</v>
      </c>
      <c r="J5" s="52">
        <f>I5/I9</f>
        <v>0.29999999999999993</v>
      </c>
      <c r="K5" s="26">
        <f t="shared" ref="K5" si="0">K9*Q5</f>
        <v>4999.3824266932234</v>
      </c>
      <c r="L5" s="52">
        <f>K5/K9</f>
        <v>0.25</v>
      </c>
      <c r="N5" s="27">
        <v>0.45</v>
      </c>
      <c r="O5" s="27">
        <v>0.35</v>
      </c>
      <c r="P5" s="27">
        <v>0.3</v>
      </c>
      <c r="Q5" s="27">
        <v>0.25</v>
      </c>
    </row>
    <row r="6" spans="2:17" ht="63" thickBot="1" x14ac:dyDescent="0.35">
      <c r="B6" s="23">
        <v>2</v>
      </c>
      <c r="C6" s="23" t="s">
        <v>37</v>
      </c>
      <c r="D6" s="23" t="s">
        <v>38</v>
      </c>
      <c r="E6" s="29">
        <f>E9*$N$6</f>
        <v>1372.8617961199295</v>
      </c>
      <c r="F6" s="53">
        <f>E6/E9</f>
        <v>0.2</v>
      </c>
      <c r="G6" s="29">
        <f>G9*$N$6</f>
        <v>1949.2493021981627</v>
      </c>
      <c r="H6" s="53">
        <f>O6</f>
        <v>0.2</v>
      </c>
      <c r="I6" s="29">
        <f>I9*$N$6</f>
        <v>2790.6145151148071</v>
      </c>
      <c r="J6" s="53">
        <f>I6/I9</f>
        <v>0.2</v>
      </c>
      <c r="K6" s="29">
        <f>K9*$Q$6</f>
        <v>4999.3824266932234</v>
      </c>
      <c r="L6" s="53">
        <f>K6/K9</f>
        <v>0.25</v>
      </c>
      <c r="N6" s="27">
        <v>0.2</v>
      </c>
      <c r="O6" s="27">
        <v>0.2</v>
      </c>
      <c r="P6" s="27">
        <v>0.2</v>
      </c>
      <c r="Q6" s="27">
        <v>0.25</v>
      </c>
    </row>
    <row r="7" spans="2:17" ht="78.599999999999994" thickBot="1" x14ac:dyDescent="0.35">
      <c r="B7" s="24">
        <v>3</v>
      </c>
      <c r="C7" s="24" t="s">
        <v>35</v>
      </c>
      <c r="D7" s="24" t="s">
        <v>36</v>
      </c>
      <c r="E7" s="26">
        <f>E9*N7</f>
        <v>686.43089805996476</v>
      </c>
      <c r="F7" s="52">
        <f>E7/E9</f>
        <v>0.1</v>
      </c>
      <c r="G7" s="26">
        <f>G9*O7</f>
        <v>1461.936976648622</v>
      </c>
      <c r="H7" s="52">
        <f>O7</f>
        <v>0.15</v>
      </c>
      <c r="I7" s="26">
        <f>I9*P7</f>
        <v>2790.6145151148071</v>
      </c>
      <c r="J7" s="52">
        <f>I7/I9</f>
        <v>0.2</v>
      </c>
      <c r="K7" s="26">
        <f t="shared" ref="K7" si="1">K9*Q7</f>
        <v>4999.3824266932234</v>
      </c>
      <c r="L7" s="52">
        <f>K7/K9</f>
        <v>0.25</v>
      </c>
      <c r="N7" s="27">
        <v>0.1</v>
      </c>
      <c r="O7" s="27">
        <v>0.15</v>
      </c>
      <c r="P7" s="2">
        <v>0.2</v>
      </c>
      <c r="Q7" s="27">
        <v>0.25</v>
      </c>
    </row>
    <row r="8" spans="2:17" ht="63" thickBot="1" x14ac:dyDescent="0.35">
      <c r="B8" s="23">
        <v>4</v>
      </c>
      <c r="C8" s="23" t="s">
        <v>41</v>
      </c>
      <c r="D8" s="23" t="s">
        <v>42</v>
      </c>
      <c r="E8" s="29">
        <f>E9*N8</f>
        <v>1716.0772451499117</v>
      </c>
      <c r="F8" s="53">
        <f>E8/E9</f>
        <v>0.25</v>
      </c>
      <c r="G8" s="29">
        <f>G9*O8</f>
        <v>2923.873953297244</v>
      </c>
      <c r="H8" s="53">
        <f>O8</f>
        <v>0.3</v>
      </c>
      <c r="I8" s="29">
        <f>I9*P8</f>
        <v>4185.92177267221</v>
      </c>
      <c r="J8" s="53">
        <f>I8/I9</f>
        <v>0.29999999999999993</v>
      </c>
      <c r="K8" s="29">
        <f t="shared" ref="K8" si="2">K9*Q8</f>
        <v>4999.3824266932234</v>
      </c>
      <c r="L8" s="53">
        <f>K8/K9</f>
        <v>0.25</v>
      </c>
      <c r="N8" s="27">
        <v>0.25</v>
      </c>
      <c r="O8" s="27">
        <v>0.3</v>
      </c>
      <c r="P8" s="2">
        <v>0.3</v>
      </c>
      <c r="Q8" s="27">
        <v>0.25</v>
      </c>
    </row>
    <row r="9" spans="2:17" ht="23.4" thickBot="1" x14ac:dyDescent="0.35">
      <c r="B9" s="25"/>
      <c r="C9" s="24" t="s">
        <v>3</v>
      </c>
      <c r="D9" s="25"/>
      <c r="E9" s="26">
        <f>E12/12</f>
        <v>6864.3089805996469</v>
      </c>
      <c r="F9" s="28">
        <f>SUM(F5:F8)</f>
        <v>1</v>
      </c>
      <c r="G9" s="26">
        <f>G12/12</f>
        <v>9746.2465109908135</v>
      </c>
      <c r="H9" s="28">
        <f>SUM(H5:H8)</f>
        <v>1</v>
      </c>
      <c r="I9" s="26">
        <f>I12/12</f>
        <v>13953.072575574035</v>
      </c>
      <c r="J9" s="28">
        <f>SUM(J5:J8)</f>
        <v>0.99999999999999989</v>
      </c>
      <c r="K9" s="26">
        <f>K12/12</f>
        <v>19997.529706772893</v>
      </c>
      <c r="L9" s="28">
        <f>SUM(L5:L8)</f>
        <v>1</v>
      </c>
      <c r="N9" s="28">
        <f>SUM(N5:N8)</f>
        <v>1</v>
      </c>
      <c r="O9" s="28">
        <f t="shared" ref="O9:Q9" si="3">SUM(O5:O8)</f>
        <v>1</v>
      </c>
      <c r="P9" s="28">
        <f t="shared" si="3"/>
        <v>1</v>
      </c>
      <c r="Q9" s="28">
        <f t="shared" si="3"/>
        <v>1</v>
      </c>
    </row>
    <row r="11" spans="2:17" x14ac:dyDescent="0.3">
      <c r="E11">
        <f>E9/12</f>
        <v>572.02574838330395</v>
      </c>
      <c r="G11">
        <f t="shared" ref="G11:K11" si="4">G9/12</f>
        <v>812.18720924923446</v>
      </c>
      <c r="I11">
        <f t="shared" si="4"/>
        <v>1162.7560479645028</v>
      </c>
      <c r="K11">
        <f t="shared" si="4"/>
        <v>1666.4608088977411</v>
      </c>
    </row>
    <row r="12" spans="2:17" x14ac:dyDescent="0.3">
      <c r="E12" s="1">
        <f>tabl!Q5</f>
        <v>82371.707767195767</v>
      </c>
      <c r="F12" s="1"/>
      <c r="G12" s="1">
        <f>tabl!Q6</f>
        <v>116954.95813188975</v>
      </c>
      <c r="H12" s="1"/>
      <c r="I12" s="1">
        <f>tabl!Q7</f>
        <v>167436.87090688842</v>
      </c>
      <c r="J12" s="1"/>
      <c r="K12" s="1">
        <f>tabl!Q8</f>
        <v>239970.35648127474</v>
      </c>
      <c r="L12" s="1"/>
    </row>
    <row r="14" spans="2:17" ht="15" thickBot="1" x14ac:dyDescent="0.35"/>
    <row r="15" spans="2:17" ht="18" x14ac:dyDescent="0.3">
      <c r="C15" s="30"/>
      <c r="D15" s="32">
        <v>42444</v>
      </c>
      <c r="E15" s="32">
        <v>42475</v>
      </c>
      <c r="F15" s="32"/>
      <c r="G15" s="32">
        <v>42505</v>
      </c>
      <c r="H15" s="32"/>
      <c r="I15" s="32">
        <v>42536</v>
      </c>
      <c r="J15" s="32"/>
      <c r="K15" s="32">
        <v>42566</v>
      </c>
      <c r="L15" s="32"/>
      <c r="M15" s="32">
        <v>42597</v>
      </c>
    </row>
    <row r="16" spans="2:17" ht="18" x14ac:dyDescent="0.3">
      <c r="C16" s="81" t="s">
        <v>88</v>
      </c>
      <c r="D16" s="81">
        <v>100</v>
      </c>
      <c r="E16" s="81">
        <v>200</v>
      </c>
      <c r="F16" s="50"/>
      <c r="G16" s="81">
        <v>300</v>
      </c>
      <c r="H16" s="50"/>
      <c r="I16" s="81">
        <v>600</v>
      </c>
      <c r="J16" s="54"/>
      <c r="K16" s="79">
        <v>900</v>
      </c>
      <c r="L16" s="54"/>
      <c r="M16" s="75">
        <v>1200</v>
      </c>
    </row>
    <row r="17" spans="3:15" ht="43.05" customHeight="1" thickBot="1" x14ac:dyDescent="0.35">
      <c r="C17" s="82" t="s">
        <v>43</v>
      </c>
      <c r="D17" s="82"/>
      <c r="E17" s="82"/>
      <c r="F17" s="51"/>
      <c r="G17" s="82"/>
      <c r="H17" s="51"/>
      <c r="I17" s="82"/>
      <c r="J17" s="55"/>
      <c r="K17" s="80"/>
      <c r="L17" s="55"/>
      <c r="M17" s="76"/>
      <c r="O17">
        <f>SUM(D16:M17)</f>
        <v>3300</v>
      </c>
    </row>
    <row r="20" spans="3:15" ht="36.6" thickBot="1" x14ac:dyDescent="0.35">
      <c r="C20" s="31" t="s">
        <v>43</v>
      </c>
    </row>
  </sheetData>
  <mergeCells count="11">
    <mergeCell ref="C16:C17"/>
    <mergeCell ref="I16:I17"/>
    <mergeCell ref="K16:K17"/>
    <mergeCell ref="M16:M17"/>
    <mergeCell ref="D16:D17"/>
    <mergeCell ref="E16:E17"/>
    <mergeCell ref="G16:G17"/>
    <mergeCell ref="E3:F3"/>
    <mergeCell ref="G3:H3"/>
    <mergeCell ref="I3:J3"/>
    <mergeCell ref="K3:L3"/>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8"/>
  <sheetViews>
    <sheetView workbookViewId="0">
      <selection activeCell="E13" sqref="E13"/>
    </sheetView>
  </sheetViews>
  <sheetFormatPr defaultRowHeight="14.4" x14ac:dyDescent="0.3"/>
  <cols>
    <col min="3" max="3" width="17.44140625" customWidth="1"/>
    <col min="4" max="4" width="14" customWidth="1"/>
    <col min="5" max="5" width="60.21875" customWidth="1"/>
    <col min="7" max="7" width="10.77734375" bestFit="1" customWidth="1"/>
  </cols>
  <sheetData>
    <row r="1" spans="3:8" ht="15" thickBot="1" x14ac:dyDescent="0.35"/>
    <row r="2" spans="3:8" ht="42.6" thickBot="1" x14ac:dyDescent="0.35">
      <c r="C2" s="33" t="s">
        <v>44</v>
      </c>
      <c r="D2" s="83" t="s">
        <v>45</v>
      </c>
      <c r="E2" s="84"/>
    </row>
    <row r="3" spans="3:8" x14ac:dyDescent="0.3">
      <c r="C3" s="85" t="s">
        <v>46</v>
      </c>
      <c r="D3" s="87" t="s">
        <v>47</v>
      </c>
      <c r="E3" s="88"/>
    </row>
    <row r="4" spans="3:8" x14ac:dyDescent="0.3">
      <c r="C4" s="86"/>
      <c r="D4" s="89" t="s">
        <v>48</v>
      </c>
      <c r="E4" s="90"/>
    </row>
    <row r="5" spans="3:8" x14ac:dyDescent="0.3">
      <c r="C5" s="86"/>
      <c r="D5" s="91" t="s">
        <v>49</v>
      </c>
      <c r="E5" s="92"/>
    </row>
    <row r="6" spans="3:8" x14ac:dyDescent="0.3">
      <c r="C6" s="86"/>
      <c r="D6" s="91" t="s">
        <v>97</v>
      </c>
      <c r="E6" s="92"/>
    </row>
    <row r="7" spans="3:8" x14ac:dyDescent="0.3">
      <c r="C7" s="86"/>
      <c r="D7" s="89" t="s">
        <v>50</v>
      </c>
      <c r="E7" s="90"/>
    </row>
    <row r="8" spans="3:8" ht="15" thickBot="1" x14ac:dyDescent="0.35">
      <c r="C8" s="86"/>
      <c r="D8" s="91" t="s">
        <v>98</v>
      </c>
      <c r="E8" s="92"/>
    </row>
    <row r="9" spans="3:8" x14ac:dyDescent="0.3">
      <c r="C9" s="86"/>
      <c r="D9" s="97" t="s">
        <v>51</v>
      </c>
      <c r="E9" s="98"/>
    </row>
    <row r="10" spans="3:8" x14ac:dyDescent="0.3">
      <c r="C10" s="86"/>
      <c r="D10" s="93" t="s">
        <v>99</v>
      </c>
      <c r="E10" s="94"/>
    </row>
    <row r="11" spans="3:8" x14ac:dyDescent="0.3">
      <c r="C11" s="86"/>
      <c r="D11" s="93" t="s">
        <v>52</v>
      </c>
      <c r="E11" s="94"/>
    </row>
    <row r="12" spans="3:8" ht="15" thickBot="1" x14ac:dyDescent="0.35">
      <c r="C12" s="86"/>
      <c r="D12" s="93" t="s">
        <v>53</v>
      </c>
      <c r="E12" s="94"/>
    </row>
    <row r="13" spans="3:8" ht="58.5" customHeight="1" thickBot="1" x14ac:dyDescent="0.35">
      <c r="C13" s="95" t="s">
        <v>54</v>
      </c>
      <c r="D13" s="35" t="s">
        <v>59</v>
      </c>
      <c r="E13" s="35" t="s">
        <v>100</v>
      </c>
      <c r="G13">
        <v>8819689000</v>
      </c>
      <c r="H13">
        <f>G13/1250</f>
        <v>7055751.2000000002</v>
      </c>
    </row>
    <row r="14" spans="3:8" ht="29.4" thickBot="1" x14ac:dyDescent="0.35">
      <c r="C14" s="86"/>
      <c r="D14" s="36" t="s">
        <v>55</v>
      </c>
      <c r="E14" s="36" t="s">
        <v>56</v>
      </c>
      <c r="H14">
        <f t="shared" ref="H14:H17" si="0">G14/1250</f>
        <v>0</v>
      </c>
    </row>
    <row r="15" spans="3:8" ht="15" thickBot="1" x14ac:dyDescent="0.35">
      <c r="C15" s="86"/>
      <c r="D15" s="37" t="s">
        <v>60</v>
      </c>
      <c r="E15" s="35" t="s">
        <v>101</v>
      </c>
      <c r="G15">
        <v>310815000</v>
      </c>
      <c r="H15">
        <f t="shared" si="0"/>
        <v>248652</v>
      </c>
    </row>
    <row r="16" spans="3:8" ht="29.4" thickBot="1" x14ac:dyDescent="0.35">
      <c r="C16" s="86"/>
      <c r="D16" s="38" t="s">
        <v>61</v>
      </c>
      <c r="E16" s="36" t="s">
        <v>102</v>
      </c>
      <c r="G16">
        <v>1324530000</v>
      </c>
      <c r="H16">
        <f t="shared" si="0"/>
        <v>1059624</v>
      </c>
    </row>
    <row r="17" spans="3:8" ht="29.4" thickBot="1" x14ac:dyDescent="0.35">
      <c r="C17" s="96"/>
      <c r="D17" s="37" t="s">
        <v>62</v>
      </c>
      <c r="E17" s="35" t="s">
        <v>103</v>
      </c>
      <c r="G17">
        <v>993398000</v>
      </c>
      <c r="H17">
        <f t="shared" si="0"/>
        <v>794718.4</v>
      </c>
    </row>
    <row r="18" spans="3:8" ht="40.049999999999997" customHeight="1" thickBot="1" x14ac:dyDescent="0.35">
      <c r="C18" s="34" t="s">
        <v>104</v>
      </c>
      <c r="D18" s="36" t="s">
        <v>58</v>
      </c>
      <c r="E18" s="36">
        <v>15</v>
      </c>
    </row>
  </sheetData>
  <mergeCells count="13">
    <mergeCell ref="C13:C17"/>
    <mergeCell ref="D8:E8"/>
    <mergeCell ref="D9:E9"/>
    <mergeCell ref="D10:E10"/>
    <mergeCell ref="D11:E11"/>
    <mergeCell ref="D2:E2"/>
    <mergeCell ref="C3:C12"/>
    <mergeCell ref="D3:E3"/>
    <mergeCell ref="D4:E4"/>
    <mergeCell ref="D5:E5"/>
    <mergeCell ref="D6:E6"/>
    <mergeCell ref="D7:E7"/>
    <mergeCell ref="D12:E1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9"/>
  <sheetViews>
    <sheetView workbookViewId="0">
      <selection activeCell="C2" sqref="C2:E9"/>
    </sheetView>
  </sheetViews>
  <sheetFormatPr defaultRowHeight="14.4" x14ac:dyDescent="0.3"/>
  <cols>
    <col min="3" max="3" width="17.44140625" customWidth="1"/>
    <col min="4" max="4" width="14" customWidth="1"/>
    <col min="5" max="5" width="60.21875" customWidth="1"/>
  </cols>
  <sheetData>
    <row r="1" spans="3:5" ht="15" thickBot="1" x14ac:dyDescent="0.35"/>
    <row r="2" spans="3:5" ht="42.45" customHeight="1" thickBot="1" x14ac:dyDescent="0.35">
      <c r="C2" s="33" t="s">
        <v>44</v>
      </c>
      <c r="D2" s="101" t="s">
        <v>63</v>
      </c>
      <c r="E2" s="84"/>
    </row>
    <row r="3" spans="3:5" ht="28.05" customHeight="1" thickBot="1" x14ac:dyDescent="0.35">
      <c r="C3" s="86"/>
      <c r="D3" s="102" t="s">
        <v>109</v>
      </c>
      <c r="E3" s="92"/>
    </row>
    <row r="4" spans="3:5" x14ac:dyDescent="0.3">
      <c r="C4" s="86"/>
      <c r="D4" s="103" t="s">
        <v>60</v>
      </c>
      <c r="E4" s="98"/>
    </row>
    <row r="5" spans="3:5" x14ac:dyDescent="0.3">
      <c r="C5" s="86"/>
      <c r="D5" s="99" t="s">
        <v>107</v>
      </c>
      <c r="E5" s="94"/>
    </row>
    <row r="6" spans="3:5" ht="15" thickBot="1" x14ac:dyDescent="0.35">
      <c r="C6" s="86"/>
      <c r="D6" s="100" t="s">
        <v>79</v>
      </c>
      <c r="E6" s="94"/>
    </row>
    <row r="7" spans="3:5" ht="58.5" customHeight="1" thickBot="1" x14ac:dyDescent="0.35">
      <c r="C7" s="95" t="s">
        <v>54</v>
      </c>
      <c r="D7" s="36" t="s">
        <v>70</v>
      </c>
      <c r="E7" s="36" t="s">
        <v>108</v>
      </c>
    </row>
    <row r="8" spans="3:5" ht="25.95" customHeight="1" thickBot="1" x14ac:dyDescent="0.35">
      <c r="C8" s="86"/>
      <c r="D8" s="37" t="s">
        <v>55</v>
      </c>
      <c r="E8" s="37" t="s">
        <v>56</v>
      </c>
    </row>
    <row r="9" spans="3:5" ht="40.049999999999997" customHeight="1" thickBot="1" x14ac:dyDescent="0.35">
      <c r="C9" s="49" t="s">
        <v>57</v>
      </c>
      <c r="D9" s="36" t="s">
        <v>58</v>
      </c>
      <c r="E9" s="36">
        <v>44</v>
      </c>
    </row>
  </sheetData>
  <mergeCells count="7">
    <mergeCell ref="D5:E5"/>
    <mergeCell ref="D6:E6"/>
    <mergeCell ref="C7:C8"/>
    <mergeCell ref="D2:E2"/>
    <mergeCell ref="C3:C6"/>
    <mergeCell ref="D3:E3"/>
    <mergeCell ref="D4:E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8"/>
  <sheetViews>
    <sheetView workbookViewId="0">
      <selection activeCell="E7" sqref="E7"/>
    </sheetView>
  </sheetViews>
  <sheetFormatPr defaultRowHeight="14.4" x14ac:dyDescent="0.3"/>
  <cols>
    <col min="3" max="3" width="17.44140625" customWidth="1"/>
    <col min="4" max="4" width="22.5546875" customWidth="1"/>
    <col min="5" max="5" width="60.21875" customWidth="1"/>
    <col min="7" max="7" width="10.77734375" bestFit="1" customWidth="1"/>
  </cols>
  <sheetData>
    <row r="1" spans="3:8" ht="15" thickBot="1" x14ac:dyDescent="0.35"/>
    <row r="2" spans="3:8" ht="42.6" thickBot="1" x14ac:dyDescent="0.35">
      <c r="C2" s="33" t="s">
        <v>44</v>
      </c>
      <c r="D2" s="101" t="s">
        <v>63</v>
      </c>
      <c r="E2" s="84"/>
    </row>
    <row r="3" spans="3:8" ht="14.55" customHeight="1" thickBot="1" x14ac:dyDescent="0.35">
      <c r="C3" s="95" t="s">
        <v>46</v>
      </c>
      <c r="D3" s="39" t="s">
        <v>64</v>
      </c>
      <c r="E3" s="40" t="s">
        <v>65</v>
      </c>
    </row>
    <row r="4" spans="3:8" ht="14.55" customHeight="1" thickBot="1" x14ac:dyDescent="0.35">
      <c r="C4" s="86"/>
      <c r="D4" s="37" t="s">
        <v>68</v>
      </c>
      <c r="E4" s="37" t="s">
        <v>66</v>
      </c>
    </row>
    <row r="5" spans="3:8" ht="14.55" customHeight="1" thickBot="1" x14ac:dyDescent="0.35">
      <c r="C5" s="86"/>
      <c r="D5" s="38" t="s">
        <v>69</v>
      </c>
      <c r="E5" s="36" t="s">
        <v>67</v>
      </c>
    </row>
    <row r="6" spans="3:8" ht="58.5" customHeight="1" thickBot="1" x14ac:dyDescent="0.35">
      <c r="C6" s="95" t="s">
        <v>54</v>
      </c>
      <c r="D6" s="37" t="s">
        <v>70</v>
      </c>
      <c r="E6" s="35" t="s">
        <v>110</v>
      </c>
      <c r="G6">
        <v>8259601000</v>
      </c>
      <c r="H6">
        <f>G6/1250</f>
        <v>6607680.7999999998</v>
      </c>
    </row>
    <row r="7" spans="3:8" ht="15" thickBot="1" x14ac:dyDescent="0.35">
      <c r="C7" s="86"/>
      <c r="D7" s="36" t="s">
        <v>55</v>
      </c>
      <c r="E7" s="36" t="s">
        <v>56</v>
      </c>
    </row>
    <row r="8" spans="3:8" ht="40.049999999999997" customHeight="1" thickBot="1" x14ac:dyDescent="0.35">
      <c r="C8" s="34" t="s">
        <v>57</v>
      </c>
      <c r="D8" s="37" t="s">
        <v>58</v>
      </c>
      <c r="E8" s="37">
        <v>44</v>
      </c>
    </row>
  </sheetData>
  <mergeCells count="3">
    <mergeCell ref="C6:C7"/>
    <mergeCell ref="D2:E2"/>
    <mergeCell ref="C3: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3128248957E940845FBDA913C3E085" ma:contentTypeVersion="2" ma:contentTypeDescription="Create a new document." ma:contentTypeScope="" ma:versionID="b40d0dd1e5aa164b28bc18b25788f6bd">
  <xsd:schema xmlns:xsd="http://www.w3.org/2001/XMLSchema" xmlns:xs="http://www.w3.org/2001/XMLSchema" xmlns:p="http://schemas.microsoft.com/office/2006/metadata/properties" xmlns:ns2="9de6a297-4883-49b5-b734-272fd15c37c5" targetNamespace="http://schemas.microsoft.com/office/2006/metadata/properties" ma:root="true" ma:fieldsID="e5f069898e62a06487da04d9e6081ce0" ns2:_="">
    <xsd:import namespace="9de6a297-4883-49b5-b734-272fd15c37c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6a297-4883-49b5-b734-272fd15c37c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903915-5B94-41C9-9B9E-6B65E73AFD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6a297-4883-49b5-b734-272fd15c37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64EA25-106C-493D-BCE4-4355B64D6A63}">
  <ds:schemaRefs>
    <ds:schemaRef ds:uri="http://schemas.microsoft.com/sharepoint/v3/contenttype/forms"/>
  </ds:schemaRefs>
</ds:datastoreItem>
</file>

<file path=customXml/itemProps3.xml><?xml version="1.0" encoding="utf-8"?>
<ds:datastoreItem xmlns:ds="http://schemas.openxmlformats.org/officeDocument/2006/customXml" ds:itemID="{5C2EAEEA-8EFE-4C86-B00B-30EDF615E55C}">
  <ds:schemaRefs>
    <ds:schemaRef ds:uri="http://purl.org/dc/terms/"/>
    <ds:schemaRef ds:uri="9de6a297-4883-49b5-b734-272fd15c37c5"/>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Sheet1</vt:lpstr>
      <vt:lpstr>tabl</vt:lpstr>
      <vt:lpstr>Archive</vt:lpstr>
      <vt:lpstr>Finance companies</vt:lpstr>
      <vt:lpstr>Sales 1</vt:lpstr>
      <vt:lpstr>Sales</vt:lpstr>
      <vt:lpstr>Acleda</vt:lpstr>
      <vt:lpstr>AEON!</vt:lpstr>
      <vt:lpstr>AEON</vt:lpstr>
      <vt:lpstr>Fullerton</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Artyukh</dc:creator>
  <cp:lastModifiedBy>AAA-DoIT!</cp:lastModifiedBy>
  <dcterms:created xsi:type="dcterms:W3CDTF">2015-10-14T09:12:42Z</dcterms:created>
  <dcterms:modified xsi:type="dcterms:W3CDTF">2016-06-29T01:26:59Z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0x010100163128248957E940845FBDA913C3E085</vt:lpwstr>
  </property>
</Properties>
</file>